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trlProps/ctrlProp7.xml" ContentType="application/vnd.ms-excel.controlproperties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omments4.xml" ContentType="application/vnd.openxmlformats-officedocument.spreadsheetml.comments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7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0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P:\022 REACT\05\00B Entwurf\Daten für die Überprüfung REACT\20250210_Daten mit Problem\Problem mit ROSE Datei\TEST Haus der Jugend\"/>
    </mc:Choice>
  </mc:AlternateContent>
  <xr:revisionPtr revIDLastSave="0" documentId="13_ncr:1_{03426796-B113-4940-855A-473B996F670F}" xr6:coauthVersionLast="47" xr6:coauthVersionMax="47" xr10:uidLastSave="{00000000-0000-0000-0000-000000000000}"/>
  <bookViews>
    <workbookView xWindow="-120" yWindow="-120" windowWidth="29040" windowHeight="15840" tabRatio="906" xr2:uid="{7AF0AB8A-F944-4FF0-B79D-E459CC4B4A6D}"/>
  </bookViews>
  <sheets>
    <sheet name="Gesamtauswertung" sheetId="13" r:id="rId1"/>
    <sheet name="Grafiken" sheetId="22" r:id="rId2"/>
    <sheet name="R.O.S.E" sheetId="12" r:id="rId3"/>
    <sheet name="BauGrube" sheetId="17" r:id="rId4"/>
    <sheet name="Materialien ex Beton und Fenste" sheetId="10" r:id="rId5"/>
    <sheet name="Beton-Vergleich" sheetId="18" r:id="rId6"/>
    <sheet name="Beton Zusammensetzung" sheetId="35" r:id="rId7"/>
    <sheet name="Fensterberechnungen " sheetId="15" r:id="rId8"/>
    <sheet name="Abbruch-Entsorgung" sheetId="29" r:id="rId9"/>
    <sheet name="Rückbau" sheetId="36" r:id="rId10"/>
    <sheet name="Container-Dorf" sheetId="32" r:id="rId11"/>
    <sheet name="Container-Dorf Infos" sheetId="31" r:id="rId12"/>
    <sheet name="Energieverbrauch_Sedlak" sheetId="33" r:id="rId13"/>
    <sheet name="Energieverbauch anhand BGF" sheetId="34" r:id="rId14"/>
    <sheet name="Begriffserklärungen " sheetId="26" r:id="rId15"/>
    <sheet name="Lebenszyklus Info" sheetId="30" r:id="rId16"/>
    <sheet name="Transport Kennzahlen" sheetId="9" r:id="rId17"/>
    <sheet name="Abbruch-Recherche" sheetId="28" r:id="rId18"/>
    <sheet name="Benchmarks" sheetId="25" r:id="rId19"/>
    <sheet name="DateienEinlese" sheetId="24" r:id="rId20"/>
    <sheet name="Ausarbeitung Details" sheetId="1" r:id="rId21"/>
    <sheet name="Weitere Ausarbeitung Benchmarks" sheetId="7" r:id="rId22"/>
    <sheet name="Quellen" sheetId="3" r:id="rId23"/>
  </sheets>
  <definedNames>
    <definedName name="_xlchart.v1.0" hidden="1">Gesamtauswertung!$L$11:$L$67</definedName>
    <definedName name="_xlchart.v1.1" hidden="1">Gesamtauswertung!$U$10</definedName>
    <definedName name="_xlchart.v1.2" hidden="1">Gesamtauswertung!$U$11:$U$67</definedName>
    <definedName name="ExterneDaten_1" localSheetId="19">DateienEinlese!$D$13</definedName>
    <definedName name="ExterneDaten_1" localSheetId="7" hidden="1">'Fensterberechnungen '!$A$12:$C$13</definedName>
    <definedName name="ExterneDaten_1" localSheetId="0" hidden="1">Gesamtauswertung!$L$10:$T$67</definedName>
    <definedName name="ExterneDaten_1" localSheetId="4" hidden="1">'Materialien ex Beton und Fenste'!$A$1:$E$33</definedName>
    <definedName name="ExterneDaten_2" localSheetId="5" hidden="1">'Beton-Vergleich'!$A$1:$E$3</definedName>
    <definedName name="ExterneDaten_2" localSheetId="2" hidden="1">'R.O.S.E'!$B$13:$C$15</definedName>
    <definedName name="Rose1">#REF!</definedName>
    <definedName name="RoseEin">#REF!</definedName>
    <definedName name="RoseEins">ROSE[Heizvariante]</definedName>
    <definedName name="RoseOne">'R.O.S.E'!$F$14:$F$18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5" l="1"/>
  <c r="D13" i="15"/>
  <c r="I13" i="15"/>
  <c r="E4" i="18"/>
  <c r="F2" i="18"/>
  <c r="F3" i="18"/>
  <c r="G2" i="18"/>
  <c r="I2" i="18" s="1"/>
  <c r="G3" i="18"/>
  <c r="H2" i="18"/>
  <c r="H3" i="18"/>
  <c r="J2" i="18"/>
  <c r="J3" i="18"/>
  <c r="K2" i="18"/>
  <c r="K3" i="18"/>
  <c r="L2" i="18"/>
  <c r="L3" i="18"/>
  <c r="M2" i="18"/>
  <c r="M3" i="18"/>
  <c r="N2" i="18"/>
  <c r="N3" i="18"/>
  <c r="E34" i="10"/>
  <c r="F11" i="10"/>
  <c r="F12" i="10"/>
  <c r="F17" i="10"/>
  <c r="F26" i="10"/>
  <c r="F20" i="10"/>
  <c r="F13" i="10"/>
  <c r="F28" i="10"/>
  <c r="F10" i="10"/>
  <c r="F8" i="10"/>
  <c r="F9" i="10"/>
  <c r="F29" i="10"/>
  <c r="F6" i="10"/>
  <c r="F2" i="10"/>
  <c r="F3" i="10"/>
  <c r="F4" i="10"/>
  <c r="F24" i="10"/>
  <c r="F27" i="10"/>
  <c r="F22" i="10"/>
  <c r="F14" i="10"/>
  <c r="F19" i="10"/>
  <c r="F31" i="10"/>
  <c r="F16" i="10"/>
  <c r="F18" i="10"/>
  <c r="F23" i="10"/>
  <c r="F21" i="10"/>
  <c r="F32" i="10"/>
  <c r="F5" i="10"/>
  <c r="F15" i="10"/>
  <c r="F25" i="10"/>
  <c r="F7" i="10"/>
  <c r="F33" i="10"/>
  <c r="F30" i="10"/>
  <c r="H11" i="10"/>
  <c r="H12" i="10"/>
  <c r="H17" i="10"/>
  <c r="H26" i="10"/>
  <c r="H20" i="10"/>
  <c r="H13" i="10"/>
  <c r="H28" i="10"/>
  <c r="H10" i="10"/>
  <c r="H8" i="10"/>
  <c r="H9" i="10"/>
  <c r="H29" i="10"/>
  <c r="H6" i="10"/>
  <c r="H2" i="10"/>
  <c r="H3" i="10"/>
  <c r="H4" i="10"/>
  <c r="H24" i="10"/>
  <c r="H27" i="10"/>
  <c r="H22" i="10"/>
  <c r="H14" i="10"/>
  <c r="H19" i="10"/>
  <c r="H31" i="10"/>
  <c r="H16" i="10"/>
  <c r="H18" i="10"/>
  <c r="H23" i="10"/>
  <c r="H21" i="10"/>
  <c r="H32" i="10"/>
  <c r="H5" i="10"/>
  <c r="H15" i="10"/>
  <c r="H25" i="10"/>
  <c r="H7" i="10"/>
  <c r="H33" i="10"/>
  <c r="H30" i="10"/>
  <c r="M68" i="13"/>
  <c r="N68" i="13"/>
  <c r="O68" i="13"/>
  <c r="P68" i="13"/>
  <c r="Q68" i="13"/>
  <c r="R68" i="13"/>
  <c r="S68" i="13"/>
  <c r="T68" i="13"/>
  <c r="U38" i="13" a="1"/>
  <c r="U38" i="13" s="1"/>
  <c r="W38" i="13" s="1"/>
  <c r="U66" i="13" a="1"/>
  <c r="U66" i="13" s="1"/>
  <c r="W66" i="13" s="1"/>
  <c r="U46" i="13" a="1"/>
  <c r="U46" i="13" s="1"/>
  <c r="W46" i="13" s="1"/>
  <c r="U53" i="13" a="1"/>
  <c r="U53" i="13"/>
  <c r="W53" i="13" s="1"/>
  <c r="U11" i="13" a="1"/>
  <c r="U11" i="13" s="1"/>
  <c r="W11" i="13" s="1"/>
  <c r="U12" i="13" a="1"/>
  <c r="U12" i="13" s="1"/>
  <c r="W12" i="13" s="1"/>
  <c r="U13" i="13" a="1"/>
  <c r="U13" i="13" s="1"/>
  <c r="W13" i="13" s="1"/>
  <c r="U14" i="13" a="1"/>
  <c r="U14" i="13" s="1"/>
  <c r="W14" i="13" s="1"/>
  <c r="U15" i="13" a="1"/>
  <c r="U15" i="13" s="1"/>
  <c r="W15" i="13" s="1"/>
  <c r="U16" i="13" a="1"/>
  <c r="U16" i="13"/>
  <c r="W16" i="13" s="1"/>
  <c r="U17" i="13" a="1"/>
  <c r="U17" i="13" s="1"/>
  <c r="W17" i="13" s="1"/>
  <c r="U18" i="13" a="1"/>
  <c r="U18" i="13" s="1"/>
  <c r="W18" i="13" s="1"/>
  <c r="U19" i="13" a="1"/>
  <c r="U19" i="13" s="1"/>
  <c r="W19" i="13" s="1"/>
  <c r="U20" i="13" a="1"/>
  <c r="U20" i="13" s="1"/>
  <c r="W20" i="13" s="1"/>
  <c r="U21" i="13" a="1"/>
  <c r="U21" i="13" s="1"/>
  <c r="W21" i="13" s="1"/>
  <c r="U22" i="13" a="1"/>
  <c r="U22" i="13" s="1"/>
  <c r="W22" i="13" s="1"/>
  <c r="U23" i="13" a="1"/>
  <c r="U23" i="13" s="1"/>
  <c r="W23" i="13" s="1"/>
  <c r="U24" i="13" a="1"/>
  <c r="U24" i="13"/>
  <c r="W24" i="13" s="1"/>
  <c r="U25" i="13" a="1"/>
  <c r="U25" i="13" s="1"/>
  <c r="W25" i="13" s="1"/>
  <c r="U26" i="13" a="1"/>
  <c r="U26" i="13" s="1"/>
  <c r="W26" i="13" s="1"/>
  <c r="U27" i="13" a="1"/>
  <c r="U27" i="13" s="1"/>
  <c r="W27" i="13" s="1"/>
  <c r="U28" i="13" a="1"/>
  <c r="U28" i="13" s="1"/>
  <c r="W28" i="13" s="1"/>
  <c r="U29" i="13" a="1"/>
  <c r="U29" i="13" s="1"/>
  <c r="W29" i="13" s="1"/>
  <c r="U30" i="13" a="1"/>
  <c r="U30" i="13" s="1"/>
  <c r="W30" i="13" s="1"/>
  <c r="U31" i="13" a="1"/>
  <c r="U31" i="13" s="1"/>
  <c r="W31" i="13" s="1"/>
  <c r="U32" i="13" a="1"/>
  <c r="U32" i="13" s="1"/>
  <c r="W32" i="13" s="1"/>
  <c r="U33" i="13" a="1"/>
  <c r="U33" i="13" s="1"/>
  <c r="W33" i="13" s="1"/>
  <c r="U34" i="13" a="1"/>
  <c r="U34" i="13" s="1"/>
  <c r="W34" i="13" s="1"/>
  <c r="U35" i="13" a="1"/>
  <c r="U35" i="13" s="1"/>
  <c r="W35" i="13" s="1"/>
  <c r="U36" i="13" a="1"/>
  <c r="U36" i="13" s="1"/>
  <c r="W36" i="13" s="1"/>
  <c r="U37" i="13" a="1"/>
  <c r="U37" i="13" s="1"/>
  <c r="W37" i="13" s="1"/>
  <c r="U39" i="13" a="1"/>
  <c r="U39" i="13" s="1"/>
  <c r="W39" i="13" s="1"/>
  <c r="U40" i="13" a="1"/>
  <c r="U40" i="13" s="1"/>
  <c r="W40" i="13" s="1"/>
  <c r="U41" i="13" a="1"/>
  <c r="U41" i="13"/>
  <c r="W41" i="13" s="1"/>
  <c r="U42" i="13" a="1"/>
  <c r="U42" i="13" s="1"/>
  <c r="W42" i="13" s="1"/>
  <c r="U43" i="13" a="1"/>
  <c r="U43" i="13" s="1"/>
  <c r="W43" i="13" s="1"/>
  <c r="U44" i="13" a="1"/>
  <c r="U44" i="13" s="1"/>
  <c r="W44" i="13" s="1"/>
  <c r="U45" i="13" a="1"/>
  <c r="U45" i="13" s="1"/>
  <c r="W45" i="13" s="1"/>
  <c r="U47" i="13" a="1"/>
  <c r="U47" i="13" s="1"/>
  <c r="W47" i="13" s="1"/>
  <c r="U48" i="13" a="1"/>
  <c r="U48" i="13" s="1"/>
  <c r="W48" i="13" s="1"/>
  <c r="U49" i="13" a="1"/>
  <c r="U49" i="13" s="1"/>
  <c r="W49" i="13" s="1"/>
  <c r="U50" i="13" a="1"/>
  <c r="U50" i="13" s="1"/>
  <c r="W50" i="13" s="1"/>
  <c r="U51" i="13" a="1"/>
  <c r="U51" i="13" s="1"/>
  <c r="W51" i="13" s="1"/>
  <c r="U52" i="13" a="1"/>
  <c r="U52" i="13" s="1"/>
  <c r="W52" i="13" s="1"/>
  <c r="U54" i="13" a="1"/>
  <c r="U54" i="13" s="1"/>
  <c r="W54" i="13" s="1"/>
  <c r="U55" i="13" a="1"/>
  <c r="U55" i="13" s="1"/>
  <c r="W55" i="13" s="1"/>
  <c r="U56" i="13" a="1"/>
  <c r="U56" i="13" s="1"/>
  <c r="W56" i="13" s="1"/>
  <c r="U57" i="13" a="1"/>
  <c r="U57" i="13" s="1"/>
  <c r="W57" i="13" s="1"/>
  <c r="U58" i="13" a="1"/>
  <c r="U58" i="13" s="1"/>
  <c r="W58" i="13" s="1"/>
  <c r="U59" i="13" a="1"/>
  <c r="U59" i="13" s="1"/>
  <c r="W59" i="13" s="1"/>
  <c r="U60" i="13" a="1"/>
  <c r="U60" i="13" s="1"/>
  <c r="W60" i="13" s="1"/>
  <c r="U61" i="13" a="1"/>
  <c r="U61" i="13" s="1"/>
  <c r="W61" i="13" s="1"/>
  <c r="U62" i="13" a="1"/>
  <c r="U62" i="13" s="1"/>
  <c r="W62" i="13" s="1"/>
  <c r="U63" i="13" a="1"/>
  <c r="U63" i="13" s="1"/>
  <c r="W63" i="13" s="1"/>
  <c r="U64" i="13" a="1"/>
  <c r="U64" i="13" s="1"/>
  <c r="W64" i="13" s="1"/>
  <c r="U65" i="13" a="1"/>
  <c r="U65" i="13" s="1"/>
  <c r="W65" i="13" s="1"/>
  <c r="U67" i="13" a="1"/>
  <c r="U67" i="13" s="1"/>
  <c r="W67" i="13" s="1"/>
  <c r="I3" i="18" l="1"/>
  <c r="E4" i="17"/>
  <c r="K3" i="17"/>
  <c r="C79" i="17" l="1"/>
  <c r="E81" i="17" s="1"/>
  <c r="C9" i="33"/>
  <c r="C11" i="33" s="1"/>
  <c r="C23" i="33"/>
  <c r="C25" i="33" s="1"/>
  <c r="C23" i="34"/>
  <c r="C25" i="34" s="1"/>
  <c r="N42" i="17"/>
  <c r="C9" i="34"/>
  <c r="C11" i="34" s="1"/>
  <c r="M77" i="13" l="1"/>
  <c r="M78" i="13"/>
  <c r="M81" i="13"/>
  <c r="M82" i="13"/>
  <c r="M83" i="13"/>
  <c r="C5" i="13" s="1"/>
  <c r="B9" i="18"/>
  <c r="M80" i="13"/>
  <c r="M79" i="13"/>
  <c r="G25" i="35"/>
  <c r="G24" i="35"/>
  <c r="C18" i="35"/>
  <c r="D5" i="13" l="1"/>
  <c r="P33" i="32"/>
  <c r="C2" i="33" l="1"/>
  <c r="L19" i="35"/>
  <c r="D16" i="35" s="1"/>
  <c r="L17" i="35"/>
  <c r="D15" i="35" s="1"/>
  <c r="K30" i="35" s="1"/>
  <c r="L13" i="35"/>
  <c r="D8" i="35" s="1"/>
  <c r="L11" i="35"/>
  <c r="D7" i="35" s="1"/>
  <c r="K27" i="35" s="1"/>
  <c r="C8" i="35"/>
  <c r="C10" i="35" s="1"/>
  <c r="P31" i="32"/>
  <c r="P30" i="32"/>
  <c r="B42" i="18"/>
  <c r="E8" i="18" l="1"/>
  <c r="K28" i="35"/>
  <c r="E9" i="18" s="1"/>
  <c r="E11" i="18"/>
  <c r="K29" i="35"/>
  <c r="E10" i="18" s="1"/>
  <c r="C27" i="33"/>
  <c r="C13" i="33"/>
  <c r="D14" i="35"/>
  <c r="D6" i="35"/>
  <c r="F4" i="18"/>
  <c r="B7" i="18" s="1"/>
  <c r="J4" i="18"/>
  <c r="B8" i="18" s="1"/>
  <c r="M132" i="22"/>
  <c r="M130" i="22"/>
  <c r="M129" i="22"/>
  <c r="M128" i="22"/>
  <c r="M127" i="22"/>
  <c r="M126" i="22"/>
  <c r="E3" i="17"/>
  <c r="T4" i="33"/>
  <c r="C13" i="34"/>
  <c r="C27" i="34"/>
  <c r="E29" i="34"/>
  <c r="D33" i="34" s="1"/>
  <c r="D11" i="34"/>
  <c r="C57" i="17"/>
  <c r="Y4" i="33"/>
  <c r="X18" i="33"/>
  <c r="B10" i="15"/>
  <c r="F13" i="15" s="1"/>
  <c r="G13" i="15" s="1"/>
  <c r="H13" i="15" s="1"/>
  <c r="B5" i="15"/>
  <c r="D26" i="9"/>
  <c r="B30" i="9"/>
  <c r="E30" i="9" s="1"/>
  <c r="J7" i="15"/>
  <c r="D5" i="9"/>
  <c r="E80" i="17" s="1"/>
  <c r="A22" i="18"/>
  <c r="B10" i="9"/>
  <c r="E10" i="9" s="1"/>
  <c r="L3" i="10"/>
  <c r="X4" i="33"/>
  <c r="E29" i="33"/>
  <c r="D33" i="33" s="1"/>
  <c r="Y6" i="33"/>
  <c r="D11" i="33"/>
  <c r="Y3" i="33"/>
  <c r="Y5" i="33"/>
  <c r="Y7" i="33"/>
  <c r="Y8" i="33"/>
  <c r="Y9" i="33"/>
  <c r="Y10" i="33"/>
  <c r="Y11" i="33"/>
  <c r="Y12" i="33"/>
  <c r="Y13" i="33"/>
  <c r="Y14" i="33"/>
  <c r="Y15" i="33"/>
  <c r="Y16" i="33"/>
  <c r="Y17" i="33"/>
  <c r="Y18" i="33"/>
  <c r="Y19" i="33"/>
  <c r="Y20" i="33"/>
  <c r="Y21" i="33"/>
  <c r="Y22" i="33"/>
  <c r="Y23" i="33"/>
  <c r="Y24" i="33"/>
  <c r="Y25" i="33"/>
  <c r="Y26" i="33"/>
  <c r="Y27" i="33"/>
  <c r="Y28" i="33"/>
  <c r="Y29" i="33"/>
  <c r="Y30" i="33"/>
  <c r="Y31" i="33"/>
  <c r="Y32" i="33"/>
  <c r="Y33" i="33"/>
  <c r="Y34" i="33"/>
  <c r="Y35" i="33"/>
  <c r="Y36" i="33"/>
  <c r="Y37" i="33"/>
  <c r="Y38" i="33"/>
  <c r="Y39" i="33"/>
  <c r="Y40" i="33"/>
  <c r="Y41" i="33"/>
  <c r="Y42" i="33"/>
  <c r="X42" i="33"/>
  <c r="X41" i="33"/>
  <c r="X40" i="33"/>
  <c r="X39" i="33"/>
  <c r="X38" i="33"/>
  <c r="X37" i="33"/>
  <c r="X36" i="33"/>
  <c r="X35" i="33"/>
  <c r="X34" i="33"/>
  <c r="X33" i="33"/>
  <c r="X32" i="33"/>
  <c r="X31" i="33"/>
  <c r="X30" i="33"/>
  <c r="X29" i="33"/>
  <c r="X28" i="33"/>
  <c r="X27" i="33"/>
  <c r="X26" i="33"/>
  <c r="X25" i="33"/>
  <c r="X24" i="33"/>
  <c r="X23" i="33"/>
  <c r="X22" i="33"/>
  <c r="X21" i="33"/>
  <c r="X20" i="33"/>
  <c r="X19" i="33"/>
  <c r="X17" i="33"/>
  <c r="X16" i="33"/>
  <c r="X15" i="33"/>
  <c r="X14" i="33"/>
  <c r="X13" i="33"/>
  <c r="X12" i="33"/>
  <c r="X11" i="33"/>
  <c r="X10" i="33"/>
  <c r="X9" i="33"/>
  <c r="X8" i="33"/>
  <c r="X7" i="33"/>
  <c r="X6" i="33"/>
  <c r="X5" i="33"/>
  <c r="X3" i="33"/>
  <c r="H55" i="17"/>
  <c r="P3" i="17"/>
  <c r="E55" i="17"/>
  <c r="P29" i="32"/>
  <c r="C11" i="32" s="1"/>
  <c r="E11" i="32" s="1"/>
  <c r="C12" i="32"/>
  <c r="E12" i="32" s="1"/>
  <c r="C13" i="32"/>
  <c r="E13" i="32" s="1"/>
  <c r="C14" i="32"/>
  <c r="E14" i="32" s="1"/>
  <c r="P34" i="32"/>
  <c r="C15" i="32" s="1"/>
  <c r="E15" i="32" s="1"/>
  <c r="P35" i="32"/>
  <c r="C16" i="32" s="1"/>
  <c r="E16" i="32" s="1"/>
  <c r="C20" i="32"/>
  <c r="C22" i="32" s="1"/>
  <c r="C31" i="31"/>
  <c r="C30" i="31"/>
  <c r="C29" i="31"/>
  <c r="C35" i="31"/>
  <c r="C34" i="31"/>
  <c r="C33" i="31"/>
  <c r="M84" i="31"/>
  <c r="M87" i="31" s="1"/>
  <c r="M88" i="31" s="1"/>
  <c r="N66" i="31"/>
  <c r="M70" i="31" s="1"/>
  <c r="M73" i="31" s="1"/>
  <c r="M75" i="31" s="1"/>
  <c r="N56" i="31"/>
  <c r="M57" i="31" s="1"/>
  <c r="N3" i="29"/>
  <c r="E15" i="29"/>
  <c r="E16" i="29"/>
  <c r="E17" i="29"/>
  <c r="E18" i="29"/>
  <c r="E14" i="29"/>
  <c r="E4" i="29"/>
  <c r="E6" i="29"/>
  <c r="E7" i="29"/>
  <c r="E8" i="29"/>
  <c r="E9" i="29"/>
  <c r="E5" i="29"/>
  <c r="E10" i="29"/>
  <c r="E11" i="29"/>
  <c r="E3" i="29"/>
  <c r="AL36" i="28"/>
  <c r="AM36" i="28"/>
  <c r="AL33" i="28"/>
  <c r="AM33" i="28"/>
  <c r="AL34" i="28"/>
  <c r="AM34" i="28"/>
  <c r="AL32" i="28"/>
  <c r="AM32" i="28"/>
  <c r="AM6" i="28"/>
  <c r="AM7" i="28"/>
  <c r="AM8" i="28"/>
  <c r="AM9" i="28"/>
  <c r="AM10" i="28"/>
  <c r="AM11" i="28"/>
  <c r="AM12" i="28"/>
  <c r="AM13" i="28"/>
  <c r="AM14" i="28"/>
  <c r="AM15" i="28"/>
  <c r="AM16" i="28"/>
  <c r="AM17" i="28"/>
  <c r="AM18" i="28"/>
  <c r="AM19" i="28"/>
  <c r="AM20" i="28"/>
  <c r="AM21" i="28"/>
  <c r="AM22" i="28"/>
  <c r="AM23" i="28"/>
  <c r="AM24" i="28"/>
  <c r="AM25" i="28"/>
  <c r="AM26" i="28"/>
  <c r="AM27" i="28"/>
  <c r="AM28" i="28"/>
  <c r="AL6" i="28"/>
  <c r="AL7" i="28"/>
  <c r="AL8" i="28"/>
  <c r="AL9" i="28"/>
  <c r="AL10" i="28"/>
  <c r="AL11" i="28"/>
  <c r="AL12" i="28"/>
  <c r="AL13" i="28"/>
  <c r="AL14" i="28"/>
  <c r="AL15" i="28"/>
  <c r="AL16" i="28"/>
  <c r="AL17" i="28"/>
  <c r="AL18" i="28"/>
  <c r="AL19" i="28"/>
  <c r="AL20" i="28"/>
  <c r="AL21" i="28"/>
  <c r="AL22" i="28"/>
  <c r="AL23" i="28"/>
  <c r="AL24" i="28"/>
  <c r="AL25" i="28"/>
  <c r="AL26" i="28"/>
  <c r="AL27" i="28"/>
  <c r="AL28" i="28"/>
  <c r="AM5" i="28"/>
  <c r="AL5" i="28"/>
  <c r="AJ5" i="28"/>
  <c r="H32" i="28"/>
  <c r="AK36" i="28"/>
  <c r="AJ36" i="28"/>
  <c r="AI36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AK33" i="28"/>
  <c r="AK34" i="28"/>
  <c r="AK32" i="28"/>
  <c r="AI33" i="28"/>
  <c r="AI34" i="28"/>
  <c r="AI32" i="28"/>
  <c r="AG33" i="28"/>
  <c r="AG34" i="28"/>
  <c r="AG32" i="28"/>
  <c r="AE33" i="28"/>
  <c r="AE34" i="28"/>
  <c r="AE32" i="28"/>
  <c r="AC33" i="28"/>
  <c r="AC34" i="28"/>
  <c r="AC32" i="28"/>
  <c r="AA33" i="28"/>
  <c r="AA34" i="28"/>
  <c r="AA32" i="28"/>
  <c r="Y33" i="28"/>
  <c r="Y34" i="28"/>
  <c r="Y32" i="28"/>
  <c r="W33" i="28"/>
  <c r="W34" i="28"/>
  <c r="W32" i="28"/>
  <c r="U33" i="28"/>
  <c r="U34" i="28"/>
  <c r="U32" i="28"/>
  <c r="S33" i="28"/>
  <c r="S34" i="28"/>
  <c r="S32" i="28"/>
  <c r="Q33" i="28"/>
  <c r="Q34" i="28"/>
  <c r="Q32" i="28"/>
  <c r="O33" i="28"/>
  <c r="O34" i="28"/>
  <c r="O32" i="28"/>
  <c r="M33" i="28"/>
  <c r="M34" i="28"/>
  <c r="M32" i="28"/>
  <c r="K33" i="28"/>
  <c r="K34" i="28"/>
  <c r="K32" i="28"/>
  <c r="I33" i="28"/>
  <c r="I34" i="28"/>
  <c r="I32" i="28"/>
  <c r="AJ33" i="28"/>
  <c r="AJ34" i="28"/>
  <c r="AJ32" i="28"/>
  <c r="AH33" i="28"/>
  <c r="AH34" i="28"/>
  <c r="AH32" i="28"/>
  <c r="AF33" i="28"/>
  <c r="AF34" i="28"/>
  <c r="AF32" i="28"/>
  <c r="AD33" i="28"/>
  <c r="AD34" i="28"/>
  <c r="AD32" i="28"/>
  <c r="AB33" i="28"/>
  <c r="AB34" i="28"/>
  <c r="AB32" i="28"/>
  <c r="Z33" i="28"/>
  <c r="Z34" i="28"/>
  <c r="Z32" i="28"/>
  <c r="X33" i="28"/>
  <c r="X34" i="28"/>
  <c r="X32" i="28"/>
  <c r="V33" i="28"/>
  <c r="V34" i="28"/>
  <c r="V32" i="28"/>
  <c r="T33" i="28"/>
  <c r="T34" i="28"/>
  <c r="T32" i="28"/>
  <c r="R33" i="28"/>
  <c r="R34" i="28"/>
  <c r="R32" i="28"/>
  <c r="P33" i="28"/>
  <c r="P34" i="28"/>
  <c r="P32" i="28"/>
  <c r="N33" i="28"/>
  <c r="N34" i="28"/>
  <c r="N32" i="28"/>
  <c r="L33" i="28"/>
  <c r="L34" i="28"/>
  <c r="L32" i="28"/>
  <c r="J33" i="28"/>
  <c r="J34" i="28"/>
  <c r="J32" i="28"/>
  <c r="H34" i="28"/>
  <c r="H33" i="28"/>
  <c r="AK6" i="28"/>
  <c r="AK7" i="28"/>
  <c r="AK8" i="28"/>
  <c r="AK9" i="28"/>
  <c r="AK10" i="28"/>
  <c r="AK11" i="28"/>
  <c r="AK12" i="28"/>
  <c r="AK13" i="28"/>
  <c r="AK14" i="28"/>
  <c r="AK15" i="28"/>
  <c r="AK16" i="28"/>
  <c r="AK17" i="28"/>
  <c r="AK18" i="28"/>
  <c r="AK19" i="28"/>
  <c r="AK20" i="28"/>
  <c r="AK21" i="28"/>
  <c r="AK22" i="28"/>
  <c r="AK23" i="28"/>
  <c r="AK24" i="28"/>
  <c r="AK25" i="28"/>
  <c r="AK26" i="28"/>
  <c r="AK27" i="28"/>
  <c r="AK28" i="28"/>
  <c r="AJ6" i="28"/>
  <c r="AJ7" i="28"/>
  <c r="AJ8" i="28"/>
  <c r="AJ9" i="28"/>
  <c r="AJ10" i="28"/>
  <c r="AJ11" i="28"/>
  <c r="AJ12" i="28"/>
  <c r="AJ13" i="28"/>
  <c r="AJ14" i="28"/>
  <c r="AJ15" i="28"/>
  <c r="AJ16" i="28"/>
  <c r="AJ17" i="28"/>
  <c r="AJ18" i="28"/>
  <c r="AJ19" i="28"/>
  <c r="AJ20" i="28"/>
  <c r="AJ21" i="28"/>
  <c r="AJ22" i="28"/>
  <c r="AJ23" i="28"/>
  <c r="AJ24" i="28"/>
  <c r="AJ25" i="28"/>
  <c r="AJ26" i="28"/>
  <c r="AJ27" i="28"/>
  <c r="AJ28" i="28"/>
  <c r="AI6" i="28"/>
  <c r="AI7" i="28"/>
  <c r="AI8" i="28"/>
  <c r="AI9" i="28"/>
  <c r="AI10" i="28"/>
  <c r="AI11" i="28"/>
  <c r="AI12" i="28"/>
  <c r="AI13" i="28"/>
  <c r="AI14" i="28"/>
  <c r="AI15" i="28"/>
  <c r="AI16" i="28"/>
  <c r="AI17" i="28"/>
  <c r="AI18" i="28"/>
  <c r="AI19" i="28"/>
  <c r="AI20" i="28"/>
  <c r="AI21" i="28"/>
  <c r="AI22" i="28"/>
  <c r="AI23" i="28"/>
  <c r="AI24" i="28"/>
  <c r="AI25" i="28"/>
  <c r="AI26" i="28"/>
  <c r="AI27" i="28"/>
  <c r="AI28" i="28"/>
  <c r="AH6" i="28"/>
  <c r="AH7" i="28"/>
  <c r="AH8" i="28"/>
  <c r="AH9" i="28"/>
  <c r="AH10" i="28"/>
  <c r="AH11" i="28"/>
  <c r="AH12" i="28"/>
  <c r="AH13" i="28"/>
  <c r="AH14" i="28"/>
  <c r="AH15" i="28"/>
  <c r="AH16" i="28"/>
  <c r="AH17" i="28"/>
  <c r="AH18" i="28"/>
  <c r="AH19" i="28"/>
  <c r="AH20" i="28"/>
  <c r="AH21" i="28"/>
  <c r="AH22" i="28"/>
  <c r="AH23" i="28"/>
  <c r="AH24" i="28"/>
  <c r="AH25" i="28"/>
  <c r="AH26" i="28"/>
  <c r="AH27" i="28"/>
  <c r="AH28" i="28"/>
  <c r="AK5" i="28"/>
  <c r="AH5" i="28"/>
  <c r="AI5" i="28"/>
  <c r="AG6" i="28"/>
  <c r="AG7" i="28"/>
  <c r="AG8" i="28"/>
  <c r="AG9" i="28"/>
  <c r="AG10" i="28"/>
  <c r="AG11" i="28"/>
  <c r="AG12" i="28"/>
  <c r="AG13" i="28"/>
  <c r="AG14" i="28"/>
  <c r="AG15" i="28"/>
  <c r="AG16" i="28"/>
  <c r="AG17" i="28"/>
  <c r="AG18" i="28"/>
  <c r="AG19" i="28"/>
  <c r="AG20" i="28"/>
  <c r="AG21" i="28"/>
  <c r="AG22" i="28"/>
  <c r="AG23" i="28"/>
  <c r="AG24" i="28"/>
  <c r="AG25" i="28"/>
  <c r="AG26" i="28"/>
  <c r="AG27" i="28"/>
  <c r="AG28" i="28"/>
  <c r="AF6" i="28"/>
  <c r="AF7" i="28"/>
  <c r="AF8" i="28"/>
  <c r="AF9" i="28"/>
  <c r="AF10" i="28"/>
  <c r="AF11" i="28"/>
  <c r="AF12" i="28"/>
  <c r="AF13" i="28"/>
  <c r="AF14" i="28"/>
  <c r="AF15" i="28"/>
  <c r="AF16" i="28"/>
  <c r="AF17" i="28"/>
  <c r="AF18" i="28"/>
  <c r="AF19" i="28"/>
  <c r="AF20" i="28"/>
  <c r="AF21" i="28"/>
  <c r="AF22" i="28"/>
  <c r="AF23" i="28"/>
  <c r="AF24" i="28"/>
  <c r="AF25" i="28"/>
  <c r="AF26" i="28"/>
  <c r="AF27" i="28"/>
  <c r="AF28" i="28"/>
  <c r="AG5" i="28"/>
  <c r="AF5" i="28"/>
  <c r="AD6" i="28"/>
  <c r="AD7" i="28"/>
  <c r="AD8" i="28"/>
  <c r="AD9" i="28"/>
  <c r="AD10" i="28"/>
  <c r="AD11" i="28"/>
  <c r="AD12" i="28"/>
  <c r="AD13" i="28"/>
  <c r="AD14" i="28"/>
  <c r="AD15" i="28"/>
  <c r="AD16" i="28"/>
  <c r="AD17" i="28"/>
  <c r="AD18" i="28"/>
  <c r="AD19" i="28"/>
  <c r="AD20" i="28"/>
  <c r="AD21" i="28"/>
  <c r="AD22" i="28"/>
  <c r="AD23" i="28"/>
  <c r="AD24" i="28"/>
  <c r="AD25" i="28"/>
  <c r="AD26" i="28"/>
  <c r="AD27" i="28"/>
  <c r="AD28" i="28"/>
  <c r="AE6" i="28"/>
  <c r="AE7" i="28"/>
  <c r="AE8" i="28"/>
  <c r="AE9" i="28"/>
  <c r="AE10" i="28"/>
  <c r="AE11" i="28"/>
  <c r="AE12" i="28"/>
  <c r="AE13" i="28"/>
  <c r="AE14" i="28"/>
  <c r="AE15" i="28"/>
  <c r="AE16" i="28"/>
  <c r="AE17" i="28"/>
  <c r="AE18" i="28"/>
  <c r="AE19" i="28"/>
  <c r="AE20" i="28"/>
  <c r="AE21" i="28"/>
  <c r="AE22" i="28"/>
  <c r="AE23" i="28"/>
  <c r="AE24" i="28"/>
  <c r="AE25" i="28"/>
  <c r="AE26" i="28"/>
  <c r="AE27" i="28"/>
  <c r="AE28" i="28"/>
  <c r="AE5" i="28"/>
  <c r="AD5" i="28"/>
  <c r="AC6" i="28"/>
  <c r="AC7" i="28"/>
  <c r="AC8" i="28"/>
  <c r="AC9" i="28"/>
  <c r="AC10" i="28"/>
  <c r="AC11" i="28"/>
  <c r="AC12" i="28"/>
  <c r="AC13" i="28"/>
  <c r="AC14" i="28"/>
  <c r="AC15" i="28"/>
  <c r="AC16" i="28"/>
  <c r="AC17" i="28"/>
  <c r="AC18" i="28"/>
  <c r="AC19" i="28"/>
  <c r="AC20" i="28"/>
  <c r="AC21" i="28"/>
  <c r="AC22" i="28"/>
  <c r="AC23" i="28"/>
  <c r="AC24" i="28"/>
  <c r="AC25" i="28"/>
  <c r="AC26" i="28"/>
  <c r="AC27" i="28"/>
  <c r="AC28" i="28"/>
  <c r="AC5" i="28"/>
  <c r="AB6" i="28"/>
  <c r="AB7" i="28"/>
  <c r="AB8" i="28"/>
  <c r="AB9" i="28"/>
  <c r="AB10" i="28"/>
  <c r="AB11" i="28"/>
  <c r="AB12" i="28"/>
  <c r="AB13" i="28"/>
  <c r="AB14" i="28"/>
  <c r="AB15" i="28"/>
  <c r="AB16" i="28"/>
  <c r="AB17" i="28"/>
  <c r="AB18" i="28"/>
  <c r="AB19" i="28"/>
  <c r="AB20" i="28"/>
  <c r="AB21" i="28"/>
  <c r="AB22" i="28"/>
  <c r="AB23" i="28"/>
  <c r="AB24" i="28"/>
  <c r="AB25" i="28"/>
  <c r="AB26" i="28"/>
  <c r="AB27" i="28"/>
  <c r="AB28" i="28"/>
  <c r="AB5" i="28"/>
  <c r="AA6" i="28"/>
  <c r="AA7" i="28"/>
  <c r="AA8" i="28"/>
  <c r="AA9" i="28"/>
  <c r="AA10" i="28"/>
  <c r="AA11" i="28"/>
  <c r="AA12" i="28"/>
  <c r="AA13" i="28"/>
  <c r="AA14" i="28"/>
  <c r="AA15" i="28"/>
  <c r="AA16" i="28"/>
  <c r="AA17" i="28"/>
  <c r="AA18" i="28"/>
  <c r="AA19" i="28"/>
  <c r="AA20" i="28"/>
  <c r="AA21" i="28"/>
  <c r="AA22" i="28"/>
  <c r="AA23" i="28"/>
  <c r="AA24" i="28"/>
  <c r="AA25" i="28"/>
  <c r="AA26" i="28"/>
  <c r="AA27" i="28"/>
  <c r="AA28" i="28"/>
  <c r="AA5" i="28"/>
  <c r="Z6" i="28"/>
  <c r="Z7" i="28"/>
  <c r="Z8" i="28"/>
  <c r="Z9" i="28"/>
  <c r="Z10" i="28"/>
  <c r="Z11" i="28"/>
  <c r="Z12" i="28"/>
  <c r="Z13" i="28"/>
  <c r="Z14" i="28"/>
  <c r="Z15" i="28"/>
  <c r="Z16" i="28"/>
  <c r="Z17" i="28"/>
  <c r="Z18" i="28"/>
  <c r="Z19" i="28"/>
  <c r="Z20" i="28"/>
  <c r="Z21" i="28"/>
  <c r="Z22" i="28"/>
  <c r="Z23" i="28"/>
  <c r="Z24" i="28"/>
  <c r="Z25" i="28"/>
  <c r="Z26" i="28"/>
  <c r="Z27" i="28"/>
  <c r="Z28" i="28"/>
  <c r="Z5" i="28"/>
  <c r="Y6" i="28"/>
  <c r="Y7" i="28"/>
  <c r="Y8" i="28"/>
  <c r="Y9" i="28"/>
  <c r="Y10" i="28"/>
  <c r="Y11" i="28"/>
  <c r="Y12" i="28"/>
  <c r="Y13" i="28"/>
  <c r="Y14" i="28"/>
  <c r="Y15" i="28"/>
  <c r="Y16" i="28"/>
  <c r="Y17" i="28"/>
  <c r="Y18" i="28"/>
  <c r="Y19" i="28"/>
  <c r="Y20" i="28"/>
  <c r="Y21" i="28"/>
  <c r="Y22" i="28"/>
  <c r="Y23" i="28"/>
  <c r="Y24" i="28"/>
  <c r="Y25" i="28"/>
  <c r="Y26" i="28"/>
  <c r="Y27" i="28"/>
  <c r="Y28" i="28"/>
  <c r="X6" i="28"/>
  <c r="X7" i="28"/>
  <c r="X8" i="28"/>
  <c r="X9" i="28"/>
  <c r="X10" i="28"/>
  <c r="X11" i="28"/>
  <c r="X12" i="28"/>
  <c r="X13" i="28"/>
  <c r="X14" i="28"/>
  <c r="X15" i="28"/>
  <c r="X16" i="28"/>
  <c r="X17" i="28"/>
  <c r="X18" i="28"/>
  <c r="X19" i="28"/>
  <c r="X20" i="28"/>
  <c r="X21" i="28"/>
  <c r="X22" i="28"/>
  <c r="X23" i="28"/>
  <c r="X24" i="28"/>
  <c r="X25" i="28"/>
  <c r="X26" i="28"/>
  <c r="X27" i="28"/>
  <c r="X28" i="28"/>
  <c r="X5" i="28"/>
  <c r="Y5" i="28"/>
  <c r="W6" i="28"/>
  <c r="W7" i="28"/>
  <c r="W8" i="28"/>
  <c r="W9" i="28"/>
  <c r="W10" i="28"/>
  <c r="W11" i="28"/>
  <c r="W12" i="28"/>
  <c r="W13" i="28"/>
  <c r="W14" i="28"/>
  <c r="W15" i="28"/>
  <c r="W16" i="28"/>
  <c r="W17" i="28"/>
  <c r="W18" i="28"/>
  <c r="W19" i="28"/>
  <c r="W20" i="28"/>
  <c r="W21" i="28"/>
  <c r="W22" i="28"/>
  <c r="W23" i="28"/>
  <c r="W24" i="28"/>
  <c r="W25" i="28"/>
  <c r="W26" i="28"/>
  <c r="W27" i="28"/>
  <c r="W28" i="28"/>
  <c r="W5" i="28"/>
  <c r="V6" i="28"/>
  <c r="V7" i="28"/>
  <c r="V8" i="28"/>
  <c r="V9" i="28"/>
  <c r="V10" i="28"/>
  <c r="V11" i="28"/>
  <c r="V12" i="28"/>
  <c r="V13" i="28"/>
  <c r="V14" i="28"/>
  <c r="V15" i="28"/>
  <c r="V16" i="28"/>
  <c r="V17" i="28"/>
  <c r="V18" i="28"/>
  <c r="V19" i="28"/>
  <c r="V20" i="28"/>
  <c r="V21" i="28"/>
  <c r="V22" i="28"/>
  <c r="V23" i="28"/>
  <c r="V24" i="28"/>
  <c r="V25" i="28"/>
  <c r="V26" i="28"/>
  <c r="V27" i="28"/>
  <c r="V28" i="28"/>
  <c r="V5" i="28"/>
  <c r="U6" i="28"/>
  <c r="U7" i="28"/>
  <c r="U8" i="28"/>
  <c r="U9" i="28"/>
  <c r="U10" i="28"/>
  <c r="U11" i="28"/>
  <c r="U12" i="28"/>
  <c r="U13" i="28"/>
  <c r="U14" i="28"/>
  <c r="U15" i="28"/>
  <c r="U16" i="28"/>
  <c r="U17" i="28"/>
  <c r="U18" i="28"/>
  <c r="U19" i="28"/>
  <c r="U20" i="28"/>
  <c r="U21" i="28"/>
  <c r="U22" i="28"/>
  <c r="U23" i="28"/>
  <c r="U24" i="28"/>
  <c r="U25" i="28"/>
  <c r="U26" i="28"/>
  <c r="U27" i="28"/>
  <c r="U28" i="28"/>
  <c r="U5" i="28"/>
  <c r="T6" i="28"/>
  <c r="T7" i="28"/>
  <c r="T8" i="28"/>
  <c r="T9" i="28"/>
  <c r="T10" i="28"/>
  <c r="T11" i="28"/>
  <c r="T12" i="28"/>
  <c r="T13" i="28"/>
  <c r="T14" i="28"/>
  <c r="T15" i="28"/>
  <c r="T16" i="28"/>
  <c r="T17" i="28"/>
  <c r="T18" i="28"/>
  <c r="T19" i="28"/>
  <c r="T20" i="28"/>
  <c r="T21" i="28"/>
  <c r="T22" i="28"/>
  <c r="T23" i="28"/>
  <c r="T24" i="28"/>
  <c r="T25" i="28"/>
  <c r="T26" i="28"/>
  <c r="T27" i="28"/>
  <c r="T28" i="28"/>
  <c r="T5" i="28"/>
  <c r="R5" i="28"/>
  <c r="S5" i="28"/>
  <c r="Q5" i="28"/>
  <c r="S6" i="28"/>
  <c r="S7" i="28"/>
  <c r="S8" i="28"/>
  <c r="S9" i="28"/>
  <c r="S10" i="28"/>
  <c r="S11" i="28"/>
  <c r="S12" i="28"/>
  <c r="S13" i="28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R28" i="28"/>
  <c r="R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O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5" i="28"/>
  <c r="N5" i="28"/>
  <c r="O6" i="28"/>
  <c r="O7" i="28"/>
  <c r="O8" i="28"/>
  <c r="O9" i="28"/>
  <c r="O10" i="28"/>
  <c r="O11" i="28"/>
  <c r="O12" i="28"/>
  <c r="O13" i="28"/>
  <c r="O14" i="28"/>
  <c r="O15" i="28"/>
  <c r="O16" i="28"/>
  <c r="O17" i="28"/>
  <c r="O18" i="28"/>
  <c r="O19" i="28"/>
  <c r="O20" i="28"/>
  <c r="O21" i="28"/>
  <c r="O22" i="28"/>
  <c r="O23" i="28"/>
  <c r="O24" i="28"/>
  <c r="O25" i="28"/>
  <c r="O26" i="28"/>
  <c r="O27" i="28"/>
  <c r="O28" i="28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M28" i="28"/>
  <c r="M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5" i="28"/>
  <c r="K6" i="28"/>
  <c r="K7" i="28"/>
  <c r="K8" i="28"/>
  <c r="K9" i="28"/>
  <c r="K10" i="28"/>
  <c r="K11" i="28"/>
  <c r="K12" i="28"/>
  <c r="K13" i="28"/>
  <c r="K14" i="28"/>
  <c r="K15" i="28"/>
  <c r="K16" i="28"/>
  <c r="K17" i="28"/>
  <c r="K18" i="28"/>
  <c r="K19" i="28"/>
  <c r="K20" i="28"/>
  <c r="K21" i="28"/>
  <c r="K22" i="28"/>
  <c r="K23" i="28"/>
  <c r="K24" i="28"/>
  <c r="K25" i="28"/>
  <c r="K26" i="28"/>
  <c r="K27" i="28"/>
  <c r="K28" i="28"/>
  <c r="K5" i="28"/>
  <c r="I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5" i="28"/>
  <c r="H5" i="28"/>
  <c r="H12" i="28"/>
  <c r="H13" i="28"/>
  <c r="H6" i="28"/>
  <c r="H7" i="28"/>
  <c r="H8" i="28"/>
  <c r="H9" i="28"/>
  <c r="H10" i="28"/>
  <c r="H11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E6" i="28"/>
  <c r="E5" i="28"/>
  <c r="O3" i="10"/>
  <c r="C6" i="24" a="1"/>
  <c r="C6" i="24" s="1"/>
  <c r="B44" i="18"/>
  <c r="B54" i="18" s="1"/>
  <c r="I26" i="13"/>
  <c r="C3" i="12" a="1"/>
  <c r="C3" i="12" s="1"/>
  <c r="B3" i="12" a="1"/>
  <c r="B3" i="12" s="1"/>
  <c r="K7" i="17"/>
  <c r="H57" i="17"/>
  <c r="H56" i="17"/>
  <c r="F15" i="9"/>
  <c r="B20" i="9"/>
  <c r="E20" i="9" s="1"/>
  <c r="B380" i="1"/>
  <c r="O44" i="7"/>
  <c r="Q45" i="7" s="1"/>
  <c r="P37" i="7"/>
  <c r="O31" i="7"/>
  <c r="Q32" i="7" s="1"/>
  <c r="D90" i="7"/>
  <c r="F91" i="7" s="1"/>
  <c r="D83" i="7"/>
  <c r="F84" i="7" s="1"/>
  <c r="D76" i="7"/>
  <c r="F77" i="7" s="1"/>
  <c r="D69" i="7"/>
  <c r="F70" i="7" s="1"/>
  <c r="D62" i="7"/>
  <c r="F63" i="7" s="1"/>
  <c r="H124" i="7"/>
  <c r="B127" i="7" s="1"/>
  <c r="H117" i="7"/>
  <c r="B120" i="7" s="1"/>
  <c r="H111" i="7"/>
  <c r="B114" i="7" s="1"/>
  <c r="H105" i="7"/>
  <c r="D108" i="7" s="1"/>
  <c r="D55" i="7"/>
  <c r="F56" i="7" s="1"/>
  <c r="D47" i="7"/>
  <c r="F48" i="7" s="1"/>
  <c r="D38" i="7"/>
  <c r="F39" i="7" s="1"/>
  <c r="D30" i="7"/>
  <c r="F31" i="7" s="1"/>
  <c r="D22" i="7"/>
  <c r="F23" i="7" s="1"/>
  <c r="D14" i="7"/>
  <c r="F15" i="7" s="1"/>
  <c r="D8" i="7"/>
  <c r="F9" i="7" s="1"/>
  <c r="J355" i="1"/>
  <c r="E448" i="1"/>
  <c r="C442" i="1"/>
  <c r="C498" i="1"/>
  <c r="F498" i="1" s="1"/>
  <c r="E495" i="1"/>
  <c r="C475" i="1"/>
  <c r="F475" i="1" s="1"/>
  <c r="E472" i="1"/>
  <c r="H370" i="1"/>
  <c r="B370" i="1"/>
  <c r="B375" i="1"/>
  <c r="B357" i="1"/>
  <c r="E355" i="1"/>
  <c r="AE188" i="1"/>
  <c r="A427" i="1"/>
  <c r="C424" i="1"/>
  <c r="F424" i="1" s="1"/>
  <c r="C414" i="1"/>
  <c r="F414" i="1" s="1"/>
  <c r="E422" i="1"/>
  <c r="A430" i="1" s="1"/>
  <c r="C68" i="1"/>
  <c r="F68" i="1" s="1"/>
  <c r="F12" i="1"/>
  <c r="J390" i="1"/>
  <c r="A401" i="1" s="1"/>
  <c r="H394" i="1"/>
  <c r="B397" i="1" s="1"/>
  <c r="E390" i="1"/>
  <c r="H304" i="1"/>
  <c r="B307" i="1" s="1"/>
  <c r="H298" i="1"/>
  <c r="B301" i="1" s="1"/>
  <c r="H292" i="1"/>
  <c r="D295" i="1" s="1"/>
  <c r="D281" i="1"/>
  <c r="F282" i="1" s="1"/>
  <c r="D273" i="1"/>
  <c r="F274" i="1" s="1"/>
  <c r="D264" i="1"/>
  <c r="F265" i="1" s="1"/>
  <c r="D256" i="1"/>
  <c r="F257" i="1" s="1"/>
  <c r="D234" i="1"/>
  <c r="F235" i="1" s="1"/>
  <c r="D248" i="1"/>
  <c r="F249" i="1" s="1"/>
  <c r="D240" i="1"/>
  <c r="F241" i="1" s="1"/>
  <c r="H203" i="1"/>
  <c r="H198" i="1"/>
  <c r="H193" i="1"/>
  <c r="G50" i="1"/>
  <c r="I50" i="1" s="1"/>
  <c r="C56" i="1" s="1"/>
  <c r="C216" i="1"/>
  <c r="F216" i="1" s="1"/>
  <c r="E213" i="1"/>
  <c r="A479" i="1" s="1"/>
  <c r="C189" i="1"/>
  <c r="F189" i="1" s="1"/>
  <c r="C181" i="1"/>
  <c r="F181" i="1" s="1"/>
  <c r="E186" i="1"/>
  <c r="A194" i="1" s="1"/>
  <c r="C182" i="1"/>
  <c r="F182" i="1" s="1"/>
  <c r="C180" i="1"/>
  <c r="F180" i="1" s="1"/>
  <c r="C162" i="1"/>
  <c r="F162" i="1" s="1"/>
  <c r="C161" i="1"/>
  <c r="F161" i="1" s="1"/>
  <c r="C160" i="1"/>
  <c r="F160" i="1" s="1"/>
  <c r="G141" i="1"/>
  <c r="I141" i="1" s="1"/>
  <c r="C170" i="1" s="1"/>
  <c r="G140" i="1"/>
  <c r="I140" i="1" s="1"/>
  <c r="G139" i="1"/>
  <c r="I139" i="1" s="1"/>
  <c r="C135" i="1"/>
  <c r="F135" i="1" s="1"/>
  <c r="C134" i="1"/>
  <c r="F134" i="1" s="1"/>
  <c r="C133" i="1"/>
  <c r="F133" i="1" s="1"/>
  <c r="C115" i="1"/>
  <c r="F115" i="1" s="1"/>
  <c r="C114" i="1"/>
  <c r="F114" i="1" s="1"/>
  <c r="C113" i="1"/>
  <c r="F113" i="1" s="1"/>
  <c r="C95" i="1"/>
  <c r="F95" i="1" s="1"/>
  <c r="C94" i="1"/>
  <c r="F94" i="1" s="1"/>
  <c r="C93" i="1"/>
  <c r="F93" i="1" s="1"/>
  <c r="C67" i="1"/>
  <c r="F67" i="1" s="1"/>
  <c r="G75" i="1"/>
  <c r="I75" i="1" s="1"/>
  <c r="C83" i="1" s="1"/>
  <c r="G74" i="1"/>
  <c r="I74" i="1" s="1"/>
  <c r="C102" i="1" s="1"/>
  <c r="G73" i="1"/>
  <c r="I73" i="1" s="1"/>
  <c r="C81" i="1" s="1"/>
  <c r="C69" i="1"/>
  <c r="F69" i="1" s="1"/>
  <c r="B20" i="1"/>
  <c r="E20" i="1" s="1"/>
  <c r="G51" i="1"/>
  <c r="I51" i="1" s="1"/>
  <c r="C57" i="1" s="1"/>
  <c r="G49" i="1"/>
  <c r="I49" i="1" s="1"/>
  <c r="C55" i="1" s="1"/>
  <c r="B32" i="1"/>
  <c r="B33" i="1" s="1"/>
  <c r="E33" i="1" s="1"/>
  <c r="B28" i="1"/>
  <c r="B29" i="1" s="1"/>
  <c r="E29" i="1" s="1"/>
  <c r="B24" i="1"/>
  <c r="B25" i="1" s="1"/>
  <c r="E25" i="1" s="1"/>
  <c r="F14" i="1"/>
  <c r="F15" i="1"/>
  <c r="F13" i="1"/>
  <c r="J13" i="15" l="1"/>
  <c r="K13" i="15" s="1"/>
  <c r="G30" i="10"/>
  <c r="I30" i="10" s="1"/>
  <c r="G26" i="10"/>
  <c r="I26" i="10" s="1"/>
  <c r="G20" i="10"/>
  <c r="I20" i="10" s="1"/>
  <c r="G31" i="10"/>
  <c r="I31" i="10" s="1"/>
  <c r="G13" i="10"/>
  <c r="I13" i="10" s="1"/>
  <c r="G16" i="10"/>
  <c r="I16" i="10" s="1"/>
  <c r="G11" i="10"/>
  <c r="I11" i="10" s="1"/>
  <c r="G12" i="10"/>
  <c r="I12" i="10" s="1"/>
  <c r="G27" i="10"/>
  <c r="I27" i="10" s="1"/>
  <c r="G28" i="10"/>
  <c r="I28" i="10" s="1"/>
  <c r="G18" i="10"/>
  <c r="I18" i="10" s="1"/>
  <c r="G10" i="10"/>
  <c r="I10" i="10" s="1"/>
  <c r="G23" i="10"/>
  <c r="I23" i="10" s="1"/>
  <c r="G8" i="10"/>
  <c r="I8" i="10" s="1"/>
  <c r="G21" i="10"/>
  <c r="I21" i="10" s="1"/>
  <c r="G9" i="10"/>
  <c r="I9" i="10" s="1"/>
  <c r="G32" i="10"/>
  <c r="I32" i="10" s="1"/>
  <c r="G29" i="10"/>
  <c r="I29" i="10" s="1"/>
  <c r="G5" i="10"/>
  <c r="I5" i="10" s="1"/>
  <c r="G17" i="10"/>
  <c r="I17" i="10" s="1"/>
  <c r="G6" i="10"/>
  <c r="I6" i="10" s="1"/>
  <c r="G15" i="10"/>
  <c r="I15" i="10" s="1"/>
  <c r="G3" i="10"/>
  <c r="I3" i="10" s="1"/>
  <c r="G4" i="10"/>
  <c r="I4" i="10" s="1"/>
  <c r="G33" i="10"/>
  <c r="I33" i="10" s="1"/>
  <c r="G24" i="10"/>
  <c r="I24" i="10" s="1"/>
  <c r="G22" i="10"/>
  <c r="I22" i="10" s="1"/>
  <c r="G19" i="10"/>
  <c r="I19" i="10" s="1"/>
  <c r="G2" i="10"/>
  <c r="I2" i="10" s="1"/>
  <c r="G25" i="10"/>
  <c r="I25" i="10" s="1"/>
  <c r="G7" i="10"/>
  <c r="I7" i="10" s="1"/>
  <c r="G14" i="10"/>
  <c r="I14" i="10" s="1"/>
  <c r="K9" i="17"/>
  <c r="I7" i="13" s="1"/>
  <c r="O3" i="13" s="1"/>
  <c r="E23" i="17"/>
  <c r="E24" i="17" s="1"/>
  <c r="I56" i="17" s="1"/>
  <c r="E74" i="17"/>
  <c r="E75" i="17" s="1"/>
  <c r="E37" i="17"/>
  <c r="E38" i="17" s="1"/>
  <c r="I57" i="17" s="1"/>
  <c r="D6" i="9"/>
  <c r="E68" i="17"/>
  <c r="E45" i="17"/>
  <c r="E46" i="17" s="1"/>
  <c r="E6" i="17"/>
  <c r="D16" i="9"/>
  <c r="G8" i="29" s="1"/>
  <c r="I8" i="29" s="1"/>
  <c r="C33" i="33"/>
  <c r="C35" i="33" s="1"/>
  <c r="E22" i="32"/>
  <c r="K28" i="17"/>
  <c r="E13" i="17"/>
  <c r="C33" i="34"/>
  <c r="C35" i="34" s="1"/>
  <c r="N59" i="1"/>
  <c r="N63" i="1" s="1"/>
  <c r="C38" i="1"/>
  <c r="C42" i="1" s="1"/>
  <c r="D15" i="34"/>
  <c r="B22" i="9"/>
  <c r="B12" i="9"/>
  <c r="O214" i="1"/>
  <c r="O218" i="1" s="1"/>
  <c r="B32" i="9"/>
  <c r="C15" i="34"/>
  <c r="A372" i="1"/>
  <c r="C15" i="33"/>
  <c r="A359" i="1"/>
  <c r="A377" i="1"/>
  <c r="G372" i="1"/>
  <c r="D15" i="33"/>
  <c r="A204" i="1"/>
  <c r="N82" i="1"/>
  <c r="N86" i="1" s="1"/>
  <c r="C507" i="1"/>
  <c r="C511" i="1" s="1"/>
  <c r="C408" i="1"/>
  <c r="C412" i="1" s="1"/>
  <c r="A199" i="1"/>
  <c r="H208" i="1"/>
  <c r="U202" i="1" s="1"/>
  <c r="U206" i="1" s="1"/>
  <c r="X189" i="1"/>
  <c r="K24" i="17"/>
  <c r="K18" i="17" s="1"/>
  <c r="A382" i="1"/>
  <c r="C484" i="1"/>
  <c r="C488" i="1" s="1"/>
  <c r="C150" i="1"/>
  <c r="A209" i="1"/>
  <c r="C122" i="1"/>
  <c r="B404" i="1"/>
  <c r="A385" i="1"/>
  <c r="B383" i="1" s="1"/>
  <c r="A502" i="1"/>
  <c r="N104" i="1"/>
  <c r="N108" i="1" s="1"/>
  <c r="I25" i="13"/>
  <c r="I31" i="13" s="1"/>
  <c r="Y102" i="13"/>
  <c r="U68" i="13"/>
  <c r="D6" i="13" s="1"/>
  <c r="Y103" i="13"/>
  <c r="D24" i="13"/>
  <c r="C148" i="1"/>
  <c r="C168" i="1"/>
  <c r="O194" i="1"/>
  <c r="O198" i="1" s="1"/>
  <c r="O186" i="1"/>
  <c r="O190" i="1" s="1"/>
  <c r="O202" i="1"/>
  <c r="O206" i="1" s="1"/>
  <c r="Z193" i="1"/>
  <c r="Z197" i="1" s="1"/>
  <c r="C169" i="1"/>
  <c r="C149" i="1"/>
  <c r="C121" i="1"/>
  <c r="C101" i="1"/>
  <c r="J441" i="1"/>
  <c r="C444" i="1"/>
  <c r="F5" i="29"/>
  <c r="G5" i="29"/>
  <c r="I5" i="29" s="1"/>
  <c r="G4" i="29"/>
  <c r="I4" i="29" s="1"/>
  <c r="C458" i="1"/>
  <c r="C462" i="1" s="1"/>
  <c r="C434" i="1"/>
  <c r="C438" i="1" s="1"/>
  <c r="E17" i="32"/>
  <c r="C17" i="32"/>
  <c r="X19" i="22"/>
  <c r="N124" i="1"/>
  <c r="N128" i="1" s="1"/>
  <c r="A220" i="1"/>
  <c r="C82" i="1"/>
  <c r="C123" i="1"/>
  <c r="C103" i="1"/>
  <c r="N151" i="1"/>
  <c r="N155" i="1" s="1"/>
  <c r="N171" i="1"/>
  <c r="N175" i="1" s="1"/>
  <c r="C363" i="1"/>
  <c r="C367" i="1" s="1"/>
  <c r="X7" i="22"/>
  <c r="D15" i="13"/>
  <c r="D19" i="13"/>
  <c r="I4" i="18" l="1"/>
  <c r="F16" i="29"/>
  <c r="G9" i="29"/>
  <c r="I9" i="29" s="1"/>
  <c r="G6" i="29"/>
  <c r="I6" i="29" s="1"/>
  <c r="G3" i="29"/>
  <c r="I3" i="29" s="1"/>
  <c r="F3" i="29"/>
  <c r="F18" i="29"/>
  <c r="G14" i="29"/>
  <c r="I14" i="29" s="1"/>
  <c r="G12" i="29"/>
  <c r="I12" i="29" s="1"/>
  <c r="G7" i="29"/>
  <c r="I7" i="29" s="1"/>
  <c r="F17" i="29"/>
  <c r="G15" i="29"/>
  <c r="I15" i="29" s="1"/>
  <c r="F9" i="29"/>
  <c r="F15" i="29"/>
  <c r="E70" i="17"/>
  <c r="J60" i="17" s="1"/>
  <c r="E59" i="17" s="1"/>
  <c r="E69" i="17"/>
  <c r="I60" i="17" s="1"/>
  <c r="E58" i="17" s="1"/>
  <c r="F11" i="29"/>
  <c r="C37" i="34"/>
  <c r="F7" i="29"/>
  <c r="F6" i="29"/>
  <c r="G16" i="29"/>
  <c r="I16" i="29" s="1"/>
  <c r="G11" i="29"/>
  <c r="I11" i="29" s="1"/>
  <c r="F14" i="29"/>
  <c r="F10" i="29"/>
  <c r="G10" i="29"/>
  <c r="I10" i="29" s="1"/>
  <c r="F12" i="29"/>
  <c r="F8" i="29"/>
  <c r="F4" i="29"/>
  <c r="G18" i="29"/>
  <c r="I18" i="29" s="1"/>
  <c r="G17" i="29"/>
  <c r="I17" i="29" s="1"/>
  <c r="E16" i="17"/>
  <c r="E17" i="17" s="1"/>
  <c r="I55" i="17" s="1"/>
  <c r="I58" i="17"/>
  <c r="E47" i="17"/>
  <c r="J58" i="17" s="1"/>
  <c r="N4" i="18"/>
  <c r="B13" i="18" s="1"/>
  <c r="K4" i="18"/>
  <c r="B10" i="18" s="1"/>
  <c r="L4" i="18"/>
  <c r="B11" i="18" s="1"/>
  <c r="M4" i="18"/>
  <c r="B12" i="18" s="1"/>
  <c r="K30" i="17"/>
  <c r="Z6" i="13"/>
  <c r="N129" i="22"/>
  <c r="O129" i="22" s="1"/>
  <c r="Y5" i="13"/>
  <c r="B446" i="1"/>
  <c r="A454" i="1" s="1"/>
  <c r="D17" i="13"/>
  <c r="B17" i="13" s="1"/>
  <c r="X4" i="22"/>
  <c r="Z4" i="22" s="1"/>
  <c r="D26" i="13"/>
  <c r="B26" i="13" s="1"/>
  <c r="X15" i="22"/>
  <c r="Y15" i="22" s="1"/>
  <c r="D23" i="13"/>
  <c r="E23" i="13" s="1"/>
  <c r="X18" i="22"/>
  <c r="Z18" i="22" s="1"/>
  <c r="X5" i="22"/>
  <c r="W5" i="22" s="1"/>
  <c r="D16" i="13"/>
  <c r="B16" i="13" s="1"/>
  <c r="D25" i="13"/>
  <c r="E25" i="13" s="1"/>
  <c r="D27" i="13"/>
  <c r="E27" i="13" s="1"/>
  <c r="E24" i="13"/>
  <c r="B24" i="13"/>
  <c r="X6" i="22"/>
  <c r="X8" i="22"/>
  <c r="X17" i="22"/>
  <c r="X16" i="22"/>
  <c r="D18" i="13"/>
  <c r="W19" i="22"/>
  <c r="Z19" i="22"/>
  <c r="Y19" i="22"/>
  <c r="I34" i="10"/>
  <c r="J10" i="10" s="1"/>
  <c r="B15" i="13"/>
  <c r="E15" i="13"/>
  <c r="E26" i="32"/>
  <c r="I21" i="13" s="1"/>
  <c r="Z7" i="22"/>
  <c r="Y7" i="22"/>
  <c r="W7" i="22"/>
  <c r="B19" i="13"/>
  <c r="E19" i="13"/>
  <c r="J3" i="10" l="1"/>
  <c r="J18" i="10"/>
  <c r="J30" i="10"/>
  <c r="J24" i="10"/>
  <c r="J5" i="10"/>
  <c r="J17" i="10"/>
  <c r="J15" i="10"/>
  <c r="J23" i="10"/>
  <c r="J7" i="10"/>
  <c r="J28" i="10"/>
  <c r="J14" i="10"/>
  <c r="J16" i="10"/>
  <c r="J31" i="10"/>
  <c r="J6" i="10"/>
  <c r="J22" i="10"/>
  <c r="J19" i="10"/>
  <c r="J20" i="10"/>
  <c r="J26" i="10"/>
  <c r="J32" i="10"/>
  <c r="J21" i="10"/>
  <c r="J29" i="10"/>
  <c r="J8" i="10"/>
  <c r="J12" i="10"/>
  <c r="J4" i="10"/>
  <c r="J9" i="10"/>
  <c r="J27" i="10"/>
  <c r="J25" i="10"/>
  <c r="J13" i="10"/>
  <c r="J11" i="10"/>
  <c r="J33" i="10"/>
  <c r="J2" i="10"/>
  <c r="I13" i="13"/>
  <c r="O4" i="13" s="1"/>
  <c r="J32" i="17"/>
  <c r="J59" i="17" s="1"/>
  <c r="J31" i="17"/>
  <c r="I59" i="17" s="1"/>
  <c r="E18" i="17"/>
  <c r="J55" i="17" s="1"/>
  <c r="I11" i="13" s="1"/>
  <c r="Y4" i="13" s="1"/>
  <c r="C37" i="33"/>
  <c r="T5" i="33" s="1"/>
  <c r="S9" i="33" s="1"/>
  <c r="I19" i="13" s="1"/>
  <c r="I19" i="29"/>
  <c r="I20" i="13" s="1"/>
  <c r="K14" i="15"/>
  <c r="D10" i="13" s="1"/>
  <c r="A451" i="1"/>
  <c r="E26" i="13"/>
  <c r="X20" i="22"/>
  <c r="Z5" i="22"/>
  <c r="Y18" i="22"/>
  <c r="W18" i="22"/>
  <c r="Y5" i="22"/>
  <c r="E16" i="13"/>
  <c r="E17" i="13"/>
  <c r="W15" i="22"/>
  <c r="Z15" i="22"/>
  <c r="D20" i="13"/>
  <c r="E20" i="13" s="1"/>
  <c r="B23" i="13"/>
  <c r="B25" i="13"/>
  <c r="Y4" i="22"/>
  <c r="B27" i="13"/>
  <c r="W4" i="22"/>
  <c r="X9" i="22"/>
  <c r="D28" i="13"/>
  <c r="E28" i="13" s="1"/>
  <c r="Z17" i="22"/>
  <c r="Y17" i="22"/>
  <c r="W17" i="22"/>
  <c r="Z16" i="22"/>
  <c r="W8" i="22"/>
  <c r="Z8" i="22"/>
  <c r="Y8" i="22"/>
  <c r="Y16" i="22"/>
  <c r="Z6" i="22"/>
  <c r="W6" i="22"/>
  <c r="Y6" i="22"/>
  <c r="W16" i="22"/>
  <c r="B18" i="13"/>
  <c r="E18" i="13"/>
  <c r="L49" i="10"/>
  <c r="I28" i="13" l="1"/>
  <c r="N126" i="22" s="1"/>
  <c r="O126" i="22" s="1"/>
  <c r="I14" i="13"/>
  <c r="AG128" i="22" s="1"/>
  <c r="AH128" i="22" s="1"/>
  <c r="Z20" i="22"/>
  <c r="Y20" i="22"/>
  <c r="Z9" i="22"/>
  <c r="Y9" i="22"/>
  <c r="I29" i="13"/>
  <c r="N127" i="22" s="1"/>
  <c r="O127" i="22" s="1"/>
  <c r="O5" i="13"/>
  <c r="D12" i="13"/>
  <c r="D11" i="13" s="1"/>
  <c r="J35" i="10"/>
  <c r="F35" i="10"/>
  <c r="D7" i="13" l="1"/>
  <c r="AG126" i="22"/>
  <c r="AH126" i="22" s="1"/>
  <c r="I22" i="13"/>
  <c r="I30" i="13" s="1"/>
  <c r="N128" i="22" s="1"/>
  <c r="O128" i="22" s="1"/>
  <c r="AH130" i="22" l="1"/>
  <c r="AI126" i="22" s="1"/>
  <c r="AJ126" i="22" s="1"/>
  <c r="I32" i="13"/>
  <c r="N130" i="22" s="1"/>
  <c r="AI128" i="22" l="1"/>
  <c r="AJ128" i="22" s="1"/>
  <c r="Z7" i="13"/>
  <c r="O130" i="22"/>
  <c r="P129" i="22" l="1"/>
  <c r="Q129" i="22" s="1"/>
  <c r="P127" i="22"/>
  <c r="Q127" i="22" s="1"/>
  <c r="P126" i="22"/>
  <c r="Q126" i="22" s="1"/>
  <c r="P128" i="22"/>
  <c r="Q128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J8" authorId="0" shapeId="0" xr:uid="{103D55D7-7DC1-4A9B-8C8C-480546E85C8A}">
      <text>
        <r>
          <rPr>
            <sz val="9"/>
            <color indexed="81"/>
            <rFont val="Segoe UI"/>
            <family val="2"/>
          </rPr>
          <t xml:space="preserve">Art der Baugrubensicherung wählen + zusätzliche Eingabe im Excelsheet BauGrube
</t>
        </r>
      </text>
    </comment>
    <comment ref="C9" authorId="0" shapeId="0" xr:uid="{9B14C22E-AEF2-42C6-985D-04CC960E174A}">
      <text>
        <r>
          <rPr>
            <sz val="9"/>
            <color indexed="81"/>
            <rFont val="Segoe UI"/>
            <family val="2"/>
          </rPr>
          <t>Bei genauer Angabe des Transportweges kann bei den einzelnen Materialien eine Distanz eingeben werden siehe Excelsheet: Materialien ex Beton und Fenster. Weiters 
können durchschnittliche Werte für den Transportweg nach Wien im Excelsheet: Benchmark eingesehen werden.</t>
        </r>
      </text>
    </comment>
    <comment ref="D14" authorId="0" shapeId="0" xr:uid="{FC091842-5875-43D7-996E-639E23239D62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H20" authorId="0" shapeId="0" xr:uid="{661E8D0C-CBB1-4CC6-9F39-FF4F04041CF1}">
      <text>
        <r>
          <rPr>
            <sz val="9"/>
            <color indexed="81"/>
            <rFont val="Segoe UI"/>
            <family val="2"/>
          </rPr>
          <t xml:space="preserve">Bei Abbruch, bitte zum Register "Abbruch-Recherche" wechseln, sowie das Kästchen anklicken
</t>
        </r>
      </text>
    </comment>
    <comment ref="D22" authorId="0" shapeId="0" xr:uid="{AE849AC2-3A22-4ADE-960B-7DB7DA65FDA4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G23" authorId="0" shapeId="0" xr:uid="{7D7C6936-E9B6-42E9-BEB5-DAFB04238E69}">
      <text>
        <r>
          <rPr>
            <sz val="9"/>
            <color indexed="81"/>
            <rFont val="Segoe UI"/>
            <family val="2"/>
          </rPr>
          <t>Bei manueller Eingabe bitte zum Excelsheet: R.O.S.E. wechseln und das leere Feld ankreuzen</t>
        </r>
      </text>
    </comment>
    <comment ref="H26" authorId="0" shapeId="0" xr:uid="{41D4A720-8462-4FC0-90E1-71CDC22EAE37}">
      <text>
        <r>
          <rPr>
            <sz val="9"/>
            <color indexed="81"/>
            <rFont val="Segoe UI"/>
            <family val="2"/>
          </rPr>
          <t>Chemische bindung von CO2, im Beton, über seine Lebensdauer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11" authorId="0" shapeId="0" xr:uid="{B08FFF35-CB60-4409-B9AB-4719DA4A8412}">
      <text>
        <r>
          <rPr>
            <sz val="9"/>
            <color indexed="81"/>
            <rFont val="Segoe UI"/>
            <family val="2"/>
          </rPr>
          <t xml:space="preserve">Feld ankreuzen + Eingabe des CO2 Äquivalenten der verschiedenen Heizvarianten in der grünen Tabelle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35" authorId="0" shapeId="0" xr:uid="{334CB470-9DB1-4278-B9C0-7C20B6374812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  <comment ref="E72" authorId="0" shapeId="0" xr:uid="{0CBD3161-11C1-4F9E-BEAA-816A150C5BC9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H1" authorId="0" shapeId="0" xr:uid="{6E9A448D-D3B7-4C7E-87E4-E42C8DB1C740}">
      <text>
        <r>
          <rPr>
            <sz val="9"/>
            <color indexed="81"/>
            <rFont val="Segoe UI"/>
            <family val="2"/>
          </rPr>
          <t xml:space="preserve">Manuelle Eingabe für den Transportweg der einzelnen Materialien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D2" authorId="0" shapeId="0" xr:uid="{CEDB7C20-E5DA-472D-A286-25A9E8FE5AF1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  <comment ref="H2" authorId="0" shapeId="0" xr:uid="{68634ABC-8651-4BD4-A37C-5CABB8FCCF62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80050-E2E8-494E-8526-186F60B57B67}" keepAlive="1" name="Abfrage - Arich + OI3" description="Verbindung mit der Abfrage 'Arich + OI3' in der Arbeitsmappe." type="5" refreshedVersion="8" background="1" refreshOnLoad="1" saveData="1">
    <dbPr connection="Provider=Microsoft.Mashup.OleDb.1;Data Source=$Workbook$;Location=&quot;Arich + OI3&quot;;Extended Properties=&quot;&quot;" command="SELECT * FROM [Arich + OI3]"/>
  </connection>
  <connection id="2" xr16:uid="{D6682BC3-DD4C-45FC-92F1-B1C92C5B69AC}" keepAlive="1" name="Abfrage - Aufbauten" description="Verbindung mit der Abfrage 'Aufbauten' in der Arbeitsmappe." type="5" refreshedVersion="0" background="1" refreshOnLoad="1" saveData="1">
    <dbPr connection="Provider=Microsoft.Mashup.OleDb.1;Data Source=$Workbook$;Location=Aufbauten;Extended Properties=&quot;&quot;" command="SELECT * FROM [Aufbauten]"/>
  </connection>
  <connection id="3" xr16:uid="{CC84AAEA-27C0-4B56-AF26-5564907524AF}" keepAlive="1" name="Abfrage - Bauteilflächen" description="Verbindung mit der Abfrage 'Bauteilflächen' in der Arbeitsmappe." type="5" refreshedVersion="8" background="1" refreshOnLoad="1" saveData="1">
    <dbPr connection="Provider=Microsoft.Mashup.OleDb.1;Data Source=$Workbook$;Location=Bauteilflächen;Extended Properties=&quot;&quot;" command="SELECT * FROM [Bauteilflächen]"/>
  </connection>
  <connection id="4" xr16:uid="{7F92C1B7-428F-4440-BF90-93018CC95064}" keepAlive="1" name="Abfrage - Bauteilflächen (2)" type="5" refreshedVersion="0" deleted="1" background="1" saveData="1">
    <dbPr connection="" command=""/>
  </connection>
  <connection id="5" xr16:uid="{BE587421-72E2-4101-8005-37DF36B598B8}" keepAlive="1" name="Abfrage - Bauteilflächen+Aufbauten" description="Verbindung mit der Abfrage 'Bauteilflächen+Aufbauten' in der Arbeitsmappe." type="5" refreshedVersion="8" background="1" saveData="1">
    <dbPr connection="Provider=Microsoft.Mashup.OleDb.1;Data Source=$Workbook$;Location=Bauteilflächen+Aufbauten;Extended Properties=&quot;&quot;" command="SELECT * FROM [Bauteilflächen+Aufbauten]"/>
  </connection>
  <connection id="6" xr16:uid="{EC04B025-6199-493C-A058-7E41CED287CA}" keepAlive="1" name="Abfrage - Beton" description="Verbindung mit der Abfrage 'Beton' in der Arbeitsmappe." type="5" refreshedVersion="8" background="1" refreshOnLoad="1" saveData="1">
    <dbPr connection="Provider=Microsoft.Mashup.OleDb.1;Data Source=$Workbook$;Location=Beton;Extended Properties=&quot;&quot;" command="SELECT * FROM [Beton]"/>
  </connection>
  <connection id="7" xr16:uid="{25A60D05-46A7-4836-839C-CB2965F33FD2}" keepAlive="1" name="Abfrage - Fenster" description="Verbindung mit der Abfrage 'Fenster' in der Arbeitsmappe." type="5" refreshedVersion="8" background="1" refreshOnLoad="1" saveData="1">
    <dbPr connection="Provider=Microsoft.Mashup.OleDb.1;Data Source=$Workbook$;Location=Fenster;Extended Properties=&quot;&quot;" command="SELECT * FROM [Fenster]"/>
  </connection>
  <connection id="8" xr16:uid="{48967DB3-2658-40D7-8929-002DF338A39E}" keepAlive="1" name="Abfrage - istMaterial" description="Verbindung mit der Abfrage 'istMaterial' in der Arbeitsmappe." type="5" refreshedVersion="0" background="1">
    <dbPr connection="Provider=Microsoft.Mashup.OleDb.1;Data Source=$Workbook$;Location=istMaterial;Extended Properties=&quot;&quot;" command="SELECT * FROM [istMaterial]"/>
  </connection>
  <connection id="9" xr16:uid="{D66AC901-77D4-4B78-AC96-D26653E92D7A}" keepAlive="1" name="Abfrage - materialFinden" description="Verbindung mit der Abfrage 'materialFinden' in der Arbeitsmappe." type="5" refreshedVersion="0" background="1">
    <dbPr connection="Provider=Microsoft.Mashup.OleDb.1;Data Source=$Workbook$;Location=materialFinden;Extended Properties=&quot;&quot;" command="SELECT * FROM [materialFinden]"/>
  </connection>
  <connection id="10" xr16:uid="{587E0650-D65E-407C-AAB5-094A51953FC2}" keepAlive="1" name="Abfrage - Materialien Blatt" description="Verbindung mit der Abfrage 'Materialien Blatt' in der Arbeitsmappe." type="5" refreshedVersion="8" background="1" refreshOnLoad="1" saveData="1">
    <dbPr connection="Provider=Microsoft.Mashup.OleDb.1;Data Source=$Workbook$;Location=&quot;Materialien Blatt&quot;;Extended Properties=&quot;&quot;" command="SELECT * FROM [Materialien Blatt]"/>
  </connection>
  <connection id="11" xr16:uid="{B0D7A63A-1780-457B-AD11-A8C966D8E46F}" keepAlive="1" name="Abfrage - Materialien ex beton und Fenster" description="Verbindung mit der Abfrage 'Materialien ex beton und Fenster' in der Arbeitsmappe." type="5" refreshedVersion="8" background="1" refreshOnLoad="1" saveData="1">
    <dbPr connection="Provider=Microsoft.Mashup.OleDb.1;Data Source=$Workbook$;Location=&quot;Materialien ex beton und Fenster&quot;;Extended Properties=&quot;&quot;" command="SELECT * FROM [Materialien ex beton und Fenster]"/>
  </connection>
  <connection id="12" xr16:uid="{477598CD-41FD-4A3D-8575-AAB5D81004A9}" keepAlive="1" name="Abfrage - Materialien OI3" description="Verbindung mit der Abfrage 'Materialien OI3' in der Arbeitsmappe." type="5" refreshedVersion="8" background="1" refreshOnLoad="1" saveData="1">
    <dbPr connection="Provider=Microsoft.Mashup.OleDb.1;Data Source=$Workbook$;Location=&quot;Materialien OI3&quot;;Extended Properties=&quot;&quot;" command="SELECT * FROM [Materialien OI3]"/>
  </connection>
  <connection id="13" xr16:uid="{5B09B68B-4862-48BE-9C1D-5906C6D91A66}" keepAlive="1" name="Abfrage - ROSE" description="Verbindung mit der Abfrage 'ROSE' in der Arbeitsmappe." type="5" refreshedVersion="8" background="1" refreshOnLoad="1" saveData="1">
    <dbPr connection="Provider=Microsoft.Mashup.OleDb.1;Data Source=$Workbook$;Location=ROSE;Extended Properties=&quot;&quot;" command="SELECT * FROM [ROSE]"/>
  </connection>
  <connection id="14" xr16:uid="{BA1A3485-F16E-44DA-8647-43107113E089}" keepAlive="1" name="Abfrage - tabelleMitErsterZeileFinden" description="Verbindung mit der Abfrage 'tabelleMitErsterZeileFinden' in der Arbeitsmappe." type="5" refreshedVersion="0" background="1">
    <dbPr connection="Provider=Microsoft.Mashup.OleDb.1;Data Source=$Workbook$;Location=tabelleMitErsterZeileFinden;Extended Properties=&quot;&quot;" command="SELECT * FROM [tabelleMitErsterZeileFinden]"/>
  </connection>
  <connection id="15" xr16:uid="{94FDCA20-4A4E-4A2C-A7AE-9DFA839E1BA8}" keepAlive="1" name="Abfrage - tabellenZusammenfügen" description="Verbindung mit der Abfrage 'tabellenZusammenfügen' in der Arbeitsmappe." type="5" refreshedVersion="0" background="1">
    <dbPr connection="Provider=Microsoft.Mashup.OleDb.1;Data Source=$Workbook$;Location=tabellenZusammenfügen;Extended Properties=&quot;&quot;" command="SELECT * FROM [tabellenZusammenfüg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<sst xmlns="http://schemas.openxmlformats.org/spreadsheetml/2006/main" count="2972" uniqueCount="1266">
  <si>
    <t>Emissionen</t>
  </si>
  <si>
    <t xml:space="preserve">Tabelle für Grafiken </t>
  </si>
  <si>
    <t>Transportemissionen [kgCO2 eq.]</t>
  </si>
  <si>
    <t>GWP</t>
  </si>
  <si>
    <t>Gesamte Emissionen</t>
  </si>
  <si>
    <t xml:space="preserve">Produktion und Anlieferung Gebäude </t>
  </si>
  <si>
    <t>Produktion und Anlieferung Baugrube</t>
  </si>
  <si>
    <t>Aushub</t>
  </si>
  <si>
    <t>Baugrubensicherung</t>
  </si>
  <si>
    <t xml:space="preserve">kgCO2äq.    </t>
  </si>
  <si>
    <t>Volumen</t>
  </si>
  <si>
    <t>m3</t>
  </si>
  <si>
    <t>Gebäude gesamt</t>
  </si>
  <si>
    <t>Produktion</t>
  </si>
  <si>
    <t xml:space="preserve">kgCO2äq.      </t>
  </si>
  <si>
    <t>Transportdistanz</t>
  </si>
  <si>
    <t>km</t>
  </si>
  <si>
    <t>Betrieb</t>
  </si>
  <si>
    <t>Anteil an gesamten Gebäudeemissionen</t>
  </si>
  <si>
    <t>Transport-Emissionen</t>
  </si>
  <si>
    <t>kgCO2äq.</t>
  </si>
  <si>
    <t>LKW-Auslastung</t>
  </si>
  <si>
    <t>%</t>
  </si>
  <si>
    <t>Düsenstrahl</t>
  </si>
  <si>
    <t xml:space="preserve">Durchschnittliche Transportdistanz </t>
  </si>
  <si>
    <t>Tiefe</t>
  </si>
  <si>
    <t>m</t>
  </si>
  <si>
    <t>Transport</t>
  </si>
  <si>
    <t>Laufmeter</t>
  </si>
  <si>
    <t>Material</t>
  </si>
  <si>
    <t>other</t>
  </si>
  <si>
    <t>Summe</t>
  </si>
  <si>
    <t>Gesamt</t>
  </si>
  <si>
    <t>Top 5 emittierende Materialien</t>
  </si>
  <si>
    <t>Anteil an ges. Emissionen</t>
  </si>
  <si>
    <t>Baustelle</t>
  </si>
  <si>
    <t>i.A.</t>
  </si>
  <si>
    <t>Art der Baustelle</t>
  </si>
  <si>
    <t>Hochbau</t>
  </si>
  <si>
    <t>CO2-Emissionen</t>
  </si>
  <si>
    <t>Gebäude Betrieb</t>
  </si>
  <si>
    <t>Top 5 aufnehmende Materialien</t>
  </si>
  <si>
    <t xml:space="preserve">Antiel an ges. Aufnahmen </t>
  </si>
  <si>
    <t>Heizvariante</t>
  </si>
  <si>
    <t>Gas</t>
  </si>
  <si>
    <t>Emissionen über 20 Jahre</t>
  </si>
  <si>
    <t>Kummuliert</t>
  </si>
  <si>
    <t>Legende</t>
  </si>
  <si>
    <t>Wert eingeben</t>
  </si>
  <si>
    <t>MW Dämmstoff (z.B. ISOVER MULTI KOMBI PH- KLEMMFILZ ?=0,033 W/mK)</t>
  </si>
  <si>
    <t>Wert außerhalb des erlaubten Bereichs</t>
  </si>
  <si>
    <t>Summe Emission</t>
  </si>
  <si>
    <t>Summe Aufnahme</t>
  </si>
  <si>
    <t>Top 5 emitenten</t>
  </si>
  <si>
    <t>ges</t>
  </si>
  <si>
    <t>Top 5 aufnehmend</t>
  </si>
  <si>
    <t>CO₂ Äquivalent nach 20 Jahren</t>
  </si>
  <si>
    <t>Automatisiert</t>
  </si>
  <si>
    <t>Manuelle Eingabe</t>
  </si>
  <si>
    <t>Luft-Wasser</t>
  </si>
  <si>
    <t>Fernwärme</t>
  </si>
  <si>
    <t>Sole-Wasser</t>
  </si>
  <si>
    <t>Pelets</t>
  </si>
  <si>
    <t>Stahlbeton</t>
  </si>
  <si>
    <t>[m3]</t>
  </si>
  <si>
    <t>Dichte</t>
  </si>
  <si>
    <t>kg/m³</t>
  </si>
  <si>
    <t>GWP total</t>
  </si>
  <si>
    <t>kgCO2äq./kg</t>
  </si>
  <si>
    <t>https://www.baubook.at/zentrale/?SW=5&amp;LU=1823786792&amp;qJ=1&amp;LP=rU8_o</t>
  </si>
  <si>
    <t>Minimale Laufmeter</t>
  </si>
  <si>
    <t>Transportemissionen Baugrube</t>
  </si>
  <si>
    <t>Distanz</t>
  </si>
  <si>
    <t>[kg/m3]</t>
  </si>
  <si>
    <t>https://www.hausbauen24.eu/erdaushub-rechner/</t>
  </si>
  <si>
    <t xml:space="preserve">Bohrpfähle </t>
  </si>
  <si>
    <t>Flächenbezogene Masse Spundwände</t>
  </si>
  <si>
    <t>kg/m2</t>
  </si>
  <si>
    <t>http://www.budau.com/unternehmen/downloads/Spundwandhandbuch.pdf</t>
  </si>
  <si>
    <t>doppelter Weg</t>
  </si>
  <si>
    <t>Druchmesser</t>
  </si>
  <si>
    <t xml:space="preserve">m </t>
  </si>
  <si>
    <t>Abstand und Durchmesser der Bohrpfähle können selbst angegeben werden</t>
  </si>
  <si>
    <t>Stückanzahl Pfähle</t>
  </si>
  <si>
    <t>Stk.</t>
  </si>
  <si>
    <t>Falls sich die Bohrpfähle überschneiden sollen: die Überschneidunk als negativen Abstand eintragen</t>
  </si>
  <si>
    <t xml:space="preserve">Volumen für Beton </t>
  </si>
  <si>
    <t>m³</t>
  </si>
  <si>
    <t xml:space="preserve">Düsenstrahlverfahren </t>
  </si>
  <si>
    <t>Beton</t>
  </si>
  <si>
    <t>kg</t>
  </si>
  <si>
    <t>Durchmesser</t>
  </si>
  <si>
    <t>Transportemissionen/km</t>
  </si>
  <si>
    <t>kgCO2äq./km</t>
  </si>
  <si>
    <t>Stückanzahl</t>
  </si>
  <si>
    <t>Herstellungsemissionen</t>
  </si>
  <si>
    <t>Spundwände</t>
  </si>
  <si>
    <t>Zylinder</t>
  </si>
  <si>
    <t xml:space="preserve">Flächenbezogene Masse </t>
  </si>
  <si>
    <t xml:space="preserve">Form des Zylinder: </t>
  </si>
  <si>
    <t>Ganzer Kreis</t>
  </si>
  <si>
    <t>1/4 Kreis</t>
  </si>
  <si>
    <t>Stahl</t>
  </si>
  <si>
    <t>1/2 Kreis</t>
  </si>
  <si>
    <t>doppelter Weg da nacher wieder gezogen</t>
  </si>
  <si>
    <t>Quader</t>
  </si>
  <si>
    <t xml:space="preserve">Länge </t>
  </si>
  <si>
    <t>Breite</t>
  </si>
  <si>
    <t xml:space="preserve">Volumen </t>
  </si>
  <si>
    <t>Entstehende Emissionen</t>
  </si>
  <si>
    <t>Transportemsissionen/km</t>
  </si>
  <si>
    <t>Böschung</t>
  </si>
  <si>
    <t>Neigung</t>
  </si>
  <si>
    <t>°</t>
  </si>
  <si>
    <t>Neigung der Böschung kann selbst bestimmt werden</t>
  </si>
  <si>
    <t>zuätzlicher Aushub</t>
  </si>
  <si>
    <t>[kg]</t>
  </si>
  <si>
    <t>Berechnung des Volumens über den Winkel die Tiefe und die Laufmeter</t>
  </si>
  <si>
    <t>doppelter Weg da nachher wieder zugeschüttet</t>
  </si>
  <si>
    <t>Spritzbeton</t>
  </si>
  <si>
    <t>Dicke</t>
  </si>
  <si>
    <t>Dicke der Spritzbetonschicht kann selbst angegeben werden</t>
  </si>
  <si>
    <t>Emissionen Baugrubensicherung</t>
  </si>
  <si>
    <t>Herstellung</t>
  </si>
  <si>
    <t>Methode</t>
  </si>
  <si>
    <t>Transportemissionen</t>
  </si>
  <si>
    <t>Summe Masse [kg]</t>
  </si>
  <si>
    <t>Summe Volumen [m3]</t>
  </si>
  <si>
    <t>Spalte3</t>
  </si>
  <si>
    <t>LKW-Fahrten</t>
  </si>
  <si>
    <t>Distanz [km]</t>
  </si>
  <si>
    <t>Spalte2</t>
  </si>
  <si>
    <t xml:space="preserve"> LKW-Auslastung:</t>
  </si>
  <si>
    <t>Beispiel</t>
  </si>
  <si>
    <t>Masse</t>
  </si>
  <si>
    <t>LKW-Fahrten:</t>
  </si>
  <si>
    <t>Vergleich ob die Dichte des Materials größer oder kleiner als die maximal Dichte des LKWs ist</t>
  </si>
  <si>
    <t>basierend darauf</t>
  </si>
  <si>
    <t>Variante 1</t>
  </si>
  <si>
    <t xml:space="preserve"> = (Masse/maximales Transportgewicht LKW)*LKW-Auslastung</t>
  </si>
  <si>
    <t>Variante 2</t>
  </si>
  <si>
    <t xml:space="preserve"> = (Volumen/maximales Transportvolumen LKW)*LKW-Auslastung</t>
  </si>
  <si>
    <t>Distanz:</t>
  </si>
  <si>
    <t>übernommen aus "Gesamtauswertung"</t>
  </si>
  <si>
    <t>CO2-Ausstoß por km</t>
  </si>
  <si>
    <t>Übernommen aus Transport Kennzahlen</t>
  </si>
  <si>
    <t>Transportemissionen:</t>
  </si>
  <si>
    <t xml:space="preserve"> =  Distank*LKW-Fahrten*CO2ProKm</t>
  </si>
  <si>
    <t>Baustoff</t>
  </si>
  <si>
    <t>Dämmung</t>
  </si>
  <si>
    <t>Füllvolumen [m³ ]</t>
  </si>
  <si>
    <t>Leergewicht [kg]</t>
  </si>
  <si>
    <t xml:space="preserve">Füllgewicht [kg] </t>
  </si>
  <si>
    <t>Beton  bei  voller Mulde  [ kg]</t>
  </si>
  <si>
    <t xml:space="preserve">Max. Füllvolumen  Beton  [m³] </t>
  </si>
  <si>
    <t>Stahl  bei  Mulde voll  [kg]</t>
  </si>
  <si>
    <t xml:space="preserve">Max. Füllvolumen  Stahl   [m³] </t>
  </si>
  <si>
    <t>Ziegel   bei  Mulde voll  [kg]</t>
  </si>
  <si>
    <t xml:space="preserve">Max. Füllvolumen Ziegel  [m³] </t>
  </si>
  <si>
    <t>Gipskarton  bei  Mulde voll   [kg]</t>
  </si>
  <si>
    <t xml:space="preserve">Max. Füllvolumen  Gipskarton   [m³] </t>
  </si>
  <si>
    <t>Holz  bei  Mulde voll   [kg]</t>
  </si>
  <si>
    <t xml:space="preserve">Max. Füllvolumen  Holz  [m³] </t>
  </si>
  <si>
    <t>Holzmassiv  bei  Mulde voll   [kg]</t>
  </si>
  <si>
    <t xml:space="preserve">Max. Füllvolumen Holzmassiv   [m³] </t>
  </si>
  <si>
    <t>Glas  bei  Mulde voll    [kg]</t>
  </si>
  <si>
    <t xml:space="preserve">Max. Füllvolumen Glas  [m³] </t>
  </si>
  <si>
    <t>Aushub  bei  Mulde voll   [kg]</t>
  </si>
  <si>
    <t xml:space="preserve">Max. Füllvolumen  Aushub  [m³] </t>
  </si>
  <si>
    <t>Holzwerkstoffe  bei  Mulde voll   [kg]</t>
  </si>
  <si>
    <t xml:space="preserve">Max. Füllvolumen  Holzwerkstoffe  [m³] </t>
  </si>
  <si>
    <t>Holz/Holzriegel   bei  Mulde voll  [kg]</t>
  </si>
  <si>
    <t xml:space="preserve">Max. Füllvolumen Holz/Holzriegel  [m³] </t>
  </si>
  <si>
    <t>EPS  bei  Mulde voll   [kg]</t>
  </si>
  <si>
    <t xml:space="preserve">Max. Füllvolumen EPS  [m³] </t>
  </si>
  <si>
    <t>XPS  bei  Mulde voll   [kg]</t>
  </si>
  <si>
    <t xml:space="preserve">Max. Füllvolumen  XPS  [m³] </t>
  </si>
  <si>
    <t xml:space="preserve">Glasswolle  bei  Mulde voll   [kg] </t>
  </si>
  <si>
    <t xml:space="preserve">Max. Füllvolumen  Glasswolle  [m³] </t>
  </si>
  <si>
    <t>Steinwolle  bei  Mulde voll   [kg]</t>
  </si>
  <si>
    <t xml:space="preserve">Max. Füllvolumen Steinwolle   [m³] </t>
  </si>
  <si>
    <t xml:space="preserve">Holzfasern  bei  Mulde voll [kg] </t>
  </si>
  <si>
    <t xml:space="preserve">Max. Füllvolumen Holzfasern  [m³] </t>
  </si>
  <si>
    <t>Bauschutt bei Mulde voll [kg]</t>
  </si>
  <si>
    <t xml:space="preserve">Max. Füllvolumen Bauschutt  [m³] </t>
  </si>
  <si>
    <t xml:space="preserve">Big bag </t>
  </si>
  <si>
    <t xml:space="preserve">Mulde </t>
  </si>
  <si>
    <t>Kleinmulde</t>
  </si>
  <si>
    <t xml:space="preserve">Kleinmulde </t>
  </si>
  <si>
    <t xml:space="preserve">Normalmulde </t>
  </si>
  <si>
    <t xml:space="preserve">Schlammmulde </t>
  </si>
  <si>
    <t xml:space="preserve">Deckelmulde </t>
  </si>
  <si>
    <t>Sperrgutmulde</t>
  </si>
  <si>
    <t xml:space="preserve">Abrollmulde </t>
  </si>
  <si>
    <t xml:space="preserve">Großraummulde  </t>
  </si>
  <si>
    <t>Abrollcontainer</t>
  </si>
  <si>
    <t xml:space="preserve">Normmulde </t>
  </si>
  <si>
    <t>NM5</t>
  </si>
  <si>
    <t>NM7</t>
  </si>
  <si>
    <t>NM10</t>
  </si>
  <si>
    <t>Normcontainer</t>
  </si>
  <si>
    <t>max. zul. Behältergesamtgewicht</t>
  </si>
  <si>
    <t>https://www.muehlberger-gmbh.at/wp-content/uploads/2017/04/Sicherheitsdatenblatt_Abrollcontainer.pdf</t>
  </si>
  <si>
    <t>Baustoffe</t>
  </si>
  <si>
    <t xml:space="preserve">Rohdichte </t>
  </si>
  <si>
    <t xml:space="preserve">Einheit </t>
  </si>
  <si>
    <t>Normmulde</t>
  </si>
  <si>
    <t>https://www.werner-weber.com/de/normmulde-nm/</t>
  </si>
  <si>
    <t>[kg/m³]</t>
  </si>
  <si>
    <t>Container</t>
  </si>
  <si>
    <t>https://www.werner-weber.com/de/standard-abrollcontainer/</t>
  </si>
  <si>
    <t>https://www.abfallserviceonline.at/de/abfallart/abfall-metalle-schrott-elektroschrott.html</t>
  </si>
  <si>
    <t xml:space="preserve">Ziegel </t>
  </si>
  <si>
    <t>https://pkm-muldenzentrale.at/mulden-container/</t>
  </si>
  <si>
    <t>Gipskarton</t>
  </si>
  <si>
    <t>https://www.schlunegger-kocher.ch/muldenservice/muldengroesse-auswaehlen.html</t>
  </si>
  <si>
    <t>Holz</t>
  </si>
  <si>
    <t>https://www.giacometto.ch/muldenservice/muldengroessen.html</t>
  </si>
  <si>
    <t>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</t>
  </si>
  <si>
    <t>EPS</t>
  </si>
  <si>
    <t>XPS</t>
  </si>
  <si>
    <t xml:space="preserve">Sonstige Dateien Preise </t>
  </si>
  <si>
    <t>Glaswolle</t>
  </si>
  <si>
    <t>file:///C:/Users/m.marynowski/Downloads/Preisliste_UWT.pdf</t>
  </si>
  <si>
    <t>Steinwolle</t>
  </si>
  <si>
    <t>https://www.hasenoehrl.at/wp-content/uploads/2020/01/hasenoehrl_preisliste_2020_web-2.pdf</t>
  </si>
  <si>
    <t xml:space="preserve">Holzfaser </t>
  </si>
  <si>
    <t>Holzmassiv</t>
  </si>
  <si>
    <t>Glas</t>
  </si>
  <si>
    <t>Holzwerkstoffe</t>
  </si>
  <si>
    <t>Holz/Holzriegel</t>
  </si>
  <si>
    <t>Bauschutt</t>
  </si>
  <si>
    <t>https://blog.curanto.de/clever-entsorgen/gewichtheben-gewicht-von-bauschutt.html</t>
  </si>
  <si>
    <t>https://recyclingzentrum.de/wp-content/uploads/2021/05/Koempf_Recycling_Infoblatt_Schuettgueter.pdf</t>
  </si>
  <si>
    <t>Rohdichte [kg/m³]</t>
  </si>
  <si>
    <t>Volumen [m³]</t>
  </si>
  <si>
    <t>Masse [kg]</t>
  </si>
  <si>
    <t>LKW-Fahrten (10er Absetzmulde)</t>
  </si>
  <si>
    <t>LKW-Fahrten (Abrollcontainer)</t>
  </si>
  <si>
    <t>Transportemissionen [kgCO2eq]</t>
  </si>
  <si>
    <t>https://www.baumgaertner.de/container-service/containertypen-und-fahrzeuge.html</t>
  </si>
  <si>
    <t>Betonmischer Auslastung</t>
  </si>
  <si>
    <t>für ÖKOBETON C25/30 XC1</t>
  </si>
  <si>
    <t>GWP_ÖKO</t>
  </si>
  <si>
    <r>
      <t>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Äq./kg]</t>
    </r>
  </si>
  <si>
    <t>Berechnung Transportemissionen sieht Blatt materialien ex Beton und Fenster</t>
  </si>
  <si>
    <t>Dekarbonatisierung</t>
  </si>
  <si>
    <t>t</t>
  </si>
  <si>
    <t>https://www.probas.umweltbundesamt.de/php/prozessdetails.php?id=%7B630020C3-9E32-4BCA-83CA-9294C5FE49E1%7D</t>
  </si>
  <si>
    <t>Zementanteil</t>
  </si>
  <si>
    <t>https://www.vdz-online.de/fileadmin/wissensportal/publikationen/zementindustrie/VDZ-Studie_Dekarbonisierung_Zement_Beton_2020.pdf</t>
  </si>
  <si>
    <t>Klinkeranteil</t>
  </si>
  <si>
    <t>Emissionen klinker</t>
  </si>
  <si>
    <t>kgCO2/kgKlinker</t>
  </si>
  <si>
    <t>davon Prozessemissionen</t>
  </si>
  <si>
    <t>decarbonatisierungs Anteil</t>
  </si>
  <si>
    <t>???15 od 20</t>
  </si>
  <si>
    <t xml:space="preserve">bzw beziehen sich die 20% auf die aufgenommenen CO2 Emissionen hinsichtlich der Zementherstellung </t>
  </si>
  <si>
    <t>aufgenommenes CO2</t>
  </si>
  <si>
    <t>kgCO2</t>
  </si>
  <si>
    <t xml:space="preserve">generell beziehen sich alle Prozentsetzte auf die gesamte Zemtenherstellung --&gt; eventuell zusammenarbeiten mit TU/Chemie Bereich </t>
  </si>
  <si>
    <t xml:space="preserve">allgmeine Information </t>
  </si>
  <si>
    <t>420g Strom pro kWh = 0,42kg pro kWh</t>
  </si>
  <si>
    <t>https://www.umweltbundesamt.de/themen/co2-emissionen-pro-kilowattstunde-strom-steigen</t>
  </si>
  <si>
    <t>[kg/kWh]</t>
  </si>
  <si>
    <t>Bitte wählen</t>
  </si>
  <si>
    <t xml:space="preserve">CO2-Emissionen </t>
  </si>
  <si>
    <t>kWh</t>
  </si>
  <si>
    <t>Fertigteil</t>
  </si>
  <si>
    <t>Aus Ausarbeitungs Details (3-fach Vergl. einflügel)</t>
  </si>
  <si>
    <t xml:space="preserve">Rahmen </t>
  </si>
  <si>
    <t>[kg/m²]</t>
  </si>
  <si>
    <t>[m]</t>
  </si>
  <si>
    <t>Rohdichte</t>
  </si>
  <si>
    <r>
      <t>[kg/m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</si>
  <si>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Holz-Alurahmen</t>
  </si>
  <si>
    <t>https://www.baubook.at/zentrale/</t>
  </si>
  <si>
    <t xml:space="preserve">ACTUAL CUBIC 9 Holz-Alu Fensterrahmen (Fi) Uf 1,1 </t>
  </si>
  <si>
    <t>Flächenbezogen Masse</t>
  </si>
  <si>
    <r>
      <t>[kg/m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</si>
  <si>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Fläche</t>
  </si>
  <si>
    <t>Art</t>
  </si>
  <si>
    <t>Flächenbezogene Masse [kg/m2]</t>
  </si>
  <si>
    <t>Volumen [m3]</t>
  </si>
  <si>
    <t>Dichte [kg/m3]</t>
  </si>
  <si>
    <t>Produktion und Anlieferung Gebäude</t>
  </si>
  <si>
    <t>ÖKO-Beton</t>
  </si>
  <si>
    <t>Anteil an gesamten Gebäudeemissionen (P)</t>
  </si>
  <si>
    <t xml:space="preserve">LKW-Auslastung </t>
  </si>
  <si>
    <t>Durchschnittliche Transportdistanz (G)</t>
  </si>
  <si>
    <t>Anteil an gesamten Gebäudeemissionen (T)</t>
  </si>
  <si>
    <t>Hierbei soll eingetragen werden, wie viel m³ Erde für den Aushub benötigt werden</t>
  </si>
  <si>
    <t xml:space="preserve">Art der Baustelle </t>
  </si>
  <si>
    <t xml:space="preserve">BENCHMARKS </t>
  </si>
  <si>
    <t>Wie viel km stecken hinter einem Material? Allgemein (bezogen auf Tankmenge)</t>
  </si>
  <si>
    <t>Benchmarks</t>
  </si>
  <si>
    <t xml:space="preserve">Wie viel km stecken hinter einem Material                                                                                 (aus AT, EU oder Rest der Welt kommend) --&gt; Wien </t>
  </si>
  <si>
    <t xml:space="preserve">Beton </t>
  </si>
  <si>
    <t xml:space="preserve">Allg. Betonbedingungen </t>
  </si>
  <si>
    <t xml:space="preserve">Ziegelhersteller "Wienerberger" relativ nahes Lager und Produktionsstätte an Wien (Hennersdorf) </t>
  </si>
  <si>
    <t xml:space="preserve">Wie lange darf Beton im Betonmischer maximal transportiert werden? </t>
  </si>
  <si>
    <t>[km]</t>
  </si>
  <si>
    <t>90 Minuten nach Zugabe des Wassers im Werk (ÖNORM B 4710-1 Ausgabe:2018)</t>
  </si>
  <si>
    <t>Ziegel</t>
  </si>
  <si>
    <t xml:space="preserve">Hennersdorf --&gt; Wien  </t>
  </si>
  <si>
    <t xml:space="preserve">Geschwindigkeitsbegrenzung? </t>
  </si>
  <si>
    <t xml:space="preserve">Ausdehnungen von Wien </t>
  </si>
  <si>
    <t>Mittelwert für Wien</t>
  </si>
  <si>
    <t xml:space="preserve">50km/h im Ortsgebiet und 70km/h auf Freilandstraßen -&gt; 60km/h im Mittel </t>
  </si>
  <si>
    <t>[km/h]</t>
  </si>
  <si>
    <t>Nord-Süd</t>
  </si>
  <si>
    <r>
      <t>Benchmark fürs anliefern nach Wien</t>
    </r>
    <r>
      <rPr>
        <sz val="11"/>
        <color rgb="FF000000"/>
        <rFont val="Calibri"/>
        <family val="2"/>
        <scheme val="minor"/>
      </rPr>
      <t xml:space="preserve"> </t>
    </r>
  </si>
  <si>
    <t>[m/s]</t>
  </si>
  <si>
    <t xml:space="preserve">EPS &amp; XPS </t>
  </si>
  <si>
    <t>West-Ost</t>
  </si>
  <si>
    <t xml:space="preserve">90 min -&gt; </t>
  </si>
  <si>
    <t>s</t>
  </si>
  <si>
    <t>Stein- &amp; Glaswolle</t>
  </si>
  <si>
    <t>Holzfaser/Zelluse</t>
  </si>
  <si>
    <t xml:space="preserve">Benchmark für Betonmischer </t>
  </si>
  <si>
    <t xml:space="preserve">Betonhersteller "Bau Beton GmbH" direkter Standort in Wien </t>
  </si>
  <si>
    <t>Ziegel, Stahl, Gipskarton, Dämmung, Holz, Glas, Fenster</t>
  </si>
  <si>
    <t>Fenster 3-fach</t>
  </si>
  <si>
    <t xml:space="preserve">Tank eines 3-Achsen LKWs (laut Mercedes) </t>
  </si>
  <si>
    <t>Durchschnittlicher Verbauch eines LKWs</t>
  </si>
  <si>
    <t>Holzwerkstoff</t>
  </si>
  <si>
    <t>[l]</t>
  </si>
  <si>
    <t>[l/100km]</t>
  </si>
  <si>
    <t>[l/km]</t>
  </si>
  <si>
    <t>Holzmassivbau</t>
  </si>
  <si>
    <t xml:space="preserve">Holzriegel </t>
  </si>
  <si>
    <t xml:space="preserve">Maximale km welche zurückgelegt werden können </t>
  </si>
  <si>
    <t>Abbruch</t>
  </si>
  <si>
    <t>Benchmark LKW</t>
  </si>
  <si>
    <t xml:space="preserve">(kleiner Tank) </t>
  </si>
  <si>
    <t xml:space="preserve">Aushub </t>
  </si>
  <si>
    <t xml:space="preserve">Stahlhersteller "Voestalpine" Standort in Niederösterreich Bruckbach </t>
  </si>
  <si>
    <t xml:space="preserve">Maximaler Tank eines LKWs laut ADR </t>
  </si>
  <si>
    <t xml:space="preserve">Bruckbach--&gt; Wien  </t>
  </si>
  <si>
    <t xml:space="preserve">Mittelwert für Wien </t>
  </si>
  <si>
    <t>Maximale km welche zurückgelegt werden können</t>
  </si>
  <si>
    <t>(großer Tank)</t>
  </si>
  <si>
    <t xml:space="preserve">Abbruch,Aushub </t>
  </si>
  <si>
    <t xml:space="preserve">Gipskarton </t>
  </si>
  <si>
    <t xml:space="preserve">Benchmark für Aushub-LKW </t>
  </si>
  <si>
    <t>Produktionsbetrieb in Bad Aussee von "Rigips"</t>
  </si>
  <si>
    <t xml:space="preserve">Bad Aussee--&gt; Wien  </t>
  </si>
  <si>
    <t xml:space="preserve">Maximale km welche zurückgelegt werden können:  </t>
  </si>
  <si>
    <t xml:space="preserve">"ZECHNER Holz Gmbh" in Graz </t>
  </si>
  <si>
    <t xml:space="preserve">Graz--&gt; Wien  </t>
  </si>
  <si>
    <t>EPS und XPS</t>
  </si>
  <si>
    <t>"Austrotherm" in Pinkafeld</t>
  </si>
  <si>
    <t xml:space="preserve">Pinkafeld--&gt; Wien  </t>
  </si>
  <si>
    <t>Steinwolle und Glaswolle</t>
  </si>
  <si>
    <t>"ISOVER" Produktion in Deutschland innerhalb EU</t>
  </si>
  <si>
    <t xml:space="preserve">Speyer--&gt; Wien  </t>
  </si>
  <si>
    <t xml:space="preserve">Holzfaser/Zellulose </t>
  </si>
  <si>
    <t>"ISOCELL" Produktion in Österreich --&gt; Salzburg</t>
  </si>
  <si>
    <t xml:space="preserve">Salzburg--&gt; Wien  </t>
  </si>
  <si>
    <t>"Egger Glas" Produktion in Österreich --&gt; Steiermark (Gersdorf an der Feistritz)</t>
  </si>
  <si>
    <t xml:space="preserve">Gersdorf--&gt; Wien  </t>
  </si>
  <si>
    <t>Fenster 3-fach-Verglasung</t>
  </si>
  <si>
    <t>"Internorm" Produktion in Österreich --&gt; Oberösterreich (Traun)</t>
  </si>
  <si>
    <t xml:space="preserve">Traun--&gt; Wien  </t>
  </si>
  <si>
    <t xml:space="preserve">Holzwerkstoff - Spanplatten </t>
  </si>
  <si>
    <t>"Egger Kaindl" Produktion in Österreich --&gt; Tirol (Stubaital)</t>
  </si>
  <si>
    <t xml:space="preserve">Stubaital--&gt; Wien  </t>
  </si>
  <si>
    <t>Holzmassivbauweise</t>
  </si>
  <si>
    <t>"KLH" Produktion in Österreich --&gt; Kärnten (Bad St. Leonhard)</t>
  </si>
  <si>
    <t xml:space="preserve">Bad St. leonhard--&gt; Wien  </t>
  </si>
  <si>
    <t>Holzriegelbau</t>
  </si>
  <si>
    <t>"Leitner bht" Produktion in Österreich --&gt; Niederösterreich (Amstetten)</t>
  </si>
  <si>
    <t xml:space="preserve">Amstetten--&gt; Wien  </t>
  </si>
  <si>
    <t>Abbruch/Aushub</t>
  </si>
  <si>
    <t>"MAGYER" in Österreich --&gt; Niederösterreich (Untersiebenbrunn im Marchfeld)</t>
  </si>
  <si>
    <t xml:space="preserve">Untersiebenbrunn--&gt; Wien  </t>
  </si>
  <si>
    <t>Leer auf die Baustelle --&gt; *2</t>
  </si>
  <si>
    <t xml:space="preserve">Allgemeine Informationen zu LKWs und Betonmischern (3-Achsen) </t>
  </si>
  <si>
    <t>3-Achsen Betonmischer: Scania - G 450 Betonmischer</t>
  </si>
  <si>
    <t xml:space="preserve"> </t>
  </si>
  <si>
    <t>Gewicht</t>
  </si>
  <si>
    <t>Einheit</t>
  </si>
  <si>
    <t>[m³]</t>
  </si>
  <si>
    <t xml:space="preserve">max. Dichte </t>
  </si>
  <si>
    <t>Durchschnittlicher Verbrauch in l/100 km</t>
  </si>
  <si>
    <t>[l/100 km]</t>
  </si>
  <si>
    <r>
      <t>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-Ausstoß vom Dieselverbrauch </t>
    </r>
  </si>
  <si>
    <r>
      <t>[gCO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</si>
  <si>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</si>
  <si>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t>CO2 -Ausstoß pro km und kg</t>
  </si>
  <si>
    <t>[gCO2/km*kg]</t>
  </si>
  <si>
    <t xml:space="preserve">3-Achsen Aushub-LKW-Transporter </t>
  </si>
  <si>
    <t>Ladevolumen</t>
  </si>
  <si>
    <t>Ladevolumen 10er Mulde [m³]</t>
  </si>
  <si>
    <t>Abrollcontainer [m³]</t>
  </si>
  <si>
    <t>unterschiedlich!</t>
  </si>
  <si>
    <t xml:space="preserve">3-Achsen LKW-Transporter </t>
  </si>
  <si>
    <t>CO2 -Ausstoß pro km und kg bei Vollbelastung</t>
  </si>
  <si>
    <t>Allg. gilt bei Diesel</t>
  </si>
  <si>
    <t>1g/km CO2 =</t>
  </si>
  <si>
    <t xml:space="preserve">l/100km </t>
  </si>
  <si>
    <t>Pfad</t>
  </si>
  <si>
    <t>Transportwege CO2</t>
  </si>
  <si>
    <t>Quellen für Transportwege</t>
  </si>
  <si>
    <t>CO2 Verbrauch pro kgCO2</t>
  </si>
  <si>
    <t>geg. Werte</t>
  </si>
  <si>
    <t>Materialdaten:</t>
  </si>
  <si>
    <t>häufigste Anwendung</t>
  </si>
  <si>
    <t>https://www.baubook.at/zentrale/?SW=5&amp;LU=1823786501&amp;qJ=1&amp;LP=K_RNn</t>
  </si>
  <si>
    <t>Eingabemöglichkeit :)</t>
  </si>
  <si>
    <t xml:space="preserve">Betonmischer Informationen: </t>
  </si>
  <si>
    <t>Maximalangaben</t>
  </si>
  <si>
    <t>https://www.eschen-nutzfahrzeuge.de/glossar/betonmischer/</t>
  </si>
  <si>
    <t>Die Werte beziehen sich auf einen voll beladenen LKW</t>
  </si>
  <si>
    <t>Dieselverbauch Scania - G 450 Betonmischer:</t>
  </si>
  <si>
    <t>https://www.spritmonitor.de/de/detailansicht/826455.html</t>
  </si>
  <si>
    <t>Beton = ÖKOBETON</t>
  </si>
  <si>
    <t>Kraftstoffverbrauch Rechner</t>
  </si>
  <si>
    <t>Normalbeton C25/30 ohne Bewehrung</t>
  </si>
  <si>
    <t>https://www.unitjuggler.com/fuelconsumption-umwandeln-von-lper100km-nach-gperkmdiesel.html?val=42.66</t>
  </si>
  <si>
    <t>Berechnugsverfahren für verschiedene Fahrzeuge (als Vergleich):</t>
  </si>
  <si>
    <t>Ausführungen von Betonmischern inkl. Gewichtsberechnung der Fördermenge</t>
  </si>
  <si>
    <t>https://www.quarks.de/umwelt/klimawandel/co2-rechner-fuer-auto-flugzeug-und-co/</t>
  </si>
  <si>
    <t xml:space="preserve">3-Achsen Trommel </t>
  </si>
  <si>
    <t>6-7m³</t>
  </si>
  <si>
    <t>Gewicht:</t>
  </si>
  <si>
    <t>Allg.Diesel</t>
  </si>
  <si>
    <t>1g/km CO2 =0,037735849056604 l/100km</t>
  </si>
  <si>
    <t>Dichte Stahl:</t>
  </si>
  <si>
    <t>4-Achsen Trommel</t>
  </si>
  <si>
    <t>8-9m³</t>
  </si>
  <si>
    <t>https://www.chemie.de/lexikon/Stahl.html</t>
  </si>
  <si>
    <t>4-Achsen Tr. (spez.)</t>
  </si>
  <si>
    <t>10-12m³</t>
  </si>
  <si>
    <t>Zuladung von LKWs:</t>
  </si>
  <si>
    <t>Sattelauflieger</t>
  </si>
  <si>
    <t>15m³</t>
  </si>
  <si>
    <t>Allg. Benzin</t>
  </si>
  <si>
    <t>1g/km CO2 =0,043103448275862 l/100km</t>
  </si>
  <si>
    <t>https://www.bussgeld-info.de/zuladung-lkw/</t>
  </si>
  <si>
    <t xml:space="preserve">Verbrauch von LKWs: </t>
  </si>
  <si>
    <r>
      <t xml:space="preserve">Dieselverbrauch des Betonmischers: Scania - G 450 Betonmischer </t>
    </r>
    <r>
      <rPr>
        <b/>
        <sz val="11"/>
        <color theme="1"/>
        <rFont val="Calibri"/>
        <family val="2"/>
        <scheme val="minor"/>
      </rPr>
      <t>[13,3m³] --&gt; CO2 pro km</t>
    </r>
  </si>
  <si>
    <t>https://www.webfleet.com/de_de/webfleet/blog/so-viel-kraftstoff-verbrauchen-lkw/</t>
  </si>
  <si>
    <t>(4-Achsen Tr. (spez.) Scania - G 450 Betonmischer</t>
  </si>
  <si>
    <t>Ermittlung</t>
  </si>
  <si>
    <t xml:space="preserve">Dichte von Holz </t>
  </si>
  <si>
    <t xml:space="preserve">Verbrauch: </t>
  </si>
  <si>
    <t>l/100km</t>
  </si>
  <si>
    <t>https://holz-kahrs.de/lexikon/gewicht-von-holz/</t>
  </si>
  <si>
    <t>CO2-Ausstoß:</t>
  </si>
  <si>
    <t>gCO2/km</t>
  </si>
  <si>
    <t>[kgCO2/km]</t>
  </si>
  <si>
    <t>Landstraße</t>
  </si>
  <si>
    <t xml:space="preserve">Ladevolumen von LKWs </t>
  </si>
  <si>
    <t>[kg/km]</t>
  </si>
  <si>
    <t>Autobahn</t>
  </si>
  <si>
    <t>https://www.hasse-transport.de/fuhrpark/#/page/3</t>
  </si>
  <si>
    <t xml:space="preserve">Umrechnung für: </t>
  </si>
  <si>
    <t>Stadt</t>
  </si>
  <si>
    <t>Gesetzliche Vorgaben für LKWs</t>
  </si>
  <si>
    <t>(3-Achsen Trommel)</t>
  </si>
  <si>
    <t>https://www.ris.bka.gv.at/eli/bgbl/1967/267/P4/NOR40227805</t>
  </si>
  <si>
    <t xml:space="preserve">für 3 Achsen maximal 24 Tonnen </t>
  </si>
  <si>
    <t>Verbrauch:</t>
  </si>
  <si>
    <t>(4-Achsen Trommel)</t>
  </si>
  <si>
    <t>Für XY kg Beton wird für den Transport kgCO2/km benötigt</t>
  </si>
  <si>
    <t>max. kg Angabe für einen LWK = 16800kg=7m³!</t>
  </si>
  <si>
    <t>Menge Beton [kg]</t>
  </si>
  <si>
    <t>Benötigter CO2 Ausstoß pro kg (Beton)</t>
  </si>
  <si>
    <t xml:space="preserve">für eine Fahrt </t>
  </si>
  <si>
    <t>Für eine Strecke von XY km werden kgCO2 ausgestoßen</t>
  </si>
  <si>
    <t>Strecke [km]</t>
  </si>
  <si>
    <t>Endgültiger CO2 Ausstoß</t>
  </si>
  <si>
    <t>LKW-Ausführung</t>
  </si>
  <si>
    <t>Gesamtmasse [Tonne]</t>
  </si>
  <si>
    <t>Leergewicht [Tonne]</t>
  </si>
  <si>
    <t>Erlaubte Nutzlast [Tonne]</t>
  </si>
  <si>
    <t>Umrechnung in kg</t>
  </si>
  <si>
    <t>Ladevolumen [m³]</t>
  </si>
  <si>
    <t>2-Achsen</t>
  </si>
  <si>
    <t>3-Achsen</t>
  </si>
  <si>
    <t>4-Achsen</t>
  </si>
  <si>
    <t xml:space="preserve">Maximales Volumen an Stahl welches transportiert werden kann: </t>
  </si>
  <si>
    <t>wird nicht überschritten</t>
  </si>
  <si>
    <t>Für XY kg Stahl wird für den Transport kgCO2/km benötigt</t>
  </si>
  <si>
    <t>max. kg Angabe für einen LWK = 14000kg=1,78m³!</t>
  </si>
  <si>
    <r>
      <rPr>
        <sz val="11"/>
        <color rgb="FFFF0000"/>
        <rFont val="Calibri"/>
        <family val="2"/>
        <scheme val="minor"/>
      </rPr>
      <t>für eine Fahrt</t>
    </r>
    <r>
      <rPr>
        <sz val="11"/>
        <color theme="1"/>
        <rFont val="Calibri"/>
        <family val="2"/>
        <scheme val="minor"/>
      </rPr>
      <t xml:space="preserve"> </t>
    </r>
  </si>
  <si>
    <t>Menge Stahl [kg]</t>
  </si>
  <si>
    <t xml:space="preserve">Benötigter CO2 Ausstoß pro kg </t>
  </si>
  <si>
    <t xml:space="preserve">ACHTUNG geringes Volumen kann transportiert werden! </t>
  </si>
  <si>
    <t xml:space="preserve">Ungefährer Verbrauch an Diesel </t>
  </si>
  <si>
    <t xml:space="preserve">Eventuell mehrere Beladungen </t>
  </si>
  <si>
    <t>Verbrauch</t>
  </si>
  <si>
    <t>Hauptsächlich nur Diesel wird verwendet</t>
  </si>
  <si>
    <t>CO2-Ausstoß</t>
  </si>
  <si>
    <t>Hochlochziegel</t>
  </si>
  <si>
    <t xml:space="preserve">Maximales Volumen an Hochlochziegel welches transportiert werden kann: </t>
  </si>
  <si>
    <t>Für XY kg Hochlochziegel wird für den Transport kgCO2/km benötigt</t>
  </si>
  <si>
    <t>max. kg Angabe für einen LWK = 14000kg = 20,74m³!</t>
  </si>
  <si>
    <t>Menge [kg]</t>
  </si>
  <si>
    <t>Hauptsächlich Diesel wird verwendet</t>
  </si>
  <si>
    <t>Ziegel mit integrierter Dämmung</t>
  </si>
  <si>
    <t xml:space="preserve">Maximales Volumen an "Ziegel mit integrierter Dämmung" welches transportiert werden kann: </t>
  </si>
  <si>
    <t>Für XY kg  wird für den Transport kgCO2/km benötigt</t>
  </si>
  <si>
    <t>max. kg Angabe für einen LWK = 14000kg = 26,27m³!</t>
  </si>
  <si>
    <t>Füllziegel (Benötigter Beton muss miteinbezogen werden!)</t>
  </si>
  <si>
    <t xml:space="preserve">Maximales Volumen an Füllziegel welches transportiert werden kann: </t>
  </si>
  <si>
    <t>max. kg Angabe für einen LWK = 14000kg = 24,14m³!</t>
  </si>
  <si>
    <t xml:space="preserve">Gipsfaserplatte </t>
  </si>
  <si>
    <t>FERMACELL</t>
  </si>
  <si>
    <t xml:space="preserve">wird nicht überschritten </t>
  </si>
  <si>
    <t>max. kg Angabe für einen LWK = 14000kg = 12,17m³!</t>
  </si>
  <si>
    <t>Menge  [kg]</t>
  </si>
  <si>
    <t xml:space="preserve">Gipskartonplatte </t>
  </si>
  <si>
    <t>Knauf</t>
  </si>
  <si>
    <t>max. kg Angabe für einen LWK = 14000kg = 20,59m³!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</si>
  <si>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EPS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</si>
  <si>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(EPS) Angabe für einen LWK = 1422kg = 90m³!</t>
  </si>
  <si>
    <t xml:space="preserve">Holzfaser (Dämmstoff) </t>
  </si>
  <si>
    <t xml:space="preserve">LKW-Ausführung </t>
  </si>
  <si>
    <t>Erlaubte Nutzlast[t]</t>
  </si>
  <si>
    <t>Umrech. In [kg]</t>
  </si>
  <si>
    <t>Verbauch in l/100km</t>
  </si>
  <si>
    <t xml:space="preserve">Faktor </t>
  </si>
  <si>
    <t>Zellulose</t>
  </si>
  <si>
    <t>max. kg (XPS) Angabe für einen LWK = 2700kg = 90m³!</t>
  </si>
  <si>
    <t>NR: max. Gewicht bei 90m³ in kg</t>
  </si>
  <si>
    <t>max. kg (Glaswolle) Angabe für einen LWK = 2160kg = 90m³!</t>
  </si>
  <si>
    <t>Max. Volumen welches transportiert werden kann:</t>
  </si>
  <si>
    <t xml:space="preserve">Gewicht: </t>
  </si>
  <si>
    <t>max. Ladevolumen wird überschritten!</t>
  </si>
  <si>
    <t>max. kg (Steinwolle) Angabe für einen LWK = 11250kg = 90m³!</t>
  </si>
  <si>
    <t>Für XY kg (Zellulose)wird für den Transport kgCO2/km benötigt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</si>
  <si>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XPS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</si>
  <si>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(Zellulose) Angabe für einen LWK = 6300kg = 90m³!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</si>
  <si>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Glaswolle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</si>
  <si>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r>
      <t>Für XY kg (</t>
    </r>
    <r>
      <rPr>
        <b/>
        <sz val="11"/>
        <color theme="4" tint="0.39997558519241921"/>
        <rFont val="Calibri"/>
        <family val="2"/>
        <scheme val="minor"/>
      </rPr>
      <t>Steinwolle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</si>
  <si>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Ladevolumen wird nicht überschritten!</t>
  </si>
  <si>
    <t>Für XY kg wird für den Transport kgCO2/km benötigt</t>
  </si>
  <si>
    <t>max. kg Angabe für einen LWK = 14000kg = 29,79m³!</t>
  </si>
  <si>
    <t xml:space="preserve">Wie viel km stecken hinter einem Material (aus AT, EU oder Rest der Welt kommend) --&gt; Wien </t>
  </si>
  <si>
    <t>Quellen</t>
  </si>
  <si>
    <t>Standorte BauBeton</t>
  </si>
  <si>
    <t>https://www.baubeton.at/standorte</t>
  </si>
  <si>
    <t>Standorte Wienerberger</t>
  </si>
  <si>
    <t>https://www.wienerberger.com/de/ueber-uns/standorte.html</t>
  </si>
  <si>
    <t>Voestalpine</t>
  </si>
  <si>
    <r>
      <rPr>
        <b/>
        <sz val="11"/>
        <color theme="1"/>
        <rFont val="Calibri"/>
        <family val="2"/>
        <scheme val="minor"/>
      </rPr>
      <t>Benchmark fürs anliefern nach Wien</t>
    </r>
    <r>
      <rPr>
        <sz val="11"/>
        <color theme="1"/>
        <rFont val="Calibri"/>
        <family val="2"/>
        <scheme val="minor"/>
      </rPr>
      <t xml:space="preserve"> </t>
    </r>
  </si>
  <si>
    <t>https://www.voestalpine.com/blog/de/innovation/voestalpine-eroeffnet-hochmoderne-fertigung-fuer-spezialprofile-am-standort-bruckbach/</t>
  </si>
  <si>
    <t>Rigips</t>
  </si>
  <si>
    <t>https://www.rigips.at/standorte</t>
  </si>
  <si>
    <t>Zechner Holz Gmbh</t>
  </si>
  <si>
    <t>https://www.bauholz.at/</t>
  </si>
  <si>
    <t xml:space="preserve">Allg. Dämmungsherstellerdaten die Interessant sind </t>
  </si>
  <si>
    <t>https://www.energie-experten.org/bauen-und-sanieren/daemmung/daemmstoffe/hersteller</t>
  </si>
  <si>
    <t xml:space="preserve">Austrotherm Standorte </t>
  </si>
  <si>
    <t>https://www.austrotherm.at/kontakt/standorte#austria</t>
  </si>
  <si>
    <t xml:space="preserve">Geschwindigkeiten </t>
  </si>
  <si>
    <t>https://www.oesterreich.gv.at/themen/freizeit_und_strassenverkehr/kfz/10/Seite.063300.html</t>
  </si>
  <si>
    <t>Tank eines LKWs</t>
  </si>
  <si>
    <t>https://special.mercedes-benz-trucks.com/de/der-econic/technische-daten.html</t>
  </si>
  <si>
    <t xml:space="preserve">Tank eines LKWs laut webfleet (ADR europaweites Abkommen) </t>
  </si>
  <si>
    <t>https://www.google.com/search?client=firefox-b-d&amp;q=tankmenge+eines+3+achsen+lkw</t>
  </si>
  <si>
    <t>Wie viel km stecken hinter einem Material? Allgemein</t>
  </si>
  <si>
    <t>Ziegel, Stahl, Gipskarton, Dämmung, Holz</t>
  </si>
  <si>
    <t xml:space="preserve">Abbruch (Prozentuelle Abschreibung)  </t>
  </si>
  <si>
    <t>Quellen &amp; Informationen:</t>
  </si>
  <si>
    <t xml:space="preserve">Kömpf-Recycling_Infoblatt </t>
  </si>
  <si>
    <t>(Annahme)</t>
  </si>
  <si>
    <t>ab 1900:</t>
  </si>
  <si>
    <t xml:space="preserve">Drichte von Bauschutt </t>
  </si>
  <si>
    <t xml:space="preserve">Rohdichte: </t>
  </si>
  <si>
    <t>https://heimwerk.org/dichte-bauschutt</t>
  </si>
  <si>
    <t xml:space="preserve">Max. Gewicht: </t>
  </si>
  <si>
    <t xml:space="preserve">Um Jahrhunderwende 1900: </t>
  </si>
  <si>
    <t xml:space="preserve">kg </t>
  </si>
  <si>
    <t xml:space="preserve">Kann transportiert werden! </t>
  </si>
  <si>
    <t>https://www.sanier.de/altbausanierung/baualtersstufen/haeuser-jahrhundertwende</t>
  </si>
  <si>
    <r>
      <t xml:space="preserve">Für XY kg </t>
    </r>
    <r>
      <rPr>
        <sz val="11"/>
        <color theme="1"/>
        <rFont val="Calibri"/>
        <family val="2"/>
        <scheme val="minor"/>
      </rPr>
      <t>Aushub</t>
    </r>
    <r>
      <rPr>
        <b/>
        <sz val="11"/>
        <color theme="1"/>
        <rFont val="Calibri"/>
        <family val="2"/>
        <scheme val="minor"/>
      </rPr>
      <t xml:space="preserve"> wird für den Transport kgCO2/km benötigt</t>
    </r>
  </si>
  <si>
    <t>max. kg Angabe für einen LWK = 28000kg=15,39m³!</t>
  </si>
  <si>
    <t>Benchmark wie bei Aushub nur 1043 km</t>
  </si>
  <si>
    <t xml:space="preserve">15% wurden abgezogen vom Volumen (Auflockerung) --&gt; bezogen auf Ladevolumen :)  </t>
  </si>
  <si>
    <t xml:space="preserve">Baunetzwissen: </t>
  </si>
  <si>
    <t>https://www.baunetzwissen.de/altbau/fachwissen/baualtersstufen/baualtersstufe-der-60er-jahre-148200</t>
  </si>
  <si>
    <t>Abschreibung Abbruch (CO2-Emmissionen gebunden, nur Transport beachten nicht mehr das Material--&gt; 100 Jahren)</t>
  </si>
  <si>
    <t>Jahr</t>
  </si>
  <si>
    <t>Prozent</t>
  </si>
  <si>
    <t>Ab 1950 (Nachkriegszeit):</t>
  </si>
  <si>
    <t>Ab 1920-30:</t>
  </si>
  <si>
    <t xml:space="preserve">Mit DROP DOWN Versuchen </t>
  </si>
  <si>
    <t xml:space="preserve">Ab 1960 </t>
  </si>
  <si>
    <t xml:space="preserve">gleich </t>
  </si>
  <si>
    <t>Ab 1970 (Plattenbau)</t>
  </si>
  <si>
    <t xml:space="preserve">max. Gewicht: </t>
  </si>
  <si>
    <t xml:space="preserve">WIRD ÜBERSCHRITTEN!!!! </t>
  </si>
  <si>
    <t>Erlaubtes Gewicht</t>
  </si>
  <si>
    <t xml:space="preserve">max. Volumen, welches transportiert werden kann: </t>
  </si>
  <si>
    <t xml:space="preserve">Ab 1980 gleich mit 1970 (Sanierungen wurden vorgenommen --&gt; kurz vor 1980 Ölkrise) </t>
  </si>
  <si>
    <t xml:space="preserve">Aushubmaterial </t>
  </si>
  <si>
    <t xml:space="preserve">Quellen &amp; Informationen: </t>
  </si>
  <si>
    <t>https://www.liebherr.com/de/aut/produkte/baumaschinen/erdbewegung/knickgelenkte-muldenkipper/details/650404.html</t>
  </si>
  <si>
    <t xml:space="preserve">Informationen zur Nutzlast </t>
  </si>
  <si>
    <t>https://www.liebherr.com/external/products/products-assets/1448890-3/NTB_TA230_AGSV-Tier4f-IIIAkonform-0_de.pdf</t>
  </si>
  <si>
    <t>Datenblatt</t>
  </si>
  <si>
    <t xml:space="preserve">Tank laut Datenblatt </t>
  </si>
  <si>
    <t xml:space="preserve">Ladevolumen wurden schon 15% Auflockerung des Aushubs beachtet. </t>
  </si>
  <si>
    <t>l</t>
  </si>
  <si>
    <t xml:space="preserve">Maximales Gewicht welches mit 15 % Auflockerung transportiert werden kann: </t>
  </si>
  <si>
    <t>Somit umrechnen wie viel m³ transportiert werden können</t>
  </si>
  <si>
    <t>max. kg Angabe für einen LWK = 28000kg=14,74m³!</t>
  </si>
  <si>
    <t xml:space="preserve">Benchmark: </t>
  </si>
  <si>
    <t>571-4286</t>
  </si>
  <si>
    <t>WIRD ÜBERSCHRITTEN!!!</t>
  </si>
  <si>
    <t xml:space="preserve">Es kann maximal ein Volumen von XY m³ transportiert werden: </t>
  </si>
  <si>
    <t xml:space="preserve">m³ </t>
  </si>
  <si>
    <t>max. kg Angabe für einen LWK = 10000kg=4m³!</t>
  </si>
  <si>
    <t>3-Fach Verglasung - Als Standard (Einfachfenster, einfügig)</t>
  </si>
  <si>
    <t xml:space="preserve">Flächenbezogene Masse: </t>
  </si>
  <si>
    <t xml:space="preserve">Stärke: </t>
  </si>
  <si>
    <t xml:space="preserve">daraus folgt Volumen: </t>
  </si>
  <si>
    <t xml:space="preserve">Quellen: </t>
  </si>
  <si>
    <t>Rahmenaußenmaß (bxh):</t>
  </si>
  <si>
    <t>m²</t>
  </si>
  <si>
    <t>(15% wurden dazugerechnet, wegen dem Fensterrahmen)</t>
  </si>
  <si>
    <t>https://www.fluegelup.de/info/alte-holzfenster-neu-verglasen.htm</t>
  </si>
  <si>
    <t xml:space="preserve">Daten von Internorm --&gt; alter Schulkollege (PDF nachschicken lassen) </t>
  </si>
  <si>
    <t xml:space="preserve">Gewicht eines Fensters: </t>
  </si>
  <si>
    <t xml:space="preserve">Max. Volumen welches transportiert werden kann: </t>
  </si>
  <si>
    <t>max. kg Angabe für einen LWK = 10000kg=13m³!</t>
  </si>
  <si>
    <t>Holzmassivbau (Brettsperrholz)</t>
  </si>
  <si>
    <t>Quellen:</t>
  </si>
  <si>
    <t xml:space="preserve">Allg. </t>
  </si>
  <si>
    <t>https://www.baunetzwissen.de/holz/fachwissen/holzbausysteme/massivbauweise-7921515</t>
  </si>
  <si>
    <t>max. kg Angabe für einen LWK = 10000kg = 20m³!</t>
  </si>
  <si>
    <t xml:space="preserve">laut Dataholz kommt in Verwendung Konstruktionsholz --&gt; somit gleich mit Register Holz </t>
  </si>
  <si>
    <t>https://www.dataholz.eu/bauteile/aussenwand/detail/kz/awrhhi01a.htm</t>
  </si>
  <si>
    <t>Holzwerkstoffe (Spanplatten)</t>
  </si>
  <si>
    <t>https://www.baubook.at/zentrale/?SW=5&amp;LU=1823786501&amp;qJ=1&amp;LP=hu1bF</t>
  </si>
  <si>
    <t>max. kg Angabe für einen LWK = 10000kg = 15,38m³!</t>
  </si>
  <si>
    <t>Richtiger Umgang mit Bauresten:</t>
  </si>
  <si>
    <t>https://www.wko.at/branchen/gewerbe-handwerk/bau/broschuere-baurestmassen.pdf</t>
  </si>
  <si>
    <t>https://www.abbruchmeister.at/</t>
  </si>
  <si>
    <t xml:space="preserve">wurde ich 2x verrechnen, kommt  leer auf die Baustelle </t>
  </si>
  <si>
    <t>Endresultat</t>
  </si>
  <si>
    <t>https://magyer.at/</t>
  </si>
  <si>
    <t>Holzfaser - Zellulose</t>
  </si>
  <si>
    <t>Fenster (3-fach isoliert als Standard)</t>
  </si>
  <si>
    <t>Quellen für Benchmarks</t>
  </si>
  <si>
    <t xml:space="preserve">Weitere Ausarbeitungen </t>
  </si>
  <si>
    <t xml:space="preserve">Aushubmaterial: </t>
  </si>
  <si>
    <t xml:space="preserve">Informationen zur Nutzlast: </t>
  </si>
  <si>
    <t>Emissionen Kennzahlen</t>
  </si>
  <si>
    <t xml:space="preserve">Datenblatt: </t>
  </si>
  <si>
    <t>https://www.umweltbundesamt.at/fileadmin/site/themen/mobilitaet/daten/ekz_fzkm_verkehrsmittel.pdf</t>
  </si>
  <si>
    <t>Öko-Beton</t>
  </si>
  <si>
    <t>https://www.baubook.at/m/PHP/Info.php?SI=2142732948&amp;win=y&amp;SW=5&amp;lng=1</t>
  </si>
  <si>
    <t>Falls ein Abrollcontainer zum Einsatz kommt, bitte ankreuzen!</t>
  </si>
  <si>
    <t xml:space="preserve">Als Standard werden 10er Absetzmulden angenommen. </t>
  </si>
  <si>
    <t xml:space="preserve">Einteilung Abfälle </t>
  </si>
  <si>
    <t xml:space="preserve">Gerährlich Abfälle </t>
  </si>
  <si>
    <t xml:space="preserve">Nicht gefährkiche abfälle </t>
  </si>
  <si>
    <t xml:space="preserve">Altöl </t>
  </si>
  <si>
    <t xml:space="preserve">Baurestmasse mineralisch </t>
  </si>
  <si>
    <t xml:space="preserve">Baurestmasse nicht mineralisch </t>
  </si>
  <si>
    <t xml:space="preserve">Verpackungsabfälle </t>
  </si>
  <si>
    <t xml:space="preserve">Biogene Abfälle </t>
  </si>
  <si>
    <t xml:space="preserve">Asbest </t>
  </si>
  <si>
    <t>Asphalt</t>
  </si>
  <si>
    <t xml:space="preserve">Bauställenabfälle </t>
  </si>
  <si>
    <t xml:space="preserve">Holz </t>
  </si>
  <si>
    <t>Abfälle aus dem Grünflächenbereich</t>
  </si>
  <si>
    <t xml:space="preserve">Asbestzement </t>
  </si>
  <si>
    <t xml:space="preserve">Holzabfälle </t>
  </si>
  <si>
    <t xml:space="preserve">Karton </t>
  </si>
  <si>
    <t>Baumschnitt</t>
  </si>
  <si>
    <t xml:space="preserve">Batterie </t>
  </si>
  <si>
    <t xml:space="preserve">Kunststoffabfälle </t>
  </si>
  <si>
    <t xml:space="preserve">Kunststoff </t>
  </si>
  <si>
    <t xml:space="preserve">Erlektrogeräte </t>
  </si>
  <si>
    <t xml:space="preserve">Faserzement </t>
  </si>
  <si>
    <t xml:space="preserve">Metalabfälle </t>
  </si>
  <si>
    <t xml:space="preserve">Metall </t>
  </si>
  <si>
    <t>Farbe- und Lackabfälle</t>
  </si>
  <si>
    <t xml:space="preserve">Fliesen </t>
  </si>
  <si>
    <t xml:space="preserve">Organische Reste </t>
  </si>
  <si>
    <t xml:space="preserve">Papier </t>
  </si>
  <si>
    <t>FCKW-haltige Dämmstoffe (XPS)</t>
  </si>
  <si>
    <t xml:space="preserve">Gasbeton </t>
  </si>
  <si>
    <t>Sperrmüll</t>
  </si>
  <si>
    <t xml:space="preserve">Papiersäcke </t>
  </si>
  <si>
    <t>Mineralwolle (KMF)</t>
  </si>
  <si>
    <t>Gebrochene natürliche Materialien</t>
  </si>
  <si>
    <t>Verbundstoff</t>
  </si>
  <si>
    <t xml:space="preserve">Verbundstoffe </t>
  </si>
  <si>
    <t>Kamine und Schamott (gewerblich genutzte Bauwerke )</t>
  </si>
  <si>
    <t>FCKW-freie Dämmstoffe (XPS)</t>
  </si>
  <si>
    <t>Wellpappe</t>
  </si>
  <si>
    <t>Leuchtstoffröhren</t>
  </si>
  <si>
    <t xml:space="preserve">Gleisschotter </t>
  </si>
  <si>
    <t>Lösungsmittel, Kabel, Harze</t>
  </si>
  <si>
    <t xml:space="preserve">Holzbeton </t>
  </si>
  <si>
    <t xml:space="preserve">Ölverunteinigte Böden/ sonstig verunreinigte Böden </t>
  </si>
  <si>
    <t xml:space="preserve">Kalksandstein </t>
  </si>
  <si>
    <t xml:space="preserve">Putzlappen ölverunreinigt </t>
  </si>
  <si>
    <t>Kaminstein und Schamott (privater Haushalt)</t>
  </si>
  <si>
    <t xml:space="preserve">Kies </t>
  </si>
  <si>
    <t xml:space="preserve">Klinker </t>
  </si>
  <si>
    <t>Mauersteine auf Gipsbasis</t>
  </si>
  <si>
    <t xml:space="preserve">Mörtel und Verputze </t>
  </si>
  <si>
    <t xml:space="preserve">Naturstein </t>
  </si>
  <si>
    <t xml:space="preserve">Potzellen </t>
  </si>
  <si>
    <t xml:space="preserve">Sand </t>
  </si>
  <si>
    <t xml:space="preserve">Silikatbeton </t>
  </si>
  <si>
    <t xml:space="preserve">Straßenaufbruch </t>
  </si>
  <si>
    <t>Stukkaturmaterial</t>
  </si>
  <si>
    <t xml:space="preserve">Abbruch Abtransport </t>
  </si>
  <si>
    <t xml:space="preserve">Angabe der km die für den Abtransport/Antransport der Erde benötigt werden </t>
  </si>
  <si>
    <t xml:space="preserve">Laufmeter </t>
  </si>
  <si>
    <t xml:space="preserve">Durch Anklicken des Buttons wird berechnet, um wie viel sich die CO2-Emissionen (bezogen auf die Masse des Betons) reduzieren lassen. Diese werden von den Gesamtemissionen der Produktion abgezogen. 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</si>
  <si>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bei der Herstellung der Baustoffe entstehen. </t>
    </r>
  </si>
  <si>
    <r>
      <t>Gibt einen prozentualen Wert an, der angibt, wie viel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die Produktion entstehen.</t>
    </r>
  </si>
  <si>
    <t xml:space="preserve">Wie viel Prozent des LKW-Volumen für den Transport befüllt werden können. </t>
  </si>
  <si>
    <t>Erforderliche Entfernung, um das Material vom Produktionsstandort zur Baustelle zu transportieren.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</si>
  <si>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durch den Transport der Baustoffe entstehen. </t>
    </r>
  </si>
  <si>
    <r>
      <t>Gibt an, wie viel Prozent der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den Transport verursacht werden.</t>
    </r>
  </si>
  <si>
    <t>TOP 5 der klimaschädlichsten Stoffe</t>
  </si>
  <si>
    <r>
      <t>Die TOP-5-Materialien,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aus der Umwelt aufnehmen, werden hier angezeigt</t>
    </r>
  </si>
  <si>
    <t>Tiefe die benötigt wird, für die jeweilige Baugrubensicherung</t>
  </si>
  <si>
    <t xml:space="preserve">Länge der Baugrubensicherung </t>
  </si>
  <si>
    <t>Daten aus Archiphysik (Baubook --&gt; basierend auf EPDs):</t>
  </si>
  <si>
    <t xml:space="preserve">Angabe der km die für den Antransport der Materialien benötigt wird </t>
  </si>
  <si>
    <t xml:space="preserve">Wählen Sie hier aus, um welche Art von Baustelle es sich handelt (Größe des Objekts, Holzbau, Stahlbau usw.). </t>
  </si>
  <si>
    <t xml:space="preserve">Summe aller produktionsbedingten Emissionen im Lebenszyklus eines Gebäudes </t>
  </si>
  <si>
    <t xml:space="preserve">Summe aller transportbedingten Emissionen im Lebenszyklus eines Gebäudes </t>
  </si>
  <si>
    <t xml:space="preserve">Summe aller baustellenbedingten Emissionen im Lebenszyklus eines Gebäudes </t>
  </si>
  <si>
    <t>Summe aller betriebsbedingten Emissionen im Lebenszyklus eines Gebäudes (hinsichtlich 20 Jahren)</t>
  </si>
  <si>
    <t>https://nachhaltigwirtschaften.at/resources/sdz_pdf/schriftenreihe-2021-37-co2-neutrale-baustelle.pdf</t>
  </si>
  <si>
    <r>
      <rPr>
        <sz val="22"/>
        <color theme="1"/>
        <rFont val="Calibri"/>
        <family val="2"/>
        <scheme val="minor"/>
      </rPr>
      <t>Angabe zum Lebenszyklus des Gebäudes</t>
    </r>
    <r>
      <rPr>
        <sz val="11"/>
        <color theme="1"/>
        <rFont val="Calibri"/>
        <family val="2"/>
        <scheme val="minor"/>
      </rPr>
      <t xml:space="preserve"> </t>
    </r>
  </si>
  <si>
    <t>Ergenzände Informationen 
Auserhalb des Gebäudezyklus</t>
  </si>
  <si>
    <t xml:space="preserve">A 1-3 </t>
  </si>
  <si>
    <t>A 4-5</t>
  </si>
  <si>
    <t>B 1-7</t>
  </si>
  <si>
    <t>C 1-4</t>
  </si>
  <si>
    <t>D</t>
  </si>
  <si>
    <t xml:space="preserve">Herstellungspahse </t>
  </si>
  <si>
    <t xml:space="preserve">Errichtung </t>
  </si>
  <si>
    <t xml:space="preserve">Entsorgungsphase </t>
  </si>
  <si>
    <t>Vorteile und Belastungen außerhalb der Systemgrenzen</t>
  </si>
  <si>
    <t>A1</t>
  </si>
  <si>
    <t>A2</t>
  </si>
  <si>
    <t xml:space="preserve">A3 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</si>
  <si>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</si>
  <si>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</si>
  <si>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</si>
  <si>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</si>
  <si>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</si>
  <si>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</si>
  <si>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</si>
  <si>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</si>
  <si>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</si>
  <si>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</si>
  <si>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</si>
  <si>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 xml:space="preserve">Potential für Wierderverwendung, Rückgewinnung und Recycling </t>
  </si>
  <si>
    <t>Rohstoff-Beschaffung</t>
  </si>
  <si>
    <t xml:space="preserve">Transport </t>
  </si>
  <si>
    <t xml:space="preserve">Produktion </t>
  </si>
  <si>
    <t xml:space="preserve">Transpoert </t>
  </si>
  <si>
    <t xml:space="preserve">Errichtung / Einbau </t>
  </si>
  <si>
    <t xml:space="preserve">Nutzung </t>
  </si>
  <si>
    <t xml:space="preserve">Instandhaltung </t>
  </si>
  <si>
    <t>Austausch</t>
  </si>
  <si>
    <t xml:space="preserve">Modernisierung </t>
  </si>
  <si>
    <t xml:space="preserve">Rückbau/ Abriss </t>
  </si>
  <si>
    <t xml:space="preserve">Abfallbehandlung </t>
  </si>
  <si>
    <t>Beseitigung</t>
  </si>
  <si>
    <t>Szenario</t>
  </si>
  <si>
    <t>B6</t>
  </si>
  <si>
    <t>B7</t>
  </si>
  <si>
    <t xml:space="preserve">Szenario </t>
  </si>
  <si>
    <t>2003,BG1</t>
  </si>
  <si>
    <t>2010,BG3</t>
  </si>
  <si>
    <t>2018, BG5</t>
  </si>
  <si>
    <t xml:space="preserve">Bilanzgrenzen </t>
  </si>
  <si>
    <t xml:space="preserve">Erläuterung </t>
  </si>
  <si>
    <t xml:space="preserve">Gute Links </t>
  </si>
  <si>
    <t xml:space="preserve">Wie daten beschafft werden </t>
  </si>
  <si>
    <t xml:space="preserve">Hintergrund Datenbank </t>
  </si>
  <si>
    <t xml:space="preserve">https://ecoinvent.org/ </t>
  </si>
  <si>
    <t>BG0 (TGH)</t>
  </si>
  <si>
    <t>Alles Flächen 
Außenmaßbezogen</t>
  </si>
  <si>
    <t xml:space="preserve">Produktspezifische Werte </t>
  </si>
  <si>
    <t xml:space="preserve">https://www.bau-epd.at/ </t>
  </si>
  <si>
    <t>BG1</t>
  </si>
  <si>
    <t>BG2</t>
  </si>
  <si>
    <t xml:space="preserve">BG1 
inkl. Innenwände (Trennbauteile, exkl. Türelemente) </t>
  </si>
  <si>
    <t>Wird derzeit in 
der Praxis nicht verwendet</t>
  </si>
  <si>
    <t>BG3</t>
  </si>
  <si>
    <t xml:space="preserve">BG1 
inkl. Innenwände (gesamt, exkl. Türelemente)  
inkl. Kellerbauteile (inkl. Kellertrennwände, Streifen.- bzw. Punktfundamente) 
inkl. unbeheizte Pufferräume (Baukörper komplett)  
exkl. offene Erschließungsbereiche (Stiegenhäuser, Laubengänge, Loggien, Balkone usw.) </t>
  </si>
  <si>
    <t>BG4</t>
  </si>
  <si>
    <t xml:space="preserve"> BG3 
inkl. offene Erschließungsbereiche </t>
  </si>
  <si>
    <t>BG5</t>
  </si>
  <si>
    <t xml:space="preserve">BG3 
inkl. offene Erschließungsbereiche 
inkl. Haustechnik </t>
  </si>
  <si>
    <t>BG6</t>
  </si>
  <si>
    <t xml:space="preserve">BG5 
inkl. gesamte Außenanlagen (Carport, Fahrradabstellplätze, usw.) inkl. Nebengebäude </t>
  </si>
  <si>
    <t xml:space="preserve">B4 --&gt; Werte einarbeiten und Option mit/ohne Austausch programmieren </t>
  </si>
  <si>
    <t>Standart -Continergröße</t>
  </si>
  <si>
    <t>L</t>
  </si>
  <si>
    <t>B</t>
  </si>
  <si>
    <t>Geltende Vorschriften:</t>
  </si>
  <si>
    <t>Arbeitnähmerinnwnschutzgesetz</t>
  </si>
  <si>
    <t>Bauarbeiterschutzgesetz</t>
  </si>
  <si>
    <t xml:space="preserve">Arbeitsstättenschutzverordnung </t>
  </si>
  <si>
    <t>Mindestanforderungen:</t>
  </si>
  <si>
    <t>Innentemp kalte Jahreszeit 21 °C</t>
  </si>
  <si>
    <t xml:space="preserve">Verfügbare Bodenfläche pro Person </t>
  </si>
  <si>
    <t>2,20 m</t>
  </si>
  <si>
    <t xml:space="preserve">Licht Mindesthöhe </t>
  </si>
  <si>
    <t>21 °C</t>
  </si>
  <si>
    <t>0,75m²</t>
  </si>
  <si>
    <t>1,0m² bei 2,3m RH</t>
  </si>
  <si>
    <t xml:space="preserve">Ein Sitzplatz und Spind Pro Arbeiter </t>
  </si>
  <si>
    <t>Kochniesche muss vorhanden sein</t>
  </si>
  <si>
    <t xml:space="preserve">Aufenhaltscontainer </t>
  </si>
  <si>
    <t>Sanitärcontainer</t>
  </si>
  <si>
    <t xml:space="preserve">Je 20 Mitarbneiter Männlich </t>
  </si>
  <si>
    <t xml:space="preserve">Je 15 Mitarbeiterinnen Weiblich </t>
  </si>
  <si>
    <t xml:space="preserve">Toiletten + Waschgelegenheit </t>
  </si>
  <si>
    <t>Ab 10 Mitarbeiterinnen</t>
  </si>
  <si>
    <t xml:space="preserve">Duschgelägenheit </t>
  </si>
  <si>
    <t>Bürocontainer</t>
  </si>
  <si>
    <t>6-8m²</t>
  </si>
  <si>
    <t>Pro Angestellten</t>
  </si>
  <si>
    <t>Containermagazine</t>
  </si>
  <si>
    <t xml:space="preserve">Lagerung </t>
  </si>
  <si>
    <t xml:space="preserve">Je nach baustelle </t>
  </si>
  <si>
    <t xml:space="preserve">Erstehilfe Container </t>
  </si>
  <si>
    <t xml:space="preserve">Elektrische heizung </t>
  </si>
  <si>
    <t xml:space="preserve">Klimagerät </t>
  </si>
  <si>
    <t>Anschlusskeistung [Watt]</t>
  </si>
  <si>
    <t>Ausstattung</t>
  </si>
  <si>
    <t xml:space="preserve">Ausstattung </t>
  </si>
  <si>
    <t>Anschlussleistung [Watt]</t>
  </si>
  <si>
    <t xml:space="preserve">Beleuchtung </t>
  </si>
  <si>
    <t xml:space="preserve">Elektrische Heizung </t>
  </si>
  <si>
    <t>EDV Equipment</t>
  </si>
  <si>
    <t>Küchencontainer</t>
  </si>
  <si>
    <t xml:space="preserve">Besprächungscontainer </t>
  </si>
  <si>
    <t>Küchengeräte</t>
  </si>
  <si>
    <t>Elektrische Heizung</t>
  </si>
  <si>
    <t xml:space="preserve">grundsetzlich nicht beheizt </t>
  </si>
  <si>
    <t xml:space="preserve">keine Klima </t>
  </si>
  <si>
    <t>keine klima</t>
  </si>
  <si>
    <t>Einsatzdauer [h]</t>
  </si>
  <si>
    <t>Verbrauch [kWh]</t>
  </si>
  <si>
    <t>Küchengerätnutzung</t>
  </si>
  <si>
    <t xml:space="preserve">Heizung </t>
  </si>
  <si>
    <t>Magazin/Erste Hilfe C.</t>
  </si>
  <si>
    <t>/</t>
  </si>
  <si>
    <t xml:space="preserve">Kühlung </t>
  </si>
  <si>
    <t xml:space="preserve">Magazin/Erste hilfe/ Sanitär C. </t>
  </si>
  <si>
    <t>S44-45</t>
  </si>
  <si>
    <t>Art der Beleuchtung</t>
  </si>
  <si>
    <t xml:space="preserve">Anzahl der Container </t>
  </si>
  <si>
    <t>Baustellenschenwerfer [1]</t>
  </si>
  <si>
    <t>Baustrahler [1]</t>
  </si>
  <si>
    <t xml:space="preserve">Innenbeläuchtung von containern </t>
  </si>
  <si>
    <t>CO2-Eq.</t>
  </si>
  <si>
    <t>S 49</t>
  </si>
  <si>
    <t>Baukran</t>
  </si>
  <si>
    <t xml:space="preserve">Gleichzeitigkeitsfaktor </t>
  </si>
  <si>
    <t xml:space="preserve">Wochen / Monat </t>
  </si>
  <si>
    <t>Gesammtleistung des Kranes [kWh]</t>
  </si>
  <si>
    <t>Wochenarbeitsstunden [h/Woche]</t>
  </si>
  <si>
    <t xml:space="preserve">Einsatzfaktor </t>
  </si>
  <si>
    <t>fix</t>
  </si>
  <si>
    <t>Nutzungszeit Kran [Monate]</t>
  </si>
  <si>
    <t xml:space="preserve">hintergrund berechnung </t>
  </si>
  <si>
    <t>Erdbaugeräte</t>
  </si>
  <si>
    <t>S 50-51</t>
  </si>
  <si>
    <t xml:space="preserve">Hydraulikbagger </t>
  </si>
  <si>
    <t>Gewicht [t]</t>
  </si>
  <si>
    <t>Löffelinhalt [l]</t>
  </si>
  <si>
    <t>Föffelgewicht</t>
  </si>
  <si>
    <t xml:space="preserve">Annahme Füllfaktor </t>
  </si>
  <si>
    <t>Ladespiel pro Stunde 60 -80[LS/h]</t>
  </si>
  <si>
    <t xml:space="preserve"> INSTITUT FÜR INTERDISZIPLINÄRES BAUPROZESSMANAGEMENT TU WIEN – IBPM </t>
  </si>
  <si>
    <t xml:space="preserve">(2020): Studienblätter Bauverfahrenstechnik – Kapitel Erdbau, Wien, Auflage SS 2020 </t>
  </si>
  <si>
    <t>Leistung des Hydraulikbaggers m²lose/h</t>
  </si>
  <si>
    <t>Aushub oder Hinterfüllungs menge [m³]</t>
  </si>
  <si>
    <t>Erforderliche einsatzdauer [h]</t>
  </si>
  <si>
    <t>Treibstoffverbrauch [l]</t>
  </si>
  <si>
    <t>Duchschnttlicher treibstoffverbrauch [l/h]</t>
  </si>
  <si>
    <t>Quelle :</t>
  </si>
  <si>
    <t xml:space="preserve">eingabe </t>
  </si>
  <si>
    <t>hintergrund berechnung</t>
  </si>
  <si>
    <t xml:space="preserve">Falls bekannt ändern </t>
  </si>
  <si>
    <t xml:space="preserve">Betonmischer </t>
  </si>
  <si>
    <t>Treibstoffverbrauch währende entladung auf Baustelle [l/h]</t>
  </si>
  <si>
    <t xml:space="preserve"> Enrergieverbrauch [kWh/Monat]  </t>
  </si>
  <si>
    <t>Größe des Betonkübels [m³]</t>
  </si>
  <si>
    <t>Zeit bis zu  nähsten bedfüllungsprozess [min]</t>
  </si>
  <si>
    <t>Befüllung eines Betonkübels  [h/m³]</t>
  </si>
  <si>
    <t>Ausladezeit [min]</t>
  </si>
  <si>
    <t>Treibstoffverbrauch auf baustelle [l]</t>
  </si>
  <si>
    <t>Betonmischer volumen [m³]</t>
  </si>
  <si>
    <t>100 Vgl. Wernet, G., Bauer, C., Steubing, B., Reinhard, J., Moreno-Ruiz, E., and Weidema, B., 2019. The ecoin-</t>
  </si>
  <si>
    <t>vent database version 3 (part 6): overview and methodology. The International Journal of Life Cycle Assess-</t>
  </si>
  <si>
    <t>ment, [online] 21(9), pp.1218–1230. Available at: &lt;http://link.springer.com/10.1007/s11367-016-1087-</t>
  </si>
  <si>
    <t xml:space="preserve">8&gt; [Accessed 15 07 2021]. </t>
  </si>
  <si>
    <t xml:space="preserve">101 Vgl. Umweltbundesamt (online), 2020 </t>
  </si>
  <si>
    <t xml:space="preserve">102 Vgl. Umweltbundesamt (online), 2020 </t>
  </si>
  <si>
    <t>S 52-53</t>
  </si>
  <si>
    <t>S 56-57</t>
  </si>
  <si>
    <t>S 64</t>
  </si>
  <si>
    <t>S 68</t>
  </si>
  <si>
    <t>Verbrauch [kWh] / Woche</t>
  </si>
  <si>
    <t>Verbrauch [kWh]/Woche</t>
  </si>
  <si>
    <t>Besprächung C.</t>
  </si>
  <si>
    <t>Büro C.</t>
  </si>
  <si>
    <t>Sanitär C.</t>
  </si>
  <si>
    <t xml:space="preserve">Warmwasser </t>
  </si>
  <si>
    <t>Verbrauch [kWh] /Woche</t>
  </si>
  <si>
    <t xml:space="preserve">Materialaufzug </t>
  </si>
  <si>
    <t xml:space="preserve">Elektro gerätre </t>
  </si>
  <si>
    <t xml:space="preserve">Seite </t>
  </si>
  <si>
    <t xml:space="preserve">Baustellenbeleuchtung </t>
  </si>
  <si>
    <t xml:space="preserve">Kran </t>
  </si>
  <si>
    <t>50-51</t>
  </si>
  <si>
    <t>Hydraulikbagger</t>
  </si>
  <si>
    <t>52-53</t>
  </si>
  <si>
    <t xml:space="preserve">Betonmischer verbrauch auf baustelle </t>
  </si>
  <si>
    <t>56-57</t>
  </si>
  <si>
    <t>Autokran (nur verbrauch pro h angegeben )</t>
  </si>
  <si>
    <t>Wichtigsten Informationen</t>
  </si>
  <si>
    <t>211109_Diplomarbeit_CO2 neutrale Baustelle (Seite 54)</t>
  </si>
  <si>
    <t>https://www.umweltbundesamt.at/umweltthemen/umweltmanagement/thg-emissionsrechner</t>
  </si>
  <si>
    <t>Alle anderen</t>
  </si>
  <si>
    <t xml:space="preserve">Bürocontainer </t>
  </si>
  <si>
    <t>Alle anderen Container</t>
  </si>
  <si>
    <t>EDV/IT (Büro)</t>
  </si>
  <si>
    <t xml:space="preserve">Infos pro Container nicht Beispielgebunden </t>
  </si>
  <si>
    <t>Beispiel-</t>
  </si>
  <si>
    <t>gebunden</t>
  </si>
  <si>
    <t xml:space="preserve">Besprechungscontainer </t>
  </si>
  <si>
    <t>Sanitätcontainer</t>
  </si>
  <si>
    <t>Aufenthaltscontainer</t>
  </si>
  <si>
    <t>Magazincontainer</t>
  </si>
  <si>
    <t>Erste Hilfe Container</t>
  </si>
  <si>
    <t xml:space="preserve">Diesel </t>
  </si>
  <si>
    <t>[kg/l]</t>
  </si>
  <si>
    <t xml:space="preserve">Benzin </t>
  </si>
  <si>
    <t xml:space="preserve">CO2 ausstoß pro verbranntem Liter </t>
  </si>
  <si>
    <t>Quelle:</t>
  </si>
  <si>
    <t>https://innovationorigins.com/en/producing-gasoline-and-diesel-emits-more-co2-than-we-thought/</t>
  </si>
  <si>
    <t>https://theicct.org/wp-content/uploads/2022/01/Gas-_v-_Diesel_-CO2_emissions_-EN_-Fact-_Sheet-2019_05_07_0.pdf</t>
  </si>
  <si>
    <t xml:space="preserve">Zum ansehen </t>
  </si>
  <si>
    <t>Quelle 1:</t>
  </si>
  <si>
    <t>Quelle 2:</t>
  </si>
  <si>
    <t>https://natural-resources.canada.ca/sites/nrcan/files/oee/pdf/transportation/fuel-efficient-technologies/autosmart_factsheet_9_e.pdf</t>
  </si>
  <si>
    <t>Quelle 3:</t>
  </si>
  <si>
    <t>Quelle 4:</t>
  </si>
  <si>
    <t>https://www.driverknowledgetests.com/resources/why-does-burning-1-litre-of-fuel-create-over-2kg-of-carbon-dioxide/</t>
  </si>
  <si>
    <t>https://connectedfleet.michelin.com/blog/calculate-co2-emissions</t>
  </si>
  <si>
    <t>Quelle 5:</t>
  </si>
  <si>
    <t>https://www.solarify.eu/2020/01/25/837-wie-viel-co2-steckt-in-einem-liter-benzin/</t>
  </si>
  <si>
    <t>Quelle 6:</t>
  </si>
  <si>
    <t>https://comcar.co.uk/emissions/co2litre/</t>
  </si>
  <si>
    <t>https://comcar.co.uk/emissions/co2litre/index.cfm?&amp;fueltype=diesel</t>
  </si>
  <si>
    <t>Quelle 7:</t>
  </si>
  <si>
    <t>https://people.exeter.ac.uk/TWDavies/energy_conversion/Calculation%20of%20CO2%20emissions%20from%20fuels.htm</t>
  </si>
  <si>
    <t>https://www.maschinenring.de/fileadmin/media/Lokale_Ringe/MR_Gifhorn/PDF/2015/1-2015_VSKZ_Neuberechnung_zur_MV_2015.pdf</t>
  </si>
  <si>
    <t>https://www.wko.at/branchen/gewerbe-handwerk/bau/Kalkulation_von_Erdbaugeraeten_-_Download_Broschuere.pdf</t>
  </si>
  <si>
    <t>seite 7</t>
  </si>
  <si>
    <t>https://www.holzbauwallner.at/mietgeraete/bagger.html</t>
  </si>
  <si>
    <t>https://wiki.einsatzleiterwiki.de/doku.php?id=allgemein:kraftstoffverbrauch</t>
  </si>
  <si>
    <t>Berechnungen</t>
  </si>
  <si>
    <t>Sanitärtcontainer</t>
  </si>
  <si>
    <t xml:space="preserve">Erste Hilfe Container </t>
  </si>
  <si>
    <t xml:space="preserve">Legende: </t>
  </si>
  <si>
    <t>Wert eingeben!</t>
  </si>
  <si>
    <t>BM</t>
  </si>
  <si>
    <t xml:space="preserve">Betriebsmonate </t>
  </si>
  <si>
    <t>Anzahl</t>
  </si>
  <si>
    <t>Besprechungscontainer</t>
  </si>
  <si>
    <t xml:space="preserve">Stromverbrauch </t>
  </si>
  <si>
    <t xml:space="preserve">Summe: </t>
  </si>
  <si>
    <r>
      <t>Entstehenden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</t>
    </r>
  </si>
  <si>
    <t xml:space="preserve">Transport: </t>
  </si>
  <si>
    <t xml:space="preserve">x4 für ein Betriebsmonat </t>
  </si>
  <si>
    <t xml:space="preserve">Summe aller Container </t>
  </si>
  <si>
    <t xml:space="preserve">Distanz </t>
  </si>
  <si>
    <t xml:space="preserve">x2, weil wieder abtransportiert </t>
  </si>
  <si>
    <t>Entstehenden CO2-Emissionen</t>
  </si>
  <si>
    <t>Berechnungen basieren auf Angaben seitens TU-Wien - Baumanagement!</t>
  </si>
  <si>
    <t>Container-Dorf</t>
  </si>
  <si>
    <t>Stromversorgung</t>
  </si>
  <si>
    <t xml:space="preserve">Pauschale Eingabe </t>
  </si>
  <si>
    <t xml:space="preserve">Geben Sie die Betriebszeit Ihrer Baustelle an </t>
  </si>
  <si>
    <t>Jänner</t>
  </si>
  <si>
    <t xml:space="preserve">Februar 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</si>
  <si>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</si>
  <si>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</si>
  <si>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</si>
  <si>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</si>
  <si>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</si>
  <si>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</si>
  <si>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</si>
  <si>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</si>
  <si>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</si>
  <si>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</si>
  <si>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Energieverbrauch pro Monat [kWh]</t>
  </si>
  <si>
    <t>Gesamtenergieverbrauch [kWh]</t>
  </si>
  <si>
    <t>Heizversorgung</t>
  </si>
  <si>
    <t>https://dokumente.wienenergie.at/wp-content/uploads/Vollumfassende-Stromkennzeichnung_2023_05.pdf</t>
  </si>
  <si>
    <t>https://www.tugraz.at/fileadmin/user_upload/Events/Eninnov2012/files/pr/PR_Beermann_2.pdf</t>
  </si>
  <si>
    <t>https://secure.umweltbundesamt.at/co2mon/co2mon.html</t>
  </si>
  <si>
    <t>Geben Sie den Verbrauch des Heizöls an [Liter]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</si>
  <si>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[kg]</t>
    </r>
  </si>
  <si>
    <t xml:space="preserve">Gesamtsumme C02-Ausstoß Heizversorgung </t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</si>
  <si>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</si>
  <si>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Mobile Heizung Heizöl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</si>
  <si>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 xml:space="preserve">Gesamt CO2-Ausstoß auf der Baustelle </t>
  </si>
  <si>
    <t>Spalte1</t>
  </si>
  <si>
    <t>Eigene Eingabe Energieverbrauch pro Monat [kWh]</t>
  </si>
  <si>
    <t>Eingabefelder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</si>
  <si>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</si>
  <si>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 xml:space="preserve">Legende </t>
  </si>
  <si>
    <t xml:space="preserve">Genaue Eingabe Monate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</si>
  <si>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</si>
  <si>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>ODER</t>
  </si>
  <si>
    <t>Stromverbräuche [kWh]</t>
  </si>
  <si>
    <t>Strom Heizverbäuche [MWh]</t>
  </si>
  <si>
    <t>Anzahl Geschoße:</t>
  </si>
  <si>
    <r>
      <t>Elektrische Wärmebereitung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]  </t>
    </r>
  </si>
  <si>
    <r>
      <rPr>
        <b/>
        <sz val="11"/>
        <color theme="1"/>
        <rFont val="Calibri"/>
        <family val="2"/>
        <scheme val="minor"/>
      </rPr>
      <t xml:space="preserve">Bei den einzelnen Monaten die Energieverbräuche in [kWh] angeben! Bei mehreren Jahren bitte die Verbräuche zusammenzählen! </t>
    </r>
    <r>
      <rPr>
        <sz val="11"/>
        <color theme="1"/>
        <rFont val="Calibri"/>
        <family val="2"/>
        <scheme val="minor"/>
      </rPr>
      <t xml:space="preserve"> </t>
    </r>
  </si>
  <si>
    <t>Eigene Eingabe Heizstromverbrauch/Monat [MWh]</t>
  </si>
  <si>
    <t>Benötigter Strom für Heizversorgung [MWh]</t>
  </si>
  <si>
    <t xml:space="preserve">Erklärung Böschungswinkel (siehe Skizzen) </t>
  </si>
  <si>
    <t xml:space="preserve">Quelle: </t>
  </si>
  <si>
    <t xml:space="preserve">TU-Wien </t>
  </si>
  <si>
    <t xml:space="preserve">nur Angaben treffen, wenn das Feld angekreuzt wurde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</si>
  <si>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Heizöl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/Liter ]</t>
    </r>
  </si>
  <si>
    <t xml:space="preserve">Ist eine Heizversorgung vorhanden? Wenn ja, bitte ein Hackerl setzen! </t>
  </si>
  <si>
    <t>Gesamt Stromverbauch für die Heizversorgung [kWh]</t>
  </si>
  <si>
    <t xml:space="preserve">Verbrauch pro m² </t>
  </si>
  <si>
    <t>Strom</t>
  </si>
  <si>
    <t>Heiz</t>
  </si>
  <si>
    <t>Pro Monat und m²</t>
  </si>
  <si>
    <t>BGF</t>
  </si>
  <si>
    <t xml:space="preserve">Berechnungsvorgang </t>
  </si>
  <si>
    <t xml:space="preserve">Daten von Sedlak wurden aufgearbeitet wie viel benötigt worden ist, pro Monat und Geschoß. </t>
  </si>
  <si>
    <t xml:space="preserve">Erstellen einer Potenzgleichung und anhand dieser eine lineare Gleichung </t>
  </si>
  <si>
    <t>Mit der linearen Gleichung wurden die geschätzten Verbräuche pro Geschoß und Monat ermittelt</t>
  </si>
  <si>
    <t>Schlussendlich wurden die Resultate in der oberen Tabelle eingepflegt</t>
  </si>
  <si>
    <t>Weitere Berechnung in Excel ersichtlich</t>
  </si>
  <si>
    <t>Berechnungen Transportemissionen siehe Blatt Materialien ex Beton und Fenster</t>
  </si>
  <si>
    <t xml:space="preserve">Reduktionsmaßnahmen mit Ökostrom </t>
  </si>
  <si>
    <t>GWP raussuchen !!! Für Österreich; Strommix; herkömmlicher Strom</t>
  </si>
  <si>
    <t xml:space="preserve">Nutzungsphase </t>
  </si>
  <si>
    <t xml:space="preserve">Energieverbrauch im Betrieb </t>
  </si>
  <si>
    <t>Wasserverbrauch im Betrieb</t>
  </si>
  <si>
    <t xml:space="preserve">Informationen zur Gebäudebeurteilung </t>
  </si>
  <si>
    <t>Bauteile der thermischen Gebäudehülle 
exkl. Dacheindeckung 
exkl. Feuchtigkeitsabdichtungen 
exkl. hinterlüftete Fassaden 
inkl. Zwischendecken</t>
  </si>
  <si>
    <t>Bauteile der thermischen Gebäudehülle (Bauteile vollständig) inkl.Zwischendecken</t>
  </si>
  <si>
    <t>Tonnen</t>
  </si>
  <si>
    <t>Ausgabe</t>
  </si>
  <si>
    <t>Kies</t>
  </si>
  <si>
    <t>Zement</t>
  </si>
  <si>
    <t>Wasser</t>
  </si>
  <si>
    <t xml:space="preserve">Am meisten werden CO2-Emissionen ausgestoßen aufgrund des Zements (Klinkeranteil). </t>
  </si>
  <si>
    <t xml:space="preserve">Genaue Auflistung der Anteile siehe Tabelle (Quelle: ÖNORM EN 197-1) </t>
  </si>
  <si>
    <t>Zementsorten in Österreich</t>
  </si>
  <si>
    <t xml:space="preserve">Hauptzementart </t>
  </si>
  <si>
    <t>Bezeichnung</t>
  </si>
  <si>
    <t xml:space="preserve">Zusammensetzung: Masseanteil in Prozent </t>
  </si>
  <si>
    <t>Kennzeichnung</t>
  </si>
  <si>
    <t xml:space="preserve">Portlandzement-klinker K </t>
  </si>
  <si>
    <t>Hüttensand S</t>
  </si>
  <si>
    <t>Flugasche</t>
  </si>
  <si>
    <t>Kieselsäurereiche V</t>
  </si>
  <si>
    <t>Kalkstein L</t>
  </si>
  <si>
    <t xml:space="preserve">Nebenbestandteile </t>
  </si>
  <si>
    <t>I</t>
  </si>
  <si>
    <t>II</t>
  </si>
  <si>
    <t>III</t>
  </si>
  <si>
    <t>Portlandzement</t>
  </si>
  <si>
    <t>Portlandhüttenzement</t>
  </si>
  <si>
    <t>Hochofenzement</t>
  </si>
  <si>
    <t>II/A-S</t>
  </si>
  <si>
    <t>Portlandflugaschezement</t>
  </si>
  <si>
    <t>II/B-S</t>
  </si>
  <si>
    <t>Portlanfkalksteinzement</t>
  </si>
  <si>
    <t>Portlandcompositzement</t>
  </si>
  <si>
    <t>II/A-V</t>
  </si>
  <si>
    <t>II/B-V</t>
  </si>
  <si>
    <t>II/A-L</t>
  </si>
  <si>
    <t>II/B-L</t>
  </si>
  <si>
    <t>II/A-M</t>
  </si>
  <si>
    <t>II/B-M</t>
  </si>
  <si>
    <t>III/A</t>
  </si>
  <si>
    <t>III/B</t>
  </si>
  <si>
    <t>95-100</t>
  </si>
  <si>
    <t>80-94</t>
  </si>
  <si>
    <t>65-79</t>
  </si>
  <si>
    <t>35-64</t>
  </si>
  <si>
    <t>20-34</t>
  </si>
  <si>
    <t>-</t>
  </si>
  <si>
    <t>6-20</t>
  </si>
  <si>
    <t>21-35</t>
  </si>
  <si>
    <t>35-65</t>
  </si>
  <si>
    <t>66-80</t>
  </si>
  <si>
    <t>0-5</t>
  </si>
  <si>
    <t>Gesteinskörnung</t>
  </si>
  <si>
    <t>Summe gesamte CO2-Emissionen betrachtet hinsichtlich Container-Dorf</t>
  </si>
  <si>
    <t>Besprechung C.</t>
  </si>
  <si>
    <t xml:space="preserve">max. W/Z-Wert </t>
  </si>
  <si>
    <t>C25/30</t>
  </si>
  <si>
    <t>C30/37</t>
  </si>
  <si>
    <t>C50/60</t>
  </si>
  <si>
    <t>Mindestzementgehalt [kg/m³]</t>
  </si>
  <si>
    <t>Masse pro m³</t>
  </si>
  <si>
    <t xml:space="preserve">Beton Zusammensetzung C25/30: </t>
  </si>
  <si>
    <t xml:space="preserve">Beton Zusammensetzung C30/37: </t>
  </si>
  <si>
    <t>x</t>
  </si>
  <si>
    <t>Bei C25/30</t>
  </si>
  <si>
    <t>kg pro m³</t>
  </si>
  <si>
    <t>Zement inkl. ZSS</t>
  </si>
  <si>
    <t>Bei C30/37</t>
  </si>
  <si>
    <t>Info aus OENORM_EN_206</t>
  </si>
  <si>
    <t>für ÖKOBETON C30/37 XC1</t>
  </si>
  <si>
    <t>GWP_ÖKOBETON C25/30</t>
  </si>
  <si>
    <t>GWP_ÖKOBETON C30/37</t>
  </si>
  <si>
    <t>Info aus "Zusammensetzung von Normalbeton-Mischberechnung"</t>
  </si>
  <si>
    <t>Ökobeton C25/30</t>
  </si>
  <si>
    <t>Ökobeton C30/37</t>
  </si>
  <si>
    <t xml:space="preserve">Stromwerte beziehen sich derzeit auf den Bericht vom Umweltbundeamt: Österreichische Treibhausgas-Emissionsfaktoren </t>
  </si>
  <si>
    <t xml:space="preserve">Bitte Beton wählen: </t>
  </si>
  <si>
    <t>C25/30 CEM I</t>
  </si>
  <si>
    <t>C25/30 CEM II</t>
  </si>
  <si>
    <t>C30/37 CEM I</t>
  </si>
  <si>
    <t>C30/37 CEM II</t>
  </si>
  <si>
    <t xml:space="preserve">RCC-Arten </t>
  </si>
  <si>
    <t xml:space="preserve">Reduktion (prozentuell) </t>
  </si>
  <si>
    <t>CEM II</t>
  </si>
  <si>
    <t>CEM I</t>
  </si>
  <si>
    <t>RCC C25/30 CEM I</t>
  </si>
  <si>
    <t>RCC C25/30 CEM II</t>
  </si>
  <si>
    <t>RCC C30/37 CEM I</t>
  </si>
  <si>
    <t>RCC C30/37 CEM II</t>
  </si>
  <si>
    <t>Zusatzstoff</t>
  </si>
  <si>
    <t xml:space="preserve">RCC C30/37 CEM I </t>
  </si>
  <si>
    <t>Typ</t>
  </si>
  <si>
    <t>Spaltenindex</t>
  </si>
  <si>
    <t>Produktion: Gebäude und Baugrube inkl. Aushub</t>
  </si>
  <si>
    <t>Transport: : Gebäude und Baugrube inkl. Aushub</t>
  </si>
  <si>
    <t>Baustelle inkl. Abbruch</t>
  </si>
  <si>
    <t xml:space="preserve">Beton / Zement </t>
  </si>
  <si>
    <t>Quellen: ÖNORM_EN_206</t>
  </si>
  <si>
    <t>https://nachhaltigwirtschaften.at/de/sdz/projekte/reduced-carbon-concrete.php</t>
  </si>
  <si>
    <t>Laufmeter neu</t>
  </si>
  <si>
    <t xml:space="preserve">Die strichlierte Linie gibt die Gesamtlänge der Laufmeter an </t>
  </si>
  <si>
    <t>Mater</t>
  </si>
  <si>
    <t xml:space="preserve">Mittelwert </t>
  </si>
  <si>
    <t>Spritzbeton inkl. mit Böschungsmöglichkeit</t>
  </si>
  <si>
    <t>Spritz &amp; Bösch &amp; Nägel</t>
  </si>
  <si>
    <t>Stahlnägel</t>
  </si>
  <si>
    <t xml:space="preserve">Standard Durchmesser: </t>
  </si>
  <si>
    <t xml:space="preserve">Wahl Durchmesser </t>
  </si>
  <si>
    <t xml:space="preserve">Anzahl </t>
  </si>
  <si>
    <t>Länge</t>
  </si>
  <si>
    <t>Dichte Stahl</t>
  </si>
  <si>
    <t>GWP Stahl</t>
  </si>
  <si>
    <t xml:space="preserve">Ansonsten mit den anderen Laufmetern rechnen </t>
  </si>
  <si>
    <t xml:space="preserve">Laufmeter bis Kellerwand </t>
  </si>
  <si>
    <t xml:space="preserve">alt, nicht verwenden </t>
  </si>
  <si>
    <t xml:space="preserve">neu </t>
  </si>
  <si>
    <t>wird nicht benötigt!!!!</t>
  </si>
  <si>
    <t>Arbeitsgraben ja/nein?</t>
  </si>
  <si>
    <t xml:space="preserve">Falls man zusätzlich den Arbeitsgraben einbeziehen </t>
  </si>
  <si>
    <t>möchte, soll der Button gewählt werden.</t>
  </si>
  <si>
    <t>Massivholzplatte</t>
  </si>
  <si>
    <t>CW75-Profil</t>
  </si>
  <si>
    <t>ISOVER KONTUR KP 1- 035</t>
  </si>
  <si>
    <t>Massivholzplatten (3-Schicht, 5-Schicht), Fichte/Tanne (475 kg/m³)</t>
  </si>
  <si>
    <t xml:space="preserve">AUSTROTHERM XPS </t>
  </si>
  <si>
    <t>codex AX 220 | 2-K Flex-Dichtschlämme/ Verbundabdichtung</t>
  </si>
  <si>
    <t>EPS-(RECYCLING) Granulat Ausgleichsschüttungen mit Bindemitteln od. zementgebund</t>
  </si>
  <si>
    <t>Dampfbremse Polyethylen (PE)</t>
  </si>
  <si>
    <t>ISOVER Trittschall-Dämmplatte T TDPT</t>
  </si>
  <si>
    <t>PE-Folie</t>
  </si>
  <si>
    <t>CW50-Profil</t>
  </si>
  <si>
    <t>Mineralwolle</t>
  </si>
  <si>
    <t>Vlies</t>
  </si>
  <si>
    <t>Mehrschichtparkett</t>
  </si>
  <si>
    <t>Belag: Holz</t>
  </si>
  <si>
    <t>Kautschukbelag</t>
  </si>
  <si>
    <t>Außenputz (Sto-Silkolit K)</t>
  </si>
  <si>
    <t>Holzfaserdämmplatte (Sto Thermowood)</t>
  </si>
  <si>
    <t>STEICOflex 036</t>
  </si>
  <si>
    <t xml:space="preserve">Massivholzplatte </t>
  </si>
  <si>
    <t>CW-Profil 75</t>
  </si>
  <si>
    <t>ISOVER Kontur KP 1-035</t>
  </si>
  <si>
    <t xml:space="preserve">Trenn- und Speichervlies </t>
  </si>
  <si>
    <t>Abdichtung lt. Önorm durchwurzelungsfest</t>
  </si>
  <si>
    <t>EPS W25</t>
  </si>
  <si>
    <t>Gefälledämmplatte EPS W25 i.Mi.</t>
  </si>
  <si>
    <t>Dampfsperre</t>
  </si>
  <si>
    <t>Sand, Kies lufttrocken, Pflanzensubstrat</t>
  </si>
  <si>
    <t>Schutzvlies</t>
  </si>
  <si>
    <t>Sarnafil TG 66</t>
  </si>
  <si>
    <t>Gefälledämmung EPS W25 i.Mi.</t>
  </si>
  <si>
    <t>Wärmedämmung EPS W25</t>
  </si>
  <si>
    <t>Dampfsperre Bauder TEC KSD</t>
  </si>
  <si>
    <t>Massivholzdecke</t>
  </si>
  <si>
    <t>1x1,25 cm Rigips Feuerschutzplatte</t>
  </si>
  <si>
    <t>2x1,25cm Rigips Feuerschutzplatte imprägniert</t>
  </si>
  <si>
    <t>RÖFIX 970 Zementestrich</t>
  </si>
  <si>
    <t>Belag: Fliesen</t>
  </si>
  <si>
    <t>Belag: Kokosfasermatte</t>
  </si>
  <si>
    <t>2x1,25 cm Rigips Feuerschutzplatte</t>
  </si>
  <si>
    <t>3S-Platte</t>
  </si>
  <si>
    <t>3S Platte</t>
  </si>
  <si>
    <t>Nutzholz (475 kg/m³ - zB Fichte/Tanne) - rauh, luftgetrocknet</t>
  </si>
  <si>
    <t>Platte mit Kühlschläuchen (FERMACELL Gipsfaser-Platte)</t>
  </si>
  <si>
    <t>Holz-UK</t>
  </si>
  <si>
    <t>woodup:Holz</t>
  </si>
  <si>
    <t>Trittschallmatte (STEICO Ecosilent)</t>
  </si>
  <si>
    <t>Hohlkastendeckenkonstruktion</t>
  </si>
  <si>
    <t xml:space="preserve">Dampfbremse </t>
  </si>
  <si>
    <t>2x1,25 cm Rigips Feuerschutzplatte imprägniert</t>
  </si>
  <si>
    <t>Magerbeton / Schütt- und Stampfbeton</t>
  </si>
  <si>
    <t>Normalbeton mit Bewehrung  1 % (2300 kg/m³)</t>
  </si>
  <si>
    <t>Holz-Alu-Rahmen Fichte &gt;=109 Stockrahmentiefe</t>
  </si>
  <si>
    <t>Wärmeschutzglas Ug=0,5</t>
  </si>
  <si>
    <t>Gefälledämmung EPS-W 25 [?=0,031W/mK] i.M.</t>
  </si>
  <si>
    <t xml:space="preserve">Gipsplatte </t>
  </si>
  <si>
    <t>Holzspandämmplatte zementgebunden ( Isozell All-in Prozect Fassadenplatte)</t>
  </si>
  <si>
    <t>Plattenbelag</t>
  </si>
  <si>
    <t>Kies i.M.</t>
  </si>
  <si>
    <t>Gummimatte [s'&lt;100MN/m³]</t>
  </si>
  <si>
    <t>Schutz- und Filtervlies</t>
  </si>
  <si>
    <t>Feuchtigkeitsabdichtung (lt. ÖNORM)</t>
  </si>
  <si>
    <t>Dampfdruck-Ausgleichsschicht / Entspannungsschicht</t>
  </si>
  <si>
    <t>Dampfsperre [sd&gt;1500m]</t>
  </si>
  <si>
    <t>Spachtelung</t>
  </si>
  <si>
    <t>Dachabdichtungsbahn</t>
  </si>
  <si>
    <t xml:space="preserve"> Polystyrol EPS</t>
  </si>
  <si>
    <t>Bitumen</t>
  </si>
  <si>
    <t xml:space="preserve">Brettsperrholz </t>
  </si>
  <si>
    <t>Minaralwolle</t>
  </si>
  <si>
    <t>Putze</t>
  </si>
  <si>
    <t>Mauerziegel voll + Normalmauermörtel (1500 kg/m³)</t>
  </si>
  <si>
    <t>ISOCELL Zellulosefaserdämmstoff</t>
  </si>
  <si>
    <t>Unterputz</t>
  </si>
  <si>
    <t xml:space="preserve">Holz Lärche Außenwandverkleidung </t>
  </si>
  <si>
    <t xml:space="preserve">Hoz Fichte Lattung (30/60) Hinterlüftet </t>
  </si>
  <si>
    <t>MDF</t>
  </si>
  <si>
    <t>Konstruktionsholz quer ( 60/160)</t>
  </si>
  <si>
    <t>Brettsperrholz (verklebt) ( min 3-lagig, Decklage mom 30mm)</t>
  </si>
  <si>
    <t xml:space="preserve">Holz Fichte Lattung (50/80) auf Schwingbügel </t>
  </si>
  <si>
    <t>PAROC CGL 20cy Kellerdeckendämmplatte</t>
  </si>
  <si>
    <t>Dämmkork (100 kg/m³)</t>
  </si>
  <si>
    <t>Zement- und Zementfließestrich (1800 kg/m³)</t>
  </si>
  <si>
    <t>Textil-Belag, Teppich (200 kg/m³)</t>
  </si>
  <si>
    <t>Stahlbeton 140 kg/m³ Armierungsstahl (1,75 Vol.%)</t>
  </si>
  <si>
    <t>Gaulhofer 3-S GM06 Ug=0,6 Wärmeschutzglas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</si>
</sst>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0.00000000"/>
    <numFmt numFmtId="166" formatCode="0.0"/>
    <numFmt numFmtId="167" formatCode="0.000000"/>
    <numFmt numFmtId="168" formatCode="_-* #,##0.0_-;\-* #,##0.0_-;_-* &quot;-&quot;??_-;_-@_-"/>
    <numFmt numFmtId="169" formatCode="_-* #,##0.0_-;\-* #,##0.0_-;_-* &quot;-&quot;?_-;_-@_-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Segoe UI"/>
      <family val="2"/>
    </font>
    <font>
      <sz val="11"/>
      <color theme="5" tint="0.7999816888943144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color rgb="FF000000"/>
      <name val="Segoe UI"/>
      <family val="2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 tint="0.499984740745262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C7CE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4A4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9" fontId="13" fillId="0" borderId="0" applyFont="0" applyFill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23" applyNumberFormat="0" applyAlignment="0" applyProtection="0"/>
    <xf numFmtId="0" fontId="15" fillId="27" borderId="0" applyNumberFormat="0" applyBorder="0" applyAlignment="0" applyProtection="0"/>
    <xf numFmtId="0" fontId="13" fillId="28" borderId="0" applyNumberFormat="0" applyBorder="0" applyAlignment="0" applyProtection="0"/>
    <xf numFmtId="0" fontId="15" fillId="29" borderId="0" applyNumberFormat="0" applyBorder="0" applyAlignment="0" applyProtection="0"/>
    <xf numFmtId="0" fontId="13" fillId="30" borderId="0" applyNumberFormat="0" applyBorder="0" applyAlignment="0" applyProtection="0"/>
    <xf numFmtId="43" fontId="13" fillId="0" borderId="0" applyFont="0" applyFill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</cellStyleXfs>
  <cellXfs count="5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0" xfId="0" applyFont="1"/>
    <xf numFmtId="0" fontId="2" fillId="0" borderId="7" xfId="0" applyFont="1" applyBorder="1"/>
    <xf numFmtId="0" fontId="0" fillId="0" borderId="9" xfId="0" applyBorder="1"/>
    <xf numFmtId="0" fontId="0" fillId="5" borderId="0" xfId="0" applyFill="1"/>
    <xf numFmtId="10" fontId="0" fillId="5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2" fontId="0" fillId="0" borderId="0" xfId="0" applyNumberFormat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/>
    <xf numFmtId="0" fontId="0" fillId="11" borderId="0" xfId="0" applyFill="1"/>
    <xf numFmtId="0" fontId="3" fillId="11" borderId="0" xfId="1" applyFill="1"/>
    <xf numFmtId="164" fontId="0" fillId="9" borderId="0" xfId="0" applyNumberFormat="1" applyFill="1"/>
    <xf numFmtId="0" fontId="0" fillId="13" borderId="0" xfId="0" applyFill="1"/>
    <xf numFmtId="165" fontId="0" fillId="0" borderId="0" xfId="0" applyNumberFormat="1" applyAlignment="1">
      <alignment horizontal="center"/>
    </xf>
    <xf numFmtId="0" fontId="6" fillId="0" borderId="0" xfId="0" applyFont="1"/>
    <xf numFmtId="0" fontId="7" fillId="14" borderId="0" xfId="0" applyFont="1" applyFill="1" applyAlignment="1">
      <alignment horizont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2" fontId="0" fillId="14" borderId="0" xfId="0" applyNumberFormat="1" applyFill="1"/>
    <xf numFmtId="0" fontId="0" fillId="14" borderId="0" xfId="0" applyFill="1"/>
    <xf numFmtId="0" fontId="0" fillId="13" borderId="7" xfId="0" applyFill="1" applyBorder="1"/>
    <xf numFmtId="0" fontId="7" fillId="0" borderId="0" xfId="0" applyFont="1"/>
    <xf numFmtId="0" fontId="4" fillId="15" borderId="0" xfId="0" applyFont="1" applyFill="1"/>
    <xf numFmtId="0" fontId="0" fillId="15" borderId="0" xfId="0" applyFill="1"/>
    <xf numFmtId="0" fontId="9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4" fillId="16" borderId="0" xfId="0" applyFont="1" applyFill="1"/>
    <xf numFmtId="0" fontId="0" fillId="16" borderId="0" xfId="0" applyFill="1"/>
    <xf numFmtId="0" fontId="0" fillId="4" borderId="0" xfId="0" applyFill="1"/>
    <xf numFmtId="1" fontId="0" fillId="4" borderId="0" xfId="0" applyNumberFormat="1" applyFill="1"/>
    <xf numFmtId="0" fontId="7" fillId="0" borderId="0" xfId="0" applyFont="1" applyAlignment="1">
      <alignment horizontal="center"/>
    </xf>
    <xf numFmtId="0" fontId="3" fillId="0" borderId="0" xfId="1" applyFill="1" applyBorder="1"/>
    <xf numFmtId="0" fontId="2" fillId="0" borderId="0" xfId="0" applyFont="1"/>
    <xf numFmtId="0" fontId="0" fillId="0" borderId="10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3" borderId="0" xfId="0" applyFill="1"/>
    <xf numFmtId="0" fontId="0" fillId="18" borderId="0" xfId="0" applyFill="1"/>
    <xf numFmtId="0" fontId="0" fillId="18" borderId="10" xfId="0" applyFill="1" applyBorder="1"/>
    <xf numFmtId="0" fontId="0" fillId="0" borderId="20" xfId="0" applyBorder="1"/>
    <xf numFmtId="0" fontId="12" fillId="0" borderId="19" xfId="0" applyFont="1" applyBorder="1" applyAlignment="1">
      <alignment horizontal="right"/>
    </xf>
    <xf numFmtId="0" fontId="12" fillId="0" borderId="17" xfId="0" applyFont="1" applyBorder="1" applyAlignment="1">
      <alignment horizontal="left"/>
    </xf>
    <xf numFmtId="0" fontId="0" fillId="0" borderId="16" xfId="0" applyBorder="1"/>
    <xf numFmtId="165" fontId="0" fillId="0" borderId="7" xfId="0" applyNumberFormat="1" applyBorder="1" applyAlignment="1">
      <alignment horizontal="center"/>
    </xf>
    <xf numFmtId="0" fontId="1" fillId="0" borderId="4" xfId="0" applyFont="1" applyBorder="1"/>
    <xf numFmtId="0" fontId="0" fillId="4" borderId="6" xfId="0" applyFill="1" applyBorder="1"/>
    <xf numFmtId="1" fontId="0" fillId="4" borderId="7" xfId="0" applyNumberFormat="1" applyFill="1" applyBorder="1"/>
    <xf numFmtId="0" fontId="0" fillId="4" borderId="7" xfId="0" applyFill="1" applyBorder="1"/>
    <xf numFmtId="0" fontId="0" fillId="20" borderId="0" xfId="0" applyFill="1"/>
    <xf numFmtId="2" fontId="0" fillId="3" borderId="0" xfId="0" applyNumberFormat="1" applyFill="1"/>
    <xf numFmtId="0" fontId="0" fillId="5" borderId="4" xfId="0" applyFill="1" applyBorder="1"/>
    <xf numFmtId="0" fontId="0" fillId="9" borderId="4" xfId="0" applyFill="1" applyBorder="1" applyAlignment="1">
      <alignment horizontal="center"/>
    </xf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4" xfId="0" applyFont="1" applyBorder="1"/>
    <xf numFmtId="0" fontId="0" fillId="13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5" borderId="4" xfId="0" applyFill="1" applyBorder="1" applyAlignment="1">
      <alignment horizontal="center"/>
    </xf>
    <xf numFmtId="2" fontId="0" fillId="14" borderId="4" xfId="0" applyNumberFormat="1" applyFill="1" applyBorder="1"/>
    <xf numFmtId="0" fontId="0" fillId="20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166" fontId="0" fillId="0" borderId="0" xfId="0" applyNumberFormat="1"/>
    <xf numFmtId="1" fontId="0" fillId="5" borderId="0" xfId="0" applyNumberFormat="1" applyFill="1"/>
    <xf numFmtId="0" fontId="0" fillId="0" borderId="17" xfId="0" applyBorder="1" applyAlignment="1">
      <alignment horizontal="center"/>
    </xf>
    <xf numFmtId="1" fontId="0" fillId="0" borderId="17" xfId="0" applyNumberFormat="1" applyBorder="1"/>
    <xf numFmtId="0" fontId="0" fillId="19" borderId="10" xfId="0" applyFill="1" applyBorder="1" applyAlignment="1">
      <alignment horizontal="center"/>
    </xf>
    <xf numFmtId="0" fontId="0" fillId="18" borderId="4" xfId="0" applyFill="1" applyBorder="1"/>
    <xf numFmtId="0" fontId="0" fillId="18" borderId="5" xfId="0" applyFill="1" applyBorder="1"/>
    <xf numFmtId="2" fontId="0" fillId="0" borderId="4" xfId="0" applyNumberFormat="1" applyBorder="1"/>
    <xf numFmtId="0" fontId="0" fillId="3" borderId="4" xfId="0" applyFill="1" applyBorder="1"/>
    <xf numFmtId="0" fontId="0" fillId="3" borderId="5" xfId="0" applyFill="1" applyBorder="1"/>
    <xf numFmtId="9" fontId="0" fillId="0" borderId="0" xfId="2" applyFont="1"/>
    <xf numFmtId="167" fontId="0" fillId="0" borderId="0" xfId="0" applyNumberFormat="1"/>
    <xf numFmtId="0" fontId="0" fillId="22" borderId="0" xfId="0" applyFill="1"/>
    <xf numFmtId="0" fontId="0" fillId="2" borderId="0" xfId="0" applyFill="1"/>
    <xf numFmtId="9" fontId="0" fillId="0" borderId="0" xfId="0" applyNumberFormat="1"/>
    <xf numFmtId="0" fontId="13" fillId="24" borderId="0" xfId="4"/>
    <xf numFmtId="0" fontId="13" fillId="25" borderId="0" xfId="5"/>
    <xf numFmtId="0" fontId="0" fillId="15" borderId="4" xfId="0" applyFill="1" applyBorder="1"/>
    <xf numFmtId="0" fontId="0" fillId="15" borderId="5" xfId="0" applyFill="1" applyBorder="1"/>
    <xf numFmtId="0" fontId="13" fillId="24" borderId="4" xfId="4" applyBorder="1"/>
    <xf numFmtId="0" fontId="13" fillId="24" borderId="0" xfId="4" applyBorder="1"/>
    <xf numFmtId="0" fontId="13" fillId="24" borderId="5" xfId="4" applyBorder="1"/>
    <xf numFmtId="166" fontId="0" fillId="0" borderId="7" xfId="0" applyNumberFormat="1" applyBorder="1"/>
    <xf numFmtId="0" fontId="13" fillId="24" borderId="6" xfId="4" applyBorder="1"/>
    <xf numFmtId="0" fontId="13" fillId="24" borderId="7" xfId="4" applyBorder="1"/>
    <xf numFmtId="0" fontId="13" fillId="24" borderId="8" xfId="4" applyBorder="1"/>
    <xf numFmtId="0" fontId="13" fillId="25" borderId="4" xfId="5" applyBorder="1"/>
    <xf numFmtId="0" fontId="14" fillId="26" borderId="23" xfId="6"/>
    <xf numFmtId="166" fontId="13" fillId="24" borderId="0" xfId="4" applyNumberFormat="1" applyBorder="1"/>
    <xf numFmtId="166" fontId="13" fillId="24" borderId="7" xfId="4" applyNumberFormat="1" applyBorder="1"/>
    <xf numFmtId="0" fontId="15" fillId="27" borderId="24" xfId="7" applyBorder="1"/>
    <xf numFmtId="0" fontId="0" fillId="0" borderId="30" xfId="0" applyBorder="1"/>
    <xf numFmtId="0" fontId="13" fillId="24" borderId="2" xfId="4" applyBorder="1"/>
    <xf numFmtId="0" fontId="13" fillId="24" borderId="3" xfId="4" applyBorder="1"/>
    <xf numFmtId="2" fontId="0" fillId="0" borderId="8" xfId="0" applyNumberFormat="1" applyBorder="1"/>
    <xf numFmtId="0" fontId="13" fillId="25" borderId="0" xfId="5" applyBorder="1"/>
    <xf numFmtId="0" fontId="13" fillId="25" borderId="5" xfId="5" applyBorder="1"/>
    <xf numFmtId="0" fontId="13" fillId="25" borderId="1" xfId="5" applyBorder="1"/>
    <xf numFmtId="0" fontId="13" fillId="25" borderId="2" xfId="5" applyBorder="1"/>
    <xf numFmtId="169" fontId="13" fillId="25" borderId="2" xfId="5" applyNumberFormat="1" applyBorder="1"/>
    <xf numFmtId="0" fontId="13" fillId="25" borderId="3" xfId="5" applyBorder="1"/>
    <xf numFmtId="0" fontId="13" fillId="25" borderId="6" xfId="5" applyBorder="1"/>
    <xf numFmtId="0" fontId="13" fillId="25" borderId="7" xfId="5" applyBorder="1"/>
    <xf numFmtId="0" fontId="13" fillId="25" borderId="8" xfId="5" applyBorder="1"/>
    <xf numFmtId="2" fontId="0" fillId="0" borderId="5" xfId="0" applyNumberFormat="1" applyBorder="1"/>
    <xf numFmtId="0" fontId="18" fillId="31" borderId="26" xfId="12" applyFont="1" applyBorder="1"/>
    <xf numFmtId="0" fontId="13" fillId="25" borderId="33" xfId="5" applyBorder="1"/>
    <xf numFmtId="0" fontId="13" fillId="25" borderId="30" xfId="5" applyBorder="1"/>
    <xf numFmtId="0" fontId="13" fillId="25" borderId="24" xfId="5" applyBorder="1"/>
    <xf numFmtId="0" fontId="18" fillId="31" borderId="10" xfId="12" applyFont="1" applyBorder="1"/>
    <xf numFmtId="9" fontId="0" fillId="0" borderId="0" xfId="2" applyFont="1" applyBorder="1"/>
    <xf numFmtId="0" fontId="20" fillId="32" borderId="10" xfId="8" applyFont="1" applyFill="1" applyBorder="1" applyAlignment="1">
      <alignment horizontal="center" vertical="center"/>
    </xf>
    <xf numFmtId="0" fontId="13" fillId="28" borderId="10" xfId="8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34" borderId="16" xfId="0" applyFont="1" applyFill="1" applyBorder="1"/>
    <xf numFmtId="0" fontId="22" fillId="34" borderId="18" xfId="0" applyFont="1" applyFill="1" applyBorder="1" applyAlignment="1">
      <alignment horizontal="right"/>
    </xf>
    <xf numFmtId="0" fontId="22" fillId="0" borderId="14" xfId="0" applyFont="1" applyBorder="1"/>
    <xf numFmtId="0" fontId="22" fillId="0" borderId="15" xfId="0" applyFont="1" applyBorder="1"/>
    <xf numFmtId="0" fontId="24" fillId="0" borderId="14" xfId="0" applyFont="1" applyBorder="1"/>
    <xf numFmtId="0" fontId="22" fillId="0" borderId="0" xfId="0" applyFont="1" applyAlignment="1">
      <alignment horizontal="center"/>
    </xf>
    <xf numFmtId="0" fontId="24" fillId="0" borderId="0" xfId="0" applyFont="1"/>
    <xf numFmtId="0" fontId="22" fillId="0" borderId="16" xfId="0" applyFont="1" applyBorder="1"/>
    <xf numFmtId="0" fontId="22" fillId="0" borderId="17" xfId="0" applyFont="1" applyBorder="1"/>
    <xf numFmtId="0" fontId="22" fillId="0" borderId="18" xfId="0" applyFont="1" applyBorder="1"/>
    <xf numFmtId="0" fontId="22" fillId="0" borderId="37" xfId="0" applyFont="1" applyBorder="1"/>
    <xf numFmtId="0" fontId="22" fillId="0" borderId="38" xfId="0" applyFont="1" applyBorder="1"/>
    <xf numFmtId="0" fontId="22" fillId="0" borderId="21" xfId="0" applyFont="1" applyBorder="1"/>
    <xf numFmtId="0" fontId="22" fillId="0" borderId="12" xfId="0" applyFont="1" applyBorder="1"/>
    <xf numFmtId="0" fontId="22" fillId="0" borderId="22" xfId="0" applyFont="1" applyBorder="1"/>
    <xf numFmtId="0" fontId="22" fillId="0" borderId="40" xfId="0" applyFont="1" applyBorder="1"/>
    <xf numFmtId="0" fontId="22" fillId="0" borderId="41" xfId="0" applyFont="1" applyBorder="1"/>
    <xf numFmtId="0" fontId="22" fillId="34" borderId="14" xfId="0" applyFont="1" applyFill="1" applyBorder="1"/>
    <xf numFmtId="0" fontId="22" fillId="34" borderId="0" xfId="0" applyFont="1" applyFill="1"/>
    <xf numFmtId="0" fontId="22" fillId="34" borderId="15" xfId="0" applyFont="1" applyFill="1" applyBorder="1"/>
    <xf numFmtId="0" fontId="22" fillId="34" borderId="21" xfId="0" applyFont="1" applyFill="1" applyBorder="1"/>
    <xf numFmtId="0" fontId="22" fillId="34" borderId="12" xfId="0" applyFont="1" applyFill="1" applyBorder="1"/>
    <xf numFmtId="0" fontId="22" fillId="34" borderId="22" xfId="0" applyFont="1" applyFill="1" applyBorder="1"/>
    <xf numFmtId="0" fontId="22" fillId="0" borderId="17" xfId="0" applyFont="1" applyBorder="1" applyAlignment="1">
      <alignment horizontal="center"/>
    </xf>
    <xf numFmtId="0" fontId="25" fillId="0" borderId="5" xfId="0" applyFont="1" applyBorder="1"/>
    <xf numFmtId="0" fontId="18" fillId="29" borderId="10" xfId="9" applyFont="1" applyBorder="1" applyAlignment="1">
      <alignment horizontal="center"/>
    </xf>
    <xf numFmtId="0" fontId="15" fillId="27" borderId="33" xfId="7" applyBorder="1"/>
    <xf numFmtId="0" fontId="15" fillId="27" borderId="30" xfId="7" applyBorder="1"/>
    <xf numFmtId="169" fontId="13" fillId="25" borderId="0" xfId="5" applyNumberFormat="1" applyBorder="1"/>
    <xf numFmtId="168" fontId="13" fillId="25" borderId="7" xfId="11" applyNumberFormat="1" applyFill="1" applyBorder="1"/>
    <xf numFmtId="0" fontId="13" fillId="30" borderId="25" xfId="10" applyBorder="1" applyAlignment="1">
      <alignment horizontal="left"/>
    </xf>
    <xf numFmtId="0" fontId="13" fillId="30" borderId="26" xfId="10" applyBorder="1" applyAlignment="1">
      <alignment horizontal="left"/>
    </xf>
    <xf numFmtId="0" fontId="1" fillId="25" borderId="25" xfId="5" applyFont="1" applyBorder="1"/>
    <xf numFmtId="0" fontId="1" fillId="25" borderId="9" xfId="5" applyFont="1" applyBorder="1"/>
    <xf numFmtId="168" fontId="1" fillId="25" borderId="9" xfId="5" applyNumberFormat="1" applyFont="1" applyBorder="1"/>
    <xf numFmtId="0" fontId="1" fillId="25" borderId="26" xfId="5" applyFont="1" applyBorder="1"/>
    <xf numFmtId="0" fontId="13" fillId="36" borderId="30" xfId="14" applyBorder="1"/>
    <xf numFmtId="0" fontId="13" fillId="38" borderId="10" xfId="16" applyBorder="1"/>
    <xf numFmtId="0" fontId="13" fillId="37" borderId="26" xfId="15" applyBorder="1"/>
    <xf numFmtId="0" fontId="13" fillId="36" borderId="24" xfId="14" applyBorder="1"/>
    <xf numFmtId="0" fontId="13" fillId="38" borderId="0" xfId="16" applyBorder="1" applyAlignment="1"/>
    <xf numFmtId="0" fontId="13" fillId="38" borderId="5" xfId="16" applyBorder="1" applyAlignment="1"/>
    <xf numFmtId="0" fontId="13" fillId="36" borderId="0" xfId="14" applyBorder="1"/>
    <xf numFmtId="0" fontId="13" fillId="36" borderId="5" xfId="14" applyBorder="1"/>
    <xf numFmtId="0" fontId="13" fillId="36" borderId="4" xfId="14" applyBorder="1"/>
    <xf numFmtId="168" fontId="13" fillId="36" borderId="0" xfId="14" applyNumberFormat="1" applyBorder="1"/>
    <xf numFmtId="9" fontId="13" fillId="36" borderId="0" xfId="14" applyNumberFormat="1" applyBorder="1"/>
    <xf numFmtId="0" fontId="13" fillId="36" borderId="27" xfId="14" applyBorder="1"/>
    <xf numFmtId="0" fontId="13" fillId="36" borderId="28" xfId="14" applyBorder="1"/>
    <xf numFmtId="9" fontId="13" fillId="36" borderId="28" xfId="14" applyNumberFormat="1" applyBorder="1"/>
    <xf numFmtId="0" fontId="13" fillId="36" borderId="29" xfId="14" applyBorder="1"/>
    <xf numFmtId="166" fontId="13" fillId="36" borderId="0" xfId="14" applyNumberFormat="1" applyBorder="1"/>
    <xf numFmtId="9" fontId="13" fillId="36" borderId="5" xfId="14" applyNumberFormat="1" applyBorder="1"/>
    <xf numFmtId="168" fontId="13" fillId="36" borderId="28" xfId="14" applyNumberFormat="1" applyBorder="1"/>
    <xf numFmtId="9" fontId="13" fillId="36" borderId="29" xfId="14" applyNumberFormat="1" applyBorder="1"/>
    <xf numFmtId="0" fontId="13" fillId="36" borderId="6" xfId="14" applyBorder="1"/>
    <xf numFmtId="0" fontId="13" fillId="36" borderId="7" xfId="14" applyBorder="1"/>
    <xf numFmtId="168" fontId="13" fillId="36" borderId="7" xfId="14" applyNumberFormat="1" applyBorder="1"/>
    <xf numFmtId="9" fontId="13" fillId="36" borderId="8" xfId="14" applyNumberFormat="1" applyBorder="1"/>
    <xf numFmtId="0" fontId="13" fillId="36" borderId="8" xfId="14" applyBorder="1"/>
    <xf numFmtId="43" fontId="13" fillId="36" borderId="7" xfId="14" applyNumberFormat="1" applyBorder="1" applyAlignment="1">
      <alignment vertical="center"/>
    </xf>
    <xf numFmtId="0" fontId="13" fillId="36" borderId="8" xfId="14" applyBorder="1" applyAlignment="1">
      <alignment vertical="center"/>
    </xf>
    <xf numFmtId="0" fontId="4" fillId="24" borderId="1" xfId="4" applyFont="1" applyBorder="1" applyAlignment="1">
      <alignment horizontal="center"/>
    </xf>
    <xf numFmtId="0" fontId="15" fillId="35" borderId="2" xfId="13" applyBorder="1"/>
    <xf numFmtId="0" fontId="15" fillId="35" borderId="3" xfId="13" applyBorder="1"/>
    <xf numFmtId="0" fontId="18" fillId="35" borderId="1" xfId="13" applyFont="1" applyBorder="1"/>
    <xf numFmtId="0" fontId="23" fillId="40" borderId="34" xfId="0" applyFont="1" applyFill="1" applyBorder="1"/>
    <xf numFmtId="0" fontId="23" fillId="40" borderId="35" xfId="0" applyFont="1" applyFill="1" applyBorder="1"/>
    <xf numFmtId="0" fontId="22" fillId="40" borderId="35" xfId="0" applyFont="1" applyFill="1" applyBorder="1"/>
    <xf numFmtId="0" fontId="22" fillId="40" borderId="36" xfId="0" applyFont="1" applyFill="1" applyBorder="1"/>
    <xf numFmtId="0" fontId="22" fillId="42" borderId="16" xfId="0" applyFont="1" applyFill="1" applyBorder="1"/>
    <xf numFmtId="0" fontId="22" fillId="42" borderId="17" xfId="0" applyFont="1" applyFill="1" applyBorder="1"/>
    <xf numFmtId="0" fontId="22" fillId="42" borderId="14" xfId="0" applyFont="1" applyFill="1" applyBorder="1"/>
    <xf numFmtId="0" fontId="22" fillId="42" borderId="0" xfId="0" applyFont="1" applyFill="1"/>
    <xf numFmtId="0" fontId="22" fillId="42" borderId="39" xfId="0" applyFont="1" applyFill="1" applyBorder="1"/>
    <xf numFmtId="0" fontId="22" fillId="42" borderId="40" xfId="0" applyFont="1" applyFill="1" applyBorder="1"/>
    <xf numFmtId="0" fontId="13" fillId="36" borderId="4" xfId="14" applyBorder="1" applyAlignment="1">
      <alignment horizontal="left" wrapText="1"/>
    </xf>
    <xf numFmtId="0" fontId="13" fillId="36" borderId="0" xfId="14" applyBorder="1" applyAlignment="1">
      <alignment horizontal="left" wrapText="1"/>
    </xf>
    <xf numFmtId="0" fontId="13" fillId="36" borderId="5" xfId="14" applyBorder="1" applyAlignment="1">
      <alignment horizontal="left" wrapText="1"/>
    </xf>
    <xf numFmtId="0" fontId="0" fillId="12" borderId="0" xfId="0" applyFill="1"/>
    <xf numFmtId="0" fontId="13" fillId="36" borderId="0" xfId="14" applyBorder="1" applyAlignment="1">
      <alignment wrapText="1"/>
    </xf>
    <xf numFmtId="0" fontId="13" fillId="36" borderId="5" xfId="14" applyBorder="1" applyAlignment="1">
      <alignment wrapText="1"/>
    </xf>
    <xf numFmtId="0" fontId="13" fillId="36" borderId="4" xfId="14" applyBorder="1" applyAlignment="1"/>
    <xf numFmtId="0" fontId="13" fillId="14" borderId="4" xfId="14" applyFill="1" applyBorder="1" applyAlignment="1">
      <alignment wrapText="1"/>
    </xf>
    <xf numFmtId="9" fontId="0" fillId="2" borderId="0" xfId="2" applyFont="1" applyFill="1" applyBorder="1"/>
    <xf numFmtId="0" fontId="0" fillId="25" borderId="0" xfId="5" applyFont="1"/>
    <xf numFmtId="0" fontId="0" fillId="36" borderId="5" xfId="14" applyFont="1" applyBorder="1"/>
    <xf numFmtId="0" fontId="13" fillId="6" borderId="4" xfId="14" applyFill="1" applyBorder="1"/>
    <xf numFmtId="0" fontId="13" fillId="6" borderId="0" xfId="14" applyFill="1" applyBorder="1"/>
    <xf numFmtId="0" fontId="13" fillId="6" borderId="5" xfId="14" applyFill="1" applyBorder="1"/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" fillId="39" borderId="0" xfId="0" applyFont="1" applyFill="1"/>
    <xf numFmtId="0" fontId="1" fillId="39" borderId="4" xfId="0" applyFont="1" applyFill="1" applyBorder="1"/>
    <xf numFmtId="0" fontId="29" fillId="0" borderId="0" xfId="0" applyFont="1"/>
    <xf numFmtId="0" fontId="13" fillId="38" borderId="0" xfId="16" applyBorder="1"/>
    <xf numFmtId="0" fontId="13" fillId="38" borderId="5" xfId="16" applyBorder="1"/>
    <xf numFmtId="168" fontId="13" fillId="38" borderId="0" xfId="16" applyNumberFormat="1" applyBorder="1"/>
    <xf numFmtId="0" fontId="13" fillId="38" borderId="28" xfId="16" applyBorder="1"/>
    <xf numFmtId="4" fontId="13" fillId="38" borderId="31" xfId="16" applyNumberFormat="1" applyBorder="1"/>
    <xf numFmtId="0" fontId="13" fillId="38" borderId="29" xfId="16" applyBorder="1"/>
    <xf numFmtId="0" fontId="13" fillId="18" borderId="0" xfId="16" applyFill="1" applyBorder="1"/>
    <xf numFmtId="0" fontId="13" fillId="18" borderId="10" xfId="16" applyFill="1" applyBorder="1"/>
    <xf numFmtId="0" fontId="13" fillId="18" borderId="5" xfId="16" applyFill="1" applyBorder="1"/>
    <xf numFmtId="0" fontId="13" fillId="18" borderId="0" xfId="16" applyFill="1" applyBorder="1" applyAlignment="1"/>
    <xf numFmtId="0" fontId="13" fillId="18" borderId="10" xfId="16" applyFill="1" applyBorder="1" applyAlignment="1"/>
    <xf numFmtId="0" fontId="13" fillId="18" borderId="5" xfId="16" applyFill="1" applyBorder="1" applyAlignment="1"/>
    <xf numFmtId="1" fontId="13" fillId="18" borderId="10" xfId="16" applyNumberFormat="1" applyFill="1" applyBorder="1"/>
    <xf numFmtId="0" fontId="13" fillId="18" borderId="31" xfId="16" applyFill="1" applyBorder="1"/>
    <xf numFmtId="168" fontId="13" fillId="18" borderId="31" xfId="16" applyNumberFormat="1" applyFill="1" applyBorder="1"/>
    <xf numFmtId="0" fontId="13" fillId="18" borderId="32" xfId="16" applyFill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4" xfId="0" applyBorder="1"/>
    <xf numFmtId="0" fontId="3" fillId="0" borderId="0" xfId="1" applyAlignment="1">
      <alignment horizontal="center"/>
    </xf>
    <xf numFmtId="0" fontId="0" fillId="0" borderId="33" xfId="0" applyBorder="1"/>
    <xf numFmtId="0" fontId="0" fillId="18" borderId="25" xfId="0" applyFill="1" applyBorder="1"/>
    <xf numFmtId="0" fontId="0" fillId="0" borderId="25" xfId="0" applyBorder="1"/>
    <xf numFmtId="0" fontId="0" fillId="19" borderId="25" xfId="0" applyFill="1" applyBorder="1" applyAlignment="1">
      <alignment horizontal="center"/>
    </xf>
    <xf numFmtId="0" fontId="0" fillId="43" borderId="10" xfId="0" applyFill="1" applyBorder="1"/>
    <xf numFmtId="0" fontId="0" fillId="3" borderId="10" xfId="0" applyFill="1" applyBorder="1"/>
    <xf numFmtId="0" fontId="0" fillId="3" borderId="33" xfId="0" applyFill="1" applyBorder="1"/>
    <xf numFmtId="0" fontId="0" fillId="2" borderId="10" xfId="0" applyFill="1" applyBorder="1"/>
    <xf numFmtId="0" fontId="0" fillId="12" borderId="10" xfId="0" applyFill="1" applyBorder="1"/>
    <xf numFmtId="0" fontId="0" fillId="12" borderId="33" xfId="0" applyFill="1" applyBorder="1"/>
    <xf numFmtId="0" fontId="0" fillId="0" borderId="49" xfId="0" applyBorder="1"/>
    <xf numFmtId="0" fontId="16" fillId="31" borderId="25" xfId="12" applyFont="1" applyBorder="1" applyAlignment="1">
      <alignment horizontal="center" vertical="center"/>
    </xf>
    <xf numFmtId="0" fontId="16" fillId="31" borderId="9" xfId="12" applyFont="1" applyBorder="1" applyAlignment="1">
      <alignment horizontal="center" vertical="center"/>
    </xf>
    <xf numFmtId="0" fontId="16" fillId="31" borderId="26" xfId="12" applyFont="1" applyBorder="1" applyAlignment="1">
      <alignment horizontal="center" vertical="center"/>
    </xf>
    <xf numFmtId="0" fontId="15" fillId="27" borderId="4" xfId="7" applyBorder="1"/>
    <xf numFmtId="1" fontId="13" fillId="36" borderId="0" xfId="14" applyNumberFormat="1" applyBorder="1" applyAlignment="1">
      <alignment horizontal="right" wrapText="1"/>
    </xf>
    <xf numFmtId="0" fontId="15" fillId="0" borderId="0" xfId="0" applyFont="1"/>
    <xf numFmtId="0" fontId="0" fillId="45" borderId="0" xfId="0" applyFill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46" borderId="10" xfId="16" applyFill="1" applyBorder="1" applyAlignment="1"/>
    <xf numFmtId="0" fontId="0" fillId="0" borderId="0" xfId="0" applyAlignment="1">
      <alignment horizontal="left"/>
    </xf>
    <xf numFmtId="0" fontId="13" fillId="39" borderId="0" xfId="16" applyFill="1" applyAlignment="1">
      <alignment horizontal="left"/>
    </xf>
    <xf numFmtId="0" fontId="0" fillId="0" borderId="52" xfId="0" applyBorder="1" applyAlignment="1">
      <alignment horizontal="center"/>
    </xf>
    <xf numFmtId="0" fontId="0" fillId="0" borderId="52" xfId="0" applyBorder="1"/>
    <xf numFmtId="0" fontId="0" fillId="0" borderId="50" xfId="0" applyBorder="1"/>
    <xf numFmtId="0" fontId="0" fillId="0" borderId="50" xfId="0" applyBorder="1" applyAlignment="1">
      <alignment horizontal="center"/>
    </xf>
    <xf numFmtId="0" fontId="0" fillId="0" borderId="51" xfId="0" applyBorder="1"/>
    <xf numFmtId="0" fontId="0" fillId="0" borderId="48" xfId="0" applyBorder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49" xfId="0" applyFill="1" applyBorder="1"/>
    <xf numFmtId="0" fontId="0" fillId="14" borderId="45" xfId="0" applyFill="1" applyBorder="1"/>
    <xf numFmtId="0" fontId="0" fillId="50" borderId="0" xfId="0" applyFill="1"/>
    <xf numFmtId="0" fontId="0" fillId="50" borderId="44" xfId="0" applyFill="1" applyBorder="1"/>
    <xf numFmtId="0" fontId="0" fillId="39" borderId="20" xfId="0" applyFill="1" applyBorder="1"/>
    <xf numFmtId="0" fontId="0" fillId="32" borderId="0" xfId="0" applyFill="1"/>
    <xf numFmtId="0" fontId="6" fillId="50" borderId="0" xfId="0" applyFont="1" applyFill="1"/>
    <xf numFmtId="0" fontId="0" fillId="51" borderId="45" xfId="0" applyFill="1" applyBorder="1"/>
    <xf numFmtId="0" fontId="0" fillId="51" borderId="49" xfId="0" applyFill="1" applyBorder="1"/>
    <xf numFmtId="0" fontId="0" fillId="51" borderId="46" xfId="0" applyFill="1" applyBorder="1"/>
    <xf numFmtId="0" fontId="35" fillId="0" borderId="0" xfId="0" applyFont="1"/>
    <xf numFmtId="0" fontId="0" fillId="5" borderId="50" xfId="0" applyFill="1" applyBorder="1"/>
    <xf numFmtId="0" fontId="0" fillId="0" borderId="10" xfId="0" applyBorder="1" applyAlignment="1">
      <alignment horizontal="center"/>
    </xf>
    <xf numFmtId="0" fontId="13" fillId="0" borderId="0" xfId="0" applyFont="1"/>
    <xf numFmtId="0" fontId="13" fillId="0" borderId="0" xfId="1" applyFont="1"/>
    <xf numFmtId="0" fontId="0" fillId="0" borderId="26" xfId="0" applyBorder="1"/>
    <xf numFmtId="0" fontId="3" fillId="0" borderId="11" xfId="1" applyBorder="1"/>
    <xf numFmtId="0" fontId="0" fillId="18" borderId="9" xfId="0" applyFill="1" applyBorder="1"/>
    <xf numFmtId="0" fontId="0" fillId="18" borderId="26" xfId="0" applyFill="1" applyBorder="1"/>
    <xf numFmtId="0" fontId="0" fillId="2" borderId="25" xfId="0" applyFill="1" applyBorder="1"/>
    <xf numFmtId="0" fontId="0" fillId="2" borderId="9" xfId="0" applyFill="1" applyBorder="1"/>
    <xf numFmtId="0" fontId="0" fillId="2" borderId="26" xfId="0" applyFill="1" applyBorder="1"/>
    <xf numFmtId="0" fontId="0" fillId="52" borderId="0" xfId="0" applyFill="1"/>
    <xf numFmtId="0" fontId="0" fillId="53" borderId="0" xfId="0" applyFill="1"/>
    <xf numFmtId="0" fontId="0" fillId="0" borderId="24" xfId="0" applyBorder="1"/>
    <xf numFmtId="0" fontId="0" fillId="45" borderId="25" xfId="0" applyFill="1" applyBorder="1"/>
    <xf numFmtId="0" fontId="0" fillId="45" borderId="26" xfId="0" applyFill="1" applyBorder="1"/>
    <xf numFmtId="0" fontId="27" fillId="36" borderId="0" xfId="14" applyFont="1" applyBorder="1" applyAlignment="1">
      <alignment horizontal="left" wrapText="1"/>
    </xf>
    <xf numFmtId="0" fontId="13" fillId="36" borderId="30" xfId="14" applyBorder="1" applyAlignment="1">
      <alignment horizontal="left" wrapText="1"/>
    </xf>
    <xf numFmtId="0" fontId="27" fillId="36" borderId="5" xfId="14" applyFont="1" applyBorder="1" applyAlignment="1">
      <alignment horizontal="left" wrapText="1"/>
    </xf>
    <xf numFmtId="0" fontId="13" fillId="36" borderId="24" xfId="14" applyBorder="1" applyAlignment="1">
      <alignment horizontal="left" wrapText="1"/>
    </xf>
    <xf numFmtId="0" fontId="0" fillId="47" borderId="4" xfId="0" applyFill="1" applyBorder="1"/>
    <xf numFmtId="0" fontId="0" fillId="46" borderId="0" xfId="0" applyFill="1"/>
    <xf numFmtId="0" fontId="0" fillId="44" borderId="0" xfId="0" applyFill="1"/>
    <xf numFmtId="0" fontId="0" fillId="21" borderId="0" xfId="0" applyFill="1"/>
    <xf numFmtId="0" fontId="0" fillId="21" borderId="4" xfId="0" applyFill="1" applyBorder="1"/>
    <xf numFmtId="0" fontId="3" fillId="0" borderId="0" xfId="1" applyBorder="1"/>
    <xf numFmtId="0" fontId="1" fillId="12" borderId="0" xfId="0" applyFont="1" applyFill="1" applyAlignment="1">
      <alignment horizontal="center"/>
    </xf>
    <xf numFmtId="1" fontId="0" fillId="3" borderId="0" xfId="0" applyNumberFormat="1" applyFill="1"/>
    <xf numFmtId="0" fontId="1" fillId="6" borderId="0" xfId="0" applyFont="1" applyFill="1" applyAlignment="1">
      <alignment horizontal="center"/>
    </xf>
    <xf numFmtId="0" fontId="0" fillId="12" borderId="5" xfId="0" applyFill="1" applyBorder="1"/>
    <xf numFmtId="0" fontId="0" fillId="12" borderId="0" xfId="0" applyFill="1" applyAlignment="1">
      <alignment horizontal="left"/>
    </xf>
    <xf numFmtId="0" fontId="0" fillId="54" borderId="5" xfId="0" applyFill="1" applyBorder="1"/>
    <xf numFmtId="1" fontId="0" fillId="54" borderId="0" xfId="0" applyNumberFormat="1" applyFill="1"/>
    <xf numFmtId="0" fontId="0" fillId="16" borderId="5" xfId="0" applyFill="1" applyBorder="1"/>
    <xf numFmtId="0" fontId="0" fillId="54" borderId="0" xfId="0" applyFill="1"/>
    <xf numFmtId="0" fontId="0" fillId="11" borderId="10" xfId="0" applyFill="1" applyBorder="1"/>
    <xf numFmtId="0" fontId="0" fillId="7" borderId="10" xfId="0" applyFill="1" applyBorder="1"/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7" borderId="10" xfId="0" applyFill="1" applyBorder="1" applyAlignment="1">
      <alignment horizontal="left" vertical="top"/>
    </xf>
    <xf numFmtId="0" fontId="0" fillId="0" borderId="10" xfId="0" applyBorder="1" applyAlignment="1">
      <alignment horizontal="center" wrapText="1"/>
    </xf>
    <xf numFmtId="4" fontId="0" fillId="0" borderId="10" xfId="0" applyNumberFormat="1" applyBorder="1"/>
    <xf numFmtId="2" fontId="0" fillId="0" borderId="10" xfId="0" applyNumberFormat="1" applyBorder="1"/>
    <xf numFmtId="2" fontId="0" fillId="44" borderId="10" xfId="0" applyNumberFormat="1" applyFill="1" applyBorder="1"/>
    <xf numFmtId="1" fontId="36" fillId="0" borderId="2" xfId="0" applyNumberFormat="1" applyFont="1" applyBorder="1"/>
    <xf numFmtId="1" fontId="0" fillId="0" borderId="10" xfId="0" applyNumberFormat="1" applyBorder="1"/>
    <xf numFmtId="1" fontId="0" fillId="0" borderId="33" xfId="0" applyNumberFormat="1" applyBorder="1"/>
    <xf numFmtId="0" fontId="2" fillId="3" borderId="0" xfId="0" applyFont="1" applyFill="1"/>
    <xf numFmtId="0" fontId="13" fillId="3" borderId="0" xfId="10" applyFill="1" applyBorder="1"/>
    <xf numFmtId="0" fontId="13" fillId="3" borderId="4" xfId="14" applyFill="1" applyBorder="1" applyAlignment="1">
      <alignment horizontal="center"/>
    </xf>
    <xf numFmtId="0" fontId="27" fillId="36" borderId="5" xfId="14" applyFont="1" applyBorder="1" applyAlignment="1">
      <alignment horizontal="center"/>
    </xf>
    <xf numFmtId="168" fontId="13" fillId="6" borderId="0" xfId="14" applyNumberFormat="1" applyFill="1" applyBorder="1"/>
    <xf numFmtId="0" fontId="37" fillId="0" borderId="0" xfId="0" applyFont="1" applyAlignment="1">
      <alignment vertical="center"/>
    </xf>
    <xf numFmtId="0" fontId="13" fillId="46" borderId="10" xfId="8" applyFill="1" applyBorder="1"/>
    <xf numFmtId="0" fontId="13" fillId="56" borderId="10" xfId="8" applyFill="1" applyBorder="1"/>
    <xf numFmtId="169" fontId="13" fillId="56" borderId="2" xfId="8" applyNumberFormat="1" applyFill="1" applyBorder="1"/>
    <xf numFmtId="169" fontId="13" fillId="56" borderId="10" xfId="8" applyNumberFormat="1" applyFill="1" applyBorder="1"/>
    <xf numFmtId="1" fontId="13" fillId="56" borderId="10" xfId="8" applyNumberFormat="1" applyFill="1" applyBorder="1"/>
    <xf numFmtId="43" fontId="13" fillId="52" borderId="0" xfId="14" applyNumberFormat="1" applyFill="1" applyBorder="1"/>
    <xf numFmtId="0" fontId="0" fillId="2" borderId="4" xfId="0" applyFill="1" applyBorder="1"/>
    <xf numFmtId="0" fontId="38" fillId="0" borderId="0" xfId="0" applyFont="1"/>
    <xf numFmtId="166" fontId="0" fillId="2" borderId="0" xfId="0" applyNumberFormat="1" applyFill="1"/>
    <xf numFmtId="0" fontId="18" fillId="29" borderId="25" xfId="9" applyFont="1" applyBorder="1" applyAlignment="1">
      <alignment horizontal="center"/>
    </xf>
    <xf numFmtId="0" fontId="18" fillId="29" borderId="26" xfId="9" applyFont="1" applyBorder="1" applyAlignment="1">
      <alignment horizontal="center"/>
    </xf>
    <xf numFmtId="0" fontId="13" fillId="30" borderId="25" xfId="10" applyBorder="1" applyAlignment="1">
      <alignment horizontal="left" wrapText="1"/>
    </xf>
    <xf numFmtId="0" fontId="13" fillId="30" borderId="26" xfId="10" applyBorder="1" applyAlignment="1">
      <alignment horizontal="left" wrapText="1"/>
    </xf>
    <xf numFmtId="0" fontId="17" fillId="28" borderId="25" xfId="8" applyFont="1" applyBorder="1" applyAlignment="1">
      <alignment horizontal="center" vertical="center"/>
    </xf>
    <xf numFmtId="0" fontId="17" fillId="28" borderId="9" xfId="8" applyFont="1" applyBorder="1" applyAlignment="1">
      <alignment horizontal="center" vertical="center"/>
    </xf>
    <xf numFmtId="0" fontId="17" fillId="28" borderId="26" xfId="8" applyFont="1" applyBorder="1" applyAlignment="1">
      <alignment horizontal="center" vertical="center"/>
    </xf>
    <xf numFmtId="0" fontId="16" fillId="35" borderId="1" xfId="13" applyFont="1" applyBorder="1" applyAlignment="1">
      <alignment horizontal="center" vertical="center"/>
    </xf>
    <xf numFmtId="0" fontId="15" fillId="35" borderId="2" xfId="13" applyBorder="1" applyAlignment="1">
      <alignment horizontal="center" vertical="center"/>
    </xf>
    <xf numFmtId="0" fontId="15" fillId="35" borderId="3" xfId="13" applyBorder="1" applyAlignment="1">
      <alignment horizontal="center" vertical="center"/>
    </xf>
    <xf numFmtId="0" fontId="16" fillId="35" borderId="2" xfId="13" applyFont="1" applyBorder="1" applyAlignment="1">
      <alignment horizontal="center" vertical="center"/>
    </xf>
    <xf numFmtId="0" fontId="16" fillId="35" borderId="3" xfId="13" applyFont="1" applyBorder="1" applyAlignment="1">
      <alignment horizontal="center" vertical="center"/>
    </xf>
    <xf numFmtId="0" fontId="13" fillId="38" borderId="1" xfId="16" applyBorder="1" applyAlignment="1">
      <alignment horizontal="center"/>
    </xf>
    <xf numFmtId="0" fontId="13" fillId="38" borderId="2" xfId="16" applyBorder="1" applyAlignment="1">
      <alignment horizontal="center"/>
    </xf>
    <xf numFmtId="0" fontId="13" fillId="38" borderId="4" xfId="16" applyBorder="1" applyAlignment="1">
      <alignment horizontal="center"/>
    </xf>
    <xf numFmtId="0" fontId="13" fillId="38" borderId="0" xfId="16" applyBorder="1" applyAlignment="1">
      <alignment horizontal="center"/>
    </xf>
    <xf numFmtId="0" fontId="15" fillId="35" borderId="5" xfId="13" applyBorder="1" applyAlignment="1">
      <alignment horizontal="center" vertical="center"/>
    </xf>
    <xf numFmtId="0" fontId="19" fillId="6" borderId="0" xfId="9" applyFont="1" applyFill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3" fillId="12" borderId="1" xfId="3" applyFill="1" applyBorder="1" applyAlignment="1">
      <alignment horizontal="center"/>
    </xf>
    <xf numFmtId="0" fontId="13" fillId="12" borderId="2" xfId="3" applyFill="1" applyBorder="1" applyAlignment="1">
      <alignment horizontal="center"/>
    </xf>
    <xf numFmtId="0" fontId="13" fillId="12" borderId="3" xfId="3" applyFill="1" applyBorder="1" applyAlignment="1">
      <alignment horizontal="center"/>
    </xf>
    <xf numFmtId="0" fontId="13" fillId="24" borderId="1" xfId="4" applyBorder="1" applyAlignment="1">
      <alignment horizontal="center"/>
    </xf>
    <xf numFmtId="0" fontId="13" fillId="24" borderId="2" xfId="4" applyBorder="1" applyAlignment="1">
      <alignment horizontal="center"/>
    </xf>
    <xf numFmtId="0" fontId="13" fillId="24" borderId="3" xfId="4" applyBorder="1" applyAlignment="1">
      <alignment horizontal="center"/>
    </xf>
    <xf numFmtId="0" fontId="13" fillId="12" borderId="1" xfId="4" applyFill="1" applyBorder="1" applyAlignment="1">
      <alignment horizontal="center" vertical="center"/>
    </xf>
    <xf numFmtId="0" fontId="13" fillId="12" borderId="2" xfId="4" applyFill="1" applyBorder="1" applyAlignment="1">
      <alignment horizontal="center" vertical="center"/>
    </xf>
    <xf numFmtId="0" fontId="13" fillId="12" borderId="3" xfId="4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3" fillId="23" borderId="1" xfId="3" applyBorder="1" applyAlignment="1">
      <alignment horizontal="center" vertical="center"/>
    </xf>
    <xf numFmtId="0" fontId="13" fillId="23" borderId="2" xfId="3" applyBorder="1" applyAlignment="1">
      <alignment horizontal="center" vertical="center"/>
    </xf>
    <xf numFmtId="0" fontId="13" fillId="23" borderId="3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1" borderId="10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44" borderId="0" xfId="0" applyFill="1" applyAlignment="1">
      <alignment horizontal="center"/>
    </xf>
    <xf numFmtId="0" fontId="15" fillId="55" borderId="10" xfId="0" applyFont="1" applyFill="1" applyBorder="1" applyAlignment="1">
      <alignment horizontal="center" vertical="top"/>
    </xf>
    <xf numFmtId="0" fontId="15" fillId="55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2" borderId="0" xfId="0" applyFill="1" applyAlignment="1">
      <alignment horizontal="center"/>
    </xf>
    <xf numFmtId="0" fontId="0" fillId="18" borderId="10" xfId="0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8" xfId="0" applyBorder="1" applyAlignment="1">
      <alignment horizontal="center"/>
    </xf>
    <xf numFmtId="0" fontId="3" fillId="0" borderId="17" xfId="1" applyBorder="1" applyAlignment="1">
      <alignment horizontal="center"/>
    </xf>
    <xf numFmtId="0" fontId="0" fillId="0" borderId="17" xfId="0" applyBorder="1" applyAlignment="1">
      <alignment horizontal="center"/>
    </xf>
    <xf numFmtId="0" fontId="34" fillId="0" borderId="50" xfId="0" applyFont="1" applyBorder="1" applyAlignment="1">
      <alignment horizontal="center" wrapText="1"/>
    </xf>
    <xf numFmtId="0" fontId="34" fillId="0" borderId="5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0" fontId="32" fillId="0" borderId="17" xfId="0" applyFont="1" applyBorder="1" applyAlignment="1">
      <alignment horizontal="center"/>
    </xf>
    <xf numFmtId="0" fontId="32" fillId="0" borderId="20" xfId="0" applyFont="1" applyBorder="1" applyAlignment="1">
      <alignment horizontal="center"/>
    </xf>
    <xf numFmtId="0" fontId="0" fillId="0" borderId="50" xfId="0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4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4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5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18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12" xfId="1" applyBorder="1" applyAlignment="1">
      <alignment horizontal="center"/>
    </xf>
    <xf numFmtId="0" fontId="3" fillId="0" borderId="0" xfId="1" applyBorder="1" applyAlignment="1">
      <alignment horizontal="center"/>
    </xf>
    <xf numFmtId="0" fontId="30" fillId="0" borderId="47" xfId="1" applyFont="1" applyBorder="1" applyAlignment="1">
      <alignment horizontal="center"/>
    </xf>
    <xf numFmtId="0" fontId="30" fillId="0" borderId="0" xfId="1" applyFont="1" applyBorder="1" applyAlignment="1">
      <alignment horizontal="center"/>
    </xf>
    <xf numFmtId="0" fontId="30" fillId="0" borderId="44" xfId="1" applyFont="1" applyBorder="1" applyAlignment="1">
      <alignment horizontal="center"/>
    </xf>
    <xf numFmtId="0" fontId="30" fillId="0" borderId="19" xfId="1" applyFont="1" applyBorder="1" applyAlignment="1">
      <alignment horizontal="center"/>
    </xf>
    <xf numFmtId="0" fontId="30" fillId="0" borderId="17" xfId="1" applyFont="1" applyBorder="1" applyAlignment="1">
      <alignment horizontal="center"/>
    </xf>
    <xf numFmtId="0" fontId="30" fillId="0" borderId="20" xfId="1" applyFont="1" applyBorder="1" applyAlignment="1">
      <alignment horizontal="center"/>
    </xf>
    <xf numFmtId="0" fontId="30" fillId="0" borderId="11" xfId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4" xfId="0" applyFont="1" applyBorder="1" applyAlignment="1">
      <alignment horizontal="center"/>
    </xf>
    <xf numFmtId="0" fontId="3" fillId="0" borderId="0" xfId="1" applyAlignment="1">
      <alignment horizontal="center"/>
    </xf>
    <xf numFmtId="0" fontId="3" fillId="0" borderId="47" xfId="1" applyBorder="1" applyAlignment="1">
      <alignment horizontal="center"/>
    </xf>
    <xf numFmtId="0" fontId="0" fillId="0" borderId="4" xfId="0" applyBorder="1" applyAlignment="1">
      <alignment horizontal="center"/>
    </xf>
    <xf numFmtId="0" fontId="24" fillId="33" borderId="21" xfId="0" applyFont="1" applyFill="1" applyBorder="1" applyAlignment="1">
      <alignment horizontal="center"/>
    </xf>
    <xf numFmtId="0" fontId="24" fillId="33" borderId="12" xfId="0" applyFont="1" applyFill="1" applyBorder="1" applyAlignment="1">
      <alignment horizontal="center"/>
    </xf>
    <xf numFmtId="0" fontId="22" fillId="33" borderId="34" xfId="0" applyFont="1" applyFill="1" applyBorder="1" applyAlignment="1">
      <alignment horizontal="center"/>
    </xf>
    <xf numFmtId="0" fontId="22" fillId="33" borderId="35" xfId="0" applyFont="1" applyFill="1" applyBorder="1" applyAlignment="1">
      <alignment horizontal="center"/>
    </xf>
    <xf numFmtId="0" fontId="23" fillId="34" borderId="42" xfId="0" applyFont="1" applyFill="1" applyBorder="1" applyAlignment="1">
      <alignment horizontal="center" wrapText="1"/>
    </xf>
    <xf numFmtId="0" fontId="23" fillId="34" borderId="43" xfId="0" applyFont="1" applyFill="1" applyBorder="1" applyAlignment="1">
      <alignment horizontal="center" wrapText="1"/>
    </xf>
    <xf numFmtId="0" fontId="24" fillId="41" borderId="21" xfId="0" applyFont="1" applyFill="1" applyBorder="1" applyAlignment="1">
      <alignment horizontal="center"/>
    </xf>
    <xf numFmtId="0" fontId="24" fillId="41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4" fillId="41" borderId="16" xfId="0" applyFont="1" applyFill="1" applyBorder="1" applyAlignment="1">
      <alignment horizontal="center"/>
    </xf>
    <xf numFmtId="0" fontId="24" fillId="41" borderId="17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18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17">
    <cellStyle name="20 % - Akzent2" xfId="14" builtinId="34"/>
    <cellStyle name="20 % - Akzent5" xfId="10" builtinId="46"/>
    <cellStyle name="20 % - Akzent6" xfId="5" builtinId="50"/>
    <cellStyle name="40 % - Akzent2" xfId="15" builtinId="35"/>
    <cellStyle name="40 % - Akzent6" xfId="3" builtinId="51"/>
    <cellStyle name="60 % - Akzent2" xfId="16" builtinId="36"/>
    <cellStyle name="60 % - Akzent3" xfId="8" builtinId="40"/>
    <cellStyle name="60 % - Akzent6" xfId="4" builtinId="52"/>
    <cellStyle name="Akzent2" xfId="13" builtinId="33"/>
    <cellStyle name="Akzent3" xfId="7" builtinId="37"/>
    <cellStyle name="Akzent5" xfId="9" builtinId="45"/>
    <cellStyle name="Akzent6" xfId="12" builtinId="49"/>
    <cellStyle name="Eingabe" xfId="6" builtinId="20"/>
    <cellStyle name="Komma" xfId="11" builtinId="3"/>
    <cellStyle name="Link" xfId="1" builtinId="8"/>
    <cellStyle name="Prozent" xfId="2" builtinId="5"/>
    <cellStyle name="Standard" xfId="0" builtinId="0"/>
  </cellStyles>
  <dxfs count="66">
    <dxf>
      <numFmt numFmtId="1" formatCode="0"/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ont>
        <color theme="2" tint="-9.9948118533890809E-2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z val="10"/>
        <name val="Arial Unicode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7CE"/>
      <color rgb="FFFFCC00"/>
      <color rgb="FFFF9900"/>
      <color rgb="FFFF6600"/>
      <color rgb="FF2580CB"/>
      <color rgb="FFFF7979"/>
      <color rgb="FFFF5050"/>
      <color rgb="FFD69494"/>
      <color rgb="FFFF3300"/>
      <color rgb="FF24A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9" Type="http://schemas.openxmlformats.org/officeDocument/2006/relationships/customXml" Target="../customXml/item10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5.xml"/><Relationship Id="rId42" Type="http://schemas.openxmlformats.org/officeDocument/2006/relationships/customXml" Target="../customXml/item13.xml"/><Relationship Id="rId47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alcChain" Target="calcChain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3.xml"/><Relationship Id="rId37" Type="http://schemas.openxmlformats.org/officeDocument/2006/relationships/customXml" Target="../customXml/item8.xml"/><Relationship Id="rId40" Type="http://schemas.openxmlformats.org/officeDocument/2006/relationships/customXml" Target="../customXml/item11.xml"/><Relationship Id="rId45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36" Type="http://schemas.openxmlformats.org/officeDocument/2006/relationships/customXml" Target="../customXml/item7.xml"/><Relationship Id="rId49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4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Relationship Id="rId35" Type="http://schemas.openxmlformats.org/officeDocument/2006/relationships/customXml" Target="../customXml/item6.xml"/><Relationship Id="rId43" Type="http://schemas.openxmlformats.org/officeDocument/2006/relationships/customXml" Target="../customXml/item14.xml"/><Relationship Id="rId48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4.xml"/><Relationship Id="rId38" Type="http://schemas.openxmlformats.org/officeDocument/2006/relationships/customXml" Target="../customXml/item9.xml"/><Relationship Id="rId46" Type="http://schemas.openxmlformats.org/officeDocument/2006/relationships/customXml" Target="../customXml/item17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45890192018441"/>
          <c:y val="1.9759394426494305E-2"/>
          <c:w val="0.66470430917133005"/>
          <c:h val="0.8980177592021844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Gesamtauswertung!$U$10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(Gesamtauswertung!$L$11:$L$67,Gesamtauswertung!$L$3:$L$7)</c:f>
              <c:strCache>
                <c:ptCount val="62"/>
                <c:pt idx="0">
                  <c:v>1x1,25 cm Rigips Feuerschutzplatte</c:v>
                </c:pt>
                <c:pt idx="1">
                  <c:v>2x1,25 cm Rigips Feuerschutzplatte</c:v>
                </c:pt>
                <c:pt idx="2">
                  <c:v>2x1,25 cm Rigips Feuerschutzplatte imprägniert</c:v>
                </c:pt>
                <c:pt idx="3">
                  <c:v>2x1,25cm Rigips Feuerschutzplatte imprägniert</c:v>
                </c:pt>
                <c:pt idx="4">
                  <c:v>3S Platte</c:v>
                </c:pt>
                <c:pt idx="5">
                  <c:v>3S Platte</c:v>
                </c:pt>
                <c:pt idx="6">
                  <c:v>3S-Platte</c:v>
                </c:pt>
                <c:pt idx="7">
                  <c:v>3S-Platte</c:v>
                </c:pt>
                <c:pt idx="8">
                  <c:v>Abdichtung lt. Önorm durchwurzelungsfest</c:v>
                </c:pt>
                <c:pt idx="9">
                  <c:v>Außenputz (Sto-Silkolit K)</c:v>
                </c:pt>
                <c:pt idx="10">
                  <c:v>AUSTROTHERM XPS </c:v>
                </c:pt>
                <c:pt idx="11">
                  <c:v>Belag: Fliesen</c:v>
                </c:pt>
                <c:pt idx="12">
                  <c:v>Belag: Holz</c:v>
                </c:pt>
                <c:pt idx="13">
                  <c:v>Belag: Kokosfasermatte</c:v>
                </c:pt>
                <c:pt idx="14">
                  <c:v>codex AX 220 | 2-K Flex-Dichtschlämme/ Verbundabdichtung</c:v>
                </c:pt>
                <c:pt idx="15">
                  <c:v>CW50-Profil</c:v>
                </c:pt>
                <c:pt idx="16">
                  <c:v>CW75-Profil</c:v>
                </c:pt>
                <c:pt idx="17">
                  <c:v>CW-Profil 75</c:v>
                </c:pt>
                <c:pt idx="18">
                  <c:v>Dampfbremse </c:v>
                </c:pt>
                <c:pt idx="19">
                  <c:v>Dampfbremse Polyethylen (PE)</c:v>
                </c:pt>
                <c:pt idx="20">
                  <c:v>Dampfsperre</c:v>
                </c:pt>
                <c:pt idx="21">
                  <c:v>Dampfsperre Bauder TEC KSD</c:v>
                </c:pt>
                <c:pt idx="22">
                  <c:v>EPS W25</c:v>
                </c:pt>
                <c:pt idx="23">
                  <c:v>EPS-(RECYCLING) Granulat Ausgleichsschüttungen mit Bindemitteln od. zementgebund</c:v>
                </c:pt>
                <c:pt idx="24">
                  <c:v>Gefälledämmplatte EPS W25 i.Mi.</c:v>
                </c:pt>
                <c:pt idx="25">
                  <c:v>Gefälledämmung EPS W25 i.Mi.</c:v>
                </c:pt>
                <c:pt idx="26">
                  <c:v>Hohlkastendeckenkonstruktion</c:v>
                </c:pt>
                <c:pt idx="27">
                  <c:v>Holz-Alu-Rahmen Fichte &gt;=109 Stockrahmentiefe</c:v>
                </c:pt>
                <c:pt idx="28">
                  <c:v>Holzfaserdämmplatte (Sto Thermowood)</c:v>
                </c:pt>
                <c:pt idx="29">
                  <c:v>Holz-UK</c:v>
                </c:pt>
                <c:pt idx="30">
                  <c:v>ISOVER KONTUR KP 1- 035</c:v>
                </c:pt>
                <c:pt idx="31">
                  <c:v>ISOVER Kontur KP 1-035</c:v>
                </c:pt>
                <c:pt idx="32">
                  <c:v>ISOVER Trittschall-Dämmplatte T TDPT</c:v>
                </c:pt>
                <c:pt idx="33">
                  <c:v>Kautschukbelag</c:v>
                </c:pt>
                <c:pt idx="34">
                  <c:v>Kies</c:v>
                </c:pt>
                <c:pt idx="35">
                  <c:v>Magerbeton / Schütt- und Stampfbeton</c:v>
                </c:pt>
                <c:pt idx="36">
                  <c:v>Massivholzdecke</c:v>
                </c:pt>
                <c:pt idx="37">
                  <c:v>Massivholzplatte</c:v>
                </c:pt>
                <c:pt idx="38">
                  <c:v>Massivholzplatte </c:v>
                </c:pt>
                <c:pt idx="39">
                  <c:v>Massivholzplatten (3-Schicht, 5-Schicht), Fichte/Tanne (475 kg/m³)</c:v>
                </c:pt>
                <c:pt idx="40">
                  <c:v>Mehrschichtparkett</c:v>
                </c:pt>
                <c:pt idx="41">
                  <c:v>Mineralwolle</c:v>
                </c:pt>
                <c:pt idx="42">
                  <c:v>Normalbeton mit Bewehrung  1 % (2300 kg/m³)</c:v>
                </c:pt>
                <c:pt idx="43">
                  <c:v>Nutzholz (475 kg/m³ - zB Fichte/Tanne) - rauh, luftgetrocknet</c:v>
                </c:pt>
                <c:pt idx="44">
                  <c:v>PE-Folie</c:v>
                </c:pt>
                <c:pt idx="45">
                  <c:v>Platte mit Kühlschläuchen (FERMACELL Gipsfaser-Platte)</c:v>
                </c:pt>
                <c:pt idx="46">
                  <c:v>RÖFIX 970 Zementestrich</c:v>
                </c:pt>
                <c:pt idx="47">
                  <c:v>Sand, Kies lufttrocken, Pflanzensubstrat</c:v>
                </c:pt>
                <c:pt idx="48">
                  <c:v>Sarnafil TG 66</c:v>
                </c:pt>
                <c:pt idx="49">
                  <c:v>Schutzvlies</c:v>
                </c:pt>
                <c:pt idx="50">
                  <c:v>STEICOflex 036</c:v>
                </c:pt>
                <c:pt idx="51">
                  <c:v>Trenn- und Speichervlies </c:v>
                </c:pt>
                <c:pt idx="52">
                  <c:v>Trittschallmatte (STEICO Ecosilent)</c:v>
                </c:pt>
                <c:pt idx="53">
                  <c:v>Vlies</c:v>
                </c:pt>
                <c:pt idx="54">
                  <c:v>Wärmedämmung EPS W25</c:v>
                </c:pt>
                <c:pt idx="55">
                  <c:v>Wärmeschutzglas Ug=0,5</c:v>
                </c:pt>
                <c:pt idx="56">
                  <c:v>woodup:Holz</c:v>
                </c:pt>
                <c:pt idx="57">
                  <c:v>Aushub</c:v>
                </c:pt>
                <c:pt idx="58">
                  <c:v>Baugrubensicherung</c:v>
                </c:pt>
                <c:pt idx="59">
                  <c:v>Gebäude gesamt</c:v>
                </c:pt>
                <c:pt idx="60">
                  <c:v>Betrieb</c:v>
                </c:pt>
                <c:pt idx="61">
                  <c:v>Gesamte Emissionen</c:v>
                </c:pt>
              </c:strCache>
            </c:strRef>
          </c:cat>
          <c:val>
            <c:numRef>
              <c:f>(Gesamtauswertung!$U$11:$U$67,Gesamtauswertung!$Y$3:$Y$7)</c:f>
              <c:numCache>
                <c:formatCode>General</c:formatCode>
                <c:ptCount val="62"/>
                <c:pt idx="0">
                  <c:v>51.421799999999998</c:v>
                </c:pt>
                <c:pt idx="1">
                  <c:v>488.50709999999992</c:v>
                </c:pt>
                <c:pt idx="2">
                  <c:v>334.24169999999998</c:v>
                </c:pt>
                <c:pt idx="3">
                  <c:v>214.25749999999999</c:v>
                </c:pt>
                <c:pt idx="4">
                  <c:v>-419.94469999999995</c:v>
                </c:pt>
                <c:pt idx="5">
                  <c:v>-317.10109999999997</c:v>
                </c:pt>
                <c:pt idx="6">
                  <c:v>-419.94469999999995</c:v>
                </c:pt>
                <c:pt idx="7">
                  <c:v>-317.10109999999997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188.54659999999998</c:v>
                </c:pt>
                <c:pt idx="12">
                  <c:v>0</c:v>
                </c:pt>
                <c:pt idx="13">
                  <c:v>59.992100000000001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162.8357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-5424.9998999999998</c:v>
                </c:pt>
                <c:pt idx="27">
                  <c:v>419.94469999999995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-5022.1958000000004</c:v>
                </c:pt>
                <c:pt idx="44">
                  <c:v>0</c:v>
                </c:pt>
                <c:pt idx="45">
                  <c:v>111.4139</c:v>
                </c:pt>
                <c:pt idx="46">
                  <c:v>162.8357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-42.851500000000001</c:v>
                </c:pt>
                <c:pt idx="53">
                  <c:v>0</c:v>
                </c:pt>
                <c:pt idx="54">
                  <c:v>0</c:v>
                </c:pt>
                <c:pt idx="55">
                  <c:v>702.76459999999997</c:v>
                </c:pt>
                <c:pt idx="56">
                  <c:v>-1576.9352000000001</c:v>
                </c:pt>
                <c:pt idx="57">
                  <c:v>#N/A</c:v>
                </c:pt>
                <c:pt idx="58">
                  <c:v>#N/A</c:v>
                </c:pt>
                <c:pt idx="59" formatCode="0.0">
                  <c:v>-10644.312600000001</c:v>
                </c:pt>
                <c:pt idx="60">
                  <c:v>#N/A</c:v>
                </c:pt>
                <c:pt idx="6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3-446C-A546-3D45E7D6B8BD}"/>
            </c:ext>
          </c:extLst>
        </c:ser>
        <c:ser>
          <c:idx val="1"/>
          <c:order val="1"/>
          <c:tx>
            <c:strRef>
              <c:f>Gesamtauswertung!$T$10</c:f>
              <c:strCache>
                <c:ptCount val="1"/>
                <c:pt idx="0">
                  <c:v>Transportemissionen [kgCO2 eq.]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(Gesamtauswertung!$L$11:$L$67,Gesamtauswertung!$L$3:$L$7)</c:f>
              <c:strCache>
                <c:ptCount val="62"/>
                <c:pt idx="0">
                  <c:v>1x1,25 cm Rigips Feuerschutzplatte</c:v>
                </c:pt>
                <c:pt idx="1">
                  <c:v>2x1,25 cm Rigips Feuerschutzplatte</c:v>
                </c:pt>
                <c:pt idx="2">
                  <c:v>2x1,25 cm Rigips Feuerschutzplatte imprägniert</c:v>
                </c:pt>
                <c:pt idx="3">
                  <c:v>2x1,25cm Rigips Feuerschutzplatte imprägniert</c:v>
                </c:pt>
                <c:pt idx="4">
                  <c:v>3S Platte</c:v>
                </c:pt>
                <c:pt idx="5">
                  <c:v>3S Platte</c:v>
                </c:pt>
                <c:pt idx="6">
                  <c:v>3S-Platte</c:v>
                </c:pt>
                <c:pt idx="7">
                  <c:v>3S-Platte</c:v>
                </c:pt>
                <c:pt idx="8">
                  <c:v>Abdichtung lt. Önorm durchwurzelungsfest</c:v>
                </c:pt>
                <c:pt idx="9">
                  <c:v>Außenputz (Sto-Silkolit K)</c:v>
                </c:pt>
                <c:pt idx="10">
                  <c:v>AUSTROTHERM XPS </c:v>
                </c:pt>
                <c:pt idx="11">
                  <c:v>Belag: Fliesen</c:v>
                </c:pt>
                <c:pt idx="12">
                  <c:v>Belag: Holz</c:v>
                </c:pt>
                <c:pt idx="13">
                  <c:v>Belag: Kokosfasermatte</c:v>
                </c:pt>
                <c:pt idx="14">
                  <c:v>codex AX 220 | 2-K Flex-Dichtschlämme/ Verbundabdichtung</c:v>
                </c:pt>
                <c:pt idx="15">
                  <c:v>CW50-Profil</c:v>
                </c:pt>
                <c:pt idx="16">
                  <c:v>CW75-Profil</c:v>
                </c:pt>
                <c:pt idx="17">
                  <c:v>CW-Profil 75</c:v>
                </c:pt>
                <c:pt idx="18">
                  <c:v>Dampfbremse </c:v>
                </c:pt>
                <c:pt idx="19">
                  <c:v>Dampfbremse Polyethylen (PE)</c:v>
                </c:pt>
                <c:pt idx="20">
                  <c:v>Dampfsperre</c:v>
                </c:pt>
                <c:pt idx="21">
                  <c:v>Dampfsperre Bauder TEC KSD</c:v>
                </c:pt>
                <c:pt idx="22">
                  <c:v>EPS W25</c:v>
                </c:pt>
                <c:pt idx="23">
                  <c:v>EPS-(RECYCLING) Granulat Ausgleichsschüttungen mit Bindemitteln od. zementgebund</c:v>
                </c:pt>
                <c:pt idx="24">
                  <c:v>Gefälledämmplatte EPS W25 i.Mi.</c:v>
                </c:pt>
                <c:pt idx="25">
                  <c:v>Gefälledämmung EPS W25 i.Mi.</c:v>
                </c:pt>
                <c:pt idx="26">
                  <c:v>Hohlkastendeckenkonstruktion</c:v>
                </c:pt>
                <c:pt idx="27">
                  <c:v>Holz-Alu-Rahmen Fichte &gt;=109 Stockrahmentiefe</c:v>
                </c:pt>
                <c:pt idx="28">
                  <c:v>Holzfaserdämmplatte (Sto Thermowood)</c:v>
                </c:pt>
                <c:pt idx="29">
                  <c:v>Holz-UK</c:v>
                </c:pt>
                <c:pt idx="30">
                  <c:v>ISOVER KONTUR KP 1- 035</c:v>
                </c:pt>
                <c:pt idx="31">
                  <c:v>ISOVER Kontur KP 1-035</c:v>
                </c:pt>
                <c:pt idx="32">
                  <c:v>ISOVER Trittschall-Dämmplatte T TDPT</c:v>
                </c:pt>
                <c:pt idx="33">
                  <c:v>Kautschukbelag</c:v>
                </c:pt>
                <c:pt idx="34">
                  <c:v>Kies</c:v>
                </c:pt>
                <c:pt idx="35">
                  <c:v>Magerbeton / Schütt- und Stampfbeton</c:v>
                </c:pt>
                <c:pt idx="36">
                  <c:v>Massivholzdecke</c:v>
                </c:pt>
                <c:pt idx="37">
                  <c:v>Massivholzplatte</c:v>
                </c:pt>
                <c:pt idx="38">
                  <c:v>Massivholzplatte </c:v>
                </c:pt>
                <c:pt idx="39">
                  <c:v>Massivholzplatten (3-Schicht, 5-Schicht), Fichte/Tanne (475 kg/m³)</c:v>
                </c:pt>
                <c:pt idx="40">
                  <c:v>Mehrschichtparkett</c:v>
                </c:pt>
                <c:pt idx="41">
                  <c:v>Mineralwolle</c:v>
                </c:pt>
                <c:pt idx="42">
                  <c:v>Normalbeton mit Bewehrung  1 % (2300 kg/m³)</c:v>
                </c:pt>
                <c:pt idx="43">
                  <c:v>Nutzholz (475 kg/m³ - zB Fichte/Tanne) - rauh, luftgetrocknet</c:v>
                </c:pt>
                <c:pt idx="44">
                  <c:v>PE-Folie</c:v>
                </c:pt>
                <c:pt idx="45">
                  <c:v>Platte mit Kühlschläuchen (FERMACELL Gipsfaser-Platte)</c:v>
                </c:pt>
                <c:pt idx="46">
                  <c:v>RÖFIX 970 Zementestrich</c:v>
                </c:pt>
                <c:pt idx="47">
                  <c:v>Sand, Kies lufttrocken, Pflanzensubstrat</c:v>
                </c:pt>
                <c:pt idx="48">
                  <c:v>Sarnafil TG 66</c:v>
                </c:pt>
                <c:pt idx="49">
                  <c:v>Schutzvlies</c:v>
                </c:pt>
                <c:pt idx="50">
                  <c:v>STEICOflex 036</c:v>
                </c:pt>
                <c:pt idx="51">
                  <c:v>Trenn- und Speichervlies </c:v>
                </c:pt>
                <c:pt idx="52">
                  <c:v>Trittschallmatte (STEICO Ecosilent)</c:v>
                </c:pt>
                <c:pt idx="53">
                  <c:v>Vlies</c:v>
                </c:pt>
                <c:pt idx="54">
                  <c:v>Wärmedämmung EPS W25</c:v>
                </c:pt>
                <c:pt idx="55">
                  <c:v>Wärmeschutzglas Ug=0,5</c:v>
                </c:pt>
                <c:pt idx="56">
                  <c:v>woodup:Holz</c:v>
                </c:pt>
                <c:pt idx="57">
                  <c:v>Aushub</c:v>
                </c:pt>
                <c:pt idx="58">
                  <c:v>Baugrubensicherung</c:v>
                </c:pt>
                <c:pt idx="59">
                  <c:v>Gebäude gesamt</c:v>
                </c:pt>
                <c:pt idx="60">
                  <c:v>Betrieb</c:v>
                </c:pt>
                <c:pt idx="61">
                  <c:v>Gesamte Emissionen</c:v>
                </c:pt>
              </c:strCache>
            </c:strRef>
          </c:cat>
          <c:val>
            <c:numRef>
              <c:f>(Gesamtauswertung!$T$11:$T$67,Gesamtauswertung!$O$3:$O$7)</c:f>
              <c:numCache>
                <c:formatCode>General</c:formatCode>
                <c:ptCount val="62"/>
                <c:pt idx="0">
                  <c:v>3.7767799999999774</c:v>
                </c:pt>
                <c:pt idx="1">
                  <c:v>35.828745312499784</c:v>
                </c:pt>
                <c:pt idx="2">
                  <c:v>24.444610312499851</c:v>
                </c:pt>
                <c:pt idx="3">
                  <c:v>15.830801874999906</c:v>
                </c:pt>
                <c:pt idx="4">
                  <c:v>4.8219565624999712</c:v>
                </c:pt>
                <c:pt idx="5">
                  <c:v>4.8219565624999712</c:v>
                </c:pt>
                <c:pt idx="6">
                  <c:v>3.6319740624999786</c:v>
                </c:pt>
                <c:pt idx="7">
                  <c:v>3.6319740624999786</c:v>
                </c:pt>
                <c:pt idx="8">
                  <c:v>45.660129374999734</c:v>
                </c:pt>
                <c:pt idx="9">
                  <c:v>190.49574687499887</c:v>
                </c:pt>
                <c:pt idx="10">
                  <c:v>308.32805208333144</c:v>
                </c:pt>
                <c:pt idx="11">
                  <c:v>2.7998906249999833</c:v>
                </c:pt>
                <c:pt idx="12">
                  <c:v>34.056640624999794</c:v>
                </c:pt>
                <c:pt idx="13">
                  <c:v>0.13526041666666586</c:v>
                </c:pt>
                <c:pt idx="14">
                  <c:v>55.499049374999665</c:v>
                </c:pt>
                <c:pt idx="15">
                  <c:v>10.433331562499937</c:v>
                </c:pt>
                <c:pt idx="16">
                  <c:v>15.240332187499908</c:v>
                </c:pt>
                <c:pt idx="17">
                  <c:v>15.928769062499907</c:v>
                </c:pt>
                <c:pt idx="18">
                  <c:v>0.35511656249999785</c:v>
                </c:pt>
                <c:pt idx="19">
                  <c:v>1.2025037499999927</c:v>
                </c:pt>
                <c:pt idx="20">
                  <c:v>8.479784687499949</c:v>
                </c:pt>
                <c:pt idx="21">
                  <c:v>8.2345768749999522</c:v>
                </c:pt>
                <c:pt idx="22">
                  <c:v>48.317597222221941</c:v>
                </c:pt>
                <c:pt idx="23">
                  <c:v>173.43450031249893</c:v>
                </c:pt>
                <c:pt idx="24">
                  <c:v>125.62601041666591</c:v>
                </c:pt>
                <c:pt idx="25">
                  <c:v>138.30570833333252</c:v>
                </c:pt>
                <c:pt idx="26">
                  <c:v>38.606607812499767</c:v>
                </c:pt>
                <c:pt idx="27">
                  <c:v>0.54859769999999664</c:v>
                </c:pt>
                <c:pt idx="28">
                  <c:v>102.33965437499937</c:v>
                </c:pt>
                <c:pt idx="29">
                  <c:v>7.8438674999999529</c:v>
                </c:pt>
                <c:pt idx="30">
                  <c:v>14.957225694444359</c:v>
                </c:pt>
                <c:pt idx="31">
                  <c:v>7.8657152777777295</c:v>
                </c:pt>
                <c:pt idx="32">
                  <c:v>30.832934027777593</c:v>
                </c:pt>
                <c:pt idx="33">
                  <c:v>35.815180624999783</c:v>
                </c:pt>
                <c:pt idx="34">
                  <c:v>591.40738999999644</c:v>
                </c:pt>
                <c:pt idx="35">
                  <c:v>678.0657687499961</c:v>
                </c:pt>
                <c:pt idx="36">
                  <c:v>318.37028781249808</c:v>
                </c:pt>
                <c:pt idx="37">
                  <c:v>87.444468124999474</c:v>
                </c:pt>
                <c:pt idx="38">
                  <c:v>456.78563437499736</c:v>
                </c:pt>
                <c:pt idx="39">
                  <c:v>129.78739374999924</c:v>
                </c:pt>
                <c:pt idx="40">
                  <c:v>8.5107399999999505</c:v>
                </c:pt>
                <c:pt idx="41">
                  <c:v>18.932593749999889</c:v>
                </c:pt>
                <c:pt idx="42">
                  <c:v>2118.9741187499872</c:v>
                </c:pt>
                <c:pt idx="43">
                  <c:v>39.095168437499773</c:v>
                </c:pt>
                <c:pt idx="44">
                  <c:v>1.2025037499999927</c:v>
                </c:pt>
                <c:pt idx="45">
                  <c:v>15.13146687499991</c:v>
                </c:pt>
                <c:pt idx="46">
                  <c:v>1456.8499881249913</c:v>
                </c:pt>
                <c:pt idx="47">
                  <c:v>651.10314499999606</c:v>
                </c:pt>
                <c:pt idx="48">
                  <c:v>95.750462499999415</c:v>
                </c:pt>
                <c:pt idx="49">
                  <c:v>1.4362337499999913</c:v>
                </c:pt>
                <c:pt idx="50">
                  <c:v>155.44899999999905</c:v>
                </c:pt>
                <c:pt idx="51">
                  <c:v>1.304528749999992</c:v>
                </c:pt>
                <c:pt idx="52">
                  <c:v>0.71881249999999564</c:v>
                </c:pt>
                <c:pt idx="53">
                  <c:v>10.990527187499936</c:v>
                </c:pt>
                <c:pt idx="54">
                  <c:v>53.194701388888568</c:v>
                </c:pt>
                <c:pt idx="55">
                  <c:v>3.5083707749999791</c:v>
                </c:pt>
                <c:pt idx="56">
                  <c:v>7.984615624999952</c:v>
                </c:pt>
                <c:pt idx="57" formatCode="0.00">
                  <c:v>2943.3226433490281</c:v>
                </c:pt>
                <c:pt idx="58">
                  <c:v>177333.27730386291</c:v>
                </c:pt>
                <c:pt idx="59" formatCode="0.0">
                  <c:v>44263.073228385852</c:v>
                </c:pt>
                <c:pt idx="60">
                  <c:v>#N/A</c:v>
                </c:pt>
                <c:pt idx="6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3-446C-A546-3D45E7D6B8BD}"/>
            </c:ext>
          </c:extLst>
        </c:ser>
        <c:ser>
          <c:idx val="2"/>
          <c:order val="2"/>
          <c:tx>
            <c:strRef>
              <c:f>Gesamtauswertung!$Z$2</c:f>
              <c:strCache>
                <c:ptCount val="1"/>
                <c:pt idx="0">
                  <c:v>Gesamte Emissionen</c:v>
                </c:pt>
              </c:strCache>
            </c:strRef>
          </c:tx>
          <c:spPr>
            <a:solidFill>
              <a:srgbClr val="F4B9A4"/>
            </a:solidFill>
            <a:ln>
              <a:noFill/>
            </a:ln>
            <a:effectLst/>
          </c:spPr>
          <c:invertIfNegative val="1"/>
          <c:cat>
            <c:strRef>
              <c:f>(Gesamtauswertung!$L$11:$L$67,Gesamtauswertung!$L$3:$L$7)</c:f>
              <c:strCache>
                <c:ptCount val="62"/>
                <c:pt idx="0">
                  <c:v>1x1,25 cm Rigips Feuerschutzplatte</c:v>
                </c:pt>
                <c:pt idx="1">
                  <c:v>2x1,25 cm Rigips Feuerschutzplatte</c:v>
                </c:pt>
                <c:pt idx="2">
                  <c:v>2x1,25 cm Rigips Feuerschutzplatte imprägniert</c:v>
                </c:pt>
                <c:pt idx="3">
                  <c:v>2x1,25cm Rigips Feuerschutzplatte imprägniert</c:v>
                </c:pt>
                <c:pt idx="4">
                  <c:v>3S Platte</c:v>
                </c:pt>
                <c:pt idx="5">
                  <c:v>3S Platte</c:v>
                </c:pt>
                <c:pt idx="6">
                  <c:v>3S-Platte</c:v>
                </c:pt>
                <c:pt idx="7">
                  <c:v>3S-Platte</c:v>
                </c:pt>
                <c:pt idx="8">
                  <c:v>Abdichtung lt. Önorm durchwurzelungsfest</c:v>
                </c:pt>
                <c:pt idx="9">
                  <c:v>Außenputz (Sto-Silkolit K)</c:v>
                </c:pt>
                <c:pt idx="10">
                  <c:v>AUSTROTHERM XPS </c:v>
                </c:pt>
                <c:pt idx="11">
                  <c:v>Belag: Fliesen</c:v>
                </c:pt>
                <c:pt idx="12">
                  <c:v>Belag: Holz</c:v>
                </c:pt>
                <c:pt idx="13">
                  <c:v>Belag: Kokosfasermatte</c:v>
                </c:pt>
                <c:pt idx="14">
                  <c:v>codex AX 220 | 2-K Flex-Dichtschlämme/ Verbundabdichtung</c:v>
                </c:pt>
                <c:pt idx="15">
                  <c:v>CW50-Profil</c:v>
                </c:pt>
                <c:pt idx="16">
                  <c:v>CW75-Profil</c:v>
                </c:pt>
                <c:pt idx="17">
                  <c:v>CW-Profil 75</c:v>
                </c:pt>
                <c:pt idx="18">
                  <c:v>Dampfbremse </c:v>
                </c:pt>
                <c:pt idx="19">
                  <c:v>Dampfbremse Polyethylen (PE)</c:v>
                </c:pt>
                <c:pt idx="20">
                  <c:v>Dampfsperre</c:v>
                </c:pt>
                <c:pt idx="21">
                  <c:v>Dampfsperre Bauder TEC KSD</c:v>
                </c:pt>
                <c:pt idx="22">
                  <c:v>EPS W25</c:v>
                </c:pt>
                <c:pt idx="23">
                  <c:v>EPS-(RECYCLING) Granulat Ausgleichsschüttungen mit Bindemitteln od. zementgebund</c:v>
                </c:pt>
                <c:pt idx="24">
                  <c:v>Gefälledämmplatte EPS W25 i.Mi.</c:v>
                </c:pt>
                <c:pt idx="25">
                  <c:v>Gefälledämmung EPS W25 i.Mi.</c:v>
                </c:pt>
                <c:pt idx="26">
                  <c:v>Hohlkastendeckenkonstruktion</c:v>
                </c:pt>
                <c:pt idx="27">
                  <c:v>Holz-Alu-Rahmen Fichte &gt;=109 Stockrahmentiefe</c:v>
                </c:pt>
                <c:pt idx="28">
                  <c:v>Holzfaserdämmplatte (Sto Thermowood)</c:v>
                </c:pt>
                <c:pt idx="29">
                  <c:v>Holz-UK</c:v>
                </c:pt>
                <c:pt idx="30">
                  <c:v>ISOVER KONTUR KP 1- 035</c:v>
                </c:pt>
                <c:pt idx="31">
                  <c:v>ISOVER Kontur KP 1-035</c:v>
                </c:pt>
                <c:pt idx="32">
                  <c:v>ISOVER Trittschall-Dämmplatte T TDPT</c:v>
                </c:pt>
                <c:pt idx="33">
                  <c:v>Kautschukbelag</c:v>
                </c:pt>
                <c:pt idx="34">
                  <c:v>Kies</c:v>
                </c:pt>
                <c:pt idx="35">
                  <c:v>Magerbeton / Schütt- und Stampfbeton</c:v>
                </c:pt>
                <c:pt idx="36">
                  <c:v>Massivholzdecke</c:v>
                </c:pt>
                <c:pt idx="37">
                  <c:v>Massivholzplatte</c:v>
                </c:pt>
                <c:pt idx="38">
                  <c:v>Massivholzplatte </c:v>
                </c:pt>
                <c:pt idx="39">
                  <c:v>Massivholzplatten (3-Schicht, 5-Schicht), Fichte/Tanne (475 kg/m³)</c:v>
                </c:pt>
                <c:pt idx="40">
                  <c:v>Mehrschichtparkett</c:v>
                </c:pt>
                <c:pt idx="41">
                  <c:v>Mineralwolle</c:v>
                </c:pt>
                <c:pt idx="42">
                  <c:v>Normalbeton mit Bewehrung  1 % (2300 kg/m³)</c:v>
                </c:pt>
                <c:pt idx="43">
                  <c:v>Nutzholz (475 kg/m³ - zB Fichte/Tanne) - rauh, luftgetrocknet</c:v>
                </c:pt>
                <c:pt idx="44">
                  <c:v>PE-Folie</c:v>
                </c:pt>
                <c:pt idx="45">
                  <c:v>Platte mit Kühlschläuchen (FERMACELL Gipsfaser-Platte)</c:v>
                </c:pt>
                <c:pt idx="46">
                  <c:v>RÖFIX 970 Zementestrich</c:v>
                </c:pt>
                <c:pt idx="47">
                  <c:v>Sand, Kies lufttrocken, Pflanzensubstrat</c:v>
                </c:pt>
                <c:pt idx="48">
                  <c:v>Sarnafil TG 66</c:v>
                </c:pt>
                <c:pt idx="49">
                  <c:v>Schutzvlies</c:v>
                </c:pt>
                <c:pt idx="50">
                  <c:v>STEICOflex 036</c:v>
                </c:pt>
                <c:pt idx="51">
                  <c:v>Trenn- und Speichervlies </c:v>
                </c:pt>
                <c:pt idx="52">
                  <c:v>Trittschallmatte (STEICO Ecosilent)</c:v>
                </c:pt>
                <c:pt idx="53">
                  <c:v>Vlies</c:v>
                </c:pt>
                <c:pt idx="54">
                  <c:v>Wärmedämmung EPS W25</c:v>
                </c:pt>
                <c:pt idx="55">
                  <c:v>Wärmeschutzglas Ug=0,5</c:v>
                </c:pt>
                <c:pt idx="56">
                  <c:v>woodup:Holz</c:v>
                </c:pt>
                <c:pt idx="57">
                  <c:v>Aushub</c:v>
                </c:pt>
                <c:pt idx="58">
                  <c:v>Baugrubensicherung</c:v>
                </c:pt>
                <c:pt idx="59">
                  <c:v>Gebäude gesamt</c:v>
                </c:pt>
                <c:pt idx="60">
                  <c:v>Betrieb</c:v>
                </c:pt>
                <c:pt idx="61">
                  <c:v>Gesamte Emissionen</c:v>
                </c:pt>
              </c:strCache>
            </c:strRef>
          </c:cat>
          <c:val>
            <c:numRef>
              <c:f>(Gesamtauswertung!$V$11:$V$67,Gesamtauswertung!$Z$3:$Z$7)</c:f>
              <c:numCache>
                <c:formatCode>General</c:formatCode>
                <c:ptCount val="62"/>
                <c:pt idx="1">
                  <c:v>0</c:v>
                </c:pt>
                <c:pt idx="6">
                  <c:v>0</c:v>
                </c:pt>
                <c:pt idx="8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9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2">
                  <c:v>0</c:v>
                </c:pt>
                <c:pt idx="45">
                  <c:v>0</c:v>
                </c:pt>
                <c:pt idx="46">
                  <c:v>0</c:v>
                </c:pt>
                <c:pt idx="57" formatCode="0.00">
                  <c:v>#N/A</c:v>
                </c:pt>
                <c:pt idx="58" formatCode="0.00">
                  <c:v>#N/A</c:v>
                </c:pt>
                <c:pt idx="59" formatCode="0.00">
                  <c:v>#N/A</c:v>
                </c:pt>
                <c:pt idx="60" formatCode="0.00">
                  <c:v>119645</c:v>
                </c:pt>
                <c:pt idx="61" formatCode="0.00">
                  <c:v>410760.38057559775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75A3-4B1E-B7B9-1F68CF205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184863"/>
        <c:axId val="591181951"/>
      </c:barChart>
      <c:catAx>
        <c:axId val="5911848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1951"/>
        <c:crosses val="autoZero"/>
        <c:auto val="1"/>
        <c:lblAlgn val="ctr"/>
        <c:lblOffset val="100"/>
        <c:noMultiLvlLbl val="0"/>
      </c:catAx>
      <c:valAx>
        <c:axId val="59118195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390884820101461"/>
          <c:y val="0.95486324458573435"/>
          <c:w val="0.26527700076683008"/>
          <c:h val="2.937837014160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emittierende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Grafiken!$Z$3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Normalbeton mit Bewehrung  1 % (2300 kg/m³)</c:v>
                </c:pt>
                <c:pt idx="1">
                  <c:v>RÖFIX 970 Zementestrich</c:v>
                </c:pt>
                <c:pt idx="2">
                  <c:v>Wärmeschutzglas Ug=0,5</c:v>
                </c:pt>
                <c:pt idx="3">
                  <c:v>Magerbeton / Schütt- und Stampfbeton</c:v>
                </c:pt>
                <c:pt idx="4">
                  <c:v>Sand, Kies lufttrocken, Pflanzensubstrat</c:v>
                </c:pt>
                <c:pt idx="5">
                  <c:v>Gesamt</c:v>
                </c:pt>
              </c:strCache>
            </c:strRef>
          </c:cat>
          <c:val>
            <c:numRef>
              <c:f>Grafiken!$Z$4:$Z$9</c:f>
              <c:numCache>
                <c:formatCode>General</c:formatCode>
                <c:ptCount val="6"/>
                <c:pt idx="0">
                  <c:v>0</c:v>
                </c:pt>
                <c:pt idx="1">
                  <c:v>162.8357</c:v>
                </c:pt>
                <c:pt idx="2">
                  <c:v>702.76459999999997</c:v>
                </c:pt>
                <c:pt idx="3">
                  <c:v>0</c:v>
                </c:pt>
                <c:pt idx="4">
                  <c:v>0</c:v>
                </c:pt>
                <c:pt idx="5">
                  <c:v>865.60029999999995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E-43EE-8F19-63F7760DA6D1}"/>
            </c:ext>
          </c:extLst>
        </c:ser>
        <c:ser>
          <c:idx val="1"/>
          <c:order val="1"/>
          <c:tx>
            <c:strRef>
              <c:f>Grafiken!$Y$3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Normalbeton mit Bewehrung  1 % (2300 kg/m³)</c:v>
                </c:pt>
                <c:pt idx="1">
                  <c:v>RÖFIX 970 Zementestrich</c:v>
                </c:pt>
                <c:pt idx="2">
                  <c:v>Wärmeschutzglas Ug=0,5</c:v>
                </c:pt>
                <c:pt idx="3">
                  <c:v>Magerbeton / Schütt- und Stampfbeton</c:v>
                </c:pt>
                <c:pt idx="4">
                  <c:v>Sand, Kies lufttrocken, Pflanzensubstrat</c:v>
                </c:pt>
                <c:pt idx="5">
                  <c:v>Gesamt</c:v>
                </c:pt>
              </c:strCache>
            </c:strRef>
          </c:cat>
          <c:val>
            <c:numRef>
              <c:f>Grafiken!$Y$4:$Y$9</c:f>
              <c:numCache>
                <c:formatCode>General</c:formatCode>
                <c:ptCount val="6"/>
                <c:pt idx="0">
                  <c:v>2118.9741187499872</c:v>
                </c:pt>
                <c:pt idx="1">
                  <c:v>1456.8499881249913</c:v>
                </c:pt>
                <c:pt idx="2">
                  <c:v>3.5083707749999791</c:v>
                </c:pt>
                <c:pt idx="3">
                  <c:v>678.0657687499961</c:v>
                </c:pt>
                <c:pt idx="4">
                  <c:v>651.10314499999606</c:v>
                </c:pt>
                <c:pt idx="5">
                  <c:v>4908.501391399971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2-42D9-A38C-A25457BBF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0.82901645869883867"/>
              <c:y val="0.355501782129318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in</a:t>
                </a:r>
                <a:r>
                  <a:rPr lang="de-AT" baseline="0"/>
                  <a:t> kgCO</a:t>
                </a:r>
                <a:r>
                  <a:rPr lang="de-AT" baseline="-25000"/>
                  <a:t>2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aufnehmende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4900440685655038E-2"/>
          <c:y val="0.10360335195530727"/>
          <c:w val="0.67097655617121943"/>
          <c:h val="0.8315970175515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Grafiken!$Z$14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Hohlkastendeckenkonstruktion</c:v>
                </c:pt>
                <c:pt idx="1">
                  <c:v>Nutzholz (475 kg/m³ - zB Fichte/Tanne) - rauh, luftgetrocknet</c:v>
                </c:pt>
                <c:pt idx="2">
                  <c:v>woodup:Holz</c:v>
                </c:pt>
                <c:pt idx="3">
                  <c:v>3S-Platte</c:v>
                </c:pt>
                <c:pt idx="4">
                  <c:v>3S Platte</c:v>
                </c:pt>
                <c:pt idx="5">
                  <c:v>Gesamt</c:v>
                </c:pt>
              </c:strCache>
            </c:strRef>
          </c:cat>
          <c:val>
            <c:numRef>
              <c:f>Grafiken!$Z$15:$Z$20</c:f>
              <c:numCache>
                <c:formatCode>General</c:formatCode>
                <c:ptCount val="6"/>
                <c:pt idx="0">
                  <c:v>-5424.9998999999998</c:v>
                </c:pt>
                <c:pt idx="1">
                  <c:v>-5022.1958000000004</c:v>
                </c:pt>
                <c:pt idx="2">
                  <c:v>-1576.9352000000001</c:v>
                </c:pt>
                <c:pt idx="3">
                  <c:v>-419.94469999999995</c:v>
                </c:pt>
                <c:pt idx="4">
                  <c:v>-419.94469999999995</c:v>
                </c:pt>
                <c:pt idx="5">
                  <c:v>-12864.0203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D-46FF-9224-5B936C3CE748}"/>
            </c:ext>
          </c:extLst>
        </c:ser>
        <c:ser>
          <c:idx val="1"/>
          <c:order val="1"/>
          <c:tx>
            <c:strRef>
              <c:f>Grafiken!$Y$14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Hohlkastendeckenkonstruktion</c:v>
                </c:pt>
                <c:pt idx="1">
                  <c:v>Nutzholz (475 kg/m³ - zB Fichte/Tanne) - rauh, luftgetrocknet</c:v>
                </c:pt>
                <c:pt idx="2">
                  <c:v>woodup:Holz</c:v>
                </c:pt>
                <c:pt idx="3">
                  <c:v>3S-Platte</c:v>
                </c:pt>
                <c:pt idx="4">
                  <c:v>3S Platte</c:v>
                </c:pt>
                <c:pt idx="5">
                  <c:v>Gesamt</c:v>
                </c:pt>
              </c:strCache>
            </c:strRef>
          </c:cat>
          <c:val>
            <c:numRef>
              <c:f>Grafiken!$Y$15:$Y$20</c:f>
              <c:numCache>
                <c:formatCode>General</c:formatCode>
                <c:ptCount val="6"/>
                <c:pt idx="0">
                  <c:v>38.606607812499767</c:v>
                </c:pt>
                <c:pt idx="1">
                  <c:v>39.095168437499773</c:v>
                </c:pt>
                <c:pt idx="2">
                  <c:v>7.984615624999952</c:v>
                </c:pt>
                <c:pt idx="3">
                  <c:v>3.6319740624999786</c:v>
                </c:pt>
                <c:pt idx="4">
                  <c:v>4.8219565624999712</c:v>
                </c:pt>
                <c:pt idx="5">
                  <c:v>94.140322499999442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A-4DBD-AD6C-1BF83C715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5.5555103630144792E-2"/>
              <c:y val="0.37373025483899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 kgCO</a:t>
                </a:r>
                <a:r>
                  <a:rPr lang="de-AT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</a:t>
                </a:r>
                <a:endParaRPr lang="de-A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de-AT"/>
              </a:p>
            </c:rich>
          </c:tx>
          <c:layout>
            <c:manualLayout>
              <c:xMode val="edge"/>
              <c:yMode val="edge"/>
              <c:x val="0.30695169199403677"/>
              <c:y val="6.63206944411578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Emissionen der verschiedenen Phasen</a:t>
            </a:r>
          </a:p>
        </c:rich>
      </c:tx>
      <c:layout>
        <c:manualLayout>
          <c:xMode val="edge"/>
          <c:yMode val="edge"/>
          <c:x val="0.26391403587016299"/>
          <c:y val="2.6845637583892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5F-439B-A383-4E6F238CF2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5F-439B-A383-4E6F238CF2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5F-439B-A383-4E6F238CF2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FD-4923-A49F-FDEDE47373DF}"/>
              </c:ext>
            </c:extLst>
          </c:dPt>
          <c:dLbls>
            <c:dLbl>
              <c:idx val="0"/>
              <c:layout>
                <c:manualLayout>
                  <c:x val="3.1427320613398993E-2"/>
                  <c:y val="-9.4529669151346363E-2"/>
                </c:manualLayout>
              </c:layout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5F-439B-A383-4E6F238CF214}"/>
                </c:ext>
              </c:extLst>
            </c:dLbl>
            <c:dLbl>
              <c:idx val="1"/>
              <c:layout>
                <c:manualLayout>
                  <c:x val="-1.3656203159146327E-2"/>
                  <c:y val="3.5981736739246983E-2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5F-439B-A383-4E6F238CF214}"/>
                </c:ext>
              </c:extLst>
            </c:dLbl>
            <c:dLbl>
              <c:idx val="2"/>
              <c:layout>
                <c:manualLayout>
                  <c:x val="-4.0895124882552883E-2"/>
                  <c:y val="5.4916033966897837E-3"/>
                </c:manualLayout>
              </c:layout>
              <c:spPr>
                <a:solidFill>
                  <a:schemeClr val="bg1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5F-439B-A383-4E6F238CF214}"/>
                </c:ext>
              </c:extLst>
            </c:dLbl>
            <c:dLbl>
              <c:idx val="3"/>
              <c:layout>
                <c:manualLayout>
                  <c:x val="-4.7139642809114229E-2"/>
                  <c:y val="-2.7032738970270316E-2"/>
                </c:manualLayout>
              </c:layout>
              <c:spPr>
                <a:solidFill>
                  <a:srgbClr val="FFCC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FD-4923-A49F-FDEDE47373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Gesamtauswertung!$G$28:$G$31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Gesamtauswertung!$I$28:$I$31</c:f>
              <c:numCache>
                <c:formatCode>_-* #\ ##0.0_-;\-* #\ ##0.0_-;_-* "-"?_-;_-@_-</c:formatCode>
                <c:ptCount val="4"/>
                <c:pt idx="0">
                  <c:v>-10644.312600000001</c:v>
                </c:pt>
                <c:pt idx="1">
                  <c:v>224539.6731755978</c:v>
                </c:pt>
                <c:pt idx="2">
                  <c:v>77220.01999999999</c:v>
                </c:pt>
                <c:pt idx="3" formatCode="_-* #\ ##0.0_-;\-* #\ ##0.0_-;_-* &quot;-&quot;??_-;_-@_-">
                  <c:v>119645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D-4923-A49F-FDEDE47373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800" b="1"/>
              <a:t>Vergleich Baugrube und Gebäude</a:t>
            </a:r>
          </a:p>
        </c:rich>
      </c:tx>
      <c:layout>
        <c:manualLayout>
          <c:xMode val="edge"/>
          <c:yMode val="edge"/>
          <c:x val="0.28139846821687986"/>
          <c:y val="1.9245367080909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D1-4EC8-9C82-3B9F14EE13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D1-4EC8-9C82-3B9F14EE13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(Gesamtauswertung!$B$3,Gesamtauswertung!$G$3)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(Gesamtauswertung!$D$12,Gesamtauswertung!$I$14)</c:f>
              <c:numCache>
                <c:formatCode>_-* #\ ##0.0_-;\-* #\ ##0.0_-;_-* "-"??_-;_-@_-</c:formatCode>
                <c:ptCount val="2"/>
                <c:pt idx="0">
                  <c:v>33618.760628385848</c:v>
                </c:pt>
                <c:pt idx="1">
                  <c:v>177333.27730386291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D1-4EC8-9C82-3B9F14EE13F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Vergleich emittierende und aufnehmende Materialien (Top 5)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Emittierende Materialien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Grafiken!$X$9</c:f>
              <c:numCache>
                <c:formatCode>General</c:formatCode>
                <c:ptCount val="1"/>
                <c:pt idx="0">
                  <c:v>5774.1016913999711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4-4788-9912-27B99B09BB4D}"/>
            </c:ext>
          </c:extLst>
        </c:ser>
        <c:ser>
          <c:idx val="1"/>
          <c:order val="1"/>
          <c:tx>
            <c:v>Aufnehmende Materialien 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Grafiken!$X$20</c:f>
              <c:numCache>
                <c:formatCode>General</c:formatCode>
                <c:ptCount val="1"/>
                <c:pt idx="0">
                  <c:v>-12769.879977499999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4-4788-9912-27B99B09BB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04461023"/>
        <c:axId val="1004460191"/>
      </c:barChart>
      <c:catAx>
        <c:axId val="10044610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cap="none" baseline="0"/>
                  <a:t>kgCO</a:t>
                </a:r>
                <a:r>
                  <a:rPr lang="de-AT" cap="none" baseline="-25000"/>
                  <a:t>2</a:t>
                </a:r>
              </a:p>
            </c:rich>
          </c:tx>
          <c:layout>
            <c:manualLayout>
              <c:xMode val="edge"/>
              <c:yMode val="edge"/>
              <c:x val="2.4613352770305973E-2"/>
              <c:y val="0.56653313488405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004460191"/>
        <c:crosses val="autoZero"/>
        <c:auto val="1"/>
        <c:lblAlgn val="ctr"/>
        <c:lblOffset val="100"/>
        <c:noMultiLvlLbl val="0"/>
      </c:catAx>
      <c:valAx>
        <c:axId val="10044601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446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Emissionen der verschiedenen Phasen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 sz="2400" b="1"/>
          </a:p>
        </c:rich>
      </c:tx>
      <c:layout>
        <c:manualLayout>
          <c:xMode val="edge"/>
          <c:yMode val="edge"/>
          <c:x val="0.23007331559301619"/>
          <c:y val="2.4799901893931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47449693576182778"/>
          <c:y val="0.14133444561869701"/>
          <c:w val="0.39219928565973727"/>
          <c:h val="0.7585597758806940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1C-45C3-B90B-4C428BD5D23E}"/>
              </c:ext>
            </c:extLst>
          </c:dPt>
          <c:dPt>
            <c:idx val="1"/>
            <c:bubble3D val="0"/>
            <c:spPr>
              <a:solidFill>
                <a:srgbClr val="FF99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71C-45C3-B90B-4C428BD5D2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28-48A9-80DF-E20BDD8BBA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28-48A9-80DF-E20BDD8BBA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Grafiken!$M$126:$M$129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Grafiken!$Q$126:$Q$129</c:f>
              <c:numCache>
                <c:formatCode>0%</c:formatCode>
                <c:ptCount val="4"/>
                <c:pt idx="0">
                  <c:v>-2.591367888276894E-2</c:v>
                </c:pt>
                <c:pt idx="1">
                  <c:v>0.54664394083224566</c:v>
                </c:pt>
                <c:pt idx="2">
                  <c:v>0.18799286311837504</c:v>
                </c:pt>
                <c:pt idx="3">
                  <c:v>0.29127687493214821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C-45C3-B90B-4C428BD5D2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Vergleich Baugrube und Gebäude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A5-48C2-9558-19398239634D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3A6-4E3A-920D-18BCBF1F93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(Grafiken!$AF$126,Grafiken!$AF$128)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(Grafiken!$AJ$126,Grafiken!$AJ$128)</c:f>
              <c:numCache>
                <c:formatCode>0%</c:formatCode>
                <c:ptCount val="2"/>
                <c:pt idx="0">
                  <c:v>0.15936684451080371</c:v>
                </c:pt>
                <c:pt idx="1">
                  <c:v>0.84063315548919637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6-4E3A-920D-18BCBF1F93D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Grafische Übersicht über alle Materialien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Grafische Übersicht über alle Materialien </a:t>
          </a:r>
        </a:p>
      </cx:txPr>
    </cx:title>
    <cx:plotArea>
      <cx:plotAreaRegion>
        <cx:series layoutId="sunburst" uniqueId="{99386249-FE0A-4477-96CB-B7DB93EA8E8C}">
          <cx:tx>
            <cx:txData>
              <cx:f>_xlchart.v1.1</cx:f>
              <cx:v>Produktion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I$3" lockText="1" noThreeD="1"/>
</file>

<file path=xl/ctrlProps/ctrlProp2.xml><?xml version="1.0" encoding="utf-8"?>
<formControlPr xmlns="http://schemas.microsoft.com/office/spreadsheetml/2009/9/main" objectType="CheckBox" checked="Checked" fmlaLink="$I$23" lockText="1" noThreeD="1"/>
</file>

<file path=xl/ctrlProps/ctrlProp3.xml><?xml version="1.0" encoding="utf-8"?>
<formControlPr xmlns="http://schemas.microsoft.com/office/spreadsheetml/2009/9/main" objectType="CheckBox" fmlaLink="$G$26" lockText="1" noThreeD="1"/>
</file>

<file path=xl/ctrlProps/ctrlProp4.xml><?xml version="1.0" encoding="utf-8"?>
<formControlPr xmlns="http://schemas.microsoft.com/office/spreadsheetml/2009/9/main" objectType="CheckBox" checked="Checked" fmlaLink="$I$15" lockText="1" noThreeD="1"/>
</file>

<file path=xl/ctrlProps/ctrlProp5.xml><?xml version="1.0" encoding="utf-8"?>
<formControlPr xmlns="http://schemas.microsoft.com/office/spreadsheetml/2009/9/main" objectType="CheckBox" fmlaLink="$K$20" lockText="1" noThreeD="1"/>
</file>

<file path=xl/ctrlProps/ctrlProp6.xml><?xml version="1.0" encoding="utf-8"?>
<formControlPr xmlns="http://schemas.microsoft.com/office/spreadsheetml/2009/9/main" objectType="CheckBox" checked="Checked" fmlaLink="$E$4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Radio" checked="Checked" firstButton="1" fmlaLink="$N$23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CheckBox" fmlaLink="$G$79" lockText="1" noThreeD="1"/>
</file>

<file path=xl/ctrlProps/ctrlProp11.xml><?xml version="1.0" encoding="utf-8"?>
<formControlPr xmlns="http://schemas.microsoft.com/office/spreadsheetml/2009/9/main" objectType="CheckBox" checked="Checked" fmlaLink="$K$44" lockText="1" noThreeD="1"/>
</file>

<file path=xl/ctrlProps/ctrlProp12.xml><?xml version="1.0" encoding="utf-8"?>
<formControlPr xmlns="http://schemas.microsoft.com/office/spreadsheetml/2009/9/main" objectType="CheckBox" checked="Checked" fmlaLink="$K$3" lockText="1" noThreeD="1"/>
</file>

<file path=xl/ctrlProps/ctrlProp13.xml><?xml version="1.0" encoding="utf-8"?>
<formControlPr xmlns="http://schemas.microsoft.com/office/spreadsheetml/2009/9/main" objectType="CheckBox" checked="Checked" fmlaLink="$K$4" lockText="1" noThreeD="1"/>
</file>

<file path=xl/ctrlProps/ctrlProp14.xml><?xml version="1.0" encoding="utf-8"?>
<formControlPr xmlns="http://schemas.microsoft.com/office/spreadsheetml/2009/9/main" objectType="CheckBox" checked="Checked" fmlaLink="$K$5" lockText="1" noThreeD="1"/>
</file>

<file path=xl/ctrlProps/ctrlProp15.xml><?xml version="1.0" encoding="utf-8"?>
<formControlPr xmlns="http://schemas.microsoft.com/office/spreadsheetml/2009/9/main" objectType="CheckBox" fmlaLink="#REF!" lockText="1" noThreeD="1"/>
</file>

<file path=xl/ctrlProps/ctrlProp16.xml><?xml version="1.0" encoding="utf-8"?>
<formControlPr xmlns="http://schemas.microsoft.com/office/spreadsheetml/2009/9/main" objectType="CheckBox" checked="Checked" fmlaLink="$K$6" lockText="1" noThreeD="1"/>
</file>

<file path=xl/ctrlProps/ctrlProp17.xml><?xml version="1.0" encoding="utf-8"?>
<formControlPr xmlns="http://schemas.microsoft.com/office/spreadsheetml/2009/9/main" objectType="CheckBox" checked="Checked" fmlaLink="$K$7" lockText="1" noThreeD="1"/>
</file>

<file path=xl/ctrlProps/ctrlProp18.xml><?xml version="1.0" encoding="utf-8"?>
<formControlPr xmlns="http://schemas.microsoft.com/office/spreadsheetml/2009/9/main" objectType="CheckBox" checked="Checked" fmlaLink="$K$8" lockText="1" noThreeD="1"/>
</file>

<file path=xl/ctrlProps/ctrlProp19.xml><?xml version="1.0" encoding="utf-8"?>
<formControlPr xmlns="http://schemas.microsoft.com/office/spreadsheetml/2009/9/main" objectType="CheckBox" checked="Checked" fmlaLink="$K$9" lockText="1" noThreeD="1"/>
</file>

<file path=xl/ctrlProps/ctrlProp20.xml><?xml version="1.0" encoding="utf-8"?>
<formControlPr xmlns="http://schemas.microsoft.com/office/spreadsheetml/2009/9/main" objectType="CheckBox" checked="Checked" fmlaLink="$K$10" lockText="1" noThreeD="1"/>
</file>

<file path=xl/ctrlProps/ctrlProp21.xml><?xml version="1.0" encoding="utf-8"?>
<formControlPr xmlns="http://schemas.microsoft.com/office/spreadsheetml/2009/9/main" objectType="CheckBox" checked="Checked" fmlaLink="$K$11" lockText="1" noThreeD="1"/>
</file>

<file path=xl/ctrlProps/ctrlProp22.xml><?xml version="1.0" encoding="utf-8"?>
<formControlPr xmlns="http://schemas.microsoft.com/office/spreadsheetml/2009/9/main" objectType="CheckBox" checked="Checked" fmlaLink="$K$12" lockText="1" noThreeD="1"/>
</file>

<file path=xl/ctrlProps/ctrlProp23.xml><?xml version="1.0" encoding="utf-8"?>
<formControlPr xmlns="http://schemas.microsoft.com/office/spreadsheetml/2009/9/main" objectType="CheckBox" checked="Checked" fmlaLink="$K$14" lockText="1" noThreeD="1"/>
</file>

<file path=xl/ctrlProps/ctrlProp24.xml><?xml version="1.0" encoding="utf-8"?>
<formControlPr xmlns="http://schemas.microsoft.com/office/spreadsheetml/2009/9/main" objectType="CheckBox" checked="Checked" fmlaLink="$K$15" lockText="1" noThreeD="1"/>
</file>

<file path=xl/ctrlProps/ctrlProp25.xml><?xml version="1.0" encoding="utf-8"?>
<formControlPr xmlns="http://schemas.microsoft.com/office/spreadsheetml/2009/9/main" objectType="CheckBox" checked="Checked" fmlaLink="$K$16" lockText="1" noThreeD="1"/>
</file>

<file path=xl/ctrlProps/ctrlProp26.xml><?xml version="1.0" encoding="utf-8"?>
<formControlPr xmlns="http://schemas.microsoft.com/office/spreadsheetml/2009/9/main" objectType="CheckBox" checked="Checked" fmlaLink="$K$17" lockText="1" noThreeD="1"/>
</file>

<file path=xl/ctrlProps/ctrlProp27.xml><?xml version="1.0" encoding="utf-8"?>
<formControlPr xmlns="http://schemas.microsoft.com/office/spreadsheetml/2009/9/main" objectType="CheckBox" checked="Checked" fmlaLink="$K$18" lockText="1" noThreeD="1"/>
</file>

<file path=xl/ctrlProps/ctrlProp28.xml><?xml version="1.0" encoding="utf-8"?>
<formControlPr xmlns="http://schemas.microsoft.com/office/spreadsheetml/2009/9/main" objectType="CheckBox" fmlaLink="$G$5" lockText="1" noThreeD="1"/>
</file>

<file path=xl/ctrlProps/ctrlProp29.xml><?xml version="1.0" encoding="utf-8"?>
<formControlPr xmlns="http://schemas.microsoft.com/office/spreadsheetml/2009/9/main" objectType="CheckBox" checked="Checked" fmlaLink="$E$19" lockText="1" noThreeD="1"/>
</file>

<file path=xl/ctrlProps/ctrlProp30.xml><?xml version="1.0" encoding="utf-8"?>
<formControlPr xmlns="http://schemas.microsoft.com/office/spreadsheetml/2009/9/main" objectType="CheckBox" fmlaLink="$A$10" lockText="1" noThreeD="1"/>
</file>

<file path=xl/ctrlProps/ctrlProp31.xml><?xml version="1.0" encoding="utf-8"?>
<formControlPr xmlns="http://schemas.microsoft.com/office/spreadsheetml/2009/9/main" objectType="CheckBox" fmlaLink="$A$24" lockText="1" noThreeD="1"/>
</file>

<file path=xl/ctrlProps/ctrlProp32.xml><?xml version="1.0" encoding="utf-8"?>
<formControlPr xmlns="http://schemas.microsoft.com/office/spreadsheetml/2009/9/main" objectType="CheckBox" fmlaLink="$D$2" lockText="1" noThreeD="1"/>
</file>

<file path=xl/ctrlProps/ctrlProp33.xml><?xml version="1.0" encoding="utf-8"?>
<formControlPr xmlns="http://schemas.microsoft.com/office/spreadsheetml/2009/9/main" objectType="CheckBox" fmlaLink="$G$5" lockText="1" noThreeD="1"/>
</file>

<file path=xl/ctrlProps/ctrlProp34.xml><?xml version="1.0" encoding="utf-8"?>
<formControlPr xmlns="http://schemas.microsoft.com/office/spreadsheetml/2009/9/main" objectType="CheckBox" checked="Checked" fmlaLink="$E$19" lockText="1" noThreeD="1"/>
</file>

<file path=xl/ctrlProps/ctrlProp35.xml><?xml version="1.0" encoding="utf-8"?>
<formControlPr xmlns="http://schemas.microsoft.com/office/spreadsheetml/2009/9/main" objectType="CheckBox" fmlaLink="$A$24" lockText="1" noThreeD="1"/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419100</xdr:colOff>
          <xdr:row>1</xdr:row>
          <xdr:rowOff>266700</xdr:rowOff>
        </xdr:from>
        <xdr:to>
          <xdr:col>9</xdr:col>
          <xdr:colOff>723900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21</xdr:row>
          <xdr:rowOff>161925</xdr:rowOff>
        </xdr:from>
        <xdr:to>
          <xdr:col>8</xdr:col>
          <xdr:colOff>866775</xdr:colOff>
          <xdr:row>23</xdr:row>
          <xdr:rowOff>57150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25</xdr:row>
          <xdr:rowOff>9525</xdr:rowOff>
        </xdr:from>
        <xdr:to>
          <xdr:col>6</xdr:col>
          <xdr:colOff>1200150</xdr:colOff>
          <xdr:row>26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Rekarbonatisierung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13</xdr:row>
          <xdr:rowOff>180975</xdr:rowOff>
        </xdr:from>
        <xdr:to>
          <xdr:col>8</xdr:col>
          <xdr:colOff>638175</xdr:colOff>
          <xdr:row>15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18</xdr:row>
          <xdr:rowOff>190500</xdr:rowOff>
        </xdr:from>
        <xdr:to>
          <xdr:col>8</xdr:col>
          <xdr:colOff>504825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1400175</xdr:colOff>
          <xdr:row>4</xdr:row>
          <xdr:rowOff>0</xdr:rowOff>
        </xdr:to>
        <xdr:sp macro="" textlink="">
          <xdr:nvSpPr>
            <xdr:cNvPr id="1065" name="Check Box 41" descr="Reduzierung anzeigen 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Anzeigen der Reduktion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2333624</xdr:colOff>
      <xdr:row>86</xdr:row>
      <xdr:rowOff>135513</xdr:rowOff>
    </xdr:from>
    <xdr:to>
      <xdr:col>20</xdr:col>
      <xdr:colOff>523875</xdr:colOff>
      <xdr:row>175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9524" y="16956663"/>
              <a:ext cx="17621251" cy="169142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531675</xdr:colOff>
      <xdr:row>2</xdr:row>
      <xdr:rowOff>13680</xdr:rowOff>
    </xdr:from>
    <xdr:to>
      <xdr:col>19</xdr:col>
      <xdr:colOff>694764</xdr:colOff>
      <xdr:row>68</xdr:row>
      <xdr:rowOff>89648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479299</xdr:colOff>
      <xdr:row>69</xdr:row>
      <xdr:rowOff>106547</xdr:rowOff>
    </xdr:from>
    <xdr:to>
      <xdr:col>14</xdr:col>
      <xdr:colOff>121227</xdr:colOff>
      <xdr:row>96</xdr:row>
      <xdr:rowOff>81643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509566</xdr:colOff>
      <xdr:row>96</xdr:row>
      <xdr:rowOff>182912</xdr:rowOff>
    </xdr:from>
    <xdr:to>
      <xdr:col>14</xdr:col>
      <xdr:colOff>44823</xdr:colOff>
      <xdr:row>122</xdr:row>
      <xdr:rowOff>89647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123</xdr:row>
      <xdr:rowOff>172706</xdr:rowOff>
    </xdr:from>
    <xdr:to>
      <xdr:col>11</xdr:col>
      <xdr:colOff>585866</xdr:colOff>
      <xdr:row>154</xdr:row>
      <xdr:rowOff>49306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140176</xdr:colOff>
      <xdr:row>123</xdr:row>
      <xdr:rowOff>77490</xdr:rowOff>
    </xdr:from>
    <xdr:to>
      <xdr:col>31</xdr:col>
      <xdr:colOff>44825</xdr:colOff>
      <xdr:row>148</xdr:row>
      <xdr:rowOff>50935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281674</xdr:colOff>
      <xdr:row>69</xdr:row>
      <xdr:rowOff>134571</xdr:rowOff>
    </xdr:from>
    <xdr:to>
      <xdr:col>21</xdr:col>
      <xdr:colOff>623455</xdr:colOff>
      <xdr:row>89</xdr:row>
      <xdr:rowOff>82827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571499</xdr:colOff>
      <xdr:row>147</xdr:row>
      <xdr:rowOff>117230</xdr:rowOff>
    </xdr:from>
    <xdr:to>
      <xdr:col>12</xdr:col>
      <xdr:colOff>402980</xdr:colOff>
      <xdr:row>150</xdr:row>
      <xdr:rowOff>52581</xdr:rowOff>
    </xdr:to>
    <xdr:sp macro="" textlink="Gesamtauswertung!I32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905499" y="28120730"/>
          <a:ext cx="3641481" cy="50685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t>Gesammtemission</a:t>
          </a:r>
          <a:r>
            <a:rPr lang="en-US" sz="1600" b="0" i="0" u="sng" strike="noStrike" baseline="0">
              <a:solidFill>
                <a:srgbClr val="000000"/>
              </a:solidFill>
              <a:latin typeface="Calibri"/>
              <a:cs typeface="Calibri"/>
            </a:rPr>
            <a:t> =</a:t>
          </a:r>
          <a:fld id="{DD6D20F6-6223-4476-A562-0219FA3498A5}" type="TxLink"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pPr/>
            <a:t> 382 797,0 </a:t>
          </a:fld>
          <a:r>
            <a:rPr lang="en-US" sz="1600" b="0" i="0" u="sng" strike="noStrike">
              <a:solidFill>
                <a:srgbClr val="000000"/>
              </a:solidFill>
              <a:latin typeface="+mn-lt"/>
              <a:cs typeface="Calibri"/>
            </a:rPr>
            <a:t>kgCO2äq.</a:t>
          </a:r>
          <a:endParaRPr lang="de-AT" sz="1600" b="0" u="sng"/>
        </a:p>
      </xdr:txBody>
    </xdr:sp>
    <xdr:clientData/>
  </xdr:twoCellAnchor>
  <xdr:twoCellAnchor>
    <xdr:from>
      <xdr:col>1</xdr:col>
      <xdr:colOff>190500</xdr:colOff>
      <xdr:row>155</xdr:row>
      <xdr:rowOff>178154</xdr:rowOff>
    </xdr:from>
    <xdr:to>
      <xdr:col>14</xdr:col>
      <xdr:colOff>557893</xdr:colOff>
      <xdr:row>184</xdr:row>
      <xdr:rowOff>163286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211208</xdr:colOff>
      <xdr:row>148</xdr:row>
      <xdr:rowOff>186816</xdr:rowOff>
    </xdr:from>
    <xdr:to>
      <xdr:col>31</xdr:col>
      <xdr:colOff>1171016</xdr:colOff>
      <xdr:row>176</xdr:row>
      <xdr:rowOff>79241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0.31491</cdr:x>
      <cdr:y>0.40261</cdr:y>
    </cdr:from>
    <cdr:to>
      <cdr:x>0.46015</cdr:x>
      <cdr:y>0.46654</cdr:y>
    </cdr:to>
    <cdr:sp macro="" textlink="Grafiken!$O$126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C38DC095-D7CF-8EE8-E7AD-ACE031B12455}"/>
            </a:ext>
          </a:extLst>
        </cdr:cNvPr>
        <cdr:cNvSpPr txBox="1"/>
      </cdr:nvSpPr>
      <cdr:spPr>
        <a:xfrm xmlns:a="http://schemas.openxmlformats.org/drawingml/2006/main">
          <a:off x="3333750" y="2218253"/>
          <a:ext cx="1537607" cy="352236"/>
        </a:xfrm>
        <a:prstGeom xmlns:a="http://schemas.openxmlformats.org/drawingml/2006/main" prst="rect">
          <a:avLst/>
        </a:prstGeom>
        <a:solidFill xmlns:a="http://schemas.openxmlformats.org/drawingml/2006/main">
          <a:srgbClr val="0070C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E936891-38FE-4C08-B05F-18A9F1CD52B8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-10,64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0.31414</cdr:x>
      <cdr:y>0.49887</cdr:y>
    </cdr:from>
    <cdr:to>
      <cdr:x>0.45887</cdr:x>
      <cdr:y>0.55545</cdr:y>
    </cdr:to>
    <cdr:sp macro="" textlink="Grafiken!$O$127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04D41BB2-8BBF-CEC2-25B1-012DAD5CA91F}"/>
            </a:ext>
          </a:extLst>
        </cdr:cNvPr>
        <cdr:cNvSpPr txBox="1"/>
      </cdr:nvSpPr>
      <cdr:spPr>
        <a:xfrm xmlns:a="http://schemas.openxmlformats.org/drawingml/2006/main">
          <a:off x="3325629" y="2748578"/>
          <a:ext cx="1532122" cy="311769"/>
        </a:xfrm>
        <a:prstGeom xmlns:a="http://schemas.openxmlformats.org/drawingml/2006/main" prst="rect">
          <a:avLst/>
        </a:prstGeom>
        <a:solidFill xmlns:a="http://schemas.openxmlformats.org/drawingml/2006/main">
          <a:srgbClr val="FF99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249A9B2-AF44-44C1-B59D-FC9A34FC7EA0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224,54</a:t>
          </a:fld>
          <a:r>
            <a:rPr 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0.31373</cdr:x>
      <cdr:y>0.57704</cdr:y>
    </cdr:from>
    <cdr:to>
      <cdr:x>0.46015</cdr:x>
      <cdr:y>0.63201</cdr:y>
    </cdr:to>
    <cdr:sp macro="" textlink="Grafiken!$O$128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8F0BC393-5A5E-AC71-0FF3-8AD9FFF19146}"/>
            </a:ext>
          </a:extLst>
        </cdr:cNvPr>
        <cdr:cNvSpPr txBox="1"/>
      </cdr:nvSpPr>
      <cdr:spPr>
        <a:xfrm xmlns:a="http://schemas.openxmlformats.org/drawingml/2006/main">
          <a:off x="3321287" y="3179284"/>
          <a:ext cx="1550070" cy="3028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65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DEE5504-BE76-4B99-9683-EDE6E4F42F41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77,22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0.31264</cdr:x>
      <cdr:y>0.65701</cdr:y>
    </cdr:from>
    <cdr:to>
      <cdr:x>0.46015</cdr:x>
      <cdr:y>0.71598</cdr:y>
    </cdr:to>
    <cdr:sp macro="" textlink="Grafiken!$O$129">
      <cdr:nvSpPr>
        <cdr:cNvPr id="5" name="Textfeld 1">
          <a:extLst xmlns:a="http://schemas.openxmlformats.org/drawingml/2006/main">
            <a:ext uri="{FF2B5EF4-FFF2-40B4-BE49-F238E27FC236}">
              <a16:creationId xmlns:a16="http://schemas.microsoft.com/office/drawing/2014/main" id="{4B83A5D5-E5CC-342F-EFD9-669F6AC59BB9}"/>
            </a:ext>
          </a:extLst>
        </cdr:cNvPr>
        <cdr:cNvSpPr txBox="1"/>
      </cdr:nvSpPr>
      <cdr:spPr>
        <a:xfrm xmlns:a="http://schemas.openxmlformats.org/drawingml/2006/main">
          <a:off x="3309694" y="3619875"/>
          <a:ext cx="1561664" cy="324936"/>
        </a:xfrm>
        <a:prstGeom xmlns:a="http://schemas.openxmlformats.org/drawingml/2006/main" prst="rect">
          <a:avLst/>
        </a:prstGeom>
        <a:solidFill xmlns:a="http://schemas.openxmlformats.org/drawingml/2006/main">
          <a:srgbClr val="FFCC0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946FDAA-1659-41D4-A3C9-46C222BD024F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119,65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0.17511</cdr:x>
      <cdr:y>0.73684</cdr:y>
    </cdr:from>
    <cdr:to>
      <cdr:x>0.31698</cdr:x>
      <cdr:y>0.80455</cdr:y>
    </cdr:to>
    <cdr:sp macro="" textlink="Grafiken!$O$130">
      <cdr:nvSpPr>
        <cdr:cNvPr id="6" name="Textfeld 1">
          <a:extLst xmlns:a="http://schemas.openxmlformats.org/drawingml/2006/main">
            <a:ext uri="{FF2B5EF4-FFF2-40B4-BE49-F238E27FC236}">
              <a16:creationId xmlns:a16="http://schemas.microsoft.com/office/drawing/2014/main" id="{CD260134-0C6C-8DD5-8F9C-9D5CC827805B}"/>
            </a:ext>
          </a:extLst>
        </cdr:cNvPr>
        <cdr:cNvSpPr txBox="1"/>
      </cdr:nvSpPr>
      <cdr:spPr>
        <a:xfrm xmlns:a="http://schemas.openxmlformats.org/drawingml/2006/main">
          <a:off x="2925536" y="5724080"/>
          <a:ext cx="2370202" cy="526000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C15C249D-7D49-4C65-B08F-4C7122AA7805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410,76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Tonnen</a:t>
          </a:r>
          <a:endParaRPr lang="de-AT" sz="1400" b="1"/>
        </a:p>
      </cdr:txBody>
    </cdr:sp>
  </cdr:relSizeAnchor>
  <cdr:relSizeAnchor xmlns:cdr="http://schemas.openxmlformats.org/drawingml/2006/chartDrawing">
    <cdr:from>
      <cdr:x>0.00679</cdr:x>
      <cdr:y>0.73672</cdr:y>
    </cdr:from>
    <cdr:to>
      <cdr:x>0.1838</cdr:x>
      <cdr:y>0.80455</cdr:y>
    </cdr:to>
    <cdr:sp macro="" textlink="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B8AE074D-97DC-A430-7B0C-104F00777B20}"/>
            </a:ext>
          </a:extLst>
        </cdr:cNvPr>
        <cdr:cNvSpPr txBox="1"/>
      </cdr:nvSpPr>
      <cdr:spPr>
        <a:xfrm xmlns:a="http://schemas.openxmlformats.org/drawingml/2006/main">
          <a:off x="71881" y="4059056"/>
          <a:ext cx="1873940" cy="37371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400" b="1"/>
            <a:t>Gesamt</a:t>
          </a:r>
          <a:r>
            <a:rPr lang="de-AT" sz="1400" baseline="0"/>
            <a:t> </a:t>
          </a:r>
          <a:endParaRPr lang="de-AT" sz="14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0.32685</cdr:x>
      <cdr:y>0.49997</cdr:y>
    </cdr:from>
    <cdr:to>
      <cdr:x>0.46638</cdr:x>
      <cdr:y>0.56193</cdr:y>
    </cdr:to>
    <cdr:sp macro="" textlink="Grafiken!$AH$126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A1B131AE-014C-7FA1-4450-922BD5D86634}"/>
            </a:ext>
          </a:extLst>
        </cdr:cNvPr>
        <cdr:cNvSpPr txBox="1"/>
      </cdr:nvSpPr>
      <cdr:spPr>
        <a:xfrm xmlns:a="http://schemas.openxmlformats.org/drawingml/2006/main">
          <a:off x="3046225" y="2613061"/>
          <a:ext cx="1300370" cy="323850"/>
        </a:xfrm>
        <a:prstGeom xmlns:a="http://schemas.openxmlformats.org/drawingml/2006/main" prst="rect">
          <a:avLst/>
        </a:prstGeom>
        <a:solidFill xmlns:a="http://schemas.openxmlformats.org/drawingml/2006/main">
          <a:srgbClr val="2580CB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F21F482-0343-4084-AD7A-D7F902B8AA74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33,62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0.32681</cdr:x>
      <cdr:y>0.56828</cdr:y>
    </cdr:from>
    <cdr:to>
      <cdr:x>0.46638</cdr:x>
      <cdr:y>0.63336</cdr:y>
    </cdr:to>
    <cdr:sp macro="" textlink="Grafiken!$AH$128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06BF245D-364E-1854-CFEC-68EDFF3DC4BD}"/>
            </a:ext>
          </a:extLst>
        </cdr:cNvPr>
        <cdr:cNvSpPr txBox="1"/>
      </cdr:nvSpPr>
      <cdr:spPr>
        <a:xfrm xmlns:a="http://schemas.openxmlformats.org/drawingml/2006/main">
          <a:off x="3048549" y="2970057"/>
          <a:ext cx="1301937" cy="340136"/>
        </a:xfrm>
        <a:prstGeom xmlns:a="http://schemas.openxmlformats.org/drawingml/2006/main" prst="rect">
          <a:avLst/>
        </a:prstGeom>
        <a:solidFill xmlns:a="http://schemas.openxmlformats.org/drawingml/2006/main">
          <a:srgbClr val="FF66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FFD3574-B358-46BC-B25A-6520FB54EE6A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177,33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10</xdr:row>
          <xdr:rowOff>28575</xdr:rowOff>
        </xdr:from>
        <xdr:to>
          <xdr:col>5</xdr:col>
          <xdr:colOff>1371600</xdr:colOff>
          <xdr:row>10</xdr:row>
          <xdr:rowOff>247650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664030</xdr:colOff>
      <xdr:row>18</xdr:row>
      <xdr:rowOff>9526</xdr:rowOff>
    </xdr:from>
    <xdr:to>
      <xdr:col>30</xdr:col>
      <xdr:colOff>63601</xdr:colOff>
      <xdr:row>41</xdr:row>
      <xdr:rowOff>71098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0423" y="3438526"/>
          <a:ext cx="10067571" cy="4443072"/>
        </a:xfrm>
        <a:prstGeom prst="rect">
          <a:avLst/>
        </a:prstGeom>
      </xdr:spPr>
    </xdr:pic>
    <xdr:clientData/>
  </xdr:twoCellAnchor>
  <xdr:twoCellAnchor editAs="oneCell">
    <xdr:from>
      <xdr:col>17</xdr:col>
      <xdr:colOff>55576</xdr:colOff>
      <xdr:row>42</xdr:row>
      <xdr:rowOff>34389</xdr:rowOff>
    </xdr:from>
    <xdr:to>
      <xdr:col>22</xdr:col>
      <xdr:colOff>520342</xdr:colOff>
      <xdr:row>79</xdr:row>
      <xdr:rowOff>149679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483171" y="9479901"/>
          <a:ext cx="7163790" cy="4274766"/>
        </a:xfrm>
        <a:prstGeom prst="rect">
          <a:avLst/>
        </a:prstGeom>
      </xdr:spPr>
    </xdr:pic>
    <xdr:clientData/>
  </xdr:twoCellAnchor>
  <xdr:twoCellAnchor>
    <xdr:from>
      <xdr:col>19</xdr:col>
      <xdr:colOff>544285</xdr:colOff>
      <xdr:row>65</xdr:row>
      <xdr:rowOff>122464</xdr:rowOff>
    </xdr:from>
    <xdr:to>
      <xdr:col>21</xdr:col>
      <xdr:colOff>381000</xdr:colOff>
      <xdr:row>73</xdr:row>
      <xdr:rowOff>13607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940392" y="12504964"/>
          <a:ext cx="1360715" cy="1415143"/>
        </a:xfrm>
        <a:prstGeom prst="ellipse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276225</xdr:colOff>
          <xdr:row>18</xdr:row>
          <xdr:rowOff>180975</xdr:rowOff>
        </xdr:from>
        <xdr:to>
          <xdr:col>12</xdr:col>
          <xdr:colOff>409575</xdr:colOff>
          <xdr:row>20</xdr:row>
          <xdr:rowOff>9525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3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24</xdr:row>
          <xdr:rowOff>0</xdr:rowOff>
        </xdr:from>
        <xdr:to>
          <xdr:col>12</xdr:col>
          <xdr:colOff>428625</xdr:colOff>
          <xdr:row>25</xdr:row>
          <xdr:rowOff>19050</xdr:rowOff>
        </xdr:to>
        <xdr:sp macro="" textlink="">
          <xdr:nvSpPr>
            <xdr:cNvPr id="8201" name="Option Button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3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75</xdr:row>
          <xdr:rowOff>180975</xdr:rowOff>
        </xdr:from>
        <xdr:to>
          <xdr:col>6</xdr:col>
          <xdr:colOff>476250</xdr:colOff>
          <xdr:row>77</xdr:row>
          <xdr:rowOff>19050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3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168088</xdr:colOff>
      <xdr:row>42</xdr:row>
      <xdr:rowOff>56031</xdr:rowOff>
    </xdr:from>
    <xdr:to>
      <xdr:col>12</xdr:col>
      <xdr:colOff>627529</xdr:colOff>
      <xdr:row>44</xdr:row>
      <xdr:rowOff>179295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8A0C54BC-F53A-672F-CD2A-D1E0579147A6}"/>
            </a:ext>
          </a:extLst>
        </xdr:cNvPr>
        <xdr:cNvSpPr/>
      </xdr:nvSpPr>
      <xdr:spPr>
        <a:xfrm rot="5400000">
          <a:off x="10914530" y="8079442"/>
          <a:ext cx="504264" cy="45944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40</xdr:row>
          <xdr:rowOff>171450</xdr:rowOff>
        </xdr:from>
        <xdr:to>
          <xdr:col>10</xdr:col>
          <xdr:colOff>352425</xdr:colOff>
          <xdr:row>42</xdr:row>
          <xdr:rowOff>9525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3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22</xdr:row>
      <xdr:rowOff>47624</xdr:rowOff>
    </xdr:from>
    <xdr:to>
      <xdr:col>5</xdr:col>
      <xdr:colOff>304800</xdr:colOff>
      <xdr:row>33</xdr:row>
      <xdr:rowOff>183379</xdr:rowOff>
    </xdr:to>
    <xdr:pic>
      <xdr:nvPicPr>
        <xdr:cNvPr id="3" name="Grafik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4238624"/>
          <a:ext cx="6019800" cy="22312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180975</xdr:rowOff>
        </xdr:from>
        <xdr:to>
          <xdr:col>6</xdr:col>
          <xdr:colOff>1200150</xdr:colOff>
          <xdr:row>3</xdr:row>
          <xdr:rowOff>9525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  <a:ext uri="{FF2B5EF4-FFF2-40B4-BE49-F238E27FC236}">
                  <a16:creationId xmlns:a16="http://schemas.microsoft.com/office/drawing/2014/main" id="{00000000-0008-0000-08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</xdr:row>
          <xdr:rowOff>0</xdr:rowOff>
        </xdr:from>
        <xdr:to>
          <xdr:col>6</xdr:col>
          <xdr:colOff>1200150</xdr:colOff>
          <xdr:row>4</xdr:row>
          <xdr:rowOff>19050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  <a:ext uri="{FF2B5EF4-FFF2-40B4-BE49-F238E27FC236}">
                  <a16:creationId xmlns:a16="http://schemas.microsoft.com/office/drawing/2014/main" id="{00000000-0008-0000-08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0</xdr:rowOff>
        </xdr:from>
        <xdr:to>
          <xdr:col>6</xdr:col>
          <xdr:colOff>1200150</xdr:colOff>
          <xdr:row>5</xdr:row>
          <xdr:rowOff>19050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  <a:ext uri="{FF2B5EF4-FFF2-40B4-BE49-F238E27FC236}">
                  <a16:creationId xmlns:a16="http://schemas.microsoft.com/office/drawing/2014/main" id="{00000000-0008-0000-0800-00000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08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08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0</xdr:rowOff>
        </xdr:from>
        <xdr:to>
          <xdr:col>6</xdr:col>
          <xdr:colOff>1200150</xdr:colOff>
          <xdr:row>7</xdr:row>
          <xdr:rowOff>19050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08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180975</xdr:rowOff>
        </xdr:from>
        <xdr:to>
          <xdr:col>6</xdr:col>
          <xdr:colOff>1200150</xdr:colOff>
          <xdr:row>8</xdr:row>
          <xdr:rowOff>9525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08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9525</xdr:rowOff>
        </xdr:from>
        <xdr:to>
          <xdr:col>6</xdr:col>
          <xdr:colOff>1200150</xdr:colOff>
          <xdr:row>9</xdr:row>
          <xdr:rowOff>28575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08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0</xdr:rowOff>
        </xdr:from>
        <xdr:to>
          <xdr:col>6</xdr:col>
          <xdr:colOff>1200150</xdr:colOff>
          <xdr:row>10</xdr:row>
          <xdr:rowOff>19050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  <a:ext uri="{FF2B5EF4-FFF2-40B4-BE49-F238E27FC236}">
                  <a16:creationId xmlns:a16="http://schemas.microsoft.com/office/drawing/2014/main" id="{00000000-0008-0000-0800-00001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</xdr:row>
          <xdr:rowOff>0</xdr:rowOff>
        </xdr:from>
        <xdr:to>
          <xdr:col>6</xdr:col>
          <xdr:colOff>1200150</xdr:colOff>
          <xdr:row>11</xdr:row>
          <xdr:rowOff>19050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  <a:ext uri="{FF2B5EF4-FFF2-40B4-BE49-F238E27FC236}">
                  <a16:creationId xmlns:a16="http://schemas.microsoft.com/office/drawing/2014/main" id="{00000000-0008-0000-0800-00001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11</xdr:row>
          <xdr:rowOff>0</xdr:rowOff>
        </xdr:from>
        <xdr:to>
          <xdr:col>6</xdr:col>
          <xdr:colOff>1200150</xdr:colOff>
          <xdr:row>12</xdr:row>
          <xdr:rowOff>19050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  <a:ext uri="{FF2B5EF4-FFF2-40B4-BE49-F238E27FC236}">
                  <a16:creationId xmlns:a16="http://schemas.microsoft.com/office/drawing/2014/main" id="{00000000-0008-0000-0800-00001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13</xdr:row>
          <xdr:rowOff>0</xdr:rowOff>
        </xdr:from>
        <xdr:to>
          <xdr:col>6</xdr:col>
          <xdr:colOff>1200150</xdr:colOff>
          <xdr:row>14</xdr:row>
          <xdr:rowOff>19050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  <a:ext uri="{FF2B5EF4-FFF2-40B4-BE49-F238E27FC236}">
                  <a16:creationId xmlns:a16="http://schemas.microsoft.com/office/drawing/2014/main" id="{00000000-0008-0000-0800-00001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14</xdr:row>
          <xdr:rowOff>9525</xdr:rowOff>
        </xdr:from>
        <xdr:to>
          <xdr:col>6</xdr:col>
          <xdr:colOff>1200150</xdr:colOff>
          <xdr:row>15</xdr:row>
          <xdr:rowOff>28575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  <a:ext uri="{FF2B5EF4-FFF2-40B4-BE49-F238E27FC236}">
                  <a16:creationId xmlns:a16="http://schemas.microsoft.com/office/drawing/2014/main" id="{00000000-0008-0000-0800-00001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0</xdr:rowOff>
        </xdr:from>
        <xdr:to>
          <xdr:col>6</xdr:col>
          <xdr:colOff>1200150</xdr:colOff>
          <xdr:row>16</xdr:row>
          <xdr:rowOff>19050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  <a:ext uri="{FF2B5EF4-FFF2-40B4-BE49-F238E27FC236}">
                  <a16:creationId xmlns:a16="http://schemas.microsoft.com/office/drawing/2014/main" id="{00000000-0008-0000-0800-00001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180975</xdr:rowOff>
        </xdr:from>
        <xdr:to>
          <xdr:col>6</xdr:col>
          <xdr:colOff>1200150</xdr:colOff>
          <xdr:row>17</xdr:row>
          <xdr:rowOff>9525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  <a:ext uri="{FF2B5EF4-FFF2-40B4-BE49-F238E27FC236}">
                  <a16:creationId xmlns:a16="http://schemas.microsoft.com/office/drawing/2014/main" id="{00000000-0008-0000-0800-00001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17</xdr:row>
          <xdr:rowOff>0</xdr:rowOff>
        </xdr:from>
        <xdr:to>
          <xdr:col>6</xdr:col>
          <xdr:colOff>1200150</xdr:colOff>
          <xdr:row>18</xdr:row>
          <xdr:rowOff>19050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  <a:ext uri="{FF2B5EF4-FFF2-40B4-BE49-F238E27FC236}">
                  <a16:creationId xmlns:a16="http://schemas.microsoft.com/office/drawing/2014/main" id="{00000000-0008-0000-0800-00001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3</xdr:col>
      <xdr:colOff>464442</xdr:colOff>
      <xdr:row>89</xdr:row>
      <xdr:rowOff>75353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15363825"/>
          <a:ext cx="7371428" cy="678095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127</xdr:row>
      <xdr:rowOff>0</xdr:rowOff>
    </xdr:from>
    <xdr:to>
      <xdr:col>30</xdr:col>
      <xdr:colOff>646762</xdr:colOff>
      <xdr:row>137</xdr:row>
      <xdr:rowOff>152143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5050750"/>
          <a:ext cx="7504762" cy="20571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0C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0C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8</xdr:row>
          <xdr:rowOff>180975</xdr:rowOff>
        </xdr:from>
        <xdr:to>
          <xdr:col>1</xdr:col>
          <xdr:colOff>9525</xdr:colOff>
          <xdr:row>10</xdr:row>
          <xdr:rowOff>9525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0C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0C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</xdr:row>
          <xdr:rowOff>0</xdr:rowOff>
        </xdr:from>
        <xdr:to>
          <xdr:col>3</xdr:col>
          <xdr:colOff>1143000</xdr:colOff>
          <xdr:row>2</xdr:row>
          <xdr:rowOff>28575</xdr:rowOff>
        </xdr:to>
        <xdr:sp macro="" textlink="">
          <xdr:nvSpPr>
            <xdr:cNvPr id="34825" name="Check Box 9" hidden="1">
              <a:extLst>
                <a:ext uri="{63B3BB69-23CF-44E3-9099-C40C66FF867C}">
                  <a14:compatExt spid="_x0000_s34825"/>
                </a:ext>
                <a:ext uri="{FF2B5EF4-FFF2-40B4-BE49-F238E27FC236}">
                  <a16:creationId xmlns:a16="http://schemas.microsoft.com/office/drawing/2014/main" id="{00000000-0008-0000-0C00-00000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Ökostrom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49153" name="Check Box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D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49154" name="Check Box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D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49156" name="Check Box 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D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123825</xdr:rowOff>
    </xdr:from>
    <xdr:to>
      <xdr:col>3</xdr:col>
      <xdr:colOff>742950</xdr:colOff>
      <xdr:row>9</xdr:row>
      <xdr:rowOff>123825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CxnSpPr/>
      </xdr:nvCxnSpPr>
      <xdr:spPr>
        <a:xfrm>
          <a:off x="1714500" y="16859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123825</xdr:rowOff>
    </xdr:from>
    <xdr:to>
      <xdr:col>3</xdr:col>
      <xdr:colOff>742950</xdr:colOff>
      <xdr:row>29</xdr:row>
      <xdr:rowOff>123825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CxnSpPr/>
      </xdr:nvCxnSpPr>
      <xdr:spPr>
        <a:xfrm>
          <a:off x="1714500" y="5295900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123825</xdr:rowOff>
    </xdr:from>
    <xdr:to>
      <xdr:col>3</xdr:col>
      <xdr:colOff>742950</xdr:colOff>
      <xdr:row>19</xdr:row>
      <xdr:rowOff>123825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CxnSpPr/>
      </xdr:nvCxnSpPr>
      <xdr:spPr>
        <a:xfrm>
          <a:off x="1714500" y="34766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52388</xdr:colOff>
      <xdr:row>68</xdr:row>
      <xdr:rowOff>28575</xdr:rowOff>
    </xdr:from>
    <xdr:to>
      <xdr:col>12</xdr:col>
      <xdr:colOff>677760</xdr:colOff>
      <xdr:row>99</xdr:row>
      <xdr:rowOff>56206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30638" y="13106400"/>
          <a:ext cx="4235347" cy="595218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34</xdr:row>
      <xdr:rowOff>161925</xdr:rowOff>
    </xdr:from>
    <xdr:to>
      <xdr:col>11</xdr:col>
      <xdr:colOff>630891</xdr:colOff>
      <xdr:row>78</xdr:row>
      <xdr:rowOff>26894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GrpSpPr/>
      </xdr:nvGrpSpPr>
      <xdr:grpSpPr>
        <a:xfrm>
          <a:off x="742950" y="7143190"/>
          <a:ext cx="8269941" cy="8381439"/>
          <a:chOff x="11340352" y="16102855"/>
          <a:chExt cx="8269941" cy="8370794"/>
        </a:xfrm>
      </xdr:grpSpPr>
      <xdr:sp macro="" textlink="">
        <xdr:nvSpPr>
          <xdr:cNvPr id="10" name="Ellipse 9">
            <a:extLst>
              <a:ext uri="{FF2B5EF4-FFF2-40B4-BE49-F238E27FC236}">
                <a16:creationId xmlns:a16="http://schemas.microsoft.com/office/drawing/2014/main" id="{00000000-0008-0000-1300-00000A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1" name="Ellipse 10">
            <a:extLst>
              <a:ext uri="{FF2B5EF4-FFF2-40B4-BE49-F238E27FC236}">
                <a16:creationId xmlns:a16="http://schemas.microsoft.com/office/drawing/2014/main" id="{00000000-0008-0000-1300-00000B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2" name="Ellipse 11">
            <a:extLst>
              <a:ext uri="{FF2B5EF4-FFF2-40B4-BE49-F238E27FC236}">
                <a16:creationId xmlns:a16="http://schemas.microsoft.com/office/drawing/2014/main" id="{00000000-0008-0000-1300-00000C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3" name="Ellipse 12">
            <a:extLst>
              <a:ext uri="{FF2B5EF4-FFF2-40B4-BE49-F238E27FC236}">
                <a16:creationId xmlns:a16="http://schemas.microsoft.com/office/drawing/2014/main" id="{00000000-0008-0000-1300-00000D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4" name="Ellipse 13">
            <a:extLst>
              <a:ext uri="{FF2B5EF4-FFF2-40B4-BE49-F238E27FC236}">
                <a16:creationId xmlns:a16="http://schemas.microsoft.com/office/drawing/2014/main" id="{00000000-0008-0000-1300-00000E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5" name="Textfeld 14">
            <a:extLst>
              <a:ext uri="{FF2B5EF4-FFF2-40B4-BE49-F238E27FC236}">
                <a16:creationId xmlns:a16="http://schemas.microsoft.com/office/drawing/2014/main" id="{00000000-0008-0000-1300-00000F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16" name="Textfeld 15">
            <a:extLst>
              <a:ext uri="{FF2B5EF4-FFF2-40B4-BE49-F238E27FC236}">
                <a16:creationId xmlns:a16="http://schemas.microsoft.com/office/drawing/2014/main" id="{00000000-0008-0000-1300-000010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7" name="Textfeld 16">
            <a:extLst>
              <a:ext uri="{FF2B5EF4-FFF2-40B4-BE49-F238E27FC236}">
                <a16:creationId xmlns:a16="http://schemas.microsoft.com/office/drawing/2014/main" id="{00000000-0008-0000-1300-000011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300-000012000000}"/>
              </a:ext>
            </a:extLst>
          </xdr:cNvPr>
          <xdr:cNvCxnSpPr>
            <a:stCxn id="14" idx="5"/>
            <a:endCxn id="13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Gerade Verbindung mit Pfeil 18">
            <a:extLst>
              <a:ext uri="{FF2B5EF4-FFF2-40B4-BE49-F238E27FC236}">
                <a16:creationId xmlns:a16="http://schemas.microsoft.com/office/drawing/2014/main" id="{00000000-0008-0000-1300-000013000000}"/>
              </a:ext>
            </a:extLst>
          </xdr:cNvPr>
          <xdr:cNvCxnSpPr>
            <a:stCxn id="14" idx="4"/>
            <a:endCxn id="12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Gerade Verbindung mit Pfeil 19">
            <a:extLst>
              <a:ext uri="{FF2B5EF4-FFF2-40B4-BE49-F238E27FC236}">
                <a16:creationId xmlns:a16="http://schemas.microsoft.com/office/drawing/2014/main" id="{00000000-0008-0000-1300-000014000000}"/>
              </a:ext>
            </a:extLst>
          </xdr:cNvPr>
          <xdr:cNvCxnSpPr>
            <a:stCxn id="14" idx="3"/>
            <a:endCxn id="10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Gerade Verbindung mit Pfeil 20">
            <a:extLst>
              <a:ext uri="{FF2B5EF4-FFF2-40B4-BE49-F238E27FC236}">
                <a16:creationId xmlns:a16="http://schemas.microsoft.com/office/drawing/2014/main" id="{00000000-0008-0000-1300-000015000000}"/>
              </a:ext>
            </a:extLst>
          </xdr:cNvPr>
          <xdr:cNvCxnSpPr>
            <a:stCxn id="14" idx="2"/>
            <a:endCxn id="11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feld 21">
            <a:extLst>
              <a:ext uri="{FF2B5EF4-FFF2-40B4-BE49-F238E27FC236}">
                <a16:creationId xmlns:a16="http://schemas.microsoft.com/office/drawing/2014/main" id="{00000000-0008-0000-1300-000016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268940</xdr:colOff>
      <xdr:row>306</xdr:row>
      <xdr:rowOff>33619</xdr:rowOff>
    </xdr:from>
    <xdr:to>
      <xdr:col>13</xdr:col>
      <xdr:colOff>156881</xdr:colOff>
      <xdr:row>349</xdr:row>
      <xdr:rowOff>168090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00000000-0008-0000-1500-00002D000000}"/>
            </a:ext>
          </a:extLst>
        </xdr:cNvPr>
        <xdr:cNvSpPr/>
      </xdr:nvSpPr>
      <xdr:spPr>
        <a:xfrm>
          <a:off x="2252381" y="58662795"/>
          <a:ext cx="8325971" cy="8325971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25613</xdr:colOff>
      <xdr:row>315</xdr:row>
      <xdr:rowOff>168888</xdr:rowOff>
    </xdr:from>
    <xdr:to>
      <xdr:col>10</xdr:col>
      <xdr:colOff>585906</xdr:colOff>
      <xdr:row>339</xdr:row>
      <xdr:rowOff>32817</xdr:rowOff>
    </xdr:to>
    <xdr:sp macro="" textlink="">
      <xdr:nvSpPr>
        <xdr:cNvPr id="29" name="Ellipse 28">
          <a:extLst>
            <a:ext uri="{FF2B5EF4-FFF2-40B4-BE49-F238E27FC236}">
              <a16:creationId xmlns:a16="http://schemas.microsoft.com/office/drawing/2014/main" id="{00000000-0008-0000-1500-00001D000000}"/>
            </a:ext>
          </a:extLst>
        </xdr:cNvPr>
        <xdr:cNvSpPr/>
      </xdr:nvSpPr>
      <xdr:spPr>
        <a:xfrm>
          <a:off x="4295054" y="60512564"/>
          <a:ext cx="4426323" cy="4435929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47625</xdr:colOff>
      <xdr:row>24</xdr:row>
      <xdr:rowOff>95250</xdr:rowOff>
    </xdr:from>
    <xdr:to>
      <xdr:col>3</xdr:col>
      <xdr:colOff>704850</xdr:colOff>
      <xdr:row>24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CxnSpPr/>
      </xdr:nvCxnSpPr>
      <xdr:spPr>
        <a:xfrm>
          <a:off x="2495550" y="3905250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</xdr:row>
      <xdr:rowOff>85725</xdr:rowOff>
    </xdr:from>
    <xdr:to>
      <xdr:col>3</xdr:col>
      <xdr:colOff>704850</xdr:colOff>
      <xdr:row>28</xdr:row>
      <xdr:rowOff>85725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CxnSpPr/>
      </xdr:nvCxnSpPr>
      <xdr:spPr>
        <a:xfrm>
          <a:off x="2486025" y="4657725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</xdr:row>
      <xdr:rowOff>95250</xdr:rowOff>
    </xdr:from>
    <xdr:to>
      <xdr:col>3</xdr:col>
      <xdr:colOff>695325</xdr:colOff>
      <xdr:row>32</xdr:row>
      <xdr:rowOff>95250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CxnSpPr/>
      </xdr:nvCxnSpPr>
      <xdr:spPr>
        <a:xfrm>
          <a:off x="2476500" y="5429250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19</xdr:row>
      <xdr:rowOff>104775</xdr:rowOff>
    </xdr:from>
    <xdr:to>
      <xdr:col>3</xdr:col>
      <xdr:colOff>714375</xdr:colOff>
      <xdr:row>19</xdr:row>
      <xdr:rowOff>114300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CxnSpPr/>
      </xdr:nvCxnSpPr>
      <xdr:spPr>
        <a:xfrm>
          <a:off x="2505075" y="2962275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66</xdr:row>
      <xdr:rowOff>104775</xdr:rowOff>
    </xdr:from>
    <xdr:to>
      <xdr:col>4</xdr:col>
      <xdr:colOff>714375</xdr:colOff>
      <xdr:row>66</xdr:row>
      <xdr:rowOff>114300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CxnSpPr/>
      </xdr:nvCxnSpPr>
      <xdr:spPr>
        <a:xfrm>
          <a:off x="2500032" y="381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67</xdr:row>
      <xdr:rowOff>104775</xdr:rowOff>
    </xdr:from>
    <xdr:to>
      <xdr:col>4</xdr:col>
      <xdr:colOff>714375</xdr:colOff>
      <xdr:row>67</xdr:row>
      <xdr:rowOff>114300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68</xdr:row>
      <xdr:rowOff>104775</xdr:rowOff>
    </xdr:from>
    <xdr:to>
      <xdr:col>4</xdr:col>
      <xdr:colOff>714375</xdr:colOff>
      <xdr:row>68</xdr:row>
      <xdr:rowOff>114300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92</xdr:row>
      <xdr:rowOff>104775</xdr:rowOff>
    </xdr:from>
    <xdr:to>
      <xdr:col>4</xdr:col>
      <xdr:colOff>714375</xdr:colOff>
      <xdr:row>92</xdr:row>
      <xdr:rowOff>114300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CxnSpPr/>
      </xdr:nvCxnSpPr>
      <xdr:spPr>
        <a:xfrm>
          <a:off x="3564591" y="14672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93</xdr:row>
      <xdr:rowOff>104775</xdr:rowOff>
    </xdr:from>
    <xdr:to>
      <xdr:col>4</xdr:col>
      <xdr:colOff>714375</xdr:colOff>
      <xdr:row>93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CxnSpPr/>
      </xdr:nvCxnSpPr>
      <xdr:spPr>
        <a:xfrm>
          <a:off x="3564591" y="14862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94</xdr:row>
      <xdr:rowOff>104775</xdr:rowOff>
    </xdr:from>
    <xdr:to>
      <xdr:col>4</xdr:col>
      <xdr:colOff>714375</xdr:colOff>
      <xdr:row>94</xdr:row>
      <xdr:rowOff>114300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CxnSpPr/>
      </xdr:nvCxnSpPr>
      <xdr:spPr>
        <a:xfrm>
          <a:off x="3564591" y="15053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112</xdr:row>
      <xdr:rowOff>104775</xdr:rowOff>
    </xdr:from>
    <xdr:to>
      <xdr:col>4</xdr:col>
      <xdr:colOff>714375</xdr:colOff>
      <xdr:row>112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1500-000010000000}"/>
            </a:ext>
          </a:extLst>
        </xdr:cNvPr>
        <xdr:cNvCxnSpPr/>
      </xdr:nvCxnSpPr>
      <xdr:spPr>
        <a:xfrm>
          <a:off x="3564591" y="1962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113</xdr:row>
      <xdr:rowOff>104775</xdr:rowOff>
    </xdr:from>
    <xdr:to>
      <xdr:col>4</xdr:col>
      <xdr:colOff>714375</xdr:colOff>
      <xdr:row>113</xdr:row>
      <xdr:rowOff>114300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1500-000011000000}"/>
            </a:ext>
          </a:extLst>
        </xdr:cNvPr>
        <xdr:cNvCxnSpPr/>
      </xdr:nvCxnSpPr>
      <xdr:spPr>
        <a:xfrm>
          <a:off x="3564591" y="1981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114</xdr:row>
      <xdr:rowOff>104775</xdr:rowOff>
    </xdr:from>
    <xdr:to>
      <xdr:col>4</xdr:col>
      <xdr:colOff>714375</xdr:colOff>
      <xdr:row>114</xdr:row>
      <xdr:rowOff>114300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1500-000012000000}"/>
            </a:ext>
          </a:extLst>
        </xdr:cNvPr>
        <xdr:cNvCxnSpPr/>
      </xdr:nvCxnSpPr>
      <xdr:spPr>
        <a:xfrm>
          <a:off x="3564591" y="2000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132</xdr:row>
      <xdr:rowOff>104775</xdr:rowOff>
    </xdr:from>
    <xdr:to>
      <xdr:col>4</xdr:col>
      <xdr:colOff>714375</xdr:colOff>
      <xdr:row>132</xdr:row>
      <xdr:rowOff>114300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1500-000013000000}"/>
            </a:ext>
          </a:extLst>
        </xdr:cNvPr>
        <xdr:cNvCxnSpPr/>
      </xdr:nvCxnSpPr>
      <xdr:spPr>
        <a:xfrm>
          <a:off x="3564591" y="2343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133</xdr:row>
      <xdr:rowOff>104775</xdr:rowOff>
    </xdr:from>
    <xdr:to>
      <xdr:col>4</xdr:col>
      <xdr:colOff>714375</xdr:colOff>
      <xdr:row>133</xdr:row>
      <xdr:rowOff>114300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0000000-0008-0000-1500-000014000000}"/>
            </a:ext>
          </a:extLst>
        </xdr:cNvPr>
        <xdr:cNvCxnSpPr/>
      </xdr:nvCxnSpPr>
      <xdr:spPr>
        <a:xfrm>
          <a:off x="3564591" y="2362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134</xdr:row>
      <xdr:rowOff>104775</xdr:rowOff>
    </xdr:from>
    <xdr:to>
      <xdr:col>4</xdr:col>
      <xdr:colOff>714375</xdr:colOff>
      <xdr:row>134</xdr:row>
      <xdr:rowOff>114300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1500-000015000000}"/>
            </a:ext>
          </a:extLst>
        </xdr:cNvPr>
        <xdr:cNvCxnSpPr/>
      </xdr:nvCxnSpPr>
      <xdr:spPr>
        <a:xfrm>
          <a:off x="3564591" y="2381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159</xdr:row>
      <xdr:rowOff>104775</xdr:rowOff>
    </xdr:from>
    <xdr:to>
      <xdr:col>4</xdr:col>
      <xdr:colOff>714375</xdr:colOff>
      <xdr:row>159</xdr:row>
      <xdr:rowOff>114300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1500-000016000000}"/>
            </a:ext>
          </a:extLst>
        </xdr:cNvPr>
        <xdr:cNvCxnSpPr/>
      </xdr:nvCxnSpPr>
      <xdr:spPr>
        <a:xfrm>
          <a:off x="3564591" y="2724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160</xdr:row>
      <xdr:rowOff>104775</xdr:rowOff>
    </xdr:from>
    <xdr:to>
      <xdr:col>4</xdr:col>
      <xdr:colOff>714375</xdr:colOff>
      <xdr:row>160</xdr:row>
      <xdr:rowOff>114300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00000000-0008-0000-1500-000017000000}"/>
            </a:ext>
          </a:extLst>
        </xdr:cNvPr>
        <xdr:cNvCxnSpPr/>
      </xdr:nvCxnSpPr>
      <xdr:spPr>
        <a:xfrm>
          <a:off x="3564591" y="2743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161</xdr:row>
      <xdr:rowOff>104775</xdr:rowOff>
    </xdr:from>
    <xdr:to>
      <xdr:col>4</xdr:col>
      <xdr:colOff>714375</xdr:colOff>
      <xdr:row>161</xdr:row>
      <xdr:rowOff>114300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1500-000018000000}"/>
            </a:ext>
          </a:extLst>
        </xdr:cNvPr>
        <xdr:cNvCxnSpPr/>
      </xdr:nvCxnSpPr>
      <xdr:spPr>
        <a:xfrm>
          <a:off x="3564591" y="2762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179</xdr:row>
      <xdr:rowOff>104775</xdr:rowOff>
    </xdr:from>
    <xdr:to>
      <xdr:col>4</xdr:col>
      <xdr:colOff>714375</xdr:colOff>
      <xdr:row>179</xdr:row>
      <xdr:rowOff>114300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00000000-0008-0000-1500-000019000000}"/>
            </a:ext>
          </a:extLst>
        </xdr:cNvPr>
        <xdr:cNvCxnSpPr/>
      </xdr:nvCxnSpPr>
      <xdr:spPr>
        <a:xfrm>
          <a:off x="3564591" y="32388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180</xdr:row>
      <xdr:rowOff>104775</xdr:rowOff>
    </xdr:from>
    <xdr:to>
      <xdr:col>4</xdr:col>
      <xdr:colOff>714375</xdr:colOff>
      <xdr:row>180</xdr:row>
      <xdr:rowOff>114300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00000000-0008-0000-1500-00001A000000}"/>
            </a:ext>
          </a:extLst>
        </xdr:cNvPr>
        <xdr:cNvCxnSpPr/>
      </xdr:nvCxnSpPr>
      <xdr:spPr>
        <a:xfrm>
          <a:off x="3564591" y="32579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181</xdr:row>
      <xdr:rowOff>104775</xdr:rowOff>
    </xdr:from>
    <xdr:to>
      <xdr:col>4</xdr:col>
      <xdr:colOff>714375</xdr:colOff>
      <xdr:row>181</xdr:row>
      <xdr:rowOff>114300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1500-00001B000000}"/>
            </a:ext>
          </a:extLst>
        </xdr:cNvPr>
        <xdr:cNvCxnSpPr/>
      </xdr:nvCxnSpPr>
      <xdr:spPr>
        <a:xfrm>
          <a:off x="3564591" y="32769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188</xdr:row>
      <xdr:rowOff>104775</xdr:rowOff>
    </xdr:from>
    <xdr:to>
      <xdr:col>4</xdr:col>
      <xdr:colOff>714375</xdr:colOff>
      <xdr:row>188</xdr:row>
      <xdr:rowOff>114300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1500-00001E000000}"/>
            </a:ext>
          </a:extLst>
        </xdr:cNvPr>
        <xdr:cNvCxnSpPr/>
      </xdr:nvCxnSpPr>
      <xdr:spPr>
        <a:xfrm>
          <a:off x="3564591" y="32568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215</xdr:row>
      <xdr:rowOff>104775</xdr:rowOff>
    </xdr:from>
    <xdr:to>
      <xdr:col>4</xdr:col>
      <xdr:colOff>714375</xdr:colOff>
      <xdr:row>215</xdr:row>
      <xdr:rowOff>114300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1500-00001F000000}"/>
            </a:ext>
          </a:extLst>
        </xdr:cNvPr>
        <xdr:cNvCxnSpPr/>
      </xdr:nvCxnSpPr>
      <xdr:spPr>
        <a:xfrm>
          <a:off x="3564591" y="37902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297</xdr:row>
      <xdr:rowOff>89648</xdr:rowOff>
    </xdr:from>
    <xdr:to>
      <xdr:col>7</xdr:col>
      <xdr:colOff>0</xdr:colOff>
      <xdr:row>297</xdr:row>
      <xdr:rowOff>89648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552290</xdr:colOff>
      <xdr:row>322</xdr:row>
      <xdr:rowOff>100054</xdr:rowOff>
    </xdr:from>
    <xdr:to>
      <xdr:col>9</xdr:col>
      <xdr:colOff>59231</xdr:colOff>
      <xdr:row>332</xdr:row>
      <xdr:rowOff>44025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SpPr/>
      </xdr:nvSpPr>
      <xdr:spPr>
        <a:xfrm>
          <a:off x="5583731" y="61777230"/>
          <a:ext cx="1848971" cy="1848971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630730</xdr:colOff>
      <xdr:row>327</xdr:row>
      <xdr:rowOff>21613</xdr:rowOff>
    </xdr:from>
    <xdr:to>
      <xdr:col>8</xdr:col>
      <xdr:colOff>25612</xdr:colOff>
      <xdr:row>327</xdr:row>
      <xdr:rowOff>156083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SpPr/>
      </xdr:nvSpPr>
      <xdr:spPr>
        <a:xfrm>
          <a:off x="6424171" y="62651289"/>
          <a:ext cx="156882" cy="13447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664349</xdr:colOff>
      <xdr:row>324</xdr:row>
      <xdr:rowOff>122465</xdr:rowOff>
    </xdr:from>
    <xdr:to>
      <xdr:col>8</xdr:col>
      <xdr:colOff>115261</xdr:colOff>
      <xdr:row>325</xdr:row>
      <xdr:rowOff>156083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00000000-0008-0000-1500-00001C000000}"/>
            </a:ext>
          </a:extLst>
        </xdr:cNvPr>
        <xdr:cNvSpPr txBox="1"/>
      </xdr:nvSpPr>
      <xdr:spPr>
        <a:xfrm>
          <a:off x="5695790" y="62180641"/>
          <a:ext cx="974912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Beton</a:t>
          </a:r>
          <a:r>
            <a:rPr lang="de-AT" sz="1100"/>
            <a:t> 90 km</a:t>
          </a:r>
        </a:p>
      </xdr:txBody>
    </xdr:sp>
    <xdr:clientData/>
  </xdr:twoCellAnchor>
  <xdr:twoCellAnchor>
    <xdr:from>
      <xdr:col>5</xdr:col>
      <xdr:colOff>487456</xdr:colOff>
      <xdr:row>320</xdr:row>
      <xdr:rowOff>54429</xdr:rowOff>
    </xdr:from>
    <xdr:to>
      <xdr:col>9</xdr:col>
      <xdr:colOff>251331</xdr:colOff>
      <xdr:row>323</xdr:row>
      <xdr:rowOff>26415</xdr:rowOff>
    </xdr:to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00000000-0008-0000-1500-00002B000000}"/>
            </a:ext>
          </a:extLst>
        </xdr:cNvPr>
        <xdr:cNvSpPr txBox="1"/>
      </xdr:nvSpPr>
      <xdr:spPr>
        <a:xfrm>
          <a:off x="4756897" y="61350605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571 km mit 200 Liter Tank</a:t>
          </a:r>
          <a:endParaRPr lang="de-AT" sz="1100"/>
        </a:p>
      </xdr:txBody>
    </xdr:sp>
    <xdr:clientData/>
  </xdr:twoCellAnchor>
  <xdr:twoCellAnchor>
    <xdr:from>
      <xdr:col>6</xdr:col>
      <xdr:colOff>11206</xdr:colOff>
      <xdr:row>303</xdr:row>
      <xdr:rowOff>89648</xdr:rowOff>
    </xdr:from>
    <xdr:to>
      <xdr:col>7</xdr:col>
      <xdr:colOff>0</xdr:colOff>
      <xdr:row>303</xdr:row>
      <xdr:rowOff>89648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1500-00002C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375398</xdr:colOff>
      <xdr:row>311</xdr:row>
      <xdr:rowOff>32017</xdr:rowOff>
    </xdr:from>
    <xdr:to>
      <xdr:col>8</xdr:col>
      <xdr:colOff>195303</xdr:colOff>
      <xdr:row>314</xdr:row>
      <xdr:rowOff>4003</xdr:rowOff>
    </xdr:to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00000000-0008-0000-1500-00002E000000}"/>
            </a:ext>
          </a:extLst>
        </xdr:cNvPr>
        <xdr:cNvSpPr txBox="1"/>
      </xdr:nvSpPr>
      <xdr:spPr>
        <a:xfrm>
          <a:off x="3882839" y="59613693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4286 km mit 1500 Liter Tank</a:t>
          </a:r>
          <a:endParaRPr lang="de-AT" sz="1100"/>
        </a:p>
      </xdr:txBody>
    </xdr:sp>
    <xdr:clientData/>
  </xdr:twoCellAnchor>
  <xdr:twoCellAnchor>
    <xdr:from>
      <xdr:col>8</xdr:col>
      <xdr:colOff>2637</xdr:colOff>
      <xdr:row>327</xdr:row>
      <xdr:rowOff>136390</xdr:rowOff>
    </xdr:from>
    <xdr:to>
      <xdr:col>8</xdr:col>
      <xdr:colOff>606485</xdr:colOff>
      <xdr:row>330</xdr:row>
      <xdr:rowOff>154249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00000000-0008-0000-1500-000030000000}"/>
            </a:ext>
          </a:extLst>
        </xdr:cNvPr>
        <xdr:cNvCxnSpPr>
          <a:stCxn id="12" idx="5"/>
          <a:endCxn id="13" idx="5"/>
        </xdr:cNvCxnSpPr>
      </xdr:nvCxnSpPr>
      <xdr:spPr>
        <a:xfrm>
          <a:off x="6558078" y="62766066"/>
          <a:ext cx="603848" cy="589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709171</xdr:colOff>
      <xdr:row>327</xdr:row>
      <xdr:rowOff>156083</xdr:rowOff>
    </xdr:from>
    <xdr:to>
      <xdr:col>7</xdr:col>
      <xdr:colOff>714775</xdr:colOff>
      <xdr:row>339</xdr:row>
      <xdr:rowOff>32817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0000000-0008-0000-1500-000034000000}"/>
            </a:ext>
          </a:extLst>
        </xdr:cNvPr>
        <xdr:cNvCxnSpPr>
          <a:stCxn id="12" idx="4"/>
          <a:endCxn id="29" idx="4"/>
        </xdr:cNvCxnSpPr>
      </xdr:nvCxnSpPr>
      <xdr:spPr>
        <a:xfrm>
          <a:off x="6502612" y="62785759"/>
          <a:ext cx="5604" cy="2162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726414</xdr:colOff>
      <xdr:row>327</xdr:row>
      <xdr:rowOff>136390</xdr:rowOff>
    </xdr:from>
    <xdr:to>
      <xdr:col>7</xdr:col>
      <xdr:colOff>653705</xdr:colOff>
      <xdr:row>343</xdr:row>
      <xdr:rowOff>91780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00000000-0008-0000-1500-000039000000}"/>
            </a:ext>
          </a:extLst>
        </xdr:cNvPr>
        <xdr:cNvCxnSpPr>
          <a:stCxn id="12" idx="3"/>
          <a:endCxn id="45" idx="3"/>
        </xdr:cNvCxnSpPr>
      </xdr:nvCxnSpPr>
      <xdr:spPr>
        <a:xfrm flipH="1">
          <a:off x="3469614" y="62782315"/>
          <a:ext cx="2975291" cy="3003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393</xdr:row>
      <xdr:rowOff>89648</xdr:rowOff>
    </xdr:from>
    <xdr:to>
      <xdr:col>7</xdr:col>
      <xdr:colOff>0</xdr:colOff>
      <xdr:row>393</xdr:row>
      <xdr:rowOff>89648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1500-000020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413</xdr:row>
      <xdr:rowOff>104775</xdr:rowOff>
    </xdr:from>
    <xdr:to>
      <xdr:col>4</xdr:col>
      <xdr:colOff>714375</xdr:colOff>
      <xdr:row>413</xdr:row>
      <xdr:rowOff>114300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1500-000021000000}"/>
            </a:ext>
          </a:extLst>
        </xdr:cNvPr>
        <xdr:cNvCxnSpPr/>
      </xdr:nvCxnSpPr>
      <xdr:spPr>
        <a:xfrm>
          <a:off x="3564591" y="12946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423</xdr:row>
      <xdr:rowOff>104775</xdr:rowOff>
    </xdr:from>
    <xdr:to>
      <xdr:col>4</xdr:col>
      <xdr:colOff>714375</xdr:colOff>
      <xdr:row>423</xdr:row>
      <xdr:rowOff>114300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1500-000022000000}"/>
            </a:ext>
          </a:extLst>
        </xdr:cNvPr>
        <xdr:cNvCxnSpPr/>
      </xdr:nvCxnSpPr>
      <xdr:spPr>
        <a:xfrm>
          <a:off x="3564591" y="78164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694765</xdr:colOff>
      <xdr:row>367</xdr:row>
      <xdr:rowOff>22412</xdr:rowOff>
    </xdr:from>
    <xdr:to>
      <xdr:col>4</xdr:col>
      <xdr:colOff>694765</xdr:colOff>
      <xdr:row>384</xdr:row>
      <xdr:rowOff>123265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0000000-0008-0000-1500-000023000000}"/>
            </a:ext>
          </a:extLst>
        </xdr:cNvPr>
        <xdr:cNvCxnSpPr/>
      </xdr:nvCxnSpPr>
      <xdr:spPr>
        <a:xfrm flipV="1">
          <a:off x="4202206" y="70272088"/>
          <a:ext cx="0" cy="33393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474</xdr:row>
      <xdr:rowOff>104775</xdr:rowOff>
    </xdr:from>
    <xdr:to>
      <xdr:col>4</xdr:col>
      <xdr:colOff>714375</xdr:colOff>
      <xdr:row>474</xdr:row>
      <xdr:rowOff>114300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CxnSpPr/>
      </xdr:nvCxnSpPr>
      <xdr:spPr>
        <a:xfrm>
          <a:off x="3564591" y="41140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497</xdr:row>
      <xdr:rowOff>104775</xdr:rowOff>
    </xdr:from>
    <xdr:to>
      <xdr:col>4</xdr:col>
      <xdr:colOff>714375</xdr:colOff>
      <xdr:row>497</xdr:row>
      <xdr:rowOff>114300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0000000-0008-0000-1500-000024000000}"/>
            </a:ext>
          </a:extLst>
        </xdr:cNvPr>
        <xdr:cNvCxnSpPr/>
      </xdr:nvCxnSpPr>
      <xdr:spPr>
        <a:xfrm>
          <a:off x="3564591" y="90737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280147</xdr:colOff>
      <xdr:row>517</xdr:row>
      <xdr:rowOff>145675</xdr:rowOff>
    </xdr:from>
    <xdr:ext cx="5333999" cy="1893793"/>
    <xdr:pic>
      <xdr:nvPicPr>
        <xdr:cNvPr id="37" name="Grafik 36">
          <a:extLst>
            <a:ext uri="{FF2B5EF4-FFF2-40B4-BE49-F238E27FC236}">
              <a16:creationId xmlns:a16="http://schemas.microsoft.com/office/drawing/2014/main" id="{00000000-0008-0000-15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1272" y="1479175"/>
          <a:ext cx="5333999" cy="1893793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110</xdr:row>
      <xdr:rowOff>89648</xdr:rowOff>
    </xdr:from>
    <xdr:to>
      <xdr:col>7</xdr:col>
      <xdr:colOff>0</xdr:colOff>
      <xdr:row>110</xdr:row>
      <xdr:rowOff>89648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CxnSpPr/>
      </xdr:nvCxnSpPr>
      <xdr:spPr>
        <a:xfrm>
          <a:off x="5040406" y="57020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116</xdr:row>
      <xdr:rowOff>89648</xdr:rowOff>
    </xdr:from>
    <xdr:to>
      <xdr:col>7</xdr:col>
      <xdr:colOff>0</xdr:colOff>
      <xdr:row>116</xdr:row>
      <xdr:rowOff>89648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CxnSpPr/>
      </xdr:nvCxnSpPr>
      <xdr:spPr>
        <a:xfrm>
          <a:off x="5040406" y="58163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123</xdr:row>
      <xdr:rowOff>89648</xdr:rowOff>
    </xdr:from>
    <xdr:to>
      <xdr:col>7</xdr:col>
      <xdr:colOff>0</xdr:colOff>
      <xdr:row>123</xdr:row>
      <xdr:rowOff>89648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CxnSpPr/>
      </xdr:nvCxnSpPr>
      <xdr:spPr>
        <a:xfrm>
          <a:off x="5040406" y="75308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235322</xdr:colOff>
      <xdr:row>82</xdr:row>
      <xdr:rowOff>11208</xdr:rowOff>
    </xdr:from>
    <xdr:to>
      <xdr:col>25</xdr:col>
      <xdr:colOff>123263</xdr:colOff>
      <xdr:row>125</xdr:row>
      <xdr:rowOff>145679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GrpSpPr/>
      </xdr:nvGrpSpPr>
      <xdr:grpSpPr>
        <a:xfrm>
          <a:off x="11418793" y="15867532"/>
          <a:ext cx="8269941" cy="8370794"/>
          <a:chOff x="11340352" y="16102855"/>
          <a:chExt cx="8269941" cy="8370794"/>
        </a:xfrm>
      </xdr:grpSpPr>
      <xdr:sp macro="" textlink="">
        <xdr:nvSpPr>
          <xdr:cNvPr id="2" name="Ellipse 1">
            <a:extLst>
              <a:ext uri="{FF2B5EF4-FFF2-40B4-BE49-F238E27FC236}">
                <a16:creationId xmlns:a16="http://schemas.microsoft.com/office/drawing/2014/main" id="{00000000-0008-0000-1600-000002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6" name="Ellipse 15">
            <a:extLst>
              <a:ext uri="{FF2B5EF4-FFF2-40B4-BE49-F238E27FC236}">
                <a16:creationId xmlns:a16="http://schemas.microsoft.com/office/drawing/2014/main" id="{00000000-0008-0000-1600-000010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00000000-0008-0000-1600-000003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5" name="Ellipse 4">
            <a:extLst>
              <a:ext uri="{FF2B5EF4-FFF2-40B4-BE49-F238E27FC236}">
                <a16:creationId xmlns:a16="http://schemas.microsoft.com/office/drawing/2014/main" id="{00000000-0008-0000-1600-000005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6" name="Ellipse 5">
            <a:extLst>
              <a:ext uri="{FF2B5EF4-FFF2-40B4-BE49-F238E27FC236}">
                <a16:creationId xmlns:a16="http://schemas.microsoft.com/office/drawing/2014/main" id="{00000000-0008-0000-1600-000006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7" name="Textfeld 6">
            <a:extLst>
              <a:ext uri="{FF2B5EF4-FFF2-40B4-BE49-F238E27FC236}">
                <a16:creationId xmlns:a16="http://schemas.microsoft.com/office/drawing/2014/main" id="{00000000-0008-0000-1600-000007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8" name="Textfeld 7">
            <a:extLst>
              <a:ext uri="{FF2B5EF4-FFF2-40B4-BE49-F238E27FC236}">
                <a16:creationId xmlns:a16="http://schemas.microsoft.com/office/drawing/2014/main" id="{00000000-0008-0000-1600-000008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0" name="Textfeld 9">
            <a:extLst>
              <a:ext uri="{FF2B5EF4-FFF2-40B4-BE49-F238E27FC236}">
                <a16:creationId xmlns:a16="http://schemas.microsoft.com/office/drawing/2014/main" id="{00000000-0008-0000-1600-00000A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1" name="Gerade Verbindung mit Pfeil 10">
            <a:extLst>
              <a:ext uri="{FF2B5EF4-FFF2-40B4-BE49-F238E27FC236}">
                <a16:creationId xmlns:a16="http://schemas.microsoft.com/office/drawing/2014/main" id="{00000000-0008-0000-1600-00000B000000}"/>
              </a:ext>
            </a:extLst>
          </xdr:cNvPr>
          <xdr:cNvCxnSpPr>
            <a:stCxn id="6" idx="5"/>
            <a:endCxn id="5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Gerade Verbindung mit Pfeil 11">
            <a:extLst>
              <a:ext uri="{FF2B5EF4-FFF2-40B4-BE49-F238E27FC236}">
                <a16:creationId xmlns:a16="http://schemas.microsoft.com/office/drawing/2014/main" id="{00000000-0008-0000-1600-00000C000000}"/>
              </a:ext>
            </a:extLst>
          </xdr:cNvPr>
          <xdr:cNvCxnSpPr>
            <a:stCxn id="6" idx="4"/>
            <a:endCxn id="3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Gerade Verbindung mit Pfeil 12">
            <a:extLst>
              <a:ext uri="{FF2B5EF4-FFF2-40B4-BE49-F238E27FC236}">
                <a16:creationId xmlns:a16="http://schemas.microsoft.com/office/drawing/2014/main" id="{00000000-0008-0000-1600-00000D000000}"/>
              </a:ext>
            </a:extLst>
          </xdr:cNvPr>
          <xdr:cNvCxnSpPr>
            <a:stCxn id="6" idx="3"/>
            <a:endCxn id="2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600-000012000000}"/>
              </a:ext>
            </a:extLst>
          </xdr:cNvPr>
          <xdr:cNvCxnSpPr>
            <a:stCxn id="6" idx="2"/>
            <a:endCxn id="16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feld 19">
            <a:extLst>
              <a:ext uri="{FF2B5EF4-FFF2-40B4-BE49-F238E27FC236}">
                <a16:creationId xmlns:a16="http://schemas.microsoft.com/office/drawing/2014/main" id="{00000000-0008-0000-1600-000014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0" xr16:uid="{11ADA09D-4B8F-409E-A3E3-3D9440007838}" autoFormatId="16" applyNumberFormats="0" applyBorderFormats="0" applyFontFormats="0" applyPatternFormats="0" applyAlignmentFormats="0" applyWidthHeightFormats="0">
  <queryTableRefresh nextId="43" unboundColumnsRight="3">
    <queryTableFields count="12">
      <queryTableField id="1" name="Material" tableColumnId="1"/>
      <queryTableField id="11" name="GWP" tableColumnId="7"/>
      <queryTableField id="20" name="GWP_ÖKOBETON C25/30" tableColumnId="10"/>
      <queryTableField id="19" name="GWP_ÖKOBETON C30/37" tableColumnId="9"/>
      <queryTableField id="24" name="RCC C25/30 CEM I" tableColumnId="5"/>
      <queryTableField id="25" name="RCC C25/30 CEM II" tableColumnId="8"/>
      <queryTableField id="26" name="RCC C30/37 CEM I" tableColumnId="11"/>
      <queryTableField id="27" name="RCC C30/37 CEM II" tableColumnId="12"/>
      <queryTableField id="3" name="Transportemissionen [kgCO2 eq.]" tableColumnId="3"/>
      <queryTableField id="6" dataBound="0" tableColumnId="6"/>
      <queryTableField id="10" dataBound="0" tableColumnId="4"/>
      <queryTableField id="17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13" xr16:uid="{CE92B828-9A97-4ECB-82EB-C32BBAF2EC7D}" autoFormatId="16" applyNumberFormats="0" applyBorderFormats="0" applyFontFormats="0" applyPatternFormats="0" applyAlignmentFormats="0" applyWidthHeightFormats="0">
  <queryTableRefresh nextId="19">
    <queryTableFields count="2">
      <queryTableField id="17" name="Heizvariante" tableColumnId="1"/>
      <queryTableField id="16" name="CO₂ Äquivalent nach 20 Jahre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1" xr16:uid="{010244EE-1569-425E-8309-FA97B238FD8B}" autoFormatId="16" applyNumberFormats="0" applyBorderFormats="0" applyFontFormats="0" applyPatternFormats="0" applyAlignmentFormats="0" applyWidthHeightFormats="0">
  <queryTableRefresh nextId="16" unboundColumnsRight="5">
    <queryTableFields count="10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5" name="GWP" tableColumnId="5"/>
      <queryTableField id="14" dataBound="0" tableColumnId="10"/>
      <queryTableField id="8" dataBound="0" tableColumnId="8"/>
      <queryTableField id="10" dataBound="0" tableColumnId="11"/>
      <queryTableField id="9" dataBound="0" tableColumnId="9"/>
      <queryTableField id="12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6" xr16:uid="{2A28B7FE-7790-44B4-8908-9721FDE1D231}" autoFormatId="16" applyNumberFormats="0" applyBorderFormats="0" applyFontFormats="0" applyPatternFormats="0" applyAlignmentFormats="0" applyWidthHeightFormats="0">
  <queryTableRefresh nextId="21" unboundColumnsRight="9">
    <queryTableFields count="14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2" name="GWP" tableColumnId="5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6" dataBound="0" tableColumnId="6"/>
      <queryTableField id="17" dataBound="0" tableColumnId="11"/>
      <queryTableField id="18" dataBound="0" tableColumnId="12"/>
      <queryTableField id="19" dataBound="0" tableColumnId="13"/>
      <queryTableField id="20" dataBound="0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7" xr16:uid="{F396E8FC-A0DD-4998-9FA8-DE9AB7EF0121}" autoFormatId="16" applyNumberFormats="0" applyBorderFormats="0" applyFontFormats="0" applyPatternFormats="0" applyAlignmentFormats="0" applyWidthHeightFormats="0">
  <queryTableRefresh nextId="19" unboundColumnsRight="8">
    <queryTableFields count="11">
      <queryTableField id="1" name="Material" tableColumnId="1"/>
      <queryTableField id="17" name="GWP" tableColumnId="5"/>
      <queryTableField id="6" name="Fläche" tableColumnId="6"/>
      <queryTableField id="8" dataBound="0" tableColumnId="8"/>
      <queryTableField id="10" dataBound="0" tableColumnId="10"/>
      <queryTableField id="11" dataBound="0" tableColumnId="2"/>
      <queryTableField id="12" dataBound="0" tableColumnId="3"/>
      <queryTableField id="13" dataBound="0" tableColumnId="4"/>
      <queryTableField id="16" dataBound="0" tableColumnId="13"/>
      <queryTableField id="14" dataBound="0" tableColumnId="11"/>
      <queryTableField id="15" dataBound="0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firstBackgroundRefresh="1" connectionId="4" xr16:uid="{6842B09C-5D5B-48B9-A288-7DE936C48A89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48987A-AE94-48A6-8434-8F9BDD4DB9C7}" name="Materialien_Blatt" displayName="Materialien_Blatt" ref="L10:W68" tableType="queryTable" totalsRowCount="1">
  <sortState xmlns:xlrd2="http://schemas.microsoft.com/office/spreadsheetml/2017/richdata2" ref="L11:W67">
    <sortCondition ref="L11:L67"/>
  </sortState>
  <tableColumns count="12">
    <tableColumn id="1" xr3:uid="{9E328990-0539-4075-A6DF-7E7368D6277F}" uniqueName="1" name="Material" queryTableFieldId="1" dataDxfId="65"/>
    <tableColumn id="7" xr3:uid="{C66440A1-5EEB-4777-8466-0CC57334A480}" uniqueName="7" name="GWP" totalsRowFunction="sum" queryTableFieldId="11"/>
    <tableColumn id="10" xr3:uid="{12B899C4-E7C3-4A5C-9293-4AF09F69381B}" uniqueName="10" name="GWP_ÖKOBETON C25/30" totalsRowFunction="sum" queryTableFieldId="20"/>
    <tableColumn id="9" xr3:uid="{8EF8ECF5-743C-4A22-8CAA-976EBE5AB0F7}" uniqueName="9" name="GWP_ÖKOBETON C30/37" totalsRowFunction="sum" queryTableFieldId="19"/>
    <tableColumn id="5" xr3:uid="{31111491-2101-4634-AEAE-1E47894D0CCC}" uniqueName="5" name="RCC C25/30 CEM I" totalsRowFunction="sum" queryTableFieldId="24"/>
    <tableColumn id="8" xr3:uid="{F7D34675-AEE3-49AA-9A2C-8C172849DCF9}" uniqueName="8" name="RCC C25/30 CEM II" totalsRowFunction="custom" queryTableFieldId="25">
      <totalsRowFormula>SUBTOTAL(109, Materialien_Blatt[RCC C25/30 CEM II])</totalsRowFormula>
    </tableColumn>
    <tableColumn id="11" xr3:uid="{9B76B612-82C5-40AC-A289-91C164D43AEF}" uniqueName="11" name="RCC C30/37 CEM I" totalsRowFunction="sum" queryTableFieldId="26"/>
    <tableColumn id="12" xr3:uid="{B3793EF9-E8B8-497C-8174-01CF39306D67}" uniqueName="12" name="RCC C30/37 CEM II" totalsRowFunction="sum" queryTableFieldId="27"/>
    <tableColumn id="3" xr3:uid="{CC8D6F32-41C0-42A9-8C20-C1160594EDE0}" uniqueName="3" name="Transportemissionen [kgCO2 eq.]" totalsRowFunction="sum" queryTableFieldId="3" dataDxfId="64" totalsRowDxfId="45"/>
    <tableColumn id="6" xr3:uid="{0AADD9FA-EBC9-43C4-AC14-D6E8E42D12EF}" uniqueName="6" name="Produktion" totalsRowFunction="sum" queryTableFieldId="6" dataDxfId="44" totalsRowDxfId="46">
      <calculatedColumnFormula array="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calculatedColumnFormula>
    </tableColumn>
    <tableColumn id="4" xr3:uid="{46663A3D-31F8-4813-8262-0CF14C4C3EB6}" uniqueName="4" name="other" queryTableFieldId="10"/>
    <tableColumn id="2" xr3:uid="{47E9D71C-9A84-49F5-B97B-F92CB88B0CF8}" uniqueName="2" name="Summe" queryTableFieldId="17" dataDxfId="63">
      <calculatedColumnFormula>Materialien_Blatt[[#This Row],[Transportemissionen '[kgCO2 eq.']]]+Materialien_Blatt[[#This Row],[Produktion]]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6F09F5-EE49-4BD0-AA80-44D3181BB2AC}" name="Ökobeton11" displayName="Ökobeton11" ref="L76:M83" totalsRowShown="0">
  <autoFilter ref="L76:M83" xr:uid="{F16F09F5-EE49-4BD0-AA80-44D3181BB2AC}"/>
  <tableColumns count="2">
    <tableColumn id="1" xr3:uid="{D6510351-FD3E-45F9-B725-93EA164C2E62}" name="Spalte1"/>
    <tableColumn id="2" xr3:uid="{35C7BE53-0133-4AEA-855A-13B6260BAC05}" name="Spalt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BE5D39-DC9B-468F-BCB0-3449A95E1028}" name="Ökobeton1114" displayName="Ökobeton1114" ref="O76:P83" totalsRowShown="0">
  <autoFilter ref="O76:P83" xr:uid="{F1BE5D39-DC9B-468F-BCB0-3449A95E1028}"/>
  <tableColumns count="2">
    <tableColumn id="1" xr3:uid="{F113F892-0BF4-4CCD-9038-D460A4F48019}" name="Typ"/>
    <tableColumn id="2" xr3:uid="{5A96BBA6-96F7-4341-BF7D-D1CF679B7FFE}" name="Spalteninde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E12C1-EF6C-4CAF-90C8-D1B87DA22F65}" name="ROSE" displayName="ROSE" ref="B13:C15" tableType="queryTable" totalsRowShown="0">
  <autoFilter ref="B13:C15" xr:uid="{775E12C1-EF6C-4CAF-90C8-D1B87DA22F65}"/>
  <tableColumns count="2">
    <tableColumn id="1" xr3:uid="{15EF1E71-4049-47DB-94B4-4934FA353D86}" uniqueName="1" name="Heizvariante" queryTableFieldId="17" dataDxfId="62"/>
    <tableColumn id="4" xr3:uid="{3419705C-117A-4217-9AE8-32BE0DA80D66}" uniqueName="4" name="CO₂ Äquivalent nach 20 Jahren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3CD5AD-D388-489E-ACF9-28E3B05A3301}" name="Tabelle7" displayName="Tabelle7" ref="H22:H24" totalsRowShown="0" headerRowDxfId="61" dataDxfId="60">
  <autoFilter ref="H22:H24" xr:uid="{C73CD5AD-D388-489E-ACF9-28E3B05A3301}"/>
  <tableColumns count="1">
    <tableColumn id="1" xr3:uid="{F25DA2A0-8B12-4DCA-9751-765F95B18DFE}" name="1/4 Kreis" dataDxfId="59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1B1B58-137E-4C2F-B601-E25DC3255E36}" name="Materialien_ex_beton_und_Fenster" displayName="Materialien_ex_beton_und_Fenster" ref="A1:J34" tableType="queryTable" totalsRowCount="1">
  <autoFilter ref="A1:J33" xr:uid="{F21B1B58-137E-4C2F-B601-E25DC3255E36}"/>
  <sortState xmlns:xlrd2="http://schemas.microsoft.com/office/spreadsheetml/2017/richdata2" ref="A2:J33">
    <sortCondition ref="A1:A33"/>
  </sortState>
  <tableColumns count="10">
    <tableColumn id="1" xr3:uid="{594C6E0D-26D8-449C-B388-7AA5903C9DBA}" uniqueName="1" name="Material" queryTableFieldId="1" dataDxfId="58"/>
    <tableColumn id="2" xr3:uid="{F40D529E-48F4-46E2-A434-CD4F19B2CF98}" uniqueName="2" name="Summe Masse [kg]" queryTableFieldId="2"/>
    <tableColumn id="3" xr3:uid="{4BD893D9-4097-4849-B42B-9B25E09BDA54}" uniqueName="3" name="Summe Volumen [m3]" queryTableFieldId="3"/>
    <tableColumn id="4" xr3:uid="{3B682ED5-DAA4-41B5-B484-81E0CE6A933C}" uniqueName="4" name="Dichte" queryTableFieldId="4" dataDxfId="57"/>
    <tableColumn id="5" xr3:uid="{29D2F336-417D-4A59-A977-7F711BAA6815}" uniqueName="5" name="GWP" totalsRowFunction="sum" queryTableFieldId="15"/>
    <tableColumn id="10" xr3:uid="{6AEF7DAB-EE33-4EC4-9AA5-78076EE83CB9}" uniqueName="10" name="Spalte3" queryTableFieldId="14" dataDxfId="43" dataCellStyle="Prozent">
      <calculatedColumnFormula>#REF!/#REF!</calculatedColumnFormula>
    </tableColumn>
    <tableColumn id="8" xr3:uid="{72AD3661-8964-45F1-B7D9-D2FD7618316A}" uniqueName="8" name="LKW-Fahrten" queryTableFieldId="8" dataDxfId="42">
      <calculatedColumnFormula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calculatedColumnFormula>
    </tableColumn>
    <tableColumn id="11" xr3:uid="{8FE98C5E-DC52-489F-9F39-8686E26FD409}" uniqueName="11" name="Distanz [km]" queryTableFieldId="10" dataDxfId="41">
      <calculatedColumnFormula>Gesamtauswertung!$D$9</calculatedColumnFormula>
    </tableColumn>
    <tableColumn id="9" xr3:uid="{AFD9BFE9-6729-4A97-A732-A674502FD1C9}" uniqueName="9" name="Transportemissionen [kgCO2 eq.]" totalsRowFunction="custom" queryTableFieldId="9" dataDxfId="56">
      <calculatedColumnFormula>'Transport Kennzahlen'!$E$30*Materialien_ex_beton_und_Fenster[[#This Row],[LKW-Fahrten]]*Materialien_ex_beton_und_Fenster[[#This Row],[Distanz '[km']]]</calculatedColumnFormula>
      <totalsRowFormula>SUM(Materialien_ex_beton_und_Fenster[Transportemissionen '[kgCO2 eq.']])</totalsRowFormula>
    </tableColumn>
    <tableColumn id="13" xr3:uid="{4313CC5F-18C5-4EE8-A699-521E9A708890}" uniqueName="13" name="Spalte2" queryTableFieldId="12" dataDxfId="40" dataCellStyle="Prozent">
      <calculatedColumnFormula>Materialien_ex_beton_und_Fenster[[#This Row],[Transportemissionen '[kgCO2 eq.']]]/Materialien_ex_beton_und_Fenster[[#Totals],[Transportemissionen '[kgCO2 eq.']]]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A88FC-DA38-4D0E-ADF7-2EA3DCFBAAF2}" name="Beton" displayName="Beton" ref="A1:N4" tableType="queryTable" totalsRowCount="1">
  <autoFilter ref="A1:N3" xr:uid="{DF3A88FC-DA38-4D0E-ADF7-2EA3DCFBAAF2}"/>
  <sortState xmlns:xlrd2="http://schemas.microsoft.com/office/spreadsheetml/2017/richdata2" ref="A2:N3">
    <sortCondition ref="A1:A3"/>
  </sortState>
  <tableColumns count="14">
    <tableColumn id="1" xr3:uid="{D347C072-B643-4FD7-ABB9-C0E29A41A76A}" uniqueName="1" name="Material" queryTableFieldId="1"/>
    <tableColumn id="2" xr3:uid="{BA6C137A-D278-4DF1-AC4E-F5C84FBA58DF}" uniqueName="2" name="Summe Masse [kg]" queryTableFieldId="2"/>
    <tableColumn id="3" xr3:uid="{0B5588E9-5B83-42BA-8A0A-47A75145388E}" uniqueName="3" name="Summe Volumen [m3]" queryTableFieldId="3"/>
    <tableColumn id="4" xr3:uid="{5867B8F0-8BB8-4421-A030-848790A8BEDB}" uniqueName="4" name="Dichte" queryTableFieldId="4"/>
    <tableColumn id="5" xr3:uid="{BF64CFA0-BB8A-4909-B8B1-0753BFD5FF1D}" uniqueName="5" name="GWP" totalsRowFunction="sum" queryTableFieldId="12"/>
    <tableColumn id="7" xr3:uid="{BEB12BEA-DFFF-417F-9D8F-AD28F319E5E4}" uniqueName="7" name="GWP_ÖKOBETON C25/30" totalsRowFunction="sum" queryTableFieldId="7">
      <calculatedColumnFormula>Beton[[#This Row],[Summe Masse '[kg']]]*$H$22</calculatedColumnFormula>
    </tableColumn>
    <tableColumn id="8" xr3:uid="{2C640353-ACA2-4FEB-A60D-496D6CF5785A}" uniqueName="8" name="LKW-Fahrten" queryTableFieldId="8">
      <calculatedColumnFormula>IF('Transport Kennzahlen'!$D$6&lt;Beton[[#This Row],[Dichte]],Beton[[#This Row],[Summe Masse '[kg']]]/'Transport Kennzahlen'!$D$5,Beton[[#This Row],[Summe Volumen '[m3']]]/'Transport Kennzahlen'!$F$5)*(1/$A$22)</calculatedColumnFormula>
    </tableColumn>
    <tableColumn id="9" xr3:uid="{F559BF5A-A4EC-47DA-AC66-B40389AEB135}" uniqueName="9" name="Distanz [km]" queryTableFieldId="9" dataDxfId="39">
      <calculatedColumnFormula>Gesamtauswertung!$D$9</calculatedColumnFormula>
    </tableColumn>
    <tableColumn id="10" xr3:uid="{5F0930F1-0B36-418C-AC71-8D182B27F976}" uniqueName="10" name="Transportemissionen [kgCO2 eq.]" totalsRowFunction="sum" queryTableFieldId="10">
      <calculatedColumnFormula>'Transport Kennzahlen'!$E$10*Beton[[#This Row],[LKW-Fahrten]]*Beton[[#This Row],[Distanz '[km']]]</calculatedColumnFormula>
    </tableColumn>
    <tableColumn id="6" xr3:uid="{CD534675-7230-4E01-A2CE-35775F6FF771}" uniqueName="6" name="GWP_ÖKOBETON C30/37" totalsRowFunction="sum" queryTableFieldId="16" dataDxfId="55">
      <calculatedColumnFormula>Beton[[#This Row],[Summe Masse '[kg']]]*$H$25</calculatedColumnFormula>
    </tableColumn>
    <tableColumn id="11" xr3:uid="{EB734BD6-9A43-41E7-BF21-BE90AB4CAABF}" uniqueName="11" name="RCC C25/30 CEM I" totalsRowFunction="sum" queryTableFieldId="17">
      <calculatedColumnFormula>Beton[[#This Row],[GWP]]*((100-$E$8)/100)</calculatedColumnFormula>
    </tableColumn>
    <tableColumn id="12" xr3:uid="{AA6A580F-2EAF-4A1E-810F-4F54D1CE8163}" uniqueName="12" name="RCC C25/30 CEM II" totalsRowFunction="sum" queryTableFieldId="18">
      <calculatedColumnFormula>Beton[[#This Row],[GWP]]*((100-$E$9)/100)</calculatedColumnFormula>
    </tableColumn>
    <tableColumn id="13" xr3:uid="{752836C7-3097-44F0-B7A0-C858C0B245C1}" uniqueName="13" name="RCC C30/37 CEM I" totalsRowFunction="sum" queryTableFieldId="19">
      <calculatedColumnFormula>Beton[[#This Row],[GWP]]*((100-$E$10)/100)</calculatedColumnFormula>
    </tableColumn>
    <tableColumn id="14" xr3:uid="{FA5328A7-A676-49E2-B846-279B54355F1C}" uniqueName="14" name="RCC C30/37 CEM II" totalsRowFunction="sum" queryTableFieldId="20">
      <calculatedColumnFormula>Beton[[#This Row],[GWP]]*((100-$E$11)/100)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CAC4AC-287D-4D6F-9288-D765D8B2888F}" name="Ökobeton" displayName="Ökobeton" ref="A6:B13" totalsRowShown="0">
  <autoFilter ref="A6:B13" xr:uid="{17CAC4AC-287D-4D6F-9288-D765D8B2888F}"/>
  <tableColumns count="2">
    <tableColumn id="1" xr3:uid="{9A76D7E6-35AD-4890-9745-DD6C298D990C}" name="Spalte1"/>
    <tableColumn id="2" xr3:uid="{43948A10-A286-4959-BD81-54600D012760}" name="Spalte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CE97-BB3C-4C8A-98EF-9C3A1F28EFF1}" name="Fenster" displayName="Fenster" ref="A12:K14" tableType="queryTable" totalsRowCount="1">
  <autoFilter ref="A12:K13" xr:uid="{BFDFCE97-BB3C-4C8A-98EF-9C3A1F28EFF1}"/>
  <tableColumns count="11">
    <tableColumn id="1" xr3:uid="{6B7931D6-6D5A-479E-B8B8-FAD968BC42FA}" uniqueName="1" name="Material" queryTableFieldId="1" dataDxfId="54"/>
    <tableColumn id="5" xr3:uid="{47A87938-2FA6-49F8-828D-926DC96D7853}" uniqueName="5" name="GWP" totalsRowFunction="sum" queryTableFieldId="17"/>
    <tableColumn id="6" xr3:uid="{CB5C8EDE-EF25-429F-8581-7BB6FE510A53}" uniqueName="6" name="Fläche" queryTableFieldId="6"/>
    <tableColumn id="8" xr3:uid="{4604F903-D43B-4C4D-A214-CD3AD6F2C43A}" uniqueName="8" name="Distanz [km]" queryTableFieldId="8" dataDxfId="0">
      <calculatedColumnFormula>Gesamtauswertung!$D$9</calculatedColumnFormula>
    </tableColumn>
    <tableColumn id="10" xr3:uid="{BDD198DA-61BB-46CB-9ABE-1FA110470A56}" uniqueName="10" name="Art" queryTableFieldId="10"/>
    <tableColumn id="2" xr3:uid="{FBC43099-04E2-4556-A605-23EEE46F1766}" uniqueName="2" name="Flächenbezogene Masse [kg/m2]" queryTableFieldId="11" dataDxfId="53">
      <calculatedColumnFormula>IF(Fenster[[#This Row],[Art]] = "Glas", $B$3, $B$10)</calculatedColumnFormula>
    </tableColumn>
    <tableColumn id="3" xr3:uid="{6283F7ED-FCE2-4662-9F5D-F8D884982F05}" uniqueName="3" name="Masse [kg]" queryTableFieldId="12" dataDxfId="52">
      <calculatedColumnFormula>Fenster[[#This Row],[Flächenbezogene Masse '[kg/m2']]]*Fenster[[#This Row],[Fläche]]</calculatedColumnFormula>
    </tableColumn>
    <tableColumn id="4" xr3:uid="{56BC9674-CA2A-443F-9F9F-D4F2247FAB3D}" uniqueName="4" name="Volumen [m3]" queryTableFieldId="13" dataDxfId="51">
      <calculatedColumnFormula>Fenster[[#This Row],[Masse '[kg']]]/Fenster[[#This Row],[Dichte '[kg/m3']]]</calculatedColumnFormula>
    </tableColumn>
    <tableColumn id="13" xr3:uid="{308597B7-1F8D-4268-A52F-00F4D4AD002A}" uniqueName="13" name="Dichte [kg/m3]" queryTableFieldId="16" dataDxfId="50">
      <calculatedColumnFormula>IF(Fenster[[#This Row],[Art]] = "Glas", $B$5,$B$8)</calculatedColumnFormula>
    </tableColumn>
    <tableColumn id="11" xr3:uid="{86AA7D20-0DAA-4621-85FF-7329F1137AD9}" uniqueName="11" name="LKW-Fahrten" queryTableFieldId="14" dataDxfId="49">
      <calculatedColumnFormula>IF('Transport Kennzahlen'!$D$26&lt;Fenster[[#This Row],[Dichte '[kg/m3']]],Fenster[[#This Row],[Masse '[kg']]]/'Transport Kennzahlen'!$D$25,Fenster[[#This Row],[Volumen '[m3']]]/'Transport Kennzahlen'!$F$25)*(1/$J$7)</calculatedColumnFormula>
    </tableColumn>
    <tableColumn id="12" xr3:uid="{E38A844A-5A9F-4BD9-AB40-25E032E96401}" uniqueName="12" name="Transportemissionen [kgCO2 eq.]" totalsRowFunction="sum" queryTableFieldId="15" dataDxfId="48">
      <calculatedColumnFormula>'Transport Kennzahlen'!$E$30*Fenster[[#This Row],[LKW-Fahrten]]*Fenster[[#This Row],[Distanz '[km']]]*$J$7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20E6EB-6BE6-4C92-9BCF-8B832F57A6F4}" name="Tabelle9" displayName="Tabelle9" ref="W2:Y42" totalsRowShown="0">
  <autoFilter ref="W2:Y42" xr:uid="{BA20E6EB-6BE6-4C92-9BCF-8B832F57A6F4}"/>
  <tableColumns count="3">
    <tableColumn id="1" xr3:uid="{83D7C44B-D7D5-4DEA-97CC-CAAA618C79DB}" name="Spalte1"/>
    <tableColumn id="2" xr3:uid="{23586148-1D2C-469D-985D-493BCE6FBFAB}" name="Stromverbräuche [kWh]">
      <calculatedColumnFormula>441.22*W3^1.5479</calculatedColumnFormula>
    </tableColumn>
    <tableColumn id="3" xr3:uid="{C291E26C-3D7C-4F34-AE98-5D43ABF1A090}" name="Strom Heizverbäuche [MWh]" dataDxfId="47">
      <calculatedColumnFormula>52.128*W3^2.1552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6F0935-30F1-496F-9928-49062B071A50}" name="EnergieverbraecheArtderBaustelle" displayName="EnergieverbraecheArtderBaustelle" ref="S3:T6" totalsRowShown="0">
  <autoFilter ref="S3:T6" xr:uid="{886F0935-30F1-496F-9928-49062B071A50}"/>
  <tableColumns count="2">
    <tableColumn id="1" xr3:uid="{9BD13998-6279-447E-8F82-B73D0B9D7BD7}" name="Bitte wählen"/>
    <tableColumn id="2" xr3:uid="{00BBED8B-A047-430D-A461-3AFF88E9CE94}" name="CO2-Emissionen 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859BC-38FA-460E-A254-A2D15E9D3421}" name="Tabelle5" displayName="Tabelle5" ref="C5:C6" totalsRowShown="0">
  <autoFilter ref="C5:C6" xr:uid="{2B9859BC-38FA-460E-A254-A2D15E9D3421}"/>
  <tableColumns count="1">
    <tableColumn id="1" xr3:uid="{665AC290-771E-42BF-9158-293493F21FBC}" name="Pfad">
      <calculatedColumnFormula array="1" xml:space="preserve"> LEFT(CELL("dateiname"),FIND("[",CELL("dateiname"))-1)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3C390AE-CCC4-433C-B7D9-141D00578075}">
  <we:reference id="wa104379638" version="1.0.0.0" store="de-DE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2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hyperlink" Target="http://www.budau.com/unternehmen/downloads/Spundwandhandbuch.pdf" TargetMode="External"/><Relationship Id="rId7" Type="http://schemas.openxmlformats.org/officeDocument/2006/relationships/ctrlProp" Target="../ctrlProps/ctrlProp8.xml"/><Relationship Id="rId12" Type="http://schemas.openxmlformats.org/officeDocument/2006/relationships/comments" Target="../comments3.xml"/><Relationship Id="rId2" Type="http://schemas.openxmlformats.org/officeDocument/2006/relationships/hyperlink" Target="https://www.baubook.at/zentrale/?SW=5&amp;LU=1823786792&amp;qJ=1&amp;LP=rU8_o" TargetMode="External"/><Relationship Id="rId1" Type="http://schemas.openxmlformats.org/officeDocument/2006/relationships/hyperlink" Target="https://www.hausbauen24.eu/erdaushub-rechner/" TargetMode="External"/><Relationship Id="rId6" Type="http://schemas.openxmlformats.org/officeDocument/2006/relationships/vmlDrawing" Target="../drawings/vmlDrawing3.vml"/><Relationship Id="rId11" Type="http://schemas.openxmlformats.org/officeDocument/2006/relationships/table" Target="../tables/table5.xml"/><Relationship Id="rId5" Type="http://schemas.openxmlformats.org/officeDocument/2006/relationships/drawing" Target="../drawings/drawing6.xml"/><Relationship Id="rId10" Type="http://schemas.openxmlformats.org/officeDocument/2006/relationships/ctrlProp" Target="../ctrlProps/ctrlProp11.xml"/><Relationship Id="rId4" Type="http://schemas.openxmlformats.org/officeDocument/2006/relationships/printerSettings" Target="../printerSettings/printerSettings3.bin"/><Relationship Id="rId9" Type="http://schemas.openxmlformats.org/officeDocument/2006/relationships/ctrlProp" Target="../ctrlProps/ctrlProp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dz-online.de/fileadmin/wissensportal/publikationen/zementindustrie/VDZ-Studie_Dekarbonisierung_Zement_Beton_2020.pdf" TargetMode="External"/><Relationship Id="rId1" Type="http://schemas.openxmlformats.org/officeDocument/2006/relationships/hyperlink" Target="https://www.probas.umweltbundesamt.de/php/prozessdetails.php?id=%7B630020C3-9E32-4BCA-83CA-9294C5FE49E1%7D" TargetMode="Externa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www.baubook.at/zentrale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13" Type="http://schemas.openxmlformats.org/officeDocument/2006/relationships/ctrlProp" Target="../ctrlProps/ctrlProp20.xml"/><Relationship Id="rId18" Type="http://schemas.openxmlformats.org/officeDocument/2006/relationships/ctrlProp" Target="../ctrlProps/ctrlProp25.xml"/><Relationship Id="rId3" Type="http://schemas.openxmlformats.org/officeDocument/2006/relationships/drawing" Target="../drawings/drawing7.xml"/><Relationship Id="rId21" Type="http://schemas.openxmlformats.org/officeDocument/2006/relationships/comments" Target="../comments5.xml"/><Relationship Id="rId7" Type="http://schemas.openxmlformats.org/officeDocument/2006/relationships/ctrlProp" Target="../ctrlProps/ctrlProp14.xml"/><Relationship Id="rId12" Type="http://schemas.openxmlformats.org/officeDocument/2006/relationships/ctrlProp" Target="../ctrlProps/ctrlProp19.xml"/><Relationship Id="rId17" Type="http://schemas.openxmlformats.org/officeDocument/2006/relationships/ctrlProp" Target="../ctrlProps/ctrlProp24.xml"/><Relationship Id="rId2" Type="http://schemas.openxmlformats.org/officeDocument/2006/relationships/printerSettings" Target="../printerSettings/printerSettings5.bin"/><Relationship Id="rId16" Type="http://schemas.openxmlformats.org/officeDocument/2006/relationships/ctrlProp" Target="../ctrlProps/ctrlProp23.xml"/><Relationship Id="rId20" Type="http://schemas.openxmlformats.org/officeDocument/2006/relationships/ctrlProp" Target="../ctrlProps/ctrlProp27.xml"/><Relationship Id="rId1" Type="http://schemas.openxmlformats.org/officeDocument/2006/relationships/hyperlink" Target="https://www.baumgaertner.de/container-service/containertypen-und-fahrzeuge.html" TargetMode="External"/><Relationship Id="rId6" Type="http://schemas.openxmlformats.org/officeDocument/2006/relationships/ctrlProp" Target="../ctrlProps/ctrlProp13.xml"/><Relationship Id="rId11" Type="http://schemas.openxmlformats.org/officeDocument/2006/relationships/ctrlProp" Target="../ctrlProps/ctrlProp18.xml"/><Relationship Id="rId5" Type="http://schemas.openxmlformats.org/officeDocument/2006/relationships/ctrlProp" Target="../ctrlProps/ctrlProp12.xml"/><Relationship Id="rId15" Type="http://schemas.openxmlformats.org/officeDocument/2006/relationships/ctrlProp" Target="../ctrlProps/ctrlProp22.xml"/><Relationship Id="rId10" Type="http://schemas.openxmlformats.org/officeDocument/2006/relationships/ctrlProp" Target="../ctrlProps/ctrlProp17.xml"/><Relationship Id="rId19" Type="http://schemas.openxmlformats.org/officeDocument/2006/relationships/ctrlProp" Target="../ctrlProps/ctrlProp26.xml"/><Relationship Id="rId4" Type="http://schemas.openxmlformats.org/officeDocument/2006/relationships/vmlDrawing" Target="../drawings/vmlDrawing5.vml"/><Relationship Id="rId9" Type="http://schemas.openxmlformats.org/officeDocument/2006/relationships/ctrlProp" Target="../ctrlProps/ctrlProp16.xml"/><Relationship Id="rId14" Type="http://schemas.openxmlformats.org/officeDocument/2006/relationships/ctrlProp" Target="../ctrlProps/ctrlProp2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umweltbundesamt.at/umweltthemen/umweltmanagement/thg-emissionsrechner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printerSettings" Target="../printerSettings/printerSettings7.bin"/><Relationship Id="rId7" Type="http://schemas.openxmlformats.org/officeDocument/2006/relationships/ctrlProp" Target="../ctrlProps/ctrlProp29.xml"/><Relationship Id="rId12" Type="http://schemas.openxmlformats.org/officeDocument/2006/relationships/table" Target="../tables/table11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28.xml"/><Relationship Id="rId11" Type="http://schemas.openxmlformats.org/officeDocument/2006/relationships/table" Target="../tables/table10.xml"/><Relationship Id="rId5" Type="http://schemas.openxmlformats.org/officeDocument/2006/relationships/vmlDrawing" Target="../drawings/vmlDrawing6.vml"/><Relationship Id="rId10" Type="http://schemas.openxmlformats.org/officeDocument/2006/relationships/ctrlProp" Target="../ctrlProps/ctrlProp32.xml"/><Relationship Id="rId4" Type="http://schemas.openxmlformats.org/officeDocument/2006/relationships/drawing" Target="../drawings/drawing9.xml"/><Relationship Id="rId9" Type="http://schemas.openxmlformats.org/officeDocument/2006/relationships/ctrlProp" Target="../ctrlProps/ctrlProp3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7" Type="http://schemas.openxmlformats.org/officeDocument/2006/relationships/ctrlProp" Target="../ctrlProps/ctrlProp35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34.xml"/><Relationship Id="rId5" Type="http://schemas.openxmlformats.org/officeDocument/2006/relationships/ctrlProp" Target="../ctrlProps/ctrlProp33.xml"/><Relationship Id="rId4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u-epd.at/" TargetMode="External"/><Relationship Id="rId2" Type="http://schemas.openxmlformats.org/officeDocument/2006/relationships/hyperlink" Target="https://ecoinvent.org/" TargetMode="External"/><Relationship Id="rId1" Type="http://schemas.openxmlformats.org/officeDocument/2006/relationships/hyperlink" Target="https://nachhaltigwirtschaften.at/resources/sdz_pdf/schriftenreihe-2021-37-co2-neutrale-baustelle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lunegger-kocher.ch/muldenservice/muldengroesse-auswaehlen.html" TargetMode="External"/><Relationship Id="rId13" Type="http://schemas.openxmlformats.org/officeDocument/2006/relationships/drawing" Target="../drawings/drawing12.xml"/><Relationship Id="rId3" Type="http://schemas.openxmlformats.org/officeDocument/2006/relationships/hyperlink" Target="file:///C:\Users\m.marynowski\Downloads\Preisliste_UWT.pdf" TargetMode="External"/><Relationship Id="rId7" Type="http://schemas.openxmlformats.org/officeDocument/2006/relationships/hyperlink" Target="https://www.giacometto.ch/muldenservice/muldengroessen.htm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pkm-muldenzentrale.at/mulden-container/" TargetMode="External"/><Relationship Id="rId1" Type="http://schemas.openxmlformats.org/officeDocument/2006/relationships/hyperlink" Target="https://www.abfallserviceonline.at/de/abfallart/abfall-metalle-schrott-elektroschrott.html" TargetMode="External"/><Relationship Id="rId6" Type="http://schemas.openxmlformats.org/officeDocument/2006/relationships/hyperlink" Target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" TargetMode="External"/><Relationship Id="rId11" Type="http://schemas.openxmlformats.org/officeDocument/2006/relationships/hyperlink" Target="https://www.wko.at/branchen/gewerbe-handwerk/bau/broschuere-baurestmassen.pdf" TargetMode="External"/><Relationship Id="rId5" Type="http://schemas.openxmlformats.org/officeDocument/2006/relationships/hyperlink" Target="https://www.werner-weber.com/de/normmulde-nm/" TargetMode="External"/><Relationship Id="rId10" Type="http://schemas.openxmlformats.org/officeDocument/2006/relationships/hyperlink" Target="https://www.hasenoehrl.at/wp-content/uploads/2020/01/hasenoehrl_preisliste_2020_web-2.pdf" TargetMode="External"/><Relationship Id="rId4" Type="http://schemas.openxmlformats.org/officeDocument/2006/relationships/hyperlink" Target="https://www.muehlberger-gmbh.at/wp-content/uploads/2017/04/Sicherheitsdatenblatt_Abrollcontainer.pdf" TargetMode="External"/><Relationship Id="rId9" Type="http://schemas.openxmlformats.org/officeDocument/2006/relationships/hyperlink" Target="https://www.werner-weber.com/de/standard-abrollcontainer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table" Target="../tables/table12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hyperlink" Target="https://www.sanier.de/altbausanierung/baualtersstufen/haeuser-jahrhundertwende" TargetMode="External"/><Relationship Id="rId39" Type="http://schemas.openxmlformats.org/officeDocument/2006/relationships/hyperlink" Target="https://www.driverknowledgetests.com/resources/why-does-burning-1-litre-of-fuel-create-over-2kg-of-carbon-dioxide/" TargetMode="External"/><Relationship Id="rId21" Type="http://schemas.openxmlformats.org/officeDocument/2006/relationships/hyperlink" Target="https://www.ris.bka.gv.at/eli/bgbl/1967/267/P4/NOR40227805" TargetMode="External"/><Relationship Id="rId34" Type="http://schemas.openxmlformats.org/officeDocument/2006/relationships/hyperlink" Target="https://innovationorigins.com/en/producing-gasoline-and-diesel-emits-more-co2-than-we-thought/" TargetMode="External"/><Relationship Id="rId42" Type="http://schemas.openxmlformats.org/officeDocument/2006/relationships/hyperlink" Target="https://www.solarify.eu/2020/01/25/837-wie-viel-co2-steckt-in-einem-liter-benzin/" TargetMode="External"/><Relationship Id="rId47" Type="http://schemas.openxmlformats.org/officeDocument/2006/relationships/hyperlink" Target="https://people.exeter.ac.uk/TWDavies/energy_conversion/Calculation%20of%20CO2%20emissions%20from%20fuels.htm" TargetMode="External"/><Relationship Id="rId50" Type="http://schemas.openxmlformats.org/officeDocument/2006/relationships/hyperlink" Target="https://www.wko.at/branchen/gewerbe-handwerk/bau/Kalkulation_von_Erdbaugeraeten_-_Download_Broschuere.pdf" TargetMode="External"/><Relationship Id="rId7" Type="http://schemas.openxmlformats.org/officeDocument/2006/relationships/hyperlink" Target="https://www.bussgeld-info.de/zuladung-lkw/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9" Type="http://schemas.openxmlformats.org/officeDocument/2006/relationships/hyperlink" Target="https://www.dataholz.eu/bauteile/aussenwand/detail/kz/awrhhi01a.htm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recyclingzentrum.de/wp-content/uploads/2021/05/Koempf_Recycling_Infoblatt_Schuettgueter.pdf" TargetMode="External"/><Relationship Id="rId32" Type="http://schemas.openxmlformats.org/officeDocument/2006/relationships/hyperlink" Target="https://www.umweltbundesamt.de/themen/co2-emissionen-pro-kilowattstunde-strom-steigen" TargetMode="External"/><Relationship Id="rId37" Type="http://schemas.openxmlformats.org/officeDocument/2006/relationships/hyperlink" Target="https://natural-resources.canada.ca/sites/nrcan/files/oee/pdf/transportation/fuel-efficient-technologies/autosmart_factsheet_9_e.pdf" TargetMode="External"/><Relationship Id="rId40" Type="http://schemas.openxmlformats.org/officeDocument/2006/relationships/hyperlink" Target="https://connectedfleet.michelin.com/blog/calculate-co2-emissions" TargetMode="External"/><Relationship Id="rId45" Type="http://schemas.openxmlformats.org/officeDocument/2006/relationships/hyperlink" Target="https://comcar.co.uk/emissions/co2litre/index.cfm?&amp;fueltype=diesel" TargetMode="External"/><Relationship Id="rId53" Type="http://schemas.openxmlformats.org/officeDocument/2006/relationships/printerSettings" Target="../printerSettings/printerSettings11.bin"/><Relationship Id="rId5" Type="http://schemas.openxmlformats.org/officeDocument/2006/relationships/hyperlink" Target="https://www.quarks.de/umwelt/klimawandel/co2-rechner-fuer-auto-flugzeug-und-co/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31" Type="http://schemas.openxmlformats.org/officeDocument/2006/relationships/hyperlink" Target="https://www.fluegelup.de/info/alte-holzfenster-neu-verglasen.htm" TargetMode="External"/><Relationship Id="rId44" Type="http://schemas.openxmlformats.org/officeDocument/2006/relationships/hyperlink" Target="https://comcar.co.uk/emissions/co2litre/" TargetMode="External"/><Relationship Id="rId52" Type="http://schemas.openxmlformats.org/officeDocument/2006/relationships/hyperlink" Target="https://wiki.einsatzleiterwiki.de/doku.php?id=allgemein:kraftstoffverbrauch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Relationship Id="rId27" Type="http://schemas.openxmlformats.org/officeDocument/2006/relationships/hyperlink" Target="https://www.baunetzwissen.de/altbau/fachwissen/baualtersstufen/baualtersstufe-der-60er-jahre-148200" TargetMode="External"/><Relationship Id="rId30" Type="http://schemas.openxmlformats.org/officeDocument/2006/relationships/hyperlink" Target="https://www.baubook.at/zentrale/?SW=5&amp;LU=1823786501&amp;qJ=1&amp;LP=hu1bF" TargetMode="External"/><Relationship Id="rId35" Type="http://schemas.openxmlformats.org/officeDocument/2006/relationships/hyperlink" Target="https://innovationorigins.com/en/producing-gasoline-and-diesel-emits-more-co2-than-we-thought/" TargetMode="External"/><Relationship Id="rId43" Type="http://schemas.openxmlformats.org/officeDocument/2006/relationships/hyperlink" Target="https://www.solarify.eu/2020/01/25/837-wie-viel-co2-steckt-in-einem-liter-benzin/" TargetMode="External"/><Relationship Id="rId48" Type="http://schemas.openxmlformats.org/officeDocument/2006/relationships/hyperlink" Target="https://innovationorigins.com/en/producing-gasoline-and-diesel-emits-more-co2-than-we-thought/" TargetMode="External"/><Relationship Id="rId8" Type="http://schemas.openxmlformats.org/officeDocument/2006/relationships/hyperlink" Target="https://www.webfleet.com/de_de/webfleet/blog/so-viel-kraftstoff-verbrauchen-lkw/" TargetMode="External"/><Relationship Id="rId51" Type="http://schemas.openxmlformats.org/officeDocument/2006/relationships/hyperlink" Target="https://www.holzbauwallner.at/mietgeraete/bagger.html" TargetMode="External"/><Relationship Id="rId3" Type="http://schemas.openxmlformats.org/officeDocument/2006/relationships/hyperlink" Target="https://www.spritmonitor.de/de/detailansicht/826455.html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heimwerk.org/dichte-bauschutt" TargetMode="External"/><Relationship Id="rId33" Type="http://schemas.openxmlformats.org/officeDocument/2006/relationships/hyperlink" Target="https://theicct.org/wp-content/uploads/2022/01/Gas-_v-_Diesel_-CO2_emissions_-EN_-Fact-_Sheet-2019_05_07_0.pdf" TargetMode="External"/><Relationship Id="rId38" Type="http://schemas.openxmlformats.org/officeDocument/2006/relationships/hyperlink" Target="https://www.driverknowledgetests.com/resources/why-does-burning-1-litre-of-fuel-create-over-2kg-of-carbon-dioxide/" TargetMode="External"/><Relationship Id="rId46" Type="http://schemas.openxmlformats.org/officeDocument/2006/relationships/hyperlink" Target="https://people.exeter.ac.uk/TWDavies/energy_conversion/Calculation%20of%20CO2%20emissions%20from%20fuels.htm" TargetMode="External"/><Relationship Id="rId20" Type="http://schemas.openxmlformats.org/officeDocument/2006/relationships/hyperlink" Target="https://www.google.com/search?client=firefox-b-d&amp;q=tankmenge+eines+3+achsen+lkw" TargetMode="External"/><Relationship Id="rId41" Type="http://schemas.openxmlformats.org/officeDocument/2006/relationships/hyperlink" Target="https://connectedfleet.michelin.com/blog/calculate-co2-emissions" TargetMode="External"/><Relationship Id="rId54" Type="http://schemas.openxmlformats.org/officeDocument/2006/relationships/drawing" Target="../drawings/drawing14.xm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28" Type="http://schemas.openxmlformats.org/officeDocument/2006/relationships/hyperlink" Target="https://www.baunetzwissen.de/holz/fachwissen/holzbausysteme/massivbauweise-7921515" TargetMode="External"/><Relationship Id="rId36" Type="http://schemas.openxmlformats.org/officeDocument/2006/relationships/hyperlink" Target="https://natural-resources.canada.ca/sites/nrcan/files/oee/pdf/transportation/fuel-efficient-technologies/autosmart_factsheet_9_e.pdf" TargetMode="External"/><Relationship Id="rId49" Type="http://schemas.openxmlformats.org/officeDocument/2006/relationships/hyperlink" Target="https://www.maschinenring.de/fileadmin/media/Lokale_Ringe/MR_Gifhorn/PDF/2015/1-2015_VSKZ_Neuberechnung_zur_MV_2015.pdf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esterreich.gv.at/themen/freizeit_und_strassenverkehr/kfz/10/Seite.063300.html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https://www.voestalpine.com/blog/de/innovation/voestalpine-eroeffnet-hochmoderne-fertigung-fuer-spezialprofile-am-standort-bruckbach/" TargetMode="External"/><Relationship Id="rId7" Type="http://schemas.openxmlformats.org/officeDocument/2006/relationships/hyperlink" Target="https://www.austrotherm.at/kontakt/standorte" TargetMode="External"/><Relationship Id="rId12" Type="http://schemas.openxmlformats.org/officeDocument/2006/relationships/hyperlink" Target="https://magyer.at/" TargetMode="External"/><Relationship Id="rId2" Type="http://schemas.openxmlformats.org/officeDocument/2006/relationships/hyperlink" Target="https://www.wienerberger.com/de/ueber-uns/standorte.html" TargetMode="External"/><Relationship Id="rId1" Type="http://schemas.openxmlformats.org/officeDocument/2006/relationships/hyperlink" Target="https://www.baubeton.at/standorte" TargetMode="External"/><Relationship Id="rId6" Type="http://schemas.openxmlformats.org/officeDocument/2006/relationships/hyperlink" Target="https://www.energie-experten.org/bauen-und-sanieren/daemmung/daemmstoffe/hersteller" TargetMode="External"/><Relationship Id="rId11" Type="http://schemas.openxmlformats.org/officeDocument/2006/relationships/hyperlink" Target="https://www.abbruchmeister.at/" TargetMode="External"/><Relationship Id="rId5" Type="http://schemas.openxmlformats.org/officeDocument/2006/relationships/hyperlink" Target="https://www.bauholz.at/" TargetMode="External"/><Relationship Id="rId10" Type="http://schemas.openxmlformats.org/officeDocument/2006/relationships/hyperlink" Target="https://www.wko.at/branchen/gewerbe-handwerk/bau/broschuere-baurestmassen.pdf" TargetMode="External"/><Relationship Id="rId4" Type="http://schemas.openxmlformats.org/officeDocument/2006/relationships/hyperlink" Target="https://www.rigips.at/standorte" TargetMode="External"/><Relationship Id="rId9" Type="http://schemas.openxmlformats.org/officeDocument/2006/relationships/hyperlink" Target="https://special.mercedes-benz-trucks.com/de/der-econic/technische-daten.html" TargetMode="External"/><Relationship Id="rId14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fleet.com/de_de/webfleet/blog/so-viel-kraftstoff-verbrauchen-lkw/" TargetMode="External"/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printerSettings" Target="../printerSettings/printerSettings13.bin"/><Relationship Id="rId3" Type="http://schemas.openxmlformats.org/officeDocument/2006/relationships/hyperlink" Target="https://www.spritmonitor.de/de/detailansicht/826455.html" TargetMode="External"/><Relationship Id="rId21" Type="http://schemas.openxmlformats.org/officeDocument/2006/relationships/hyperlink" Target="https://www.ris.bka.gv.at/eli/bgbl/1967/267/P4/NOR40227805" TargetMode="External"/><Relationship Id="rId7" Type="http://schemas.openxmlformats.org/officeDocument/2006/relationships/hyperlink" Target="https://www.bussgeld-info.de/zuladung-lkw/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www.baubook.at/m/PHP/Info.php?SI=2142732948&amp;win=y&amp;SW=5&amp;lng=1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0" Type="http://schemas.openxmlformats.org/officeDocument/2006/relationships/hyperlink" Target="https://www.google.com/search?client=firefox-b-d&amp;q=tankmenge+eines+3+achsen+lkw" TargetMode="Externa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www.umweltbundesamt.at/fileadmin/site/themen/mobilitaet/daten/ekz_fzkm_verkehrsmittel.pdf" TargetMode="External"/><Relationship Id="rId5" Type="http://schemas.openxmlformats.org/officeDocument/2006/relationships/hyperlink" Target="https://www.quarks.de/umwelt/klimawandel/co2-rechner-fuer-auto-flugzeug-und-co/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852B-A86A-4A18-B2BB-CCD61803F68A}">
  <sheetPr codeName="Tabelle2"/>
  <dimension ref="A1:AB103"/>
  <sheetViews>
    <sheetView showGridLines="0" tabSelected="1" topLeftCell="A3" zoomScale="70" zoomScaleNormal="70" workbookViewId="0">
      <selection activeCell="C7" sqref="C7"/>
    </sheetView>
  </sheetViews>
  <sheetFormatPr baseColWidth="10" defaultColWidth="11.42578125" defaultRowHeight="15" outlineLevelCol="1"/>
  <cols>
    <col min="1" max="1" width="4.7109375" customWidth="1"/>
    <col min="2" max="2" width="23.42578125" customWidth="1"/>
    <col min="3" max="3" width="35.42578125" customWidth="1"/>
    <col min="4" max="4" width="19" customWidth="1"/>
    <col min="5" max="5" width="24.140625" customWidth="1"/>
    <col min="6" max="6" width="3.140625" customWidth="1"/>
    <col min="7" max="7" width="23" customWidth="1"/>
    <col min="8" max="8" width="16" customWidth="1"/>
    <col min="9" max="9" width="21.28515625" customWidth="1"/>
    <col min="10" max="10" width="11.85546875" customWidth="1"/>
    <col min="11" max="11" width="11.7109375" bestFit="1" customWidth="1"/>
    <col min="12" max="12" width="81.140625" bestFit="1" customWidth="1"/>
    <col min="13" max="13" width="17.28515625" bestFit="1" customWidth="1" outlineLevel="1"/>
    <col min="14" max="14" width="31" bestFit="1" customWidth="1" outlineLevel="1"/>
    <col min="15" max="15" width="31" bestFit="1" customWidth="1"/>
    <col min="16" max="16" width="22.42578125" bestFit="1" customWidth="1"/>
    <col min="17" max="17" width="23" bestFit="1" customWidth="1"/>
    <col min="18" max="18" width="22.42578125" bestFit="1" customWidth="1"/>
    <col min="19" max="19" width="23" bestFit="1" customWidth="1"/>
    <col min="20" max="20" width="40.140625" bestFit="1" customWidth="1"/>
    <col min="21" max="21" width="14" bestFit="1" customWidth="1"/>
    <col min="22" max="22" width="7.7109375" bestFit="1" customWidth="1"/>
    <col min="23" max="23" width="15.85546875" bestFit="1" customWidth="1"/>
    <col min="24" max="24" width="5.85546875" bestFit="1" customWidth="1"/>
    <col min="25" max="26" width="12.85546875" bestFit="1" customWidth="1"/>
    <col min="27" max="27" width="12.7109375" hidden="1" customWidth="1" outlineLevel="1"/>
    <col min="28" max="28" width="8.140625" customWidth="1" collapsed="1"/>
  </cols>
  <sheetData>
    <row r="1" spans="1:26" ht="19.5" customHeight="1"/>
    <row r="2" spans="1:26" ht="23.25">
      <c r="B2" s="373" t="s">
        <v>0</v>
      </c>
      <c r="C2" s="374"/>
      <c r="D2" s="374"/>
      <c r="E2" s="374"/>
      <c r="F2" s="374"/>
      <c r="G2" s="374"/>
      <c r="H2" s="374"/>
      <c r="I2" s="374" t="b">
        <v>0</v>
      </c>
      <c r="J2" s="375"/>
      <c r="L2" s="204" t="s">
        <v>1</v>
      </c>
      <c r="M2" s="118"/>
      <c r="N2" s="118"/>
      <c r="O2" s="118" t="s">
        <v>2</v>
      </c>
      <c r="P2" s="118"/>
      <c r="Q2" s="118"/>
      <c r="R2" s="118"/>
      <c r="S2" s="118"/>
      <c r="T2" s="118"/>
      <c r="U2" s="118"/>
      <c r="V2" s="118"/>
      <c r="W2" s="118"/>
      <c r="X2" s="118"/>
      <c r="Y2" s="118" t="s">
        <v>3</v>
      </c>
      <c r="Z2" s="119" t="s">
        <v>4</v>
      </c>
    </row>
    <row r="3" spans="1:26" ht="18.75">
      <c r="B3" s="376" t="s">
        <v>5</v>
      </c>
      <c r="C3" s="377"/>
      <c r="D3" s="377" t="b">
        <v>0</v>
      </c>
      <c r="E3" s="378"/>
      <c r="F3" s="168"/>
      <c r="G3" s="376" t="s">
        <v>6</v>
      </c>
      <c r="H3" s="379"/>
      <c r="I3" s="379" t="b">
        <v>1</v>
      </c>
      <c r="J3" s="380"/>
      <c r="L3" s="7" t="s">
        <v>7</v>
      </c>
      <c r="O3" s="21">
        <f>IF($I$7=0,#N/A,$I$7)</f>
        <v>2943.3226433490281</v>
      </c>
      <c r="P3" s="21"/>
      <c r="Q3" s="21"/>
      <c r="R3" s="21"/>
      <c r="S3" s="21"/>
      <c r="T3" s="21"/>
      <c r="U3" s="21"/>
      <c r="V3" s="21"/>
      <c r="W3" s="21"/>
      <c r="X3" s="21"/>
      <c r="Y3" t="e">
        <v>#N/A</v>
      </c>
      <c r="Z3" s="130" t="e">
        <v>#N/A</v>
      </c>
    </row>
    <row r="4" spans="1:26" ht="14.25" customHeight="1">
      <c r="B4" s="356"/>
      <c r="C4" s="355" t="s">
        <v>1136</v>
      </c>
      <c r="D4" s="328" t="s">
        <v>1148</v>
      </c>
      <c r="E4" s="357" t="b">
        <v>1</v>
      </c>
      <c r="F4" s="169"/>
      <c r="G4" s="182" t="s">
        <v>7</v>
      </c>
      <c r="H4" s="182"/>
      <c r="I4" s="182"/>
      <c r="J4" s="183"/>
      <c r="L4" s="7" t="s">
        <v>8</v>
      </c>
      <c r="O4">
        <f>IF($I$13=0,#N/A,$I$13)</f>
        <v>177333.27730386291</v>
      </c>
      <c r="Y4" t="e">
        <f>IF($I$11=0,#N/A,$I$11)</f>
        <v>#N/A</v>
      </c>
      <c r="Z4" s="130" t="e">
        <v>#N/A</v>
      </c>
    </row>
    <row r="5" spans="1:26">
      <c r="A5">
        <v>1</v>
      </c>
      <c r="B5" s="184"/>
      <c r="C5" s="184">
        <f>VLOOKUP(D4, Ökobeton11[#All], 2, FALSE)</f>
        <v>-10644.312600000001</v>
      </c>
      <c r="D5" s="365">
        <f>IF($E$4,C5-Materialien_Blatt[[#Totals],[GWP]],)</f>
        <v>0</v>
      </c>
      <c r="E5" s="185" t="s">
        <v>9</v>
      </c>
      <c r="F5" s="169"/>
      <c r="G5" s="244" t="s">
        <v>10</v>
      </c>
      <c r="H5" s="244"/>
      <c r="I5" s="245">
        <v>3000</v>
      </c>
      <c r="J5" s="246" t="s">
        <v>11</v>
      </c>
      <c r="K5" s="282">
        <v>10</v>
      </c>
      <c r="L5" s="7" t="s">
        <v>12</v>
      </c>
      <c r="O5" s="86">
        <f>IF($D$10=0,#N/A,$D$10)</f>
        <v>44263.073228385852</v>
      </c>
      <c r="P5" s="86"/>
      <c r="Q5" s="86"/>
      <c r="R5" s="86"/>
      <c r="S5" s="86"/>
      <c r="T5" s="86"/>
      <c r="U5" s="86"/>
      <c r="V5" s="86"/>
      <c r="W5" s="86"/>
      <c r="X5" s="86"/>
      <c r="Y5" s="86">
        <f>D6</f>
        <v>-10644.312600000001</v>
      </c>
      <c r="Z5" s="130" t="e">
        <v>#N/A</v>
      </c>
    </row>
    <row r="6" spans="1:26">
      <c r="A6">
        <v>2</v>
      </c>
      <c r="B6" s="229" t="s">
        <v>13</v>
      </c>
      <c r="C6" s="230"/>
      <c r="D6" s="358">
        <f>Materialien_Blatt[[#Totals],[Produktion]]</f>
        <v>-10644.312600000001</v>
      </c>
      <c r="E6" s="231" t="s">
        <v>14</v>
      </c>
      <c r="F6" s="169"/>
      <c r="G6" s="244" t="s">
        <v>15</v>
      </c>
      <c r="H6" s="244"/>
      <c r="I6" s="245">
        <v>50</v>
      </c>
      <c r="J6" s="246" t="s">
        <v>16</v>
      </c>
      <c r="K6" s="282">
        <v>11</v>
      </c>
      <c r="L6" s="7" t="s">
        <v>17</v>
      </c>
      <c r="O6" t="e">
        <v>#N/A</v>
      </c>
      <c r="Y6" t="e">
        <v>#N/A</v>
      </c>
      <c r="Z6" s="130">
        <f>IF($I$31=0,#N/A,$I$31)</f>
        <v>119645</v>
      </c>
    </row>
    <row r="7" spans="1:26">
      <c r="A7">
        <v>3</v>
      </c>
      <c r="B7" s="186" t="s">
        <v>18</v>
      </c>
      <c r="C7" s="184"/>
      <c r="D7" s="188">
        <f>D6/D12</f>
        <v>-0.31661823342210077</v>
      </c>
      <c r="E7" s="228"/>
      <c r="F7" s="169"/>
      <c r="G7" s="238" t="s">
        <v>19</v>
      </c>
      <c r="H7" s="238"/>
      <c r="I7" s="240">
        <f>IF($I$3=TRUE,BauGrube!K9,0)</f>
        <v>2943.3226433490281</v>
      </c>
      <c r="J7" s="239" t="s">
        <v>20</v>
      </c>
      <c r="L7" s="9" t="s">
        <v>4</v>
      </c>
      <c r="M7" s="10"/>
      <c r="N7" s="10"/>
      <c r="O7" s="10" t="e">
        <v>#N/A</v>
      </c>
      <c r="P7" s="10"/>
      <c r="Q7" s="10"/>
      <c r="R7" s="10"/>
      <c r="S7" s="10"/>
      <c r="T7" s="10"/>
      <c r="U7" s="10"/>
      <c r="V7" s="10"/>
      <c r="W7" s="10"/>
      <c r="X7" s="10"/>
      <c r="Y7" s="10" t="e">
        <v>#N/A</v>
      </c>
      <c r="Z7" s="120">
        <f>IF($I$32=0,#N/A,$I$32)</f>
        <v>410760.38057559775</v>
      </c>
    </row>
    <row r="8" spans="1:26">
      <c r="A8">
        <v>4</v>
      </c>
      <c r="B8" s="186" t="s">
        <v>21</v>
      </c>
      <c r="C8" s="184"/>
      <c r="D8" s="361">
        <v>80</v>
      </c>
      <c r="E8" s="194" t="s">
        <v>22</v>
      </c>
      <c r="F8" s="169"/>
      <c r="G8" s="247" t="s">
        <v>8</v>
      </c>
      <c r="H8" s="247"/>
      <c r="I8" s="281" t="s">
        <v>111</v>
      </c>
      <c r="J8" s="249"/>
    </row>
    <row r="9" spans="1:26">
      <c r="A9">
        <v>5</v>
      </c>
      <c r="B9" s="186" t="s">
        <v>24</v>
      </c>
      <c r="C9" s="184"/>
      <c r="D9" s="364">
        <v>100</v>
      </c>
      <c r="E9" s="185" t="s">
        <v>16</v>
      </c>
      <c r="F9" s="169"/>
      <c r="G9" s="247" t="s">
        <v>25</v>
      </c>
      <c r="H9" s="247"/>
      <c r="I9" s="248">
        <v>10</v>
      </c>
      <c r="J9" s="249" t="s">
        <v>26</v>
      </c>
      <c r="K9" s="282">
        <v>12</v>
      </c>
    </row>
    <row r="10" spans="1:26">
      <c r="A10">
        <v>6</v>
      </c>
      <c r="B10" s="229" t="s">
        <v>27</v>
      </c>
      <c r="C10" s="230"/>
      <c r="D10" s="187">
        <f>Materialien_ex_beton_und_Fenster[[#Totals],[Transportemissionen '[kgCO2 eq.']]]+Fenster[[#Totals],[Transportemissionen '[kgCO2 eq.']]]+Beton[[#Totals],[Transportemissionen '[kgCO2 eq.']]]</f>
        <v>44263.073228385852</v>
      </c>
      <c r="E10" s="231" t="s">
        <v>20</v>
      </c>
      <c r="F10" s="169"/>
      <c r="G10" s="247" t="s">
        <v>28</v>
      </c>
      <c r="H10" s="247"/>
      <c r="I10" s="248">
        <v>500</v>
      </c>
      <c r="J10" s="249" t="s">
        <v>26</v>
      </c>
      <c r="K10" s="283">
        <v>13</v>
      </c>
      <c r="L10" t="s">
        <v>29</v>
      </c>
      <c r="M10" t="s">
        <v>3</v>
      </c>
      <c r="N10" t="s">
        <v>1130</v>
      </c>
      <c r="O10" t="s">
        <v>1131</v>
      </c>
      <c r="P10" t="s">
        <v>1145</v>
      </c>
      <c r="Q10" t="s">
        <v>1146</v>
      </c>
      <c r="R10" t="s">
        <v>1147</v>
      </c>
      <c r="S10" t="s">
        <v>1148</v>
      </c>
      <c r="T10" t="s">
        <v>2</v>
      </c>
      <c r="U10" t="s">
        <v>13</v>
      </c>
      <c r="V10" t="s">
        <v>30</v>
      </c>
      <c r="W10" t="s">
        <v>31</v>
      </c>
    </row>
    <row r="11" spans="1:26" ht="15.75" thickBot="1">
      <c r="A11">
        <v>7</v>
      </c>
      <c r="B11" s="189" t="s">
        <v>18</v>
      </c>
      <c r="C11" s="190"/>
      <c r="D11" s="191">
        <f>D10/D12</f>
        <v>1.3166182334221008</v>
      </c>
      <c r="E11" s="192"/>
      <c r="F11" s="169"/>
      <c r="G11" s="238" t="s">
        <v>13</v>
      </c>
      <c r="H11" s="238"/>
      <c r="I11" s="240">
        <f>IF($I$3=TRUE,BauGrube!E59,0)</f>
        <v>0</v>
      </c>
      <c r="J11" s="239" t="s">
        <v>20</v>
      </c>
      <c r="L11" t="s">
        <v>1214</v>
      </c>
      <c r="M11">
        <v>51.421799999999998</v>
      </c>
      <c r="N11">
        <v>51.421799999999998</v>
      </c>
      <c r="O11">
        <v>51.421799999999998</v>
      </c>
      <c r="P11">
        <v>51.421799999999998</v>
      </c>
      <c r="Q11">
        <v>51.421799999999998</v>
      </c>
      <c r="R11">
        <v>51.421799999999998</v>
      </c>
      <c r="S11">
        <v>51.421799999999998</v>
      </c>
      <c r="T11">
        <v>3.7767799999999774</v>
      </c>
      <c r="U11" s="359" cm="1">
        <f t="array" ref="U1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51.421799999999998</v>
      </c>
      <c r="W11">
        <f>Materialien_Blatt[[#This Row],[Transportemissionen '[kgCO2 eq.']]]+Materialien_Blatt[[#This Row],[Produktion]]</f>
        <v>55.198579999999978</v>
      </c>
    </row>
    <row r="12" spans="1:26" ht="16.5" thickTop="1" thickBot="1">
      <c r="B12" s="186" t="s">
        <v>32</v>
      </c>
      <c r="C12" s="184"/>
      <c r="D12" s="187">
        <f>SUM(D6,D10)</f>
        <v>33618.760628385848</v>
      </c>
      <c r="E12" s="185" t="s">
        <v>20</v>
      </c>
      <c r="F12" s="169"/>
      <c r="G12" s="244" t="s">
        <v>15</v>
      </c>
      <c r="H12" s="244"/>
      <c r="I12" s="250">
        <v>100</v>
      </c>
      <c r="J12" s="246" t="s">
        <v>16</v>
      </c>
      <c r="K12" s="282">
        <v>14</v>
      </c>
      <c r="L12" t="s">
        <v>1219</v>
      </c>
      <c r="M12">
        <v>488.50709999999992</v>
      </c>
      <c r="N12">
        <v>488.50709999999992</v>
      </c>
      <c r="O12">
        <v>488.50709999999992</v>
      </c>
      <c r="P12">
        <v>488.50709999999992</v>
      </c>
      <c r="Q12">
        <v>488.50709999999992</v>
      </c>
      <c r="R12">
        <v>488.50709999999992</v>
      </c>
      <c r="S12">
        <v>488.50709999999992</v>
      </c>
      <c r="T12">
        <v>35.828745312499784</v>
      </c>
      <c r="U12" s="359" cm="1">
        <f t="array" ref="U1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488.50709999999992</v>
      </c>
      <c r="V12">
        <v>0</v>
      </c>
      <c r="W12">
        <f>Materialien_Blatt[[#This Row],[Transportemissionen '[kgCO2 eq.']]]+Materialien_Blatt[[#This Row],[Produktion]]</f>
        <v>524.33584531249971</v>
      </c>
    </row>
    <row r="13" spans="1:26" ht="16.5" thickTop="1" thickBot="1">
      <c r="B13" s="186"/>
      <c r="C13" s="184"/>
      <c r="D13" s="193"/>
      <c r="E13" s="185"/>
      <c r="F13" s="169"/>
      <c r="G13" s="241" t="s">
        <v>27</v>
      </c>
      <c r="H13" s="241"/>
      <c r="I13" s="242">
        <f>IF($I$3=TRUE,BauGrube!E58,0)</f>
        <v>177333.27730386291</v>
      </c>
      <c r="J13" s="243" t="s">
        <v>20</v>
      </c>
      <c r="L13" t="s">
        <v>1229</v>
      </c>
      <c r="M13">
        <v>334.24169999999998</v>
      </c>
      <c r="N13">
        <v>334.24169999999998</v>
      </c>
      <c r="O13">
        <v>334.24169999999998</v>
      </c>
      <c r="P13">
        <v>334.24169999999998</v>
      </c>
      <c r="Q13">
        <v>334.24169999999998</v>
      </c>
      <c r="R13">
        <v>334.24169999999998</v>
      </c>
      <c r="S13">
        <v>334.24169999999998</v>
      </c>
      <c r="T13">
        <v>24.444610312499851</v>
      </c>
      <c r="U13" s="359" cm="1">
        <f t="array" ref="U1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334.24169999999998</v>
      </c>
      <c r="W13">
        <f>Materialien_Blatt[[#This Row],[Transportemissionen '[kgCO2 eq.']]]+Materialien_Blatt[[#This Row],[Produktion]]</f>
        <v>358.68631031249981</v>
      </c>
    </row>
    <row r="14" spans="1:26" ht="15.75" thickTop="1">
      <c r="A14">
        <v>8</v>
      </c>
      <c r="B14" s="383" t="s">
        <v>33</v>
      </c>
      <c r="C14" s="384"/>
      <c r="D14" s="182" t="s">
        <v>20</v>
      </c>
      <c r="E14" s="183" t="s">
        <v>34</v>
      </c>
      <c r="F14" s="169"/>
      <c r="G14" s="251" t="s">
        <v>32</v>
      </c>
      <c r="H14" s="251"/>
      <c r="I14" s="252">
        <f>IF($I$3=TRUE,SUM(I13,I11),0)</f>
        <v>177333.27730386291</v>
      </c>
      <c r="J14" s="253" t="s">
        <v>20</v>
      </c>
      <c r="L14" t="s">
        <v>1215</v>
      </c>
      <c r="M14">
        <v>214.25749999999999</v>
      </c>
      <c r="N14">
        <v>214.25749999999999</v>
      </c>
      <c r="O14">
        <v>214.25749999999999</v>
      </c>
      <c r="P14">
        <v>214.25749999999999</v>
      </c>
      <c r="Q14">
        <v>214.25749999999999</v>
      </c>
      <c r="R14">
        <v>214.25749999999999</v>
      </c>
      <c r="S14">
        <v>214.25749999999999</v>
      </c>
      <c r="T14">
        <v>15.830801874999906</v>
      </c>
      <c r="U14" s="359" cm="1">
        <f t="array" ref="U1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214.25749999999999</v>
      </c>
      <c r="W14">
        <f>Materialien_Blatt[[#This Row],[Transportemissionen '[kgCO2 eq.']]]+Materialien_Blatt[[#This Row],[Produktion]]</f>
        <v>230.0883018749999</v>
      </c>
    </row>
    <row r="15" spans="1:26" ht="18.75">
      <c r="B15" s="186" t="str">
        <f>_xlfn.XLOOKUP(D15,Materialien_Blatt[Summe],Materialien_Blatt[Material])</f>
        <v>Normalbeton mit Bewehrung  1 % (2300 kg/m³)</v>
      </c>
      <c r="C15" s="184"/>
      <c r="D15" s="187">
        <f>LARGE(Materialien_Blatt[Summe],ROW(A1))</f>
        <v>2118.9741187499872</v>
      </c>
      <c r="E15" s="194">
        <f t="shared" ref="E15:E20" si="0">D15/$Y$102</f>
        <v>0.18723995283540226</v>
      </c>
      <c r="F15" s="169"/>
      <c r="G15" s="376" t="s">
        <v>35</v>
      </c>
      <c r="H15" s="379"/>
      <c r="I15" s="379" t="b">
        <v>1</v>
      </c>
      <c r="J15" s="380"/>
      <c r="L15" t="s">
        <v>1221</v>
      </c>
      <c r="M15">
        <v>-419.94469999999995</v>
      </c>
      <c r="N15">
        <v>-419.94469999999995</v>
      </c>
      <c r="O15">
        <v>-419.94469999999995</v>
      </c>
      <c r="P15">
        <v>-419.94469999999995</v>
      </c>
      <c r="Q15">
        <v>-419.94469999999995</v>
      </c>
      <c r="R15">
        <v>-419.94469999999995</v>
      </c>
      <c r="S15">
        <v>-419.94469999999995</v>
      </c>
      <c r="T15">
        <v>4.8219565624999712</v>
      </c>
      <c r="U15" s="359" cm="1">
        <f t="array" ref="U1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-419.94469999999995</v>
      </c>
      <c r="W15">
        <f>Materialien_Blatt[[#This Row],[Transportemissionen '[kgCO2 eq.']]]+Materialien_Blatt[[#This Row],[Produktion]]</f>
        <v>-415.12274343749999</v>
      </c>
    </row>
    <row r="16" spans="1:26">
      <c r="B16" s="186" t="str">
        <f>_xlfn.XLOOKUP(D16,Materialien_Blatt[Summe],Materialien_Blatt[Material])</f>
        <v>RÖFIX 970 Zementestrich</v>
      </c>
      <c r="C16" s="184"/>
      <c r="D16" s="187">
        <f>LARGE(Materialien_Blatt[Summe],ROW(A2))</f>
        <v>1619.6856881249914</v>
      </c>
      <c r="E16" s="194">
        <f t="shared" si="0"/>
        <v>0.14312108353244193</v>
      </c>
      <c r="F16" s="169"/>
      <c r="G16" s="225" t="s">
        <v>36</v>
      </c>
      <c r="H16" s="222"/>
      <c r="I16" s="222"/>
      <c r="J16" s="223"/>
      <c r="L16" t="s">
        <v>1221</v>
      </c>
      <c r="M16">
        <v>-317.10109999999997</v>
      </c>
      <c r="N16">
        <v>-317.10109999999997</v>
      </c>
      <c r="O16">
        <v>-317.10109999999997</v>
      </c>
      <c r="P16">
        <v>-317.10109999999997</v>
      </c>
      <c r="Q16">
        <v>-317.10109999999997</v>
      </c>
      <c r="R16">
        <v>-317.10109999999997</v>
      </c>
      <c r="S16">
        <v>-317.10109999999997</v>
      </c>
      <c r="T16">
        <v>4.8219565624999712</v>
      </c>
      <c r="U16" s="359" cm="1">
        <f t="array" ref="U1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-317.10109999999997</v>
      </c>
      <c r="W16">
        <f>Materialien_Blatt[[#This Row],[Transportemissionen '[kgCO2 eq.']]]+Materialien_Blatt[[#This Row],[Produktion]]</f>
        <v>-312.27914343750001</v>
      </c>
    </row>
    <row r="17" spans="1:23">
      <c r="B17" s="186" t="str">
        <f>_xlfn.XLOOKUP(D17,Materialien_Blatt[Summe],Materialien_Blatt[Material])</f>
        <v>Wärmeschutzglas Ug=0,5</v>
      </c>
      <c r="C17" s="184"/>
      <c r="D17" s="187">
        <f>LARGE(Materialien_Blatt[Summe],ROW(A3))</f>
        <v>706.27297077499998</v>
      </c>
      <c r="E17" s="194">
        <f t="shared" si="0"/>
        <v>6.2408746084563871E-2</v>
      </c>
      <c r="F17" s="169"/>
      <c r="G17" s="224" t="s">
        <v>37</v>
      </c>
      <c r="H17" s="222"/>
      <c r="I17" s="360" t="s">
        <v>38</v>
      </c>
      <c r="J17" s="223"/>
      <c r="K17" s="282">
        <v>15</v>
      </c>
      <c r="L17" t="s">
        <v>1220</v>
      </c>
      <c r="M17">
        <v>-419.94469999999995</v>
      </c>
      <c r="N17">
        <v>-419.94469999999995</v>
      </c>
      <c r="O17">
        <v>-419.94469999999995</v>
      </c>
      <c r="P17">
        <v>-419.94469999999995</v>
      </c>
      <c r="Q17">
        <v>-419.94469999999995</v>
      </c>
      <c r="R17">
        <v>-419.94469999999995</v>
      </c>
      <c r="S17">
        <v>-419.94469999999995</v>
      </c>
      <c r="T17">
        <v>3.6319740624999786</v>
      </c>
      <c r="U17" s="359" cm="1">
        <f t="array" ref="U1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-419.94469999999995</v>
      </c>
      <c r="V17">
        <v>0</v>
      </c>
      <c r="W17">
        <f>Materialien_Blatt[[#This Row],[Transportemissionen '[kgCO2 eq.']]]+Materialien_Blatt[[#This Row],[Produktion]]</f>
        <v>-416.31272593749998</v>
      </c>
    </row>
    <row r="18" spans="1:23">
      <c r="B18" s="186" t="str">
        <f>_xlfn.XLOOKUP(D18,Materialien_Blatt[Summe],Materialien_Blatt[Material])</f>
        <v>Magerbeton / Schütt- und Stampfbeton</v>
      </c>
      <c r="C18" s="184"/>
      <c r="D18" s="187">
        <f>LARGE(Materialien_Blatt[Summe],ROW(A4))</f>
        <v>678.0657687499961</v>
      </c>
      <c r="E18" s="194">
        <f t="shared" si="0"/>
        <v>5.9916259210823275E-2</v>
      </c>
      <c r="F18" s="169"/>
      <c r="G18" s="218"/>
      <c r="H18" s="219"/>
      <c r="I18" s="219"/>
      <c r="J18" s="220"/>
      <c r="L18" t="s">
        <v>1220</v>
      </c>
      <c r="M18">
        <v>-317.10109999999997</v>
      </c>
      <c r="N18">
        <v>-317.10109999999997</v>
      </c>
      <c r="O18">
        <v>-317.10109999999997</v>
      </c>
      <c r="P18">
        <v>-317.10109999999997</v>
      </c>
      <c r="Q18">
        <v>-317.10109999999997</v>
      </c>
      <c r="R18">
        <v>-317.10109999999997</v>
      </c>
      <c r="S18">
        <v>-317.10109999999997</v>
      </c>
      <c r="T18">
        <v>3.6319740624999786</v>
      </c>
      <c r="U18" s="359" cm="1">
        <f t="array" ref="U1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-317.10109999999997</v>
      </c>
      <c r="W18">
        <f>Materialien_Blatt[[#This Row],[Transportemissionen '[kgCO2 eq.']]]+Materialien_Blatt[[#This Row],[Produktion]]</f>
        <v>-313.4691259375</v>
      </c>
    </row>
    <row r="19" spans="1:23" ht="15.75" thickBot="1">
      <c r="B19" s="189" t="str">
        <f>_xlfn.XLOOKUP(D19,Materialien_Blatt[Summe],Materialien_Blatt[Material])</f>
        <v>Sand, Kies lufttrocken, Pflanzensubstrat</v>
      </c>
      <c r="C19" s="190"/>
      <c r="D19" s="195">
        <f>LARGE(Materialien_Blatt[Summe],ROW(A5))</f>
        <v>651.10314499999606</v>
      </c>
      <c r="E19" s="196">
        <f t="shared" si="0"/>
        <v>5.7533747619673274E-2</v>
      </c>
      <c r="F19" s="169"/>
      <c r="G19" s="186" t="s">
        <v>39</v>
      </c>
      <c r="H19" s="184"/>
      <c r="I19" s="361">
        <f>Energieverbrauch_Sedlak!S9</f>
        <v>49717.58</v>
      </c>
      <c r="J19" s="185" t="s">
        <v>20</v>
      </c>
      <c r="L19" t="s">
        <v>1203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45.660129374999734</v>
      </c>
      <c r="U19" s="359" cm="1">
        <f t="array" ref="U1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19">
        <v>0</v>
      </c>
      <c r="W19">
        <f>Materialien_Blatt[[#This Row],[Transportemissionen '[kgCO2 eq.']]]+Materialien_Blatt[[#This Row],[Produktion]]</f>
        <v>45.660129374999734</v>
      </c>
    </row>
    <row r="20" spans="1:23" ht="15.75" thickTop="1">
      <c r="B20" s="197" t="s">
        <v>32</v>
      </c>
      <c r="C20" s="198"/>
      <c r="D20" s="199">
        <f>SUM(D15:D19)</f>
        <v>5774.1016913999711</v>
      </c>
      <c r="E20" s="200">
        <f t="shared" si="0"/>
        <v>0.51021978928290468</v>
      </c>
      <c r="F20" s="275"/>
      <c r="G20" s="218" t="s">
        <v>715</v>
      </c>
      <c r="H20" s="325"/>
      <c r="I20" s="362">
        <f>IF(K20=TRUE,'Abbruch-Entsorgung'!I19,0)</f>
        <v>0</v>
      </c>
      <c r="J20" s="324" t="s">
        <v>20</v>
      </c>
      <c r="K20" s="277" t="b">
        <v>0</v>
      </c>
      <c r="L20" t="s">
        <v>1196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190.49574687499887</v>
      </c>
      <c r="U20" s="359" cm="1">
        <f t="array" ref="U2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0">
        <f>Materialien_Blatt[[#This Row],[Transportemissionen '[kgCO2 eq.']]]+Materialien_Blatt[[#This Row],[Produktion]]</f>
        <v>190.49574687499887</v>
      </c>
    </row>
    <row r="21" spans="1:23">
      <c r="B21" s="186"/>
      <c r="C21" s="184"/>
      <c r="D21" s="187"/>
      <c r="E21" s="194"/>
      <c r="F21" s="275"/>
      <c r="G21" s="219" t="s">
        <v>994</v>
      </c>
      <c r="H21" s="323"/>
      <c r="I21" s="363">
        <f>'Container-Dorf'!E26</f>
        <v>27502.439999999991</v>
      </c>
      <c r="J21" s="324" t="s">
        <v>20</v>
      </c>
      <c r="K21" s="277"/>
      <c r="L21" t="s">
        <v>1184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308.32805208333144</v>
      </c>
      <c r="U21" s="359" cm="1">
        <f t="array" ref="U2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1">
        <f>Materialien_Blatt[[#This Row],[Transportemissionen '[kgCO2 eq.']]]+Materialien_Blatt[[#This Row],[Produktion]]</f>
        <v>308.32805208333144</v>
      </c>
    </row>
    <row r="22" spans="1:23">
      <c r="A22">
        <v>9</v>
      </c>
      <c r="B22" s="381" t="s">
        <v>41</v>
      </c>
      <c r="C22" s="382"/>
      <c r="D22" s="182" t="s">
        <v>20</v>
      </c>
      <c r="E22" s="183" t="s">
        <v>42</v>
      </c>
      <c r="F22" s="169"/>
      <c r="G22" s="219" t="s">
        <v>32</v>
      </c>
      <c r="H22" s="219"/>
      <c r="I22" s="276">
        <f>SUM(I19:I21)</f>
        <v>77220.01999999999</v>
      </c>
      <c r="J22" s="326" t="s">
        <v>20</v>
      </c>
      <c r="L22" t="s">
        <v>1217</v>
      </c>
      <c r="M22">
        <v>188.54659999999998</v>
      </c>
      <c r="N22">
        <v>188.54659999999998</v>
      </c>
      <c r="O22">
        <v>188.54659999999998</v>
      </c>
      <c r="P22">
        <v>188.54659999999998</v>
      </c>
      <c r="Q22">
        <v>188.54659999999998</v>
      </c>
      <c r="R22">
        <v>188.54659999999998</v>
      </c>
      <c r="S22">
        <v>188.54659999999998</v>
      </c>
      <c r="T22">
        <v>2.7998906249999833</v>
      </c>
      <c r="U22" s="359" cm="1">
        <f t="array" ref="U2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188.54659999999998</v>
      </c>
      <c r="V22">
        <v>0</v>
      </c>
      <c r="W22">
        <f>Materialien_Blatt[[#This Row],[Transportemissionen '[kgCO2 eq.']]]+Materialien_Blatt[[#This Row],[Produktion]]</f>
        <v>191.34649062499997</v>
      </c>
    </row>
    <row r="23" spans="1:23" ht="18.75">
      <c r="B23" s="186" t="str">
        <f>_xlfn.XLOOKUP(D23,Materialien_Blatt[Summe],Materialien_Blatt[Material])</f>
        <v>Hohlkastendeckenkonstruktion</v>
      </c>
      <c r="C23" s="184"/>
      <c r="D23" s="187">
        <f>SMALL(Materialien_Blatt[Summe],ROW(A1))</f>
        <v>-5386.3932921875003</v>
      </c>
      <c r="E23" s="194">
        <f t="shared" ref="E23:E28" si="1">D23/$Y$103</f>
        <v>1.0518359053455264</v>
      </c>
      <c r="F23" s="169"/>
      <c r="G23" s="376" t="s">
        <v>40</v>
      </c>
      <c r="H23" s="377"/>
      <c r="I23" s="377" t="b">
        <v>1</v>
      </c>
      <c r="J23" s="385"/>
      <c r="L23" t="s">
        <v>1194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34.056640624999794</v>
      </c>
      <c r="U23" s="359" cm="1">
        <f t="array" ref="U2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23">
        <v>0</v>
      </c>
      <c r="W23">
        <f>Materialien_Blatt[[#This Row],[Transportemissionen '[kgCO2 eq.']]]+Materialien_Blatt[[#This Row],[Produktion]]</f>
        <v>34.056640624999794</v>
      </c>
    </row>
    <row r="24" spans="1:23">
      <c r="B24" s="186" t="str">
        <f>_xlfn.XLOOKUP(D24,Materialien_Blatt[Summe],Materialien_Blatt[Material])</f>
        <v>Nutzholz (475 kg/m³ - zB Fichte/Tanne) - rauh, luftgetrocknet</v>
      </c>
      <c r="C24" s="184"/>
      <c r="D24" s="187">
        <f>SMALL(Materialien_Blatt[Summe],ROW(A2))</f>
        <v>-4983.1006315625009</v>
      </c>
      <c r="E24" s="194">
        <f t="shared" si="1"/>
        <v>0.97308233541535361</v>
      </c>
      <c r="F24" s="169"/>
      <c r="G24" s="184" t="s">
        <v>43</v>
      </c>
      <c r="H24" s="184"/>
      <c r="I24" s="360" t="s">
        <v>61</v>
      </c>
      <c r="J24" s="185"/>
      <c r="L24" t="s">
        <v>1218</v>
      </c>
      <c r="M24">
        <v>59.992100000000001</v>
      </c>
      <c r="N24">
        <v>59.992100000000001</v>
      </c>
      <c r="O24">
        <v>59.992100000000001</v>
      </c>
      <c r="P24">
        <v>59.992100000000001</v>
      </c>
      <c r="Q24">
        <v>59.992100000000001</v>
      </c>
      <c r="R24">
        <v>59.992100000000001</v>
      </c>
      <c r="S24">
        <v>59.992100000000001</v>
      </c>
      <c r="T24">
        <v>0.13526041666666586</v>
      </c>
      <c r="U24" s="359" cm="1">
        <f t="array" ref="U2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59.992100000000001</v>
      </c>
      <c r="W24">
        <f>Materialien_Blatt[[#This Row],[Transportemissionen '[kgCO2 eq.']]]+Materialien_Blatt[[#This Row],[Produktion]]</f>
        <v>60.127360416666669</v>
      </c>
    </row>
    <row r="25" spans="1:23">
      <c r="B25" s="186" t="str">
        <f>_xlfn.XLOOKUP(D25,Materialien_Blatt[Summe],Materialien_Blatt[Material])</f>
        <v>woodup:Holz</v>
      </c>
      <c r="C25" s="184"/>
      <c r="D25" s="187">
        <f>SMALL(Materialien_Blatt[Summe],ROW(A3))</f>
        <v>-1568.9505843750001</v>
      </c>
      <c r="E25" s="194">
        <f t="shared" si="1"/>
        <v>0.30637914256132354</v>
      </c>
      <c r="F25" s="169"/>
      <c r="G25" s="198" t="s">
        <v>45</v>
      </c>
      <c r="H25" s="198"/>
      <c r="I25" s="199">
        <f>IF(I23=TRUE,_xlfn.XLOOKUP(I24,'R.O.S.E'!B3:B7,'R.O.S.E'!C3:C7),0)</f>
        <v>119645</v>
      </c>
      <c r="J25" s="201" t="s">
        <v>20</v>
      </c>
      <c r="L25" t="s">
        <v>1185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55.499049374999665</v>
      </c>
      <c r="U25" s="359" cm="1">
        <f t="array" ref="U2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25">
        <v>0</v>
      </c>
      <c r="W25">
        <f>Materialien_Blatt[[#This Row],[Transportemissionen '[kgCO2 eq.']]]+Materialien_Blatt[[#This Row],[Produktion]]</f>
        <v>55.499049374999665</v>
      </c>
    </row>
    <row r="26" spans="1:23">
      <c r="B26" s="186" t="str">
        <f>_xlfn.XLOOKUP(D26,Materialien_Blatt[Summe],Materialien_Blatt[Material])</f>
        <v>3S-Platte</v>
      </c>
      <c r="C26" s="184"/>
      <c r="D26" s="187">
        <f>SMALL(Materialien_Blatt[Summe],ROW(A4))</f>
        <v>-416.31272593749998</v>
      </c>
      <c r="E26" s="194">
        <f t="shared" si="1"/>
        <v>8.1296082413525192E-2</v>
      </c>
      <c r="F26" s="169"/>
      <c r="G26" s="198" t="b">
        <v>0</v>
      </c>
      <c r="H26" s="198"/>
      <c r="I26" s="202">
        <f>IF($G$26,-'Beton-Vergleich'!B54,)</f>
        <v>0</v>
      </c>
      <c r="J26" s="203" t="s">
        <v>20</v>
      </c>
      <c r="K26" s="37" t="s">
        <v>36</v>
      </c>
      <c r="L26" t="s">
        <v>1190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10.433331562499937</v>
      </c>
      <c r="U26" s="359" cm="1">
        <f t="array" ref="U2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6">
        <f>Materialien_Blatt[[#This Row],[Transportemissionen '[kgCO2 eq.']]]+Materialien_Blatt[[#This Row],[Produktion]]</f>
        <v>10.433331562499937</v>
      </c>
    </row>
    <row r="27" spans="1:23" ht="19.5" thickBot="1">
      <c r="B27" s="189" t="str">
        <f>_xlfn.XLOOKUP(D27,Materialien_Blatt[Summe],Materialien_Blatt[Material])</f>
        <v>3S Platte</v>
      </c>
      <c r="C27" s="190"/>
      <c r="D27" s="195">
        <f>SMALL(Materialien_Blatt[Summe],ROW(A5))</f>
        <v>-415.12274343749999</v>
      </c>
      <c r="E27" s="196">
        <f t="shared" si="1"/>
        <v>8.1063706823341644E-2</v>
      </c>
      <c r="F27" s="169"/>
      <c r="G27" s="272" t="s">
        <v>46</v>
      </c>
      <c r="H27" s="273"/>
      <c r="I27" s="273"/>
      <c r="J27" s="274"/>
      <c r="L27" t="s">
        <v>1181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15.240332187499908</v>
      </c>
      <c r="U27" s="359" cm="1">
        <f t="array" ref="U2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7">
        <f>Materialien_Blatt[[#This Row],[Transportemissionen '[kgCO2 eq.']]]+Materialien_Blatt[[#This Row],[Produktion]]</f>
        <v>15.240332187499908</v>
      </c>
    </row>
    <row r="28" spans="1:23" ht="15.75" thickTop="1">
      <c r="B28" s="197" t="s">
        <v>32</v>
      </c>
      <c r="C28" s="198"/>
      <c r="D28" s="199">
        <f>SUM(D23:D27)</f>
        <v>-12769.879977499999</v>
      </c>
      <c r="E28" s="200">
        <f t="shared" si="1"/>
        <v>2.4936571725590699</v>
      </c>
      <c r="F28" s="116"/>
      <c r="G28" s="123" t="s">
        <v>1153</v>
      </c>
      <c r="H28" s="124"/>
      <c r="I28" s="125">
        <f>D6+I11</f>
        <v>-10644.312600000001</v>
      </c>
      <c r="J28" s="126" t="s">
        <v>20</v>
      </c>
      <c r="K28" s="282">
        <v>16</v>
      </c>
      <c r="L28" t="s">
        <v>1200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15.928769062499907</v>
      </c>
      <c r="U28" s="359" cm="1">
        <f t="array" ref="U2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8">
        <f>Materialien_Blatt[[#This Row],[Transportemissionen '[kgCO2 eq.']]]+Materialien_Blatt[[#This Row],[Produktion]]</f>
        <v>15.928769062499907</v>
      </c>
    </row>
    <row r="29" spans="1:23">
      <c r="E29" s="100"/>
      <c r="G29" s="112" t="s">
        <v>1154</v>
      </c>
      <c r="H29" s="121"/>
      <c r="I29" s="170">
        <f>D10+I7+I13</f>
        <v>224539.6731755978</v>
      </c>
      <c r="J29" s="122" t="s">
        <v>20</v>
      </c>
      <c r="K29" s="282">
        <v>17</v>
      </c>
      <c r="L29" t="s">
        <v>1228</v>
      </c>
      <c r="M29">
        <v>162.8357</v>
      </c>
      <c r="N29">
        <v>162.8357</v>
      </c>
      <c r="O29">
        <v>162.8357</v>
      </c>
      <c r="P29">
        <v>162.8357</v>
      </c>
      <c r="Q29">
        <v>162.8357</v>
      </c>
      <c r="R29">
        <v>162.8357</v>
      </c>
      <c r="S29">
        <v>162.8357</v>
      </c>
      <c r="T29">
        <v>0.35511656249999785</v>
      </c>
      <c r="U29" s="359" cm="1">
        <f t="array" ref="U2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162.8357</v>
      </c>
      <c r="W29">
        <f>Materialien_Blatt[[#This Row],[Transportemissionen '[kgCO2 eq.']]]+Materialien_Blatt[[#This Row],[Produktion]]</f>
        <v>163.1908165625</v>
      </c>
    </row>
    <row r="30" spans="1:23">
      <c r="G30" s="112" t="s">
        <v>1155</v>
      </c>
      <c r="H30" s="121"/>
      <c r="I30" s="170">
        <f>IF(I15,I22,0)</f>
        <v>77220.01999999999</v>
      </c>
      <c r="J30" s="122" t="s">
        <v>20</v>
      </c>
      <c r="K30" s="282">
        <v>18</v>
      </c>
      <c r="L30" t="s">
        <v>1187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1.2025037499999927</v>
      </c>
      <c r="U30" s="359" cm="1">
        <f t="array" ref="U3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30">
        <v>0</v>
      </c>
      <c r="W30">
        <f>Materialien_Blatt[[#This Row],[Transportemissionen '[kgCO2 eq.']]]+Materialien_Blatt[[#This Row],[Produktion]]</f>
        <v>1.2025037499999927</v>
      </c>
    </row>
    <row r="31" spans="1:23">
      <c r="G31" s="127" t="s">
        <v>40</v>
      </c>
      <c r="H31" s="128"/>
      <c r="I31" s="171">
        <f>SUM($I$25:$I$26)</f>
        <v>119645</v>
      </c>
      <c r="J31" s="129" t="s">
        <v>20</v>
      </c>
      <c r="K31" s="282">
        <v>19</v>
      </c>
      <c r="L31" t="s">
        <v>1206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8.479784687499949</v>
      </c>
      <c r="U31" s="359" cm="1">
        <f t="array" ref="U3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1">
        <f>Materialien_Blatt[[#This Row],[Transportemissionen '[kgCO2 eq.']]]+Materialien_Blatt[[#This Row],[Produktion]]</f>
        <v>8.479784687499949</v>
      </c>
    </row>
    <row r="32" spans="1:23">
      <c r="G32" s="174" t="s">
        <v>32</v>
      </c>
      <c r="H32" s="175"/>
      <c r="I32" s="176">
        <f>SUM(I28:I31)</f>
        <v>410760.38057559775</v>
      </c>
      <c r="J32" s="177" t="s">
        <v>20</v>
      </c>
      <c r="L32" t="s">
        <v>1212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8.2345768749999522</v>
      </c>
      <c r="U32" s="359" cm="1">
        <f t="array" ref="U3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2">
        <f>Materialien_Blatt[[#This Row],[Transportemissionen '[kgCO2 eq.']]]+Materialien_Blatt[[#This Row],[Produktion]]</f>
        <v>8.2345768749999522</v>
      </c>
    </row>
    <row r="33" spans="3:23">
      <c r="L33" t="s">
        <v>1204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48.317597222221941</v>
      </c>
      <c r="U33" s="359" cm="1">
        <f t="array" ref="U3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3">
        <f>Materialien_Blatt[[#This Row],[Transportemissionen '[kgCO2 eq.']]]+Materialien_Blatt[[#This Row],[Produktion]]</f>
        <v>48.317597222221941</v>
      </c>
    </row>
    <row r="34" spans="3:23">
      <c r="L34" t="s">
        <v>1186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173.43450031249893</v>
      </c>
      <c r="U34" s="359" cm="1">
        <f t="array" ref="U3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4">
        <f>Materialien_Blatt[[#This Row],[Transportemissionen '[kgCO2 eq.']]]+Materialien_Blatt[[#This Row],[Produktion]]</f>
        <v>173.43450031249893</v>
      </c>
    </row>
    <row r="35" spans="3:23">
      <c r="C35" s="369" t="s">
        <v>47</v>
      </c>
      <c r="D35" s="370"/>
      <c r="E35" s="167"/>
      <c r="L35" t="s">
        <v>1205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125.62601041666591</v>
      </c>
      <c r="U35" s="359" cm="1">
        <f t="array" ref="U3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35">
        <v>0</v>
      </c>
      <c r="W35">
        <f>Materialien_Blatt[[#This Row],[Transportemissionen '[kgCO2 eq.']]]+Materialien_Blatt[[#This Row],[Produktion]]</f>
        <v>125.62601041666591</v>
      </c>
    </row>
    <row r="36" spans="3:23">
      <c r="C36" s="172" t="s">
        <v>48</v>
      </c>
      <c r="D36" s="173"/>
      <c r="E36" s="138">
        <v>123.45</v>
      </c>
      <c r="L36" t="s">
        <v>1210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138.30570833333252</v>
      </c>
      <c r="U36" s="359" cm="1">
        <f t="array" ref="U3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36">
        <v>0</v>
      </c>
      <c r="W36">
        <f>Materialien_Blatt[[#This Row],[Transportemissionen '[kgCO2 eq.']]]+Materialien_Blatt[[#This Row],[Produktion]]</f>
        <v>138.30570833333252</v>
      </c>
    </row>
    <row r="37" spans="3:23">
      <c r="C37" s="371" t="s">
        <v>50</v>
      </c>
      <c r="D37" s="372"/>
      <c r="E37" s="137">
        <v>123.45</v>
      </c>
      <c r="L37" t="s">
        <v>1227</v>
      </c>
      <c r="M37">
        <v>-5424.9998999999998</v>
      </c>
      <c r="N37">
        <v>-5424.9998999999998</v>
      </c>
      <c r="O37">
        <v>-5424.9998999999998</v>
      </c>
      <c r="P37">
        <v>-5424.9998999999998</v>
      </c>
      <c r="Q37">
        <v>-5424.9998999999998</v>
      </c>
      <c r="R37">
        <v>-5424.9998999999998</v>
      </c>
      <c r="S37">
        <v>-5424.9998999999998</v>
      </c>
      <c r="T37">
        <v>38.606607812499767</v>
      </c>
      <c r="U37" s="359" cm="1">
        <f t="array" ref="U3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-5424.9998999999998</v>
      </c>
      <c r="V37">
        <v>0</v>
      </c>
      <c r="W37">
        <f>Materialien_Blatt[[#This Row],[Transportemissionen '[kgCO2 eq.']]]+Materialien_Blatt[[#This Row],[Produktion]]</f>
        <v>-5386.3932921875003</v>
      </c>
    </row>
    <row r="38" spans="3:23">
      <c r="L38" t="s">
        <v>1232</v>
      </c>
      <c r="M38">
        <v>419.94469999999995</v>
      </c>
      <c r="N38">
        <v>419.94469999999995</v>
      </c>
      <c r="O38">
        <v>419.94469999999995</v>
      </c>
      <c r="P38">
        <v>419.94469999999995</v>
      </c>
      <c r="Q38">
        <v>419.94469999999995</v>
      </c>
      <c r="R38">
        <v>419.94469999999995</v>
      </c>
      <c r="S38">
        <v>419.94469999999995</v>
      </c>
      <c r="T38">
        <v>0.54859769999999664</v>
      </c>
      <c r="U38" s="359" cm="1">
        <f t="array" ref="U3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419.94469999999995</v>
      </c>
      <c r="W38">
        <f>Materialien_Blatt[[#This Row],[Transportemissionen '[kgCO2 eq.']]]+Materialien_Blatt[[#This Row],[Produktion]]</f>
        <v>420.49329769999997</v>
      </c>
    </row>
    <row r="39" spans="3:23">
      <c r="L39" t="s">
        <v>1197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102.33965437499937</v>
      </c>
      <c r="U39" s="359" cm="1">
        <f t="array" ref="U3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39">
        <v>0</v>
      </c>
      <c r="W39">
        <f>Materialien_Blatt[[#This Row],[Transportemissionen '[kgCO2 eq.']]]+Materialien_Blatt[[#This Row],[Produktion]]</f>
        <v>102.33965437499937</v>
      </c>
    </row>
    <row r="40" spans="3:23">
      <c r="L40" t="s">
        <v>1224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7.8438674999999529</v>
      </c>
      <c r="U40" s="359" cm="1">
        <f t="array" ref="U4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0">
        <v>0</v>
      </c>
      <c r="W40">
        <f>Materialien_Blatt[[#This Row],[Transportemissionen '[kgCO2 eq.']]]+Materialien_Blatt[[#This Row],[Produktion]]</f>
        <v>7.8438674999999529</v>
      </c>
    </row>
    <row r="41" spans="3:23">
      <c r="L41" t="s">
        <v>1182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14.957225694444359</v>
      </c>
      <c r="U41" s="359" cm="1">
        <f t="array" ref="U4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1">
        <f>Materialien_Blatt[[#This Row],[Transportemissionen '[kgCO2 eq.']]]+Materialien_Blatt[[#This Row],[Produktion]]</f>
        <v>14.957225694444359</v>
      </c>
    </row>
    <row r="42" spans="3:23">
      <c r="L42" t="s">
        <v>1201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7.8657152777777295</v>
      </c>
      <c r="U42" s="359" cm="1">
        <f t="array" ref="U4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2">
        <f>Materialien_Blatt[[#This Row],[Transportemissionen '[kgCO2 eq.']]]+Materialien_Blatt[[#This Row],[Produktion]]</f>
        <v>7.8657152777777295</v>
      </c>
    </row>
    <row r="43" spans="3:23">
      <c r="L43" t="s">
        <v>1188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30.832934027777593</v>
      </c>
      <c r="U43" s="359" cm="1">
        <f t="array" ref="U4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3">
        <f>Materialien_Blatt[[#This Row],[Transportemissionen '[kgCO2 eq.']]]+Materialien_Blatt[[#This Row],[Produktion]]</f>
        <v>30.832934027777593</v>
      </c>
    </row>
    <row r="44" spans="3:23">
      <c r="L44" t="s">
        <v>1195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35.815180624999783</v>
      </c>
      <c r="U44" s="359" cm="1">
        <f t="array" ref="U4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4">
        <f>Materialien_Blatt[[#This Row],[Transportemissionen '[kgCO2 eq.']]]+Materialien_Blatt[[#This Row],[Produktion]]</f>
        <v>35.815180624999783</v>
      </c>
    </row>
    <row r="45" spans="3:23">
      <c r="L45" t="s">
        <v>1066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591.40738999999644</v>
      </c>
      <c r="U45" s="359" cm="1">
        <f t="array" ref="U4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5">
        <f>Materialien_Blatt[[#This Row],[Transportemissionen '[kgCO2 eq.']]]+Materialien_Blatt[[#This Row],[Produktion]]</f>
        <v>591.40738999999644</v>
      </c>
    </row>
    <row r="46" spans="3:23">
      <c r="L46" t="s">
        <v>1230</v>
      </c>
      <c r="M46">
        <v>0</v>
      </c>
      <c r="N46">
        <v>12599.33136</v>
      </c>
      <c r="O46">
        <v>13403.544</v>
      </c>
      <c r="P46">
        <v>0</v>
      </c>
      <c r="Q46">
        <v>0</v>
      </c>
      <c r="R46">
        <v>0</v>
      </c>
      <c r="S46">
        <v>0</v>
      </c>
      <c r="T46">
        <v>678.0657687499961</v>
      </c>
      <c r="U46" s="359" cm="1">
        <f t="array" ref="U4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6">
        <f>Materialien_Blatt[[#This Row],[Transportemissionen '[kgCO2 eq.']]]+Materialien_Blatt[[#This Row],[Produktion]]</f>
        <v>678.0657687499961</v>
      </c>
    </row>
    <row r="47" spans="3:23">
      <c r="L47" t="s">
        <v>1213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318.37028781249808</v>
      </c>
      <c r="U47" s="359" cm="1">
        <f t="array" ref="U4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7">
        <v>0</v>
      </c>
      <c r="W47">
        <f>Materialien_Blatt[[#This Row],[Transportemissionen '[kgCO2 eq.']]]+Materialien_Blatt[[#This Row],[Produktion]]</f>
        <v>318.37028781249808</v>
      </c>
    </row>
    <row r="48" spans="3:23">
      <c r="L48" t="s">
        <v>1180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87.444468124999474</v>
      </c>
      <c r="U48" s="359" cm="1">
        <f t="array" ref="U4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8">
        <v>0</v>
      </c>
      <c r="W48">
        <f>Materialien_Blatt[[#This Row],[Transportemissionen '[kgCO2 eq.']]]+Materialien_Blatt[[#This Row],[Produktion]]</f>
        <v>87.444468124999474</v>
      </c>
    </row>
    <row r="49" spans="12:23">
      <c r="L49" t="s">
        <v>1199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456.78563437499736</v>
      </c>
      <c r="U49" s="359" cm="1">
        <f t="array" ref="U4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9">
        <v>0</v>
      </c>
      <c r="W49">
        <f>Materialien_Blatt[[#This Row],[Transportemissionen '[kgCO2 eq.']]]+Materialien_Blatt[[#This Row],[Produktion]]</f>
        <v>456.78563437499736</v>
      </c>
    </row>
    <row r="50" spans="12:23">
      <c r="L50" t="s">
        <v>1183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129.78739374999924</v>
      </c>
      <c r="U50" s="359" cm="1">
        <f t="array" ref="U5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50">
        <v>0</v>
      </c>
      <c r="W50">
        <f>Materialien_Blatt[[#This Row],[Transportemissionen '[kgCO2 eq.']]]+Materialien_Blatt[[#This Row],[Produktion]]</f>
        <v>129.78739374999924</v>
      </c>
    </row>
    <row r="51" spans="12:23">
      <c r="L51" t="s">
        <v>1193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8.5107399999999505</v>
      </c>
      <c r="U51" s="359" cm="1">
        <f t="array" ref="U5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51">
        <v>0</v>
      </c>
      <c r="W51">
        <f>Materialien_Blatt[[#This Row],[Transportemissionen '[kgCO2 eq.']]]+Materialien_Blatt[[#This Row],[Produktion]]</f>
        <v>8.5107399999999505</v>
      </c>
    </row>
    <row r="52" spans="12:23">
      <c r="L52" t="s">
        <v>1191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18.932593749999889</v>
      </c>
      <c r="U52" s="359" cm="1">
        <f t="array" ref="U5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2">
        <f>Materialien_Blatt[[#This Row],[Transportemissionen '[kgCO2 eq.']]]+Materialien_Blatt[[#This Row],[Produktion]]</f>
        <v>18.932593749999889</v>
      </c>
    </row>
    <row r="53" spans="12:23">
      <c r="L53" t="s">
        <v>1231</v>
      </c>
      <c r="M53">
        <v>0</v>
      </c>
      <c r="N53">
        <v>45278.847074999998</v>
      </c>
      <c r="O53">
        <v>48168.986250000002</v>
      </c>
      <c r="P53">
        <v>0</v>
      </c>
      <c r="Q53">
        <v>0</v>
      </c>
      <c r="R53">
        <v>0</v>
      </c>
      <c r="S53">
        <v>0</v>
      </c>
      <c r="T53">
        <v>2118.9741187499872</v>
      </c>
      <c r="U53" s="359" cm="1">
        <f t="array" ref="U5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53">
        <v>0</v>
      </c>
      <c r="W53">
        <f>Materialien_Blatt[[#This Row],[Transportemissionen '[kgCO2 eq.']]]+Materialien_Blatt[[#This Row],[Produktion]]</f>
        <v>2118.9741187499872</v>
      </c>
    </row>
    <row r="54" spans="12:23">
      <c r="L54" t="s">
        <v>1222</v>
      </c>
      <c r="M54">
        <v>-5022.1958000000004</v>
      </c>
      <c r="N54">
        <v>-5022.1958000000004</v>
      </c>
      <c r="O54">
        <v>-5022.1958000000004</v>
      </c>
      <c r="P54">
        <v>-5022.1958000000004</v>
      </c>
      <c r="Q54">
        <v>-5022.1958000000004</v>
      </c>
      <c r="R54">
        <v>-5022.1958000000004</v>
      </c>
      <c r="S54">
        <v>-5022.1958000000004</v>
      </c>
      <c r="T54">
        <v>39.095168437499773</v>
      </c>
      <c r="U54" s="359" cm="1">
        <f t="array" ref="U5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-5022.1958000000004</v>
      </c>
      <c r="W54">
        <f>Materialien_Blatt[[#This Row],[Transportemissionen '[kgCO2 eq.']]]+Materialien_Blatt[[#This Row],[Produktion]]</f>
        <v>-4983.1006315625009</v>
      </c>
    </row>
    <row r="55" spans="12:23">
      <c r="L55" t="s">
        <v>1189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1.2025037499999927</v>
      </c>
      <c r="U55" s="359" cm="1">
        <f t="array" ref="U5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5">
        <f>Materialien_Blatt[[#This Row],[Transportemissionen '[kgCO2 eq.']]]+Materialien_Blatt[[#This Row],[Produktion]]</f>
        <v>1.2025037499999927</v>
      </c>
    </row>
    <row r="56" spans="12:23">
      <c r="L56" t="s">
        <v>1223</v>
      </c>
      <c r="M56">
        <v>111.4139</v>
      </c>
      <c r="N56">
        <v>111.4139</v>
      </c>
      <c r="O56">
        <v>111.4139</v>
      </c>
      <c r="P56">
        <v>111.4139</v>
      </c>
      <c r="Q56">
        <v>111.4139</v>
      </c>
      <c r="R56">
        <v>111.4139</v>
      </c>
      <c r="S56">
        <v>111.4139</v>
      </c>
      <c r="T56">
        <v>15.13146687499991</v>
      </c>
      <c r="U56" s="359" cm="1">
        <f t="array" ref="U5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111.4139</v>
      </c>
      <c r="V56">
        <v>0</v>
      </c>
      <c r="W56">
        <f>Materialien_Blatt[[#This Row],[Transportemissionen '[kgCO2 eq.']]]+Materialien_Blatt[[#This Row],[Produktion]]</f>
        <v>126.54536687499991</v>
      </c>
    </row>
    <row r="57" spans="12:23">
      <c r="L57" t="s">
        <v>1216</v>
      </c>
      <c r="M57">
        <v>162.8357</v>
      </c>
      <c r="N57">
        <v>162.8357</v>
      </c>
      <c r="O57">
        <v>162.8357</v>
      </c>
      <c r="P57">
        <v>162.8357</v>
      </c>
      <c r="Q57">
        <v>162.8357</v>
      </c>
      <c r="R57">
        <v>162.8357</v>
      </c>
      <c r="S57">
        <v>162.8357</v>
      </c>
      <c r="T57">
        <v>1456.8499881249913</v>
      </c>
      <c r="U57" s="359" cm="1">
        <f t="array" ref="U5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162.8357</v>
      </c>
      <c r="V57">
        <v>0</v>
      </c>
      <c r="W57">
        <f>Materialien_Blatt[[#This Row],[Transportemissionen '[kgCO2 eq.']]]+Materialien_Blatt[[#This Row],[Produktion]]</f>
        <v>1619.6856881249914</v>
      </c>
    </row>
    <row r="58" spans="12:23">
      <c r="L58" t="s">
        <v>1207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651.10314499999606</v>
      </c>
      <c r="U58" s="359" cm="1">
        <f t="array" ref="U5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8">
        <f>Materialien_Blatt[[#This Row],[Transportemissionen '[kgCO2 eq.']]]+Materialien_Blatt[[#This Row],[Produktion]]</f>
        <v>651.10314499999606</v>
      </c>
    </row>
    <row r="59" spans="12:23">
      <c r="L59" t="s">
        <v>1209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95.750462499999415</v>
      </c>
      <c r="U59" s="359" cm="1">
        <f t="array" ref="U5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9">
        <f>Materialien_Blatt[[#This Row],[Transportemissionen '[kgCO2 eq.']]]+Materialien_Blatt[[#This Row],[Produktion]]</f>
        <v>95.750462499999415</v>
      </c>
    </row>
    <row r="60" spans="12:23">
      <c r="L60" t="s">
        <v>1208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1.4362337499999913</v>
      </c>
      <c r="U60" s="359" cm="1">
        <f t="array" ref="U6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0">
        <f>Materialien_Blatt[[#This Row],[Transportemissionen '[kgCO2 eq.']]]+Materialien_Blatt[[#This Row],[Produktion]]</f>
        <v>1.4362337499999913</v>
      </c>
    </row>
    <row r="61" spans="12:23">
      <c r="L61" t="s">
        <v>1198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155.44899999999905</v>
      </c>
      <c r="U61" s="359" cm="1">
        <f t="array" ref="U6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1">
        <f>Materialien_Blatt[[#This Row],[Transportemissionen '[kgCO2 eq.']]]+Materialien_Blatt[[#This Row],[Produktion]]</f>
        <v>155.44899999999905</v>
      </c>
    </row>
    <row r="62" spans="12:23">
      <c r="L62" t="s">
        <v>1202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1.304528749999992</v>
      </c>
      <c r="U62" s="359" cm="1">
        <f t="array" ref="U6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2">
        <f>Materialien_Blatt[[#This Row],[Transportemissionen '[kgCO2 eq.']]]+Materialien_Blatt[[#This Row],[Produktion]]</f>
        <v>1.304528749999992</v>
      </c>
    </row>
    <row r="63" spans="12:23">
      <c r="L63" t="s">
        <v>1226</v>
      </c>
      <c r="M63">
        <v>-42.851500000000001</v>
      </c>
      <c r="N63">
        <v>-42.851500000000001</v>
      </c>
      <c r="O63">
        <v>-42.851500000000001</v>
      </c>
      <c r="P63">
        <v>-42.851500000000001</v>
      </c>
      <c r="Q63">
        <v>-42.851500000000001</v>
      </c>
      <c r="R63">
        <v>-42.851500000000001</v>
      </c>
      <c r="S63">
        <v>-42.851500000000001</v>
      </c>
      <c r="T63">
        <v>0.71881249999999564</v>
      </c>
      <c r="U63" s="359" cm="1">
        <f t="array" ref="U6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-42.851500000000001</v>
      </c>
      <c r="W63">
        <f>Materialien_Blatt[[#This Row],[Transportemissionen '[kgCO2 eq.']]]+Materialien_Blatt[[#This Row],[Produktion]]</f>
        <v>-42.132687500000003</v>
      </c>
    </row>
    <row r="64" spans="12:23">
      <c r="L64" t="s">
        <v>1192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10.990527187499936</v>
      </c>
      <c r="U64" s="359" cm="1">
        <f t="array" ref="U6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4">
        <f>Materialien_Blatt[[#This Row],[Transportemissionen '[kgCO2 eq.']]]+Materialien_Blatt[[#This Row],[Produktion]]</f>
        <v>10.990527187499936</v>
      </c>
    </row>
    <row r="65" spans="12:23">
      <c r="L65" t="s">
        <v>1211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53.194701388888568</v>
      </c>
      <c r="U65" s="359" cm="1">
        <f t="array" ref="U6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5">
        <f>Materialien_Blatt[[#This Row],[Transportemissionen '[kgCO2 eq.']]]+Materialien_Blatt[[#This Row],[Produktion]]</f>
        <v>53.194701388888568</v>
      </c>
    </row>
    <row r="66" spans="12:23">
      <c r="L66" t="s">
        <v>1233</v>
      </c>
      <c r="M66">
        <v>702.76459999999997</v>
      </c>
      <c r="N66">
        <v>702.76459999999997</v>
      </c>
      <c r="O66">
        <v>702.76459999999997</v>
      </c>
      <c r="P66">
        <v>702.76459999999997</v>
      </c>
      <c r="Q66">
        <v>702.76459999999997</v>
      </c>
      <c r="R66">
        <v>702.76459999999997</v>
      </c>
      <c r="S66">
        <v>702.76459999999997</v>
      </c>
      <c r="T66">
        <v>3.5083707749999791</v>
      </c>
      <c r="U66" s="359" cm="1">
        <f t="array" ref="U6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702.76459999999997</v>
      </c>
      <c r="W66">
        <f>Materialien_Blatt[[#This Row],[Transportemissionen '[kgCO2 eq.']]]+Materialien_Blatt[[#This Row],[Produktion]]</f>
        <v>706.27297077499998</v>
      </c>
    </row>
    <row r="67" spans="12:23">
      <c r="L67" t="s">
        <v>1225</v>
      </c>
      <c r="M67">
        <v>-1576.9352000000001</v>
      </c>
      <c r="N67">
        <v>-1576.9352000000001</v>
      </c>
      <c r="O67">
        <v>-1576.9352000000001</v>
      </c>
      <c r="P67">
        <v>-1576.9352000000001</v>
      </c>
      <c r="Q67">
        <v>-1576.9352000000001</v>
      </c>
      <c r="R67">
        <v>-1576.9352000000001</v>
      </c>
      <c r="S67">
        <v>-1576.9352000000001</v>
      </c>
      <c r="T67">
        <v>7.984615624999952</v>
      </c>
      <c r="U67" s="359" cm="1">
        <f t="array" ref="U6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-1576.9352000000001</v>
      </c>
      <c r="W67">
        <f>Materialien_Blatt[[#This Row],[Transportemissionen '[kgCO2 eq.']]]+Materialien_Blatt[[#This Row],[Produktion]]</f>
        <v>-1568.9505843750001</v>
      </c>
    </row>
    <row r="68" spans="12:23">
      <c r="M68">
        <f>SUBTOTAL(109,Materialien_Blatt[GWP])</f>
        <v>-10644.312600000001</v>
      </c>
      <c r="N68">
        <f>SUBTOTAL(109,Materialien_Blatt[GWP_ÖKOBETON C25/30])</f>
        <v>47233.865835000004</v>
      </c>
      <c r="O68">
        <f>SUBTOTAL(109,Materialien_Blatt[GWP_ÖKOBETON C30/37])</f>
        <v>50928.217650000006</v>
      </c>
      <c r="P68">
        <f>SUBTOTAL(109,Materialien_Blatt[RCC C25/30 CEM I])</f>
        <v>-10644.312600000001</v>
      </c>
      <c r="Q68">
        <f>SUBTOTAL(109, Materialien_Blatt[RCC C25/30 CEM II])</f>
        <v>-10644.312600000001</v>
      </c>
      <c r="R68">
        <f>SUBTOTAL(109,Materialien_Blatt[RCC C30/37 CEM I])</f>
        <v>-10644.312600000001</v>
      </c>
      <c r="S68">
        <f>SUBTOTAL(109,Materialien_Blatt[RCC C30/37 CEM II])</f>
        <v>-10644.312600000001</v>
      </c>
      <c r="T68" s="86">
        <f>SUBTOTAL(109,Materialien_Blatt[Transportemissionen '[kgCO2 eq.']])</f>
        <v>8420.1295020860616</v>
      </c>
      <c r="U68" s="86">
        <f>SUBTOTAL(109,Materialien_Blatt[Produktion])</f>
        <v>-10644.312600000001</v>
      </c>
    </row>
    <row r="70" spans="12:23">
      <c r="O70" t="s">
        <v>51</v>
      </c>
    </row>
    <row r="71" spans="12:23">
      <c r="O71" t="s">
        <v>52</v>
      </c>
    </row>
    <row r="76" spans="12:23">
      <c r="L76" t="s">
        <v>1022</v>
      </c>
      <c r="M76" t="s">
        <v>131</v>
      </c>
      <c r="O76" t="s">
        <v>1151</v>
      </c>
      <c r="P76" t="s">
        <v>1152</v>
      </c>
    </row>
    <row r="77" spans="12:23">
      <c r="L77" t="s">
        <v>3</v>
      </c>
      <c r="M77">
        <f>Materialien_Blatt[[#Totals],[GWP]]</f>
        <v>-10644.312600000001</v>
      </c>
      <c r="O77" t="s">
        <v>3</v>
      </c>
      <c r="P77">
        <v>2</v>
      </c>
    </row>
    <row r="78" spans="12:23">
      <c r="L78" t="s">
        <v>1130</v>
      </c>
      <c r="M78">
        <f>Materialien_Blatt[[#Totals],[GWP_ÖKOBETON C25/30]]</f>
        <v>47233.865835000004</v>
      </c>
      <c r="O78" t="s">
        <v>1130</v>
      </c>
      <c r="P78">
        <v>3</v>
      </c>
    </row>
    <row r="79" spans="12:23">
      <c r="L79" t="s">
        <v>1131</v>
      </c>
      <c r="M79">
        <f>Materialien_Blatt[[#Totals],[GWP_ÖKOBETON C30/37]]</f>
        <v>50928.217650000006</v>
      </c>
      <c r="O79" t="s">
        <v>1131</v>
      </c>
      <c r="P79">
        <v>4</v>
      </c>
    </row>
    <row r="80" spans="12:23">
      <c r="L80" t="s">
        <v>1145</v>
      </c>
      <c r="M80">
        <f>Materialien_Blatt[[#Totals],[RCC C25/30 CEM I]]</f>
        <v>-10644.312600000001</v>
      </c>
      <c r="O80" t="s">
        <v>1145</v>
      </c>
      <c r="P80">
        <v>5</v>
      </c>
    </row>
    <row r="81" spans="12:16">
      <c r="L81" t="s">
        <v>1146</v>
      </c>
      <c r="M81">
        <f>Materialien_Blatt[[#Totals],[RCC C25/30 CEM II]]</f>
        <v>-10644.312600000001</v>
      </c>
      <c r="O81" t="s">
        <v>1146</v>
      </c>
      <c r="P81">
        <v>6</v>
      </c>
    </row>
    <row r="82" spans="12:16">
      <c r="L82" t="s">
        <v>1147</v>
      </c>
      <c r="M82">
        <f>Materialien_Blatt[[#Totals],[RCC C30/37 CEM I]]</f>
        <v>-10644.312600000001</v>
      </c>
      <c r="O82" t="s">
        <v>1150</v>
      </c>
      <c r="P82">
        <v>7</v>
      </c>
    </row>
    <row r="83" spans="12:16">
      <c r="L83" t="s">
        <v>1148</v>
      </c>
      <c r="M83">
        <f>Materialien_Blatt[[#Totals],[RCC C30/37 CEM II]]</f>
        <v>-10644.312600000001</v>
      </c>
      <c r="O83" t="s">
        <v>1148</v>
      </c>
      <c r="P83">
        <v>8</v>
      </c>
    </row>
    <row r="102" spans="25:25">
      <c r="Y102">
        <f>SUMIF(Materialien_Blatt[Produktion],"&gt;0",Materialien_Blatt[Produktion])+SUM(T11:T67)</f>
        <v>11316.890902086061</v>
      </c>
    </row>
    <row r="103" spans="25:25">
      <c r="Y103">
        <f>SUMIF(Materialien_Blatt[Produktion],"&lt;0",Materialien_Blatt[Produktion])+SUM(T11:T67)</f>
        <v>-5120.9444979139389</v>
      </c>
    </row>
  </sheetData>
  <mergeCells count="9">
    <mergeCell ref="C35:D35"/>
    <mergeCell ref="C37:D37"/>
    <mergeCell ref="B2:J2"/>
    <mergeCell ref="B3:E3"/>
    <mergeCell ref="G3:J3"/>
    <mergeCell ref="B22:C22"/>
    <mergeCell ref="B14:C14"/>
    <mergeCell ref="G15:J15"/>
    <mergeCell ref="G23:J23"/>
  </mergeCells>
  <phoneticPr fontId="11" type="noConversion"/>
  <conditionalFormatting sqref="G4:J14">
    <cfRule type="expression" dxfId="38" priority="20">
      <formula>$I$3=FALSE</formula>
    </cfRule>
  </conditionalFormatting>
  <conditionalFormatting sqref="G16:J17">
    <cfRule type="expression" dxfId="37" priority="8">
      <formula>$I$15=FALSE</formula>
    </cfRule>
  </conditionalFormatting>
  <conditionalFormatting sqref="G18:J22">
    <cfRule type="expression" dxfId="36" priority="1">
      <formula>$I$15=FALSE</formula>
    </cfRule>
  </conditionalFormatting>
  <conditionalFormatting sqref="G24:J25">
    <cfRule type="expression" dxfId="35" priority="9">
      <formula>$I$23=FALSE</formula>
    </cfRule>
  </conditionalFormatting>
  <conditionalFormatting sqref="I17:I21">
    <cfRule type="expression" dxfId="33" priority="7">
      <formula>$I$15=FALSE</formula>
    </cfRule>
  </conditionalFormatting>
  <dataValidations count="1">
    <dataValidation type="list" allowBlank="1" showInputMessage="1" showErrorMessage="1" sqref="D4" xr:uid="{5B597947-4A29-42DE-9A1A-E17D4056CEE0}">
      <formula1>$L$77:$L$83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419100</xdr:colOff>
                    <xdr:row>1</xdr:row>
                    <xdr:rowOff>266700</xdr:rowOff>
                  </from>
                  <to>
                    <xdr:col>9</xdr:col>
                    <xdr:colOff>723900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8</xdr:col>
                    <xdr:colOff>533400</xdr:colOff>
                    <xdr:row>21</xdr:row>
                    <xdr:rowOff>161925</xdr:rowOff>
                  </from>
                  <to>
                    <xdr:col>8</xdr:col>
                    <xdr:colOff>866775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25</xdr:row>
                    <xdr:rowOff>9525</xdr:rowOff>
                  </from>
                  <to>
                    <xdr:col>6</xdr:col>
                    <xdr:colOff>1200150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8</xdr:col>
                    <xdr:colOff>295275</xdr:colOff>
                    <xdr:row>13</xdr:row>
                    <xdr:rowOff>180975</xdr:rowOff>
                  </from>
                  <to>
                    <xdr:col>8</xdr:col>
                    <xdr:colOff>638175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defaultSize="0" autoFill="0" autoLine="0" autoPict="0">
                <anchor moveWithCells="1">
                  <from>
                    <xdr:col>7</xdr:col>
                    <xdr:colOff>400050</xdr:colOff>
                    <xdr:row>18</xdr:row>
                    <xdr:rowOff>190500</xdr:rowOff>
                  </from>
                  <to>
                    <xdr:col>8</xdr:col>
                    <xdr:colOff>504825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9" name="Check Box 41">
              <controlPr defaultSize="0" autoFill="0" autoLine="0" autoPict="0" altText="Reduzierung anzeigen 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1</xdr:col>
                    <xdr:colOff>1400175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3">
    <tablePart r:id="rId10"/>
    <tablePart r:id="rId11"/>
    <tablePart r:id="rId1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7" operator="lessThan" id="{19D4DEA8-1638-404A-B766-D7E8A659651E}">
            <xm:f>BauGrube!$E$6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D3869F-A283-4C17-A6B3-F7610387328E}">
          <x14:formula1>
            <xm:f>'R.O.S.E'!$B$3:$B$7</xm:f>
          </x14:formula1>
          <xm:sqref>I24</xm:sqref>
        </x14:dataValidation>
        <x14:dataValidation type="list" allowBlank="1" showInputMessage="1" showErrorMessage="1" xr:uid="{0197C45D-82F4-4FD0-9650-CCABE13D81F0}">
          <x14:formula1>
            <xm:f>BauGrube!$H$55:$H$60</xm:f>
          </x14:formula1>
          <xm:sqref>I8</xm:sqref>
        </x14:dataValidation>
        <x14:dataValidation type="list" allowBlank="1" showInputMessage="1" showErrorMessage="1" xr:uid="{1C22E1A5-AB30-4FEF-BF97-884D4201B8E8}">
          <x14:formula1>
            <xm:f>Energieverbrauch_Sedlak!$S$4:$S$6</xm:f>
          </x14:formula1>
          <xm:sqref>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6F28-7CAA-4BE0-9214-CC6DE392FE16}">
  <sheetPr codeName="Tabelle3"/>
  <dimension ref="M2:AJ132"/>
  <sheetViews>
    <sheetView topLeftCell="A145" zoomScale="70" zoomScaleNormal="70" workbookViewId="0">
      <selection activeCell="M191" sqref="M191"/>
    </sheetView>
  </sheetViews>
  <sheetFormatPr baseColWidth="10" defaultColWidth="11.42578125" defaultRowHeight="15" outlineLevelCol="1"/>
  <cols>
    <col min="13" max="13" width="16.140625" bestFit="1" customWidth="1"/>
    <col min="22" max="22" width="11.140625" customWidth="1"/>
    <col min="23" max="23" width="48.42578125" hidden="1" customWidth="1" outlineLevel="1"/>
    <col min="24" max="26" width="11.42578125" hidden="1" customWidth="1" outlineLevel="1"/>
    <col min="27" max="27" width="11.42578125" collapsed="1"/>
    <col min="32" max="32" width="37.28515625" bestFit="1" customWidth="1"/>
    <col min="33" max="33" width="13.7109375" customWidth="1"/>
  </cols>
  <sheetData>
    <row r="2" spans="23:26">
      <c r="W2" t="s">
        <v>53</v>
      </c>
    </row>
    <row r="3" spans="23:26">
      <c r="X3" t="s">
        <v>54</v>
      </c>
      <c r="Y3" t="s">
        <v>27</v>
      </c>
      <c r="Z3" t="s">
        <v>13</v>
      </c>
    </row>
    <row r="4" spans="23:26">
      <c r="W4" t="str">
        <f>_xlfn.XLOOKUP(X4,Materialien_Blatt[Summe],Materialien_Blatt[Material])</f>
        <v>Normalbeton mit Bewehrung  1 % (2300 kg/m³)</v>
      </c>
      <c r="X4">
        <f>LARGE(Materialien_Blatt[Summe],ROW(A1))</f>
        <v>2118.9741187499872</v>
      </c>
      <c r="Y4">
        <f>_xlfn.XLOOKUP($X4,Materialien_Blatt[Summe],Materialien_Blatt[Transportemissionen '[kgCO2 eq.']])</f>
        <v>2118.9741187499872</v>
      </c>
      <c r="Z4">
        <f>_xlfn.XLOOKUP($X4,Materialien_Blatt[Summe],Materialien_Blatt[Produktion])</f>
        <v>0</v>
      </c>
    </row>
    <row r="5" spans="23:26">
      <c r="W5" t="str">
        <f>_xlfn.XLOOKUP(X5,Materialien_Blatt[Summe],Materialien_Blatt[Material])</f>
        <v>RÖFIX 970 Zementestrich</v>
      </c>
      <c r="X5">
        <f>LARGE(Materialien_Blatt[Summe],ROW(A2))</f>
        <v>1619.6856881249914</v>
      </c>
      <c r="Y5">
        <f>_xlfn.XLOOKUP($X5,Materialien_Blatt[Summe],Materialien_Blatt[Transportemissionen '[kgCO2 eq.']])</f>
        <v>1456.8499881249913</v>
      </c>
      <c r="Z5">
        <f>_xlfn.XLOOKUP($X5,Materialien_Blatt[Summe],Materialien_Blatt[Produktion])</f>
        <v>162.8357</v>
      </c>
    </row>
    <row r="6" spans="23:26">
      <c r="W6" t="str">
        <f>_xlfn.XLOOKUP(X6,Materialien_Blatt[Summe],Materialien_Blatt[Material])</f>
        <v>Wärmeschutzglas Ug=0,5</v>
      </c>
      <c r="X6">
        <f>LARGE(Materialien_Blatt[Summe],ROW(A3))</f>
        <v>706.27297077499998</v>
      </c>
      <c r="Y6">
        <f>_xlfn.XLOOKUP($X6,Materialien_Blatt[Summe],Materialien_Blatt[Transportemissionen '[kgCO2 eq.']])</f>
        <v>3.5083707749999791</v>
      </c>
      <c r="Z6">
        <f>_xlfn.XLOOKUP($X6,Materialien_Blatt[Summe],Materialien_Blatt[Produktion])</f>
        <v>702.76459999999997</v>
      </c>
    </row>
    <row r="7" spans="23:26">
      <c r="W7" t="str">
        <f>_xlfn.XLOOKUP(X7,Materialien_Blatt[Summe],Materialien_Blatt[Material])</f>
        <v>Magerbeton / Schütt- und Stampfbeton</v>
      </c>
      <c r="X7">
        <f>LARGE(Materialien_Blatt[Summe],ROW(A4))</f>
        <v>678.0657687499961</v>
      </c>
      <c r="Y7">
        <f>_xlfn.XLOOKUP($X7,Materialien_Blatt[Summe],Materialien_Blatt[Transportemissionen '[kgCO2 eq.']])</f>
        <v>678.0657687499961</v>
      </c>
      <c r="Z7">
        <f>_xlfn.XLOOKUP($X7,Materialien_Blatt[Summe],Materialien_Blatt[Produktion])</f>
        <v>0</v>
      </c>
    </row>
    <row r="8" spans="23:26">
      <c r="W8" t="str">
        <f>_xlfn.XLOOKUP(X8,Materialien_Blatt[Summe],Materialien_Blatt[Material])</f>
        <v>Sand, Kies lufttrocken, Pflanzensubstrat</v>
      </c>
      <c r="X8">
        <f>LARGE(Materialien_Blatt[Summe],ROW(A5))</f>
        <v>651.10314499999606</v>
      </c>
      <c r="Y8">
        <f>_xlfn.XLOOKUP($X8,Materialien_Blatt[Summe],Materialien_Blatt[Transportemissionen '[kgCO2 eq.']])</f>
        <v>651.10314499999606</v>
      </c>
      <c r="Z8">
        <f>_xlfn.XLOOKUP($X8,Materialien_Blatt[Summe],Materialien_Blatt[Produktion])</f>
        <v>0</v>
      </c>
    </row>
    <row r="9" spans="23:26">
      <c r="W9" t="s">
        <v>32</v>
      </c>
      <c r="X9">
        <f>SUM(X4:X8)</f>
        <v>5774.1016913999711</v>
      </c>
      <c r="Y9">
        <f>SUM(Y4:Y8)</f>
        <v>4908.501391399971</v>
      </c>
      <c r="Z9">
        <f>SUM(Z4:Z8)</f>
        <v>865.60029999999995</v>
      </c>
    </row>
    <row r="13" spans="23:26">
      <c r="W13" t="s">
        <v>55</v>
      </c>
    </row>
    <row r="14" spans="23:26">
      <c r="X14" t="s">
        <v>54</v>
      </c>
      <c r="Y14" t="s">
        <v>27</v>
      </c>
      <c r="Z14" t="s">
        <v>13</v>
      </c>
    </row>
    <row r="15" spans="23:26">
      <c r="W15" t="str">
        <f>_xlfn.XLOOKUP(X15,Materialien_Blatt[Summe],Materialien_Blatt[Material])</f>
        <v>Hohlkastendeckenkonstruktion</v>
      </c>
      <c r="X15">
        <f>SMALL(Materialien_Blatt[Summe],ROW(A1))</f>
        <v>-5386.3932921875003</v>
      </c>
      <c r="Y15">
        <f>_xlfn.XLOOKUP(X15,Materialien_Blatt[Summe],Materialien_Blatt[Transportemissionen '[kgCO2 eq.']])</f>
        <v>38.606607812499767</v>
      </c>
      <c r="Z15">
        <f>_xlfn.XLOOKUP(X15,Materialien_Blatt[Summe],Materialien_Blatt[Produktion])</f>
        <v>-5424.9998999999998</v>
      </c>
    </row>
    <row r="16" spans="23:26">
      <c r="W16" t="str">
        <f>_xlfn.XLOOKUP(X16,Materialien_Blatt[Summe],Materialien_Blatt[Material])</f>
        <v>Nutzholz (475 kg/m³ - zB Fichte/Tanne) - rauh, luftgetrocknet</v>
      </c>
      <c r="X16">
        <f>SMALL(Materialien_Blatt[Summe],ROW(A2))</f>
        <v>-4983.1006315625009</v>
      </c>
      <c r="Y16">
        <f>_xlfn.XLOOKUP(X16,Materialien_Blatt[Summe],Materialien_Blatt[Transportemissionen '[kgCO2 eq.']])</f>
        <v>39.095168437499773</v>
      </c>
      <c r="Z16">
        <f>_xlfn.XLOOKUP(X16,Materialien_Blatt[Summe],Materialien_Blatt[Produktion])</f>
        <v>-5022.1958000000004</v>
      </c>
    </row>
    <row r="17" spans="23:26">
      <c r="W17" t="str">
        <f>_xlfn.XLOOKUP(X17,Materialien_Blatt[Summe],Materialien_Blatt[Material])</f>
        <v>woodup:Holz</v>
      </c>
      <c r="X17">
        <f>SMALL(Materialien_Blatt[Summe],ROW(A3))</f>
        <v>-1568.9505843750001</v>
      </c>
      <c r="Y17">
        <f>_xlfn.XLOOKUP(X17,Materialien_Blatt[Summe],Materialien_Blatt[Transportemissionen '[kgCO2 eq.']])</f>
        <v>7.984615624999952</v>
      </c>
      <c r="Z17">
        <f>_xlfn.XLOOKUP(X17,Materialien_Blatt[Summe],Materialien_Blatt[Produktion])</f>
        <v>-1576.9352000000001</v>
      </c>
    </row>
    <row r="18" spans="23:26">
      <c r="W18" t="str">
        <f>_xlfn.XLOOKUP(X18,Materialien_Blatt[Summe],Materialien_Blatt[Material])</f>
        <v>3S-Platte</v>
      </c>
      <c r="X18">
        <f>SMALL(Materialien_Blatt[Summe],ROW(A4))</f>
        <v>-416.31272593749998</v>
      </c>
      <c r="Y18">
        <f>_xlfn.XLOOKUP(X18,Materialien_Blatt[Summe],Materialien_Blatt[Transportemissionen '[kgCO2 eq.']])</f>
        <v>3.6319740624999786</v>
      </c>
      <c r="Z18">
        <f>_xlfn.XLOOKUP(X18,Materialien_Blatt[Summe],Materialien_Blatt[Produktion])</f>
        <v>-419.94469999999995</v>
      </c>
    </row>
    <row r="19" spans="23:26">
      <c r="W19" t="str">
        <f>_xlfn.XLOOKUP(X19,Materialien_Blatt[Summe],Materialien_Blatt[Material])</f>
        <v>3S Platte</v>
      </c>
      <c r="X19">
        <f>SMALL(Materialien_Blatt[Summe],ROW(A5))</f>
        <v>-415.12274343749999</v>
      </c>
      <c r="Y19">
        <f>_xlfn.XLOOKUP(X19,Materialien_Blatt[Summe],Materialien_Blatt[Transportemissionen '[kgCO2 eq.']])</f>
        <v>4.8219565624999712</v>
      </c>
      <c r="Z19">
        <f>_xlfn.XLOOKUP(X19,Materialien_Blatt[Summe],Materialien_Blatt[Produktion])</f>
        <v>-419.94469999999995</v>
      </c>
    </row>
    <row r="20" spans="23:26">
      <c r="W20" t="s">
        <v>32</v>
      </c>
      <c r="X20">
        <f>SUM(X15:X19)</f>
        <v>-12769.879977499999</v>
      </c>
      <c r="Y20">
        <f t="shared" ref="Y20:Z20" si="0">SUM(Y15:Y19)</f>
        <v>94.140322499999442</v>
      </c>
      <c r="Z20">
        <f t="shared" si="0"/>
        <v>-12864.0203</v>
      </c>
    </row>
    <row r="125" spans="13:36">
      <c r="N125" t="s">
        <v>20</v>
      </c>
      <c r="O125" t="s">
        <v>1064</v>
      </c>
      <c r="P125" t="s">
        <v>22</v>
      </c>
      <c r="Q125" t="s">
        <v>1065</v>
      </c>
      <c r="AG125" t="s">
        <v>20</v>
      </c>
      <c r="AH125" t="s">
        <v>1064</v>
      </c>
      <c r="AI125" t="s">
        <v>22</v>
      </c>
      <c r="AJ125" t="s">
        <v>1065</v>
      </c>
    </row>
    <row r="126" spans="13:36">
      <c r="M126" t="str">
        <f>Gesamtauswertung!G28</f>
        <v>Produktion: Gebäude und Baugrube inkl. Aushub</v>
      </c>
      <c r="N126">
        <f>Gesamtauswertung!I28</f>
        <v>-10644.312600000001</v>
      </c>
      <c r="O126" s="21">
        <f>N126/1000</f>
        <v>-10.644312600000001</v>
      </c>
      <c r="P126" s="100">
        <f>(O126/O130)</f>
        <v>-2.591367888276894E-2</v>
      </c>
      <c r="Q126" s="100">
        <f>IF(P126=0,#N/A,P126)</f>
        <v>-2.591367888276894E-2</v>
      </c>
      <c r="AF126" t="s">
        <v>5</v>
      </c>
      <c r="AG126">
        <f>Gesamtauswertung!D12</f>
        <v>33618.760628385848</v>
      </c>
      <c r="AH126" s="21">
        <f>AG126/1000</f>
        <v>33.61876062838585</v>
      </c>
      <c r="AI126" s="100">
        <f>AH126/AH130</f>
        <v>0.15936684451080371</v>
      </c>
      <c r="AJ126" s="100">
        <f>IF(AI126=0,#N/A,AI126)</f>
        <v>0.15936684451080371</v>
      </c>
    </row>
    <row r="127" spans="13:36">
      <c r="M127" t="str">
        <f>Gesamtauswertung!G29</f>
        <v>Transport: : Gebäude und Baugrube inkl. Aushub</v>
      </c>
      <c r="N127">
        <f>Gesamtauswertung!I29</f>
        <v>224539.6731755978</v>
      </c>
      <c r="O127" s="21">
        <f t="shared" ref="O127:O130" si="1">N127/1000</f>
        <v>224.53967317559778</v>
      </c>
      <c r="P127" s="100">
        <f>(O127/O130)</f>
        <v>0.54664394083224566</v>
      </c>
      <c r="Q127" s="100">
        <f t="shared" ref="Q127:Q129" si="2">IF(P127=0,#N/A,P127)</f>
        <v>0.54664394083224566</v>
      </c>
    </row>
    <row r="128" spans="13:36">
      <c r="M128" t="str">
        <f>Gesamtauswertung!G30</f>
        <v>Baustelle inkl. Abbruch</v>
      </c>
      <c r="N128">
        <f>Gesamtauswertung!I30</f>
        <v>77220.01999999999</v>
      </c>
      <c r="O128" s="21">
        <f t="shared" si="1"/>
        <v>77.220019999999991</v>
      </c>
      <c r="P128" s="100">
        <f>(O128/O130)</f>
        <v>0.18799286311837504</v>
      </c>
      <c r="Q128" s="100">
        <f t="shared" si="2"/>
        <v>0.18799286311837504</v>
      </c>
      <c r="AF128" t="s">
        <v>6</v>
      </c>
      <c r="AG128">
        <f>Gesamtauswertung!I14</f>
        <v>177333.27730386291</v>
      </c>
      <c r="AH128" s="21">
        <f>AG128/1000</f>
        <v>177.3332773038629</v>
      </c>
      <c r="AI128" s="100">
        <f>AH128/AH130</f>
        <v>0.84063315548919637</v>
      </c>
      <c r="AJ128" s="100">
        <f>IF(AI128=0,#N/A,AI128)</f>
        <v>0.84063315548919637</v>
      </c>
    </row>
    <row r="129" spans="13:34">
      <c r="M129" t="str">
        <f>Gesamtauswertung!G31</f>
        <v>Gebäude Betrieb</v>
      </c>
      <c r="N129">
        <f>Gesamtauswertung!I31</f>
        <v>119645</v>
      </c>
      <c r="O129" s="21">
        <f t="shared" si="1"/>
        <v>119.645</v>
      </c>
      <c r="P129" s="100">
        <f>(O129/O130)</f>
        <v>0.29127687493214821</v>
      </c>
      <c r="Q129" s="100">
        <f t="shared" si="2"/>
        <v>0.29127687493214821</v>
      </c>
    </row>
    <row r="130" spans="13:34">
      <c r="M130" t="str">
        <f>Gesamtauswertung!G32</f>
        <v>Gesamt</v>
      </c>
      <c r="N130">
        <f>Gesamtauswertung!I32</f>
        <v>410760.38057559775</v>
      </c>
      <c r="O130" s="21">
        <f t="shared" si="1"/>
        <v>410.76038057559776</v>
      </c>
      <c r="P130" s="44"/>
      <c r="AH130" s="21">
        <f>AH126+AH128</f>
        <v>210.95203793224874</v>
      </c>
    </row>
    <row r="132" spans="13:34">
      <c r="M132">
        <f>N134</f>
        <v>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867B-4253-4A86-A688-3DDBC6828185}">
  <sheetPr codeName="Tabelle4"/>
  <dimension ref="B2:F18"/>
  <sheetViews>
    <sheetView zoomScaleNormal="100" workbookViewId="0">
      <selection activeCell="F24" sqref="F24"/>
    </sheetView>
  </sheetViews>
  <sheetFormatPr baseColWidth="10" defaultColWidth="11.42578125" defaultRowHeight="15"/>
  <cols>
    <col min="1" max="1" width="4.85546875" customWidth="1"/>
    <col min="2" max="2" width="14.42578125" bestFit="1" customWidth="1"/>
    <col min="3" max="3" width="30.42578125" bestFit="1" customWidth="1"/>
    <col min="4" max="4" width="17.7109375" customWidth="1"/>
    <col min="5" max="5" width="12" bestFit="1" customWidth="1"/>
    <col min="6" max="6" width="41.7109375" customWidth="1"/>
    <col min="7" max="7" width="33" customWidth="1"/>
    <col min="8" max="8" width="28.140625" bestFit="1" customWidth="1"/>
    <col min="9" max="9" width="8.140625" bestFit="1" customWidth="1"/>
    <col min="10" max="10" width="16" bestFit="1" customWidth="1"/>
    <col min="11" max="11" width="14.5703125" customWidth="1"/>
    <col min="12" max="12" width="12" bestFit="1" customWidth="1"/>
    <col min="13" max="13" width="28.140625" bestFit="1" customWidth="1"/>
    <col min="14" max="14" width="37.42578125" bestFit="1" customWidth="1"/>
    <col min="15" max="15" width="10" bestFit="1" customWidth="1"/>
    <col min="16" max="16" width="13.42578125" bestFit="1" customWidth="1"/>
  </cols>
  <sheetData>
    <row r="2" spans="2:6">
      <c r="B2" s="179" t="s">
        <v>43</v>
      </c>
      <c r="C2" s="180" t="s">
        <v>56</v>
      </c>
    </row>
    <row r="3" spans="2:6">
      <c r="B3" s="178" t="str" cm="1">
        <f t="array" ref="B3:B7">IF($F$11,$E$14:$E$18,ROSE[Heizvariante])</f>
        <v>Gas</v>
      </c>
      <c r="C3" s="8" cm="1">
        <f t="array" ref="C3:C7">IF($F$11,$F$14:$F$18,ROSE[CO₂ Äquivalent nach 20 Jahren])</f>
        <v>289864</v>
      </c>
    </row>
    <row r="4" spans="2:6">
      <c r="B4" s="178" t="str">
        <v>Fernwärme</v>
      </c>
      <c r="C4" s="8">
        <v>187211</v>
      </c>
    </row>
    <row r="5" spans="2:6">
      <c r="B5" s="178" t="str">
        <v>Luft-Wasser</v>
      </c>
      <c r="C5" s="8">
        <v>126356</v>
      </c>
    </row>
    <row r="6" spans="2:6">
      <c r="B6" s="178" t="str">
        <v>Sole-Wasser</v>
      </c>
      <c r="C6" s="8">
        <v>119645</v>
      </c>
    </row>
    <row r="7" spans="2:6" ht="15" customHeight="1">
      <c r="B7" s="181" t="str">
        <v>Pelets</v>
      </c>
      <c r="C7" s="11">
        <v>0</v>
      </c>
    </row>
    <row r="8" spans="2:6" ht="15" customHeight="1"/>
    <row r="11" spans="2:6" ht="21">
      <c r="B11" s="386" t="s">
        <v>57</v>
      </c>
      <c r="C11" s="386"/>
      <c r="E11" s="386" t="s">
        <v>58</v>
      </c>
      <c r="F11" s="386" t="b">
        <v>1</v>
      </c>
    </row>
    <row r="13" spans="2:6">
      <c r="B13" t="s">
        <v>43</v>
      </c>
      <c r="C13" t="s">
        <v>56</v>
      </c>
      <c r="E13" s="135" t="s">
        <v>43</v>
      </c>
      <c r="F13" s="131" t="s">
        <v>56</v>
      </c>
    </row>
    <row r="14" spans="2:6">
      <c r="B14" t="s">
        <v>60</v>
      </c>
      <c r="C14">
        <v>3158000</v>
      </c>
      <c r="E14" s="132" t="s">
        <v>44</v>
      </c>
      <c r="F14" s="8">
        <v>289864</v>
      </c>
    </row>
    <row r="15" spans="2:6">
      <c r="B15" t="s">
        <v>61</v>
      </c>
      <c r="C15">
        <v>1347000</v>
      </c>
      <c r="E15" s="133" t="s">
        <v>60</v>
      </c>
      <c r="F15" s="8">
        <v>187211</v>
      </c>
    </row>
    <row r="16" spans="2:6">
      <c r="E16" s="133" t="s">
        <v>59</v>
      </c>
      <c r="F16" s="8">
        <v>126356</v>
      </c>
    </row>
    <row r="17" spans="5:6">
      <c r="E17" s="133" t="s">
        <v>61</v>
      </c>
      <c r="F17" s="8">
        <v>119645</v>
      </c>
    </row>
    <row r="18" spans="5:6">
      <c r="E18" s="134" t="s">
        <v>62</v>
      </c>
      <c r="F18" s="11">
        <v>0</v>
      </c>
    </row>
  </sheetData>
  <mergeCells count="2">
    <mergeCell ref="E11:F11"/>
    <mergeCell ref="B11:C11"/>
  </mergeCells>
  <phoneticPr fontId="11" type="noConversion"/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5</xdr:col>
                    <xdr:colOff>790575</xdr:colOff>
                    <xdr:row>10</xdr:row>
                    <xdr:rowOff>28575</xdr:rowOff>
                  </from>
                  <to>
                    <xdr:col>5</xdr:col>
                    <xdr:colOff>1371600</xdr:colOff>
                    <xdr:row>10</xdr:row>
                    <xdr:rowOff>247650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C628-52BA-4F0A-AE11-221D6ED67168}">
  <sheetPr codeName="Tabelle5"/>
  <dimension ref="B2:T84"/>
  <sheetViews>
    <sheetView topLeftCell="A35" zoomScale="70" zoomScaleNormal="70" workbookViewId="0">
      <selection activeCell="P59" sqref="P59"/>
    </sheetView>
  </sheetViews>
  <sheetFormatPr baseColWidth="10" defaultColWidth="11.42578125" defaultRowHeight="15"/>
  <cols>
    <col min="1" max="1" width="4.5703125" customWidth="1"/>
    <col min="5" max="5" width="14.85546875" bestFit="1" customWidth="1"/>
    <col min="6" max="6" width="14.5703125" customWidth="1"/>
    <col min="7" max="7" width="13" customWidth="1"/>
    <col min="8" max="8" width="27.5703125" customWidth="1"/>
    <col min="9" max="9" width="12.85546875" customWidth="1"/>
    <col min="10" max="10" width="17" customWidth="1"/>
  </cols>
  <sheetData>
    <row r="2" spans="2:20">
      <c r="B2" s="396" t="s">
        <v>8</v>
      </c>
      <c r="C2" s="397"/>
      <c r="D2" s="397"/>
      <c r="E2" s="397"/>
      <c r="F2" s="398"/>
      <c r="H2" s="393" t="s">
        <v>7</v>
      </c>
      <c r="I2" s="394"/>
      <c r="J2" s="394"/>
      <c r="K2" s="394"/>
      <c r="L2" s="395"/>
      <c r="O2" t="s">
        <v>63</v>
      </c>
    </row>
    <row r="3" spans="2:20">
      <c r="B3" s="7" t="s">
        <v>25</v>
      </c>
      <c r="E3" s="99">
        <f>Gesamtauswertung!I9</f>
        <v>10</v>
      </c>
      <c r="F3" s="8" t="s">
        <v>26</v>
      </c>
      <c r="H3" s="9" t="s">
        <v>10</v>
      </c>
      <c r="I3" s="10"/>
      <c r="J3" s="10"/>
      <c r="K3" s="10">
        <f>Gesamtauswertung!I5</f>
        <v>3000</v>
      </c>
      <c r="L3" s="11" t="s">
        <v>64</v>
      </c>
      <c r="O3" t="s">
        <v>65</v>
      </c>
      <c r="P3">
        <f>'Transport Kennzahlen'!Q3</f>
        <v>2400</v>
      </c>
      <c r="Q3" t="s">
        <v>66</v>
      </c>
    </row>
    <row r="4" spans="2:20">
      <c r="B4" s="7" t="s">
        <v>1173</v>
      </c>
      <c r="E4" s="99">
        <f>Gesamtauswertung!I10</f>
        <v>500</v>
      </c>
      <c r="F4" s="8" t="s">
        <v>26</v>
      </c>
      <c r="O4" t="s">
        <v>67</v>
      </c>
      <c r="P4">
        <v>0.224</v>
      </c>
      <c r="Q4" t="s">
        <v>68</v>
      </c>
      <c r="R4" s="3" t="s">
        <v>69</v>
      </c>
    </row>
    <row r="5" spans="2:20">
      <c r="B5" s="7"/>
      <c r="F5" s="8"/>
    </row>
    <row r="6" spans="2:20">
      <c r="B6" s="9" t="s">
        <v>70</v>
      </c>
      <c r="C6" s="10"/>
      <c r="D6" s="10"/>
      <c r="E6" s="10">
        <f>2*PI()*SQRT(K3/(PI()*E3))</f>
        <v>61.399602476789305</v>
      </c>
      <c r="F6" s="11" t="s">
        <v>26</v>
      </c>
      <c r="H6" s="390" t="s">
        <v>71</v>
      </c>
      <c r="I6" s="391"/>
      <c r="J6" s="391"/>
      <c r="K6" s="391"/>
      <c r="L6" s="392"/>
      <c r="O6" t="s">
        <v>7</v>
      </c>
    </row>
    <row r="7" spans="2:20">
      <c r="H7" s="7" t="s">
        <v>72</v>
      </c>
      <c r="K7">
        <f>Gesamtauswertung!$I$6</f>
        <v>50</v>
      </c>
      <c r="L7" s="8" t="s">
        <v>16</v>
      </c>
      <c r="O7" t="s">
        <v>65</v>
      </c>
      <c r="P7">
        <v>1400</v>
      </c>
      <c r="Q7" t="s">
        <v>73</v>
      </c>
      <c r="R7" s="3" t="s">
        <v>74</v>
      </c>
    </row>
    <row r="8" spans="2:20">
      <c r="H8" s="7"/>
      <c r="L8" s="8"/>
    </row>
    <row r="9" spans="2:20">
      <c r="B9" s="387" t="s">
        <v>75</v>
      </c>
      <c r="C9" s="388"/>
      <c r="D9" s="388"/>
      <c r="E9" s="388"/>
      <c r="F9" s="389"/>
      <c r="H9" s="109" t="s">
        <v>7</v>
      </c>
      <c r="I9" s="110"/>
      <c r="J9" s="110"/>
      <c r="K9" s="110">
        <f>(K3*P7)/('Transport Kennzahlen'!F15*BauGrube!K7*'Transport Kennzahlen'!E20*2)</f>
        <v>2943.3226433490281</v>
      </c>
      <c r="L9" s="111" t="s">
        <v>20</v>
      </c>
      <c r="O9" t="s">
        <v>76</v>
      </c>
      <c r="R9">
        <v>100</v>
      </c>
      <c r="S9" t="s">
        <v>77</v>
      </c>
      <c r="T9" s="3" t="s">
        <v>78</v>
      </c>
    </row>
    <row r="10" spans="2:20">
      <c r="B10" s="7"/>
      <c r="E10" s="254"/>
      <c r="F10" s="8"/>
      <c r="K10" t="s">
        <v>79</v>
      </c>
    </row>
    <row r="11" spans="2:20">
      <c r="B11" s="7" t="s">
        <v>80</v>
      </c>
      <c r="E11" s="99">
        <v>1</v>
      </c>
      <c r="F11" s="8" t="s">
        <v>81</v>
      </c>
      <c r="G11" t="s">
        <v>82</v>
      </c>
    </row>
    <row r="12" spans="2:20">
      <c r="B12" s="7" t="s">
        <v>83</v>
      </c>
      <c r="E12" s="44">
        <v>19</v>
      </c>
      <c r="F12" s="8" t="s">
        <v>84</v>
      </c>
      <c r="G12" t="s">
        <v>85</v>
      </c>
    </row>
    <row r="13" spans="2:20">
      <c r="B13" s="7" t="s">
        <v>86</v>
      </c>
      <c r="E13" s="44">
        <f>((E11^2*PI())/4)*E3*E12</f>
        <v>149.22565104551518</v>
      </c>
      <c r="F13" s="8" t="s">
        <v>87</v>
      </c>
    </row>
    <row r="14" spans="2:20">
      <c r="B14" s="7"/>
      <c r="F14" s="8"/>
      <c r="H14" s="387" t="s">
        <v>88</v>
      </c>
      <c r="I14" s="388"/>
      <c r="J14" s="388"/>
      <c r="K14" s="388"/>
      <c r="L14" s="389"/>
    </row>
    <row r="15" spans="2:20">
      <c r="B15" s="7"/>
      <c r="F15" s="8"/>
      <c r="H15" s="7"/>
      <c r="L15" s="8"/>
    </row>
    <row r="16" spans="2:20">
      <c r="B16" s="103" t="s">
        <v>89</v>
      </c>
      <c r="C16" s="41"/>
      <c r="D16" s="41"/>
      <c r="E16" s="41">
        <f>E13*P3</f>
        <v>358141.56250923645</v>
      </c>
      <c r="F16" s="104" t="s">
        <v>90</v>
      </c>
      <c r="H16" s="7" t="s">
        <v>91</v>
      </c>
      <c r="K16">
        <v>3</v>
      </c>
      <c r="L16" s="8" t="s">
        <v>26</v>
      </c>
    </row>
    <row r="17" spans="2:18">
      <c r="B17" s="7" t="s">
        <v>92</v>
      </c>
      <c r="E17" s="86">
        <f>(E16/'Transport Kennzahlen'!$D$5)*'Transport Kennzahlen'!$E$10</f>
        <v>12.682581492607515</v>
      </c>
      <c r="F17" s="8" t="s">
        <v>93</v>
      </c>
      <c r="H17" s="7" t="s">
        <v>94</v>
      </c>
      <c r="K17">
        <v>11</v>
      </c>
      <c r="L17" s="8" t="s">
        <v>84</v>
      </c>
      <c r="R17" t="s">
        <v>1160</v>
      </c>
    </row>
    <row r="18" spans="2:18">
      <c r="B18" s="9" t="s">
        <v>95</v>
      </c>
      <c r="C18" s="10"/>
      <c r="D18" s="10"/>
      <c r="E18" s="108">
        <f>E16*P4</f>
        <v>80223.710002068969</v>
      </c>
      <c r="F18" s="11" t="s">
        <v>20</v>
      </c>
      <c r="H18" s="7" t="s">
        <v>86</v>
      </c>
      <c r="K18" s="44">
        <f>IF(N23=2,K28,K24)</f>
        <v>777.54418176347383</v>
      </c>
      <c r="L18" s="8" t="s">
        <v>87</v>
      </c>
      <c r="R18" t="s">
        <v>1037</v>
      </c>
    </row>
    <row r="19" spans="2:18">
      <c r="H19" s="7"/>
      <c r="L19" s="8"/>
    </row>
    <row r="20" spans="2:18">
      <c r="B20" s="399" t="s">
        <v>96</v>
      </c>
      <c r="C20" s="400"/>
      <c r="D20" s="400"/>
      <c r="E20" s="400"/>
      <c r="F20" s="401"/>
      <c r="H20" s="402" t="s">
        <v>97</v>
      </c>
      <c r="I20" s="403"/>
      <c r="J20" s="403"/>
      <c r="K20" s="403"/>
      <c r="L20" s="404"/>
    </row>
    <row r="21" spans="2:18">
      <c r="B21" s="7" t="s">
        <v>98</v>
      </c>
      <c r="E21">
        <v>100</v>
      </c>
      <c r="F21" s="8" t="s">
        <v>77</v>
      </c>
      <c r="H21" s="236" t="s">
        <v>99</v>
      </c>
      <c r="I21" s="235"/>
      <c r="J21" s="20" t="s">
        <v>100</v>
      </c>
      <c r="L21" s="8"/>
    </row>
    <row r="22" spans="2:18">
      <c r="B22" s="7"/>
      <c r="F22" s="8"/>
      <c r="H22" s="7" t="s">
        <v>101</v>
      </c>
      <c r="L22" s="8"/>
    </row>
    <row r="23" spans="2:18">
      <c r="B23" s="105" t="s">
        <v>102</v>
      </c>
      <c r="C23" s="106"/>
      <c r="D23" s="106"/>
      <c r="E23" s="106">
        <f>E4*E3*E21</f>
        <v>500000</v>
      </c>
      <c r="F23" s="107" t="s">
        <v>90</v>
      </c>
      <c r="H23" s="7" t="s">
        <v>103</v>
      </c>
      <c r="L23" s="8"/>
      <c r="N23" s="277">
        <v>1</v>
      </c>
    </row>
    <row r="24" spans="2:18">
      <c r="B24" s="9" t="s">
        <v>92</v>
      </c>
      <c r="C24" s="10"/>
      <c r="D24" s="10"/>
      <c r="E24" s="108">
        <f>(E23/'Transport Kennzahlen'!D25*'Transport Kennzahlen'!E30*2)</f>
        <v>92.749999999999446</v>
      </c>
      <c r="F24" s="11" t="s">
        <v>93</v>
      </c>
      <c r="H24" s="7" t="s">
        <v>100</v>
      </c>
      <c r="J24" t="s">
        <v>10</v>
      </c>
      <c r="K24" s="44">
        <f>IF(J21=Tabelle7[[#This Row],[1/4 Kreis]],((K16^2*PI())/4)*E3*K17, IF(J21=Tabelle7[[#Headers],[1/4 Kreis]], (((K16^2*PI())/4)*E3*K17)/2, ((K16^2*PI())/4)*E3*K17)/2)</f>
        <v>777.54418176347383</v>
      </c>
      <c r="L24" s="8" t="s">
        <v>87</v>
      </c>
      <c r="N24" s="237"/>
    </row>
    <row r="25" spans="2:18">
      <c r="B25" t="s">
        <v>104</v>
      </c>
      <c r="H25" s="402" t="s">
        <v>105</v>
      </c>
      <c r="I25" s="403"/>
      <c r="J25" s="403"/>
      <c r="K25" s="403"/>
      <c r="L25" s="404"/>
      <c r="M25" t="s">
        <v>1176</v>
      </c>
    </row>
    <row r="26" spans="2:18">
      <c r="H26" s="7" t="s">
        <v>106</v>
      </c>
      <c r="I26">
        <v>20</v>
      </c>
      <c r="J26" t="s">
        <v>26</v>
      </c>
      <c r="L26" s="8"/>
    </row>
    <row r="27" spans="2:18">
      <c r="H27" s="7" t="s">
        <v>107</v>
      </c>
      <c r="I27">
        <v>10</v>
      </c>
      <c r="J27" t="s">
        <v>26</v>
      </c>
      <c r="L27" s="8"/>
    </row>
    <row r="28" spans="2:18">
      <c r="H28" s="7"/>
      <c r="J28" t="s">
        <v>108</v>
      </c>
      <c r="K28">
        <f>I26*I27*E3</f>
        <v>2000</v>
      </c>
      <c r="L28" s="8" t="s">
        <v>87</v>
      </c>
    </row>
    <row r="29" spans="2:18">
      <c r="H29" s="402" t="s">
        <v>109</v>
      </c>
      <c r="I29" s="403"/>
      <c r="J29" s="403"/>
      <c r="K29" s="403"/>
      <c r="L29" s="404"/>
    </row>
    <row r="30" spans="2:18">
      <c r="H30" s="103" t="s">
        <v>89</v>
      </c>
      <c r="I30" s="41"/>
      <c r="J30" s="41"/>
      <c r="K30" s="41">
        <f>K18*P3</f>
        <v>1866106.0362323371</v>
      </c>
      <c r="L30" s="104" t="s">
        <v>90</v>
      </c>
    </row>
    <row r="31" spans="2:18">
      <c r="H31" s="7" t="s">
        <v>110</v>
      </c>
      <c r="J31" s="86">
        <f>(K30/('Transport Kennzahlen'!$D$5*'Transport Kennzahlen'!$E$10))</f>
        <v>186.70881245858803</v>
      </c>
      <c r="K31" s="8" t="s">
        <v>93</v>
      </c>
      <c r="L31" s="8"/>
    </row>
    <row r="32" spans="2:18">
      <c r="H32" s="9" t="s">
        <v>95</v>
      </c>
      <c r="I32" s="10"/>
      <c r="J32" s="10">
        <f>K30*P4</f>
        <v>418007.75211604353</v>
      </c>
      <c r="K32" s="10" t="s">
        <v>20</v>
      </c>
      <c r="L32" s="11"/>
    </row>
    <row r="34" spans="2:14">
      <c r="B34" s="390" t="s">
        <v>111</v>
      </c>
      <c r="C34" s="391"/>
      <c r="D34" s="391"/>
      <c r="E34" s="391"/>
      <c r="F34" s="392"/>
    </row>
    <row r="35" spans="2:14">
      <c r="B35" s="7" t="s">
        <v>112</v>
      </c>
      <c r="E35" s="102">
        <v>45</v>
      </c>
      <c r="F35" s="166" t="s">
        <v>113</v>
      </c>
      <c r="G35" t="s">
        <v>114</v>
      </c>
    </row>
    <row r="36" spans="2:14">
      <c r="B36" s="7"/>
      <c r="F36" s="8"/>
    </row>
    <row r="37" spans="2:14">
      <c r="B37" s="105" t="s">
        <v>115</v>
      </c>
      <c r="C37" s="106"/>
      <c r="D37" s="106"/>
      <c r="E37" s="106">
        <f>((E3^2)/(2*TAN(RADIANS(E35)))*(IF(K44=TRUE,N42,E4))*P7)</f>
        <v>35448000.000000007</v>
      </c>
      <c r="F37" s="107" t="s">
        <v>116</v>
      </c>
      <c r="G37" t="s">
        <v>117</v>
      </c>
    </row>
    <row r="38" spans="2:14">
      <c r="B38" s="9" t="s">
        <v>92</v>
      </c>
      <c r="C38" s="10"/>
      <c r="D38" s="10"/>
      <c r="E38" s="108">
        <f>E37/('Transport Kennzahlen'!$D$5*'Transport Kennzahlen'!$E$10*2)</f>
        <v>1773.3327730386291</v>
      </c>
      <c r="F38" s="11" t="s">
        <v>93</v>
      </c>
    </row>
    <row r="39" spans="2:14">
      <c r="B39" t="s">
        <v>118</v>
      </c>
    </row>
    <row r="41" spans="2:14">
      <c r="K41" s="2" t="s">
        <v>1177</v>
      </c>
    </row>
    <row r="42" spans="2:14">
      <c r="B42" s="232" t="s">
        <v>119</v>
      </c>
      <c r="C42" s="233"/>
      <c r="D42" s="233"/>
      <c r="E42" s="233"/>
      <c r="F42" s="234"/>
      <c r="L42" t="s">
        <v>1159</v>
      </c>
      <c r="N42">
        <f>E4+8*0.8</f>
        <v>506.4</v>
      </c>
    </row>
    <row r="43" spans="2:14">
      <c r="B43" s="7" t="s">
        <v>120</v>
      </c>
      <c r="E43" s="121">
        <v>0.15</v>
      </c>
      <c r="F43" s="166" t="s">
        <v>26</v>
      </c>
      <c r="G43" t="s">
        <v>121</v>
      </c>
    </row>
    <row r="44" spans="2:14">
      <c r="B44" s="7"/>
      <c r="F44" s="8"/>
      <c r="K44" t="b">
        <v>1</v>
      </c>
    </row>
    <row r="45" spans="2:14">
      <c r="B45" s="105" t="s">
        <v>89</v>
      </c>
      <c r="C45" s="106"/>
      <c r="D45" s="106"/>
      <c r="E45" s="106">
        <f>E3*E4*E43*P3</f>
        <v>1800000</v>
      </c>
      <c r="F45" s="107" t="s">
        <v>116</v>
      </c>
    </row>
    <row r="46" spans="2:14">
      <c r="B46" s="7" t="s">
        <v>92</v>
      </c>
      <c r="E46" s="86">
        <f>(E45/('Transport Kennzahlen'!$D$5*'Transport Kennzahlen'!$E$10))</f>
        <v>180.09472982789052</v>
      </c>
      <c r="F46" s="8" t="s">
        <v>93</v>
      </c>
      <c r="L46" t="s">
        <v>1178</v>
      </c>
    </row>
    <row r="47" spans="2:14">
      <c r="B47" s="9" t="s">
        <v>95</v>
      </c>
      <c r="C47" s="10"/>
      <c r="D47" s="10"/>
      <c r="E47" s="108">
        <f>E45*$P$4</f>
        <v>403200</v>
      </c>
      <c r="F47" s="11" t="s">
        <v>20</v>
      </c>
      <c r="L47" t="s">
        <v>1179</v>
      </c>
    </row>
    <row r="48" spans="2:14">
      <c r="L48" t="s">
        <v>1172</v>
      </c>
    </row>
    <row r="54" spans="2:11">
      <c r="B54" s="390" t="s">
        <v>122</v>
      </c>
      <c r="C54" s="391"/>
      <c r="D54" s="391"/>
      <c r="E54" s="391"/>
      <c r="F54" s="392"/>
      <c r="I54" t="s">
        <v>27</v>
      </c>
      <c r="J54" t="s">
        <v>123</v>
      </c>
    </row>
    <row r="55" spans="2:11">
      <c r="B55" s="7" t="s">
        <v>72</v>
      </c>
      <c r="E55" s="44">
        <f>Gesamtauswertung!$I$12</f>
        <v>100</v>
      </c>
      <c r="F55" s="8" t="s">
        <v>16</v>
      </c>
      <c r="H55" t="str">
        <f>B9</f>
        <v xml:space="preserve">Bohrpfähle </v>
      </c>
      <c r="I55" s="86">
        <f>E17</f>
        <v>12.682581492607515</v>
      </c>
      <c r="J55" s="86">
        <f>E18</f>
        <v>80223.710002068969</v>
      </c>
    </row>
    <row r="56" spans="2:11">
      <c r="B56" s="7"/>
      <c r="F56" s="8"/>
      <c r="H56" t="str">
        <f>B20</f>
        <v>Spundwände</v>
      </c>
      <c r="I56" s="86">
        <f>E24</f>
        <v>92.749999999999446</v>
      </c>
      <c r="J56">
        <v>0</v>
      </c>
    </row>
    <row r="57" spans="2:11">
      <c r="B57" s="112" t="s">
        <v>124</v>
      </c>
      <c r="C57" s="113" t="str">
        <f>Gesamtauswertung!I8</f>
        <v>Böschung</v>
      </c>
      <c r="F57" s="8"/>
      <c r="H57" t="str">
        <f>B34</f>
        <v>Böschung</v>
      </c>
      <c r="I57" s="86">
        <f>E38</f>
        <v>1773.3327730386291</v>
      </c>
      <c r="J57">
        <v>0</v>
      </c>
    </row>
    <row r="58" spans="2:11">
      <c r="B58" s="105" t="s">
        <v>125</v>
      </c>
      <c r="C58" s="106"/>
      <c r="D58" s="106"/>
      <c r="E58" s="114">
        <f>_xlfn.XLOOKUP(C57,H55:H60, I55:I60)*E55</f>
        <v>177333.27730386291</v>
      </c>
      <c r="F58" s="107" t="s">
        <v>20</v>
      </c>
      <c r="H58" s="99" t="s">
        <v>119</v>
      </c>
      <c r="I58" s="368">
        <f>E46</f>
        <v>180.09472982789052</v>
      </c>
      <c r="J58" s="368">
        <f>E47</f>
        <v>403200</v>
      </c>
      <c r="K58" t="s">
        <v>1174</v>
      </c>
    </row>
    <row r="59" spans="2:11">
      <c r="B59" s="109" t="s">
        <v>95</v>
      </c>
      <c r="C59" s="110"/>
      <c r="D59" s="110"/>
      <c r="E59" s="115">
        <f>_xlfn.XLOOKUP(C57,H55:H60, J55:J60)</f>
        <v>0</v>
      </c>
      <c r="F59" s="111" t="s">
        <v>20</v>
      </c>
      <c r="H59" t="s">
        <v>23</v>
      </c>
      <c r="I59" s="86">
        <f>J31</f>
        <v>186.70881245858803</v>
      </c>
      <c r="J59">
        <f>J32</f>
        <v>418007.75211604353</v>
      </c>
    </row>
    <row r="60" spans="2:11">
      <c r="H60" t="s">
        <v>1164</v>
      </c>
      <c r="I60" s="86">
        <f>E69+E75+E80</f>
        <v>1837.0994118054507</v>
      </c>
      <c r="J60" s="86">
        <f>E70+E81</f>
        <v>403247.35008447489</v>
      </c>
      <c r="K60" t="s">
        <v>1175</v>
      </c>
    </row>
    <row r="64" spans="2:11">
      <c r="B64" t="s">
        <v>1163</v>
      </c>
    </row>
    <row r="65" spans="2:10">
      <c r="B65" s="405" t="s">
        <v>119</v>
      </c>
      <c r="C65" s="406"/>
      <c r="D65" s="406"/>
      <c r="E65" s="406"/>
      <c r="F65" s="407"/>
    </row>
    <row r="66" spans="2:10">
      <c r="B66" s="7" t="s">
        <v>120</v>
      </c>
      <c r="E66" s="121">
        <v>0.15</v>
      </c>
      <c r="F66" s="166" t="s">
        <v>26</v>
      </c>
    </row>
    <row r="67" spans="2:10">
      <c r="B67" s="7"/>
      <c r="F67" s="8"/>
    </row>
    <row r="68" spans="2:10">
      <c r="B68" s="105" t="s">
        <v>89</v>
      </c>
      <c r="C68" s="106"/>
      <c r="D68" s="106"/>
      <c r="E68" s="106">
        <f>E3*E4*E66*P3</f>
        <v>1800000</v>
      </c>
      <c r="F68" s="107" t="s">
        <v>116</v>
      </c>
    </row>
    <row r="69" spans="2:10">
      <c r="B69" s="7" t="s">
        <v>92</v>
      </c>
      <c r="E69" s="86">
        <f>(E68/'Transport Kennzahlen'!$D$5)*'Transport Kennzahlen'!$E$10</f>
        <v>63.741964285713905</v>
      </c>
      <c r="F69" s="8" t="s">
        <v>93</v>
      </c>
    </row>
    <row r="70" spans="2:10">
      <c r="B70" s="9" t="s">
        <v>95</v>
      </c>
      <c r="C70" s="10"/>
      <c r="D70" s="10"/>
      <c r="E70" s="108">
        <f>E68*$P$4</f>
        <v>403200</v>
      </c>
      <c r="F70" s="11" t="s">
        <v>20</v>
      </c>
    </row>
    <row r="71" spans="2:10">
      <c r="B71" s="390" t="s">
        <v>111</v>
      </c>
      <c r="C71" s="391"/>
      <c r="D71" s="391"/>
      <c r="E71" s="391"/>
      <c r="F71" s="392"/>
    </row>
    <row r="72" spans="2:10">
      <c r="B72" s="7" t="s">
        <v>112</v>
      </c>
      <c r="E72" s="102">
        <v>45</v>
      </c>
      <c r="F72" s="166" t="s">
        <v>113</v>
      </c>
    </row>
    <row r="73" spans="2:10">
      <c r="B73" s="7"/>
      <c r="F73" s="8"/>
    </row>
    <row r="74" spans="2:10">
      <c r="B74" s="105" t="s">
        <v>115</v>
      </c>
      <c r="C74" s="106"/>
      <c r="D74" s="106"/>
      <c r="E74" s="106">
        <f>((E3^2)/(2*TAN(RADIANS(E72)))*(IF(K44=TRUE,N42,E4))*P7)</f>
        <v>35448000.000000007</v>
      </c>
      <c r="F74" s="107" t="s">
        <v>116</v>
      </c>
    </row>
    <row r="75" spans="2:10">
      <c r="B75" s="9" t="s">
        <v>92</v>
      </c>
      <c r="C75" s="10"/>
      <c r="D75" s="10"/>
      <c r="E75" s="108">
        <f>E74/('Transport Kennzahlen'!$D$5*'Transport Kennzahlen'!$E$10*2)</f>
        <v>1773.3327730386291</v>
      </c>
      <c r="F75" s="11" t="s">
        <v>93</v>
      </c>
    </row>
    <row r="76" spans="2:10">
      <c r="B76" s="387" t="s">
        <v>1165</v>
      </c>
      <c r="C76" s="388"/>
      <c r="D76" s="388"/>
      <c r="E76" s="388"/>
      <c r="F76" s="389"/>
      <c r="G76" s="221"/>
      <c r="H76" s="221" t="s">
        <v>1166</v>
      </c>
      <c r="I76" s="221">
        <v>0.02</v>
      </c>
      <c r="J76" s="221" t="s">
        <v>26</v>
      </c>
    </row>
    <row r="77" spans="2:10">
      <c r="B77" s="366" t="s">
        <v>1168</v>
      </c>
      <c r="C77">
        <v>20</v>
      </c>
      <c r="D77" t="s">
        <v>84</v>
      </c>
      <c r="F77" s="8"/>
      <c r="H77" t="s">
        <v>1167</v>
      </c>
      <c r="I77">
        <v>3.2000000000000001E-2</v>
      </c>
      <c r="J77" t="s">
        <v>81</v>
      </c>
    </row>
    <row r="78" spans="2:10">
      <c r="B78" s="366" t="s">
        <v>1169</v>
      </c>
      <c r="C78">
        <v>5</v>
      </c>
      <c r="D78" t="s">
        <v>26</v>
      </c>
      <c r="F78" s="8"/>
    </row>
    <row r="79" spans="2:10">
      <c r="B79" s="366" t="s">
        <v>10</v>
      </c>
      <c r="C79">
        <f>C77*C78*(((IF(G79=TRUE,I77,I76))/2)^2*PI())</f>
        <v>3.1415926535897934E-2</v>
      </c>
      <c r="D79" t="s">
        <v>87</v>
      </c>
      <c r="F79" s="8"/>
      <c r="G79" s="367" t="b">
        <v>0</v>
      </c>
    </row>
    <row r="80" spans="2:10">
      <c r="B80" s="7" t="s">
        <v>92</v>
      </c>
      <c r="C80" s="5"/>
      <c r="D80" s="5"/>
      <c r="E80" s="5">
        <f>(C79*H80)/('Transport Kennzahlen'!$D$5*'Transport Kennzahlen'!$E$10)</f>
        <v>2.4674481107742695E-2</v>
      </c>
      <c r="F80" s="6" t="s">
        <v>93</v>
      </c>
      <c r="G80" t="s">
        <v>1170</v>
      </c>
      <c r="H80">
        <v>7850</v>
      </c>
      <c r="I80" t="s">
        <v>66</v>
      </c>
    </row>
    <row r="81" spans="2:9">
      <c r="B81" s="9" t="s">
        <v>95</v>
      </c>
      <c r="C81" s="10"/>
      <c r="D81" s="10"/>
      <c r="E81" s="10">
        <f>(C79*H80)*H81</f>
        <v>47.350084474905366</v>
      </c>
      <c r="F81" s="11" t="s">
        <v>20</v>
      </c>
      <c r="G81" t="s">
        <v>1171</v>
      </c>
      <c r="H81">
        <v>0.192</v>
      </c>
      <c r="I81" t="s">
        <v>68</v>
      </c>
    </row>
    <row r="84" spans="2:9">
      <c r="F84" s="52"/>
    </row>
  </sheetData>
  <mergeCells count="14">
    <mergeCell ref="B76:F76"/>
    <mergeCell ref="H6:L6"/>
    <mergeCell ref="B9:F9"/>
    <mergeCell ref="H2:L2"/>
    <mergeCell ref="B2:F2"/>
    <mergeCell ref="B20:F20"/>
    <mergeCell ref="H14:L14"/>
    <mergeCell ref="B71:F71"/>
    <mergeCell ref="B54:F54"/>
    <mergeCell ref="H25:L25"/>
    <mergeCell ref="H20:L20"/>
    <mergeCell ref="H29:L29"/>
    <mergeCell ref="B34:F34"/>
    <mergeCell ref="B65:F65"/>
  </mergeCells>
  <conditionalFormatting sqref="H21:L24">
    <cfRule type="expression" dxfId="32" priority="2">
      <formula>$N$23=2</formula>
    </cfRule>
    <cfRule type="expression" dxfId="31" priority="4">
      <formula>$N$23=2</formula>
    </cfRule>
  </conditionalFormatting>
  <conditionalFormatting sqref="H26:L28">
    <cfRule type="expression" dxfId="30" priority="1">
      <formula>$N$23=1</formula>
    </cfRule>
    <cfRule type="expression" dxfId="29" priority="5">
      <formula>$N$23=1</formula>
    </cfRule>
  </conditionalFormatting>
  <dataValidations count="1">
    <dataValidation type="list" allowBlank="1" showInputMessage="1" showErrorMessage="1" sqref="J21" xr:uid="{002EA934-33E8-4A7E-9D36-57B0AC6D8504}">
      <formula1>$H$22:$H$24</formula1>
    </dataValidation>
  </dataValidations>
  <hyperlinks>
    <hyperlink ref="R7" r:id="rId1" xr:uid="{BC4C6F31-4A25-4EF1-9675-39295EFDC88B}"/>
    <hyperlink ref="R4" r:id="rId2" xr:uid="{1EB256F4-38F0-4B85-AF0A-62C48273B18D}"/>
    <hyperlink ref="T9" r:id="rId3" xr:uid="{F207D988-E50F-422F-80B2-7940C1076A43}"/>
  </hyperlinks>
  <pageMargins left="0.7" right="0.7" top="0.78740157499999996" bottom="0.78740157499999996" header="0.3" footer="0.3"/>
  <pageSetup paperSize="9"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7" name="Option Button 7">
              <controlPr defaultSize="0" autoFill="0" autoLine="0" autoPict="0">
                <anchor moveWithCells="1">
                  <from>
                    <xdr:col>11</xdr:col>
                    <xdr:colOff>276225</xdr:colOff>
                    <xdr:row>18</xdr:row>
                    <xdr:rowOff>180975</xdr:rowOff>
                  </from>
                  <to>
                    <xdr:col>12</xdr:col>
                    <xdr:colOff>409575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8" name="Option Button 9">
              <controlPr defaultSize="0" autoFill="0" autoLine="0" autoPict="0">
                <anchor moveWithCells="1">
                  <from>
                    <xdr:col>11</xdr:col>
                    <xdr:colOff>295275</xdr:colOff>
                    <xdr:row>24</xdr:row>
                    <xdr:rowOff>0</xdr:rowOff>
                  </from>
                  <to>
                    <xdr:col>12</xdr:col>
                    <xdr:colOff>428625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>
                <anchor moveWithCells="1">
                  <from>
                    <xdr:col>6</xdr:col>
                    <xdr:colOff>123825</xdr:colOff>
                    <xdr:row>75</xdr:row>
                    <xdr:rowOff>180975</xdr:rowOff>
                  </from>
                  <to>
                    <xdr:col>6</xdr:col>
                    <xdr:colOff>476250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>
                <anchor moveWithCells="1">
                  <from>
                    <xdr:col>10</xdr:col>
                    <xdr:colOff>9525</xdr:colOff>
                    <xdr:row>40</xdr:row>
                    <xdr:rowOff>171450</xdr:rowOff>
                  </from>
                  <to>
                    <xdr:col>10</xdr:col>
                    <xdr:colOff>352425</xdr:colOff>
                    <xdr:row>42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4CC-B701-4C06-9FCC-E9127C3DEB67}">
  <sheetPr codeName="Tabelle6"/>
  <dimension ref="A1:P49"/>
  <sheetViews>
    <sheetView topLeftCell="A34" zoomScale="85" zoomScaleNormal="85" workbookViewId="0">
      <selection activeCell="H3" sqref="H3"/>
    </sheetView>
  </sheetViews>
  <sheetFormatPr baseColWidth="10" defaultColWidth="11.42578125" defaultRowHeight="15" outlineLevelCol="1"/>
  <cols>
    <col min="1" max="1" width="75.42578125" bestFit="1" customWidth="1"/>
    <col min="2" max="2" width="20.140625" bestFit="1" customWidth="1"/>
    <col min="3" max="3" width="23.28515625" bestFit="1" customWidth="1"/>
    <col min="4" max="4" width="9.28515625" bestFit="1" customWidth="1"/>
    <col min="5" max="5" width="12.28515625" bestFit="1" customWidth="1"/>
    <col min="6" max="6" width="10.28515625" hidden="1" customWidth="1" outlineLevel="1"/>
    <col min="7" max="7" width="14.85546875" bestFit="1" customWidth="1" collapsed="1"/>
    <col min="8" max="8" width="14.5703125" bestFit="1" customWidth="1"/>
    <col min="9" max="9" width="33.140625" bestFit="1" customWidth="1"/>
    <col min="10" max="10" width="10.28515625" hidden="1" customWidth="1" outlineLevel="1"/>
    <col min="11" max="11" width="10.28515625" customWidth="1" collapsed="1"/>
    <col min="12" max="12" width="12.28515625" bestFit="1" customWidth="1"/>
    <col min="18" max="18" width="13" customWidth="1"/>
  </cols>
  <sheetData>
    <row r="1" spans="1:16">
      <c r="A1" t="s">
        <v>29</v>
      </c>
      <c r="B1" t="s">
        <v>126</v>
      </c>
      <c r="C1" t="s">
        <v>127</v>
      </c>
      <c r="D1" t="s">
        <v>65</v>
      </c>
      <c r="E1" t="s">
        <v>3</v>
      </c>
      <c r="F1" t="s">
        <v>128</v>
      </c>
      <c r="G1" t="s">
        <v>129</v>
      </c>
      <c r="H1" t="s">
        <v>130</v>
      </c>
      <c r="I1" t="s">
        <v>2</v>
      </c>
      <c r="J1" t="s">
        <v>131</v>
      </c>
    </row>
    <row r="2" spans="1:16">
      <c r="A2" t="s">
        <v>1246</v>
      </c>
      <c r="B2">
        <v>2473.17</v>
      </c>
      <c r="C2">
        <v>164.87799999999999</v>
      </c>
      <c r="D2">
        <v>15</v>
      </c>
      <c r="E2">
        <v>721685.9</v>
      </c>
      <c r="F2" s="96" t="e">
        <f>#REF!/#REF!</f>
        <v>#REF!</v>
      </c>
      <c r="G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2.2899722222222221</v>
      </c>
      <c r="H2" s="44">
        <f>Gesamtauswertung!$D$9</f>
        <v>100</v>
      </c>
      <c r="I2">
        <f>'Transport Kennzahlen'!$E$30*Materialien_ex_beton_und_Fenster[[#This Row],[LKW-Fahrten]]*Materialien_ex_beton_und_Fenster[[#This Row],[Distanz '[km']]]</f>
        <v>212.39492361110985</v>
      </c>
      <c r="J2" s="96">
        <f>Materialien_ex_beton_und_Fenster[[#This Row],[Transportemissionen '[kgCO2 eq.']]]/Materialien_ex_beton_und_Fenster[[#Totals],[Transportemissionen '[kgCO2 eq.']]]</f>
        <v>6.0028215409294074E-3</v>
      </c>
      <c r="L2" t="s">
        <v>132</v>
      </c>
    </row>
    <row r="3" spans="1:16">
      <c r="A3" t="s">
        <v>1247</v>
      </c>
      <c r="B3">
        <v>7655.5</v>
      </c>
      <c r="C3">
        <v>7.2910000000000004</v>
      </c>
      <c r="D3">
        <v>1050</v>
      </c>
      <c r="E3">
        <v>721685.9</v>
      </c>
      <c r="F3" s="96" t="e">
        <f>#REF!/#REF!</f>
        <v>#REF!</v>
      </c>
      <c r="G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0.9569375</v>
      </c>
      <c r="H3" s="44">
        <f>Gesamtauswertung!$D$9</f>
        <v>100</v>
      </c>
      <c r="I3">
        <f>'Transport Kennzahlen'!$E$30*Materialien_ex_beton_und_Fenster[[#This Row],[LKW-Fahrten]]*Materialien_ex_beton_und_Fenster[[#This Row],[Distanz '[km']]]</f>
        <v>88.755953124999465</v>
      </c>
      <c r="J3" s="96">
        <f>Materialien_ex_beton_und_Fenster[[#This Row],[Transportemissionen '[kgCO2 eq.']]]/Materialien_ex_beton_und_Fenster[[#Totals],[Transportemissionen '[kgCO2 eq.']]]</f>
        <v>2.5084693091817324E-3</v>
      </c>
      <c r="L3" s="100">
        <f>Gesamtauswertung!D8/100</f>
        <v>0.8</v>
      </c>
      <c r="O3">
        <f>E2/B2</f>
        <v>291.80602223057855</v>
      </c>
    </row>
    <row r="4" spans="1:16">
      <c r="A4" t="s">
        <v>1248</v>
      </c>
      <c r="B4">
        <v>51524.38</v>
      </c>
      <c r="C4">
        <v>103.04900000000001</v>
      </c>
      <c r="D4">
        <v>500</v>
      </c>
      <c r="E4">
        <v>559584.14399999997</v>
      </c>
      <c r="F4" s="96" t="e">
        <f>#REF!/#REF!</f>
        <v>#REF!</v>
      </c>
      <c r="G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6.4405475000000001</v>
      </c>
      <c r="H4" s="44">
        <f>Gesamtauswertung!$D$9</f>
        <v>100</v>
      </c>
      <c r="I4">
        <f>'Transport Kennzahlen'!$E$30*Materialien_ex_beton_und_Fenster[[#This Row],[LKW-Fahrten]]*Materialien_ex_beton_und_Fenster[[#This Row],[Distanz '[km']]]</f>
        <v>597.36078062499644</v>
      </c>
      <c r="J4" s="96">
        <f>Materialien_ex_beton_und_Fenster[[#This Row],[Transportemissionen '[kgCO2 eq.']]]/Materialien_ex_beton_und_Fenster[[#Totals],[Transportemissionen '[kgCO2 eq.']]]</f>
        <v>1.6882937222208488E-2</v>
      </c>
    </row>
    <row r="5" spans="1:16">
      <c r="A5" t="s">
        <v>1258</v>
      </c>
      <c r="B5">
        <v>42688.22</v>
      </c>
      <c r="C5">
        <v>85.376000000000005</v>
      </c>
      <c r="D5">
        <v>500</v>
      </c>
      <c r="E5">
        <v>314210.93800000002</v>
      </c>
      <c r="F5" s="96" t="e">
        <f>#REF!/#REF!</f>
        <v>#REF!</v>
      </c>
      <c r="G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5.3360275000000001</v>
      </c>
      <c r="H5" s="44">
        <f>Gesamtauswertung!$D$9</f>
        <v>100</v>
      </c>
      <c r="I5">
        <f>'Transport Kennzahlen'!$E$30*Materialien_ex_beton_und_Fenster[[#This Row],[LKW-Fahrten]]*Materialien_ex_beton_und_Fenster[[#This Row],[Distanz '[km']]]</f>
        <v>494.91655062499706</v>
      </c>
      <c r="J5" s="96">
        <f>Materialien_ex_beton_und_Fenster[[#This Row],[Transportemissionen '[kgCO2 eq.']]]/Materialien_ex_beton_und_Fenster[[#Totals],[Transportemissionen '[kgCO2 eq.']]]</f>
        <v>1.3987602342576948E-2</v>
      </c>
    </row>
    <row r="6" spans="1:16">
      <c r="A6" t="s">
        <v>1245</v>
      </c>
      <c r="B6">
        <v>6182.92</v>
      </c>
      <c r="C6">
        <v>4.1219999999999999</v>
      </c>
      <c r="D6">
        <v>1500</v>
      </c>
      <c r="E6">
        <v>47853.3266</v>
      </c>
      <c r="F6" s="96" t="e">
        <f>#REF!/#REF!</f>
        <v>#REF!</v>
      </c>
      <c r="G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0.77286499999999991</v>
      </c>
      <c r="H6" s="44">
        <f>Gesamtauswertung!$D$9</f>
        <v>100</v>
      </c>
      <c r="I6">
        <f>'Transport Kennzahlen'!$E$30*Materialien_ex_beton_und_Fenster[[#This Row],[LKW-Fahrten]]*Materialien_ex_beton_und_Fenster[[#This Row],[Distanz '[km']]]</f>
        <v>71.683228749999557</v>
      </c>
      <c r="J6" s="96">
        <f>Materialien_ex_beton_und_Fenster[[#This Row],[Transportemissionen '[kgCO2 eq.']]]/Materialien_ex_beton_und_Fenster[[#Totals],[Transportemissionen '[kgCO2 eq.']]]</f>
        <v>2.0259506317191448E-3</v>
      </c>
      <c r="L6" t="s">
        <v>133</v>
      </c>
    </row>
    <row r="7" spans="1:16">
      <c r="A7" t="s">
        <v>1261</v>
      </c>
      <c r="B7">
        <v>6121.08</v>
      </c>
      <c r="C7">
        <v>61.210999999999999</v>
      </c>
      <c r="D7">
        <v>100</v>
      </c>
      <c r="E7">
        <v>39970.296000000002</v>
      </c>
      <c r="F7" s="96" t="e">
        <f>#REF!/#REF!</f>
        <v>#REF!</v>
      </c>
      <c r="G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0.85015277777777776</v>
      </c>
      <c r="H7" s="44">
        <f>Gesamtauswertung!$D$9</f>
        <v>100</v>
      </c>
      <c r="I7">
        <f>'Transport Kennzahlen'!$E$30*Materialien_ex_beton_und_Fenster[[#This Row],[LKW-Fahrten]]*Materialien_ex_beton_und_Fenster[[#This Row],[Distanz '[km']]]</f>
        <v>78.851670138888423</v>
      </c>
      <c r="J7" s="96">
        <f>Materialien_ex_beton_und_Fenster[[#This Row],[Transportemissionen '[kgCO2 eq.']]]/Materialien_ex_beton_und_Fenster[[#Totals],[Transportemissionen '[kgCO2 eq.']]]</f>
        <v>2.2285490443954316E-3</v>
      </c>
    </row>
    <row r="8" spans="1:16">
      <c r="A8" t="s">
        <v>1242</v>
      </c>
      <c r="B8">
        <v>436.93</v>
      </c>
      <c r="C8">
        <v>0.41199999999999998</v>
      </c>
      <c r="D8">
        <v>1061</v>
      </c>
      <c r="E8">
        <v>15544.003999999999</v>
      </c>
      <c r="F8" s="96" t="e">
        <f>#REF!/#REF!</f>
        <v>#REF!</v>
      </c>
      <c r="G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5.4616250000000005E-2</v>
      </c>
      <c r="H8" s="44">
        <f>Gesamtauswertung!$D$9</f>
        <v>100</v>
      </c>
      <c r="I8">
        <f>'Transport Kennzahlen'!$E$30*Materialien_ex_beton_und_Fenster[[#This Row],[LKW-Fahrten]]*Materialien_ex_beton_und_Fenster[[#This Row],[Distanz '[km']]]</f>
        <v>5.0656571874999701</v>
      </c>
      <c r="J8" s="96">
        <f>Materialien_ex_beton_und_Fenster[[#This Row],[Transportemissionen '[kgCO2 eq.']]]/Materialien_ex_beton_und_Fenster[[#Totals],[Transportemissionen '[kgCO2 eq.']]]</f>
        <v>1.4316837505855588E-4</v>
      </c>
      <c r="L8" t="s">
        <v>729</v>
      </c>
    </row>
    <row r="9" spans="1:16">
      <c r="A9" t="s">
        <v>1243</v>
      </c>
      <c r="B9">
        <v>263.8</v>
      </c>
      <c r="C9">
        <v>0.41199999999999998</v>
      </c>
      <c r="D9">
        <v>640</v>
      </c>
      <c r="E9">
        <v>45521.725999999995</v>
      </c>
      <c r="F9" s="96" t="e">
        <f>#REF!/#REF!</f>
        <v>#REF!</v>
      </c>
      <c r="G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3.2975000000000004E-2</v>
      </c>
      <c r="H9" s="44">
        <f>Gesamtauswertung!$D$9</f>
        <v>100</v>
      </c>
      <c r="I9">
        <f>'Transport Kennzahlen'!$E$30*Materialien_ex_beton_und_Fenster[[#This Row],[LKW-Fahrten]]*Materialien_ex_beton_und_Fenster[[#This Row],[Distanz '[km']]]</f>
        <v>3.0584312499999822</v>
      </c>
      <c r="J9" s="96">
        <f>Materialien_ex_beton_und_Fenster[[#This Row],[Transportemissionen '[kgCO2 eq.']]]/Materialien_ex_beton_und_Fenster[[#Totals],[Transportemissionen '[kgCO2 eq.']]]</f>
        <v>8.6439057378635118E-5</v>
      </c>
    </row>
    <row r="10" spans="1:16">
      <c r="A10" t="s">
        <v>1241</v>
      </c>
      <c r="B10">
        <v>12984.14</v>
      </c>
      <c r="C10">
        <v>12.366</v>
      </c>
      <c r="D10">
        <v>1050</v>
      </c>
      <c r="E10">
        <v>11102.86</v>
      </c>
      <c r="F10" s="96" t="e">
        <f>#REF!/#REF!</f>
        <v>#REF!</v>
      </c>
      <c r="G1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1.6230175</v>
      </c>
      <c r="H10" s="44">
        <f>Gesamtauswertung!$D$9</f>
        <v>100</v>
      </c>
      <c r="I10">
        <f>'Transport Kennzahlen'!$E$30*Materialien_ex_beton_und_Fenster[[#This Row],[LKW-Fahrten]]*Materialien_ex_beton_und_Fenster[[#This Row],[Distanz '[km']]]</f>
        <v>150.53487312499908</v>
      </c>
      <c r="J10" s="96">
        <f>Materialien_ex_beton_und_Fenster[[#This Row],[Transportemissionen '[kgCO2 eq.']]]/Materialien_ex_beton_und_Fenster[[#Totals],[Transportemissionen '[kgCO2 eq.']]]</f>
        <v>4.2544989479614522E-3</v>
      </c>
      <c r="M10" t="s">
        <v>134</v>
      </c>
      <c r="N10" t="s">
        <v>10</v>
      </c>
      <c r="O10" t="s">
        <v>65</v>
      </c>
      <c r="P10" t="s">
        <v>3</v>
      </c>
    </row>
    <row r="11" spans="1:16">
      <c r="A11" t="s">
        <v>1234</v>
      </c>
      <c r="B11">
        <v>4072.49</v>
      </c>
      <c r="C11">
        <v>177.244</v>
      </c>
      <c r="D11">
        <v>23</v>
      </c>
      <c r="E11">
        <v>403033.81799999997</v>
      </c>
      <c r="F11" s="96" t="e">
        <f>#REF!/#REF!</f>
        <v>#REF!</v>
      </c>
      <c r="G1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2.4617222222222219</v>
      </c>
      <c r="H11" s="44">
        <f>Gesamtauswertung!$D$9</f>
        <v>100</v>
      </c>
      <c r="I11">
        <f>'Transport Kennzahlen'!$E$30*Materialien_ex_beton_und_Fenster[[#This Row],[LKW-Fahrten]]*Materialien_ex_beton_und_Fenster[[#This Row],[Distanz '[km']]]</f>
        <v>228.32473611110973</v>
      </c>
      <c r="J11" s="96">
        <f>Materialien_ex_beton_und_Fenster[[#This Row],[Transportemissionen '[kgCO2 eq.']]]/Materialien_ex_beton_und_Fenster[[#Totals],[Transportemissionen '[kgCO2 eq.']]]</f>
        <v>6.4530386176475437E-3</v>
      </c>
      <c r="L11" t="s">
        <v>49</v>
      </c>
      <c r="M11">
        <v>1592.28</v>
      </c>
      <c r="N11">
        <v>77.671999999999997</v>
      </c>
      <c r="O11">
        <v>21</v>
      </c>
      <c r="P11">
        <v>3884.6486</v>
      </c>
    </row>
    <row r="12" spans="1:16">
      <c r="A12" t="s">
        <v>1235</v>
      </c>
      <c r="B12">
        <v>17326.5</v>
      </c>
      <c r="C12">
        <v>21.658000000000001</v>
      </c>
      <c r="D12">
        <v>800</v>
      </c>
      <c r="E12">
        <v>0</v>
      </c>
      <c r="F12" s="96" t="e">
        <f>#REF!/#REF!</f>
        <v>#REF!</v>
      </c>
      <c r="G1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2.1658124999999999</v>
      </c>
      <c r="H12" s="44">
        <f>Gesamtauswertung!$D$9</f>
        <v>100</v>
      </c>
      <c r="I12">
        <f>'Transport Kennzahlen'!$E$30*Materialien_ex_beton_und_Fenster[[#This Row],[LKW-Fahrten]]*Materialien_ex_beton_und_Fenster[[#This Row],[Distanz '[km']]]</f>
        <v>200.87910937499879</v>
      </c>
      <c r="J12" s="96">
        <f>Materialien_ex_beton_und_Fenster[[#This Row],[Transportemissionen '[kgCO2 eq.']]]/Materialien_ex_beton_und_Fenster[[#Totals],[Transportemissionen '[kgCO2 eq.']]]</f>
        <v>5.677355298221839E-3</v>
      </c>
    </row>
    <row r="13" spans="1:16">
      <c r="A13" t="s">
        <v>1239</v>
      </c>
      <c r="B13">
        <v>7914.14</v>
      </c>
      <c r="C13">
        <v>12.366</v>
      </c>
      <c r="D13">
        <v>640</v>
      </c>
      <c r="E13">
        <v>407474.96200000006</v>
      </c>
      <c r="F13" s="96" t="e">
        <f>#REF!/#REF!</f>
        <v>#REF!</v>
      </c>
      <c r="G1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0.98926750000000008</v>
      </c>
      <c r="H13" s="44">
        <f>Gesamtauswertung!$D$9</f>
        <v>100</v>
      </c>
      <c r="I13">
        <f>'Transport Kennzahlen'!$E$30*Materialien_ex_beton_und_Fenster[[#This Row],[LKW-Fahrten]]*Materialien_ex_beton_und_Fenster[[#This Row],[Distanz '[km']]]</f>
        <v>91.754560624999456</v>
      </c>
      <c r="J13" s="96">
        <f>Materialien_ex_beton_und_Fenster[[#This Row],[Transportemissionen '[kgCO2 eq.']]]/Materialien_ex_beton_und_Fenster[[#Totals],[Transportemissionen '[kgCO2 eq.']]]</f>
        <v>2.5932175950058806E-3</v>
      </c>
      <c r="L13" t="s">
        <v>135</v>
      </c>
    </row>
    <row r="14" spans="1:16">
      <c r="A14" t="s">
        <v>669</v>
      </c>
      <c r="B14">
        <v>335.39</v>
      </c>
      <c r="C14">
        <v>0.745</v>
      </c>
      <c r="D14">
        <v>450</v>
      </c>
      <c r="E14">
        <v>4441.1440000000002</v>
      </c>
      <c r="F14" s="96" t="e">
        <f>#REF!/#REF!</f>
        <v>#REF!</v>
      </c>
      <c r="G1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4.1923749999999996E-2</v>
      </c>
      <c r="H14" s="44">
        <f>Gesamtauswertung!$D$9</f>
        <v>100</v>
      </c>
      <c r="I14">
        <f>'Transport Kennzahlen'!$E$30*Materialien_ex_beton_und_Fenster[[#This Row],[LKW-Fahrten]]*Materialien_ex_beton_und_Fenster[[#This Row],[Distanz '[km']]]</f>
        <v>3.8884278124999763</v>
      </c>
      <c r="J14" s="96">
        <f>Materialien_ex_beton_und_Fenster[[#This Row],[Transportemissionen '[kgCO2 eq.']]]/Materialien_ex_beton_und_Fenster[[#Totals],[Transportemissionen '[kgCO2 eq.']]]</f>
        <v>1.0989687435261722E-4</v>
      </c>
    </row>
    <row r="15" spans="1:16">
      <c r="A15" t="s">
        <v>1259</v>
      </c>
      <c r="B15">
        <v>2515.1799999999998</v>
      </c>
      <c r="C15">
        <v>5.5890000000000004</v>
      </c>
      <c r="D15">
        <v>450</v>
      </c>
      <c r="E15">
        <v>4441.1440000000002</v>
      </c>
      <c r="F15" s="96" t="e">
        <f>#REF!/#REF!</f>
        <v>#REF!</v>
      </c>
      <c r="G1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0.31439749999999994</v>
      </c>
      <c r="H15" s="44">
        <f>Gesamtauswertung!$D$9</f>
        <v>100</v>
      </c>
      <c r="I15">
        <f>'Transport Kennzahlen'!$E$30*Materialien_ex_beton_und_Fenster[[#This Row],[LKW-Fahrten]]*Materialien_ex_beton_und_Fenster[[#This Row],[Distanz '[km']]]</f>
        <v>29.16036812499982</v>
      </c>
      <c r="J15" s="96">
        <f>Materialien_ex_beton_und_Fenster[[#This Row],[Transportemissionen '[kgCO2 eq.']]]/Materialien_ex_beton_und_Fenster[[#Totals],[Transportemissionen '[kgCO2 eq.']]]</f>
        <v>8.2414627876268155E-4</v>
      </c>
      <c r="L15" t="s">
        <v>136</v>
      </c>
    </row>
    <row r="16" spans="1:16">
      <c r="A16" t="s">
        <v>1254</v>
      </c>
      <c r="B16">
        <v>10899.12</v>
      </c>
      <c r="C16">
        <v>18.164999999999999</v>
      </c>
      <c r="D16">
        <v>600</v>
      </c>
      <c r="E16">
        <v>18874.862000000001</v>
      </c>
      <c r="F16" s="96" t="e">
        <f>#REF!/#REF!</f>
        <v>#REF!</v>
      </c>
      <c r="G1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1.36239</v>
      </c>
      <c r="H16" s="44">
        <f>Gesamtauswertung!$D$9</f>
        <v>100</v>
      </c>
      <c r="I16">
        <f>'Transport Kennzahlen'!$E$30*Materialien_ex_beton_und_Fenster[[#This Row],[LKW-Fahrten]]*Materialien_ex_beton_und_Fenster[[#This Row],[Distanz '[km']]]</f>
        <v>126.36167249999923</v>
      </c>
      <c r="J16" s="96">
        <f>Materialien_ex_beton_und_Fenster[[#This Row],[Transportemissionen '[kgCO2 eq.']]]/Materialien_ex_beton_und_Fenster[[#Totals],[Transportemissionen '[kgCO2 eq.']]]</f>
        <v>3.5713027257643264E-3</v>
      </c>
      <c r="L16" t="s">
        <v>137</v>
      </c>
    </row>
    <row r="17" spans="1:16">
      <c r="A17" t="s">
        <v>1236</v>
      </c>
      <c r="B17">
        <v>49970.38</v>
      </c>
      <c r="C17">
        <v>76.878</v>
      </c>
      <c r="D17">
        <v>650</v>
      </c>
      <c r="E17">
        <v>163212.04199999999</v>
      </c>
      <c r="F17" s="96" t="e">
        <f>#REF!/#REF!</f>
        <v>#REF!</v>
      </c>
      <c r="G1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6.2462974999999998</v>
      </c>
      <c r="H17" s="44">
        <f>Gesamtauswertung!$D$9</f>
        <v>100</v>
      </c>
      <c r="I17">
        <f>'Transport Kennzahlen'!$E$30*Materialien_ex_beton_und_Fenster[[#This Row],[LKW-Fahrten]]*Materialien_ex_beton_und_Fenster[[#This Row],[Distanz '[km']]]</f>
        <v>579.34409312499656</v>
      </c>
      <c r="J17" s="96">
        <f>Materialien_ex_beton_und_Fenster[[#This Row],[Transportemissionen '[kgCO2 eq.']]]/Materialien_ex_beton_und_Fenster[[#Totals],[Transportemissionen '[kgCO2 eq.']]]</f>
        <v>1.637373974242684E-2</v>
      </c>
      <c r="L17" t="s">
        <v>138</v>
      </c>
    </row>
    <row r="18" spans="1:16">
      <c r="A18" t="s">
        <v>1255</v>
      </c>
      <c r="B18">
        <v>1114.68</v>
      </c>
      <c r="C18">
        <v>2.4769999999999999</v>
      </c>
      <c r="D18">
        <v>450</v>
      </c>
      <c r="E18">
        <v>2220.5720000000001</v>
      </c>
      <c r="F18" s="96" t="e">
        <f>#REF!/#REF!</f>
        <v>#REF!</v>
      </c>
      <c r="G1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0.13933500000000001</v>
      </c>
      <c r="H18" s="44">
        <f>Gesamtauswertung!$D$9</f>
        <v>100</v>
      </c>
      <c r="I18">
        <f>'Transport Kennzahlen'!$E$30*Materialien_ex_beton_und_Fenster[[#This Row],[LKW-Fahrten]]*Materialien_ex_beton_und_Fenster[[#This Row],[Distanz '[km']]]</f>
        <v>12.923321249999924</v>
      </c>
      <c r="J18" s="96">
        <f>Materialien_ex_beton_und_Fenster[[#This Row],[Transportemissionen '[kgCO2 eq.']]]/Materialien_ex_beton_und_Fenster[[#Totals],[Transportemissionen '[kgCO2 eq.']]]</f>
        <v>3.652459760379719E-4</v>
      </c>
      <c r="L18" t="s">
        <v>139</v>
      </c>
    </row>
    <row r="19" spans="1:16">
      <c r="A19" t="s">
        <v>1252</v>
      </c>
      <c r="B19">
        <v>20123.62</v>
      </c>
      <c r="C19">
        <v>372.66</v>
      </c>
      <c r="D19">
        <v>54</v>
      </c>
      <c r="E19">
        <v>75499.448000000004</v>
      </c>
      <c r="F19" s="96" t="e">
        <f>#REF!/#REF!</f>
        <v>#REF!</v>
      </c>
      <c r="G1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5.1758333333333342</v>
      </c>
      <c r="H19" s="44">
        <f>Gesamtauswertung!$D$9</f>
        <v>100</v>
      </c>
      <c r="I19">
        <f>'Transport Kennzahlen'!$E$30*Materialien_ex_beton_und_Fenster[[#This Row],[LKW-Fahrten]]*Materialien_ex_beton_und_Fenster[[#This Row],[Distanz '[km']]]</f>
        <v>480.05854166666387</v>
      </c>
      <c r="J19" s="96">
        <f>Materialien_ex_beton_und_Fenster[[#This Row],[Transportemissionen '[kgCO2 eq.']]]/Materialien_ex_beton_und_Fenster[[#Totals],[Transportemissionen '[kgCO2 eq.']]]</f>
        <v>1.3567677163980357E-2</v>
      </c>
      <c r="L19" t="s">
        <v>140</v>
      </c>
    </row>
    <row r="20" spans="1:16">
      <c r="A20" t="s">
        <v>1238</v>
      </c>
      <c r="B20">
        <v>84087.78</v>
      </c>
      <c r="C20">
        <v>49.463000000000001</v>
      </c>
      <c r="D20">
        <v>1700</v>
      </c>
      <c r="E20">
        <v>25536.577999999998</v>
      </c>
      <c r="F20" s="96" t="e">
        <f>#REF!/#REF!</f>
        <v>#REF!</v>
      </c>
      <c r="G2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10.510972499999999</v>
      </c>
      <c r="H20" s="44">
        <f>Gesamtauswertung!$D$9</f>
        <v>100</v>
      </c>
      <c r="I20">
        <f>'Transport Kennzahlen'!$E$30*Materialien_ex_beton_und_Fenster[[#This Row],[LKW-Fahrten]]*Materialien_ex_beton_und_Fenster[[#This Row],[Distanz '[km']]]</f>
        <v>974.89269937499421</v>
      </c>
      <c r="J20" s="96">
        <f>Materialien_ex_beton_und_Fenster[[#This Row],[Transportemissionen '[kgCO2 eq.']]]/Materialien_ex_beton_und_Fenster[[#Totals],[Transportemissionen '[kgCO2 eq.']]]</f>
        <v>2.7552950872865981E-2</v>
      </c>
      <c r="L20" t="s">
        <v>141</v>
      </c>
    </row>
    <row r="21" spans="1:16">
      <c r="A21" t="s">
        <v>1257</v>
      </c>
      <c r="B21">
        <v>11889.95</v>
      </c>
      <c r="C21">
        <v>26.422000000000001</v>
      </c>
      <c r="D21">
        <v>450</v>
      </c>
      <c r="E21">
        <v>22205.72</v>
      </c>
      <c r="F21" s="96" t="e">
        <f>#REF!/#REF!</f>
        <v>#REF!</v>
      </c>
      <c r="G2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1.4862437500000001</v>
      </c>
      <c r="H21" s="44">
        <f>Gesamtauswertung!$D$9</f>
        <v>100</v>
      </c>
      <c r="I21">
        <f>'Transport Kennzahlen'!$E$30*Materialien_ex_beton_und_Fenster[[#This Row],[LKW-Fahrten]]*Materialien_ex_beton_und_Fenster[[#This Row],[Distanz '[km']]]</f>
        <v>137.84910781249917</v>
      </c>
      <c r="J21" s="96">
        <f>Materialien_ex_beton_und_Fenster[[#This Row],[Transportemissionen '[kgCO2 eq.']]]/Materialien_ex_beton_und_Fenster[[#Totals],[Transportemissionen '[kgCO2 eq.']]]</f>
        <v>3.8959669078055437E-3</v>
      </c>
    </row>
    <row r="22" spans="1:16">
      <c r="A22" t="s">
        <v>1251</v>
      </c>
      <c r="B22">
        <v>2229382.2000000002</v>
      </c>
      <c r="C22">
        <v>1486.2550000000001</v>
      </c>
      <c r="D22">
        <v>1500</v>
      </c>
      <c r="E22">
        <v>0</v>
      </c>
      <c r="F22" s="96" t="e">
        <f>#REF!/#REF!</f>
        <v>#REF!</v>
      </c>
      <c r="G2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278.67277500000006</v>
      </c>
      <c r="H22" s="44">
        <f>Gesamtauswertung!$D$9</f>
        <v>100</v>
      </c>
      <c r="I22">
        <f>'Transport Kennzahlen'!$E$30*Materialien_ex_beton_und_Fenster[[#This Row],[LKW-Fahrten]]*Materialien_ex_beton_und_Fenster[[#This Row],[Distanz '[km']]]</f>
        <v>25846.89988124985</v>
      </c>
      <c r="J22" s="96">
        <f>Materialien_ex_beton_und_Fenster[[#This Row],[Transportemissionen '[kgCO2 eq.']]]/Materialien_ex_beton_und_Fenster[[#Totals],[Transportemissionen '[kgCO2 eq.']]]</f>
        <v>0.730499226325655</v>
      </c>
      <c r="L22" t="s">
        <v>142</v>
      </c>
    </row>
    <row r="23" spans="1:16">
      <c r="A23" t="s">
        <v>1256</v>
      </c>
      <c r="B23">
        <v>8174.34</v>
      </c>
      <c r="C23">
        <v>13.624000000000001</v>
      </c>
      <c r="D23">
        <v>600</v>
      </c>
      <c r="E23">
        <v>77720.02</v>
      </c>
      <c r="F23" s="96" t="e">
        <f>#REF!/#REF!</f>
        <v>#REF!</v>
      </c>
      <c r="G2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1.0217925000000001</v>
      </c>
      <c r="H23" s="44">
        <f>Gesamtauswertung!$D$9</f>
        <v>100</v>
      </c>
      <c r="I23">
        <f>'Transport Kennzahlen'!$E$30*Materialien_ex_beton_und_Fenster[[#This Row],[LKW-Fahrten]]*Materialien_ex_beton_und_Fenster[[#This Row],[Distanz '[km']]]</f>
        <v>94.77125437499943</v>
      </c>
      <c r="J23" s="96">
        <f>Materialien_ex_beton_und_Fenster[[#This Row],[Transportemissionen '[kgCO2 eq.']]]/Materialien_ex_beton_und_Fenster[[#Totals],[Transportemissionen '[kgCO2 eq.']]]</f>
        <v>2.678477044323245E-3</v>
      </c>
      <c r="L23" t="s">
        <v>143</v>
      </c>
    </row>
    <row r="24" spans="1:16">
      <c r="A24" t="s">
        <v>1249</v>
      </c>
      <c r="B24">
        <v>989.27</v>
      </c>
      <c r="C24">
        <v>49.463000000000001</v>
      </c>
      <c r="D24">
        <v>20</v>
      </c>
      <c r="E24">
        <v>66617.16</v>
      </c>
      <c r="F24" s="96" t="e">
        <f>#REF!/#REF!</f>
        <v>#REF!</v>
      </c>
      <c r="G2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0.68698611111111108</v>
      </c>
      <c r="H24" s="44">
        <f>Gesamtauswertung!$D$9</f>
        <v>100</v>
      </c>
      <c r="I24">
        <f>'Transport Kennzahlen'!$E$30*Materialien_ex_beton_und_Fenster[[#This Row],[LKW-Fahrten]]*Materialien_ex_beton_und_Fenster[[#This Row],[Distanz '[km']]]</f>
        <v>63.71796180555517</v>
      </c>
      <c r="J24" s="96">
        <f>Materialien_ex_beton_und_Fenster[[#This Row],[Transportemissionen '[kgCO2 eq.']]]/Materialien_ex_beton_und_Fenster[[#Totals],[Transportemissionen '[kgCO2 eq.']]]</f>
        <v>1.8008318992163372E-3</v>
      </c>
    </row>
    <row r="25" spans="1:16">
      <c r="A25" t="s">
        <v>1260</v>
      </c>
      <c r="B25">
        <v>19587.46</v>
      </c>
      <c r="C25">
        <v>326.45800000000003</v>
      </c>
      <c r="D25">
        <v>60</v>
      </c>
      <c r="E25">
        <v>34085.780200000001</v>
      </c>
      <c r="F25" s="96" t="e">
        <f>#REF!/#REF!</f>
        <v>#REF!</v>
      </c>
      <c r="G2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4.5341388888888892</v>
      </c>
      <c r="H25" s="44">
        <f>Gesamtauswertung!$D$9</f>
        <v>100</v>
      </c>
      <c r="I25">
        <f>'Transport Kennzahlen'!$E$30*Materialien_ex_beton_und_Fenster[[#This Row],[LKW-Fahrten]]*Materialien_ex_beton_und_Fenster[[#This Row],[Distanz '[km']]]</f>
        <v>420.54138194444192</v>
      </c>
      <c r="J25" s="96">
        <f>Materialien_ex_beton_und_Fenster[[#This Row],[Transportemissionen '[kgCO2 eq.']]]/Materialien_ex_beton_und_Fenster[[#Totals],[Transportemissionen '[kgCO2 eq.']]]</f>
        <v>1.1885570631671493E-2</v>
      </c>
      <c r="L25" t="s">
        <v>144</v>
      </c>
    </row>
    <row r="26" spans="1:16">
      <c r="A26" t="s">
        <v>1237</v>
      </c>
      <c r="B26">
        <v>79141.440000000002</v>
      </c>
      <c r="C26">
        <v>32.975999999999999</v>
      </c>
      <c r="D26">
        <v>2400</v>
      </c>
      <c r="E26">
        <v>55514.3</v>
      </c>
      <c r="F26" s="96" t="e">
        <f>#REF!/#REF!</f>
        <v>#REF!</v>
      </c>
      <c r="G2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9.8926800000000004</v>
      </c>
      <c r="H26" s="44">
        <f>Gesamtauswertung!$D$9</f>
        <v>100</v>
      </c>
      <c r="I26">
        <f>'Transport Kennzahlen'!$E$30*Materialien_ex_beton_und_Fenster[[#This Row],[LKW-Fahrten]]*Materialien_ex_beton_und_Fenster[[#This Row],[Distanz '[km']]]</f>
        <v>917.54606999999453</v>
      </c>
      <c r="J26" s="96">
        <f>Materialien_ex_beton_und_Fenster[[#This Row],[Transportemissionen '[kgCO2 eq.']]]/Materialien_ex_beton_und_Fenster[[#Totals],[Transportemissionen '[kgCO2 eq.']]]</f>
        <v>2.593218905681504E-2</v>
      </c>
      <c r="L26" t="s">
        <v>145</v>
      </c>
    </row>
    <row r="27" spans="1:16">
      <c r="A27" t="s">
        <v>1250</v>
      </c>
      <c r="B27">
        <v>50030</v>
      </c>
      <c r="C27">
        <v>50.03</v>
      </c>
      <c r="D27">
        <v>1000</v>
      </c>
      <c r="E27">
        <v>69948.017999999996</v>
      </c>
      <c r="F27" s="96" t="e">
        <f>#REF!/#REF!</f>
        <v>#REF!</v>
      </c>
      <c r="G2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6.2537500000000001</v>
      </c>
      <c r="H27" s="44">
        <f>Gesamtauswertung!$D$9</f>
        <v>100</v>
      </c>
      <c r="I27">
        <f>'Transport Kennzahlen'!$E$30*Materialien_ex_beton_und_Fenster[[#This Row],[LKW-Fahrten]]*Materialien_ex_beton_und_Fenster[[#This Row],[Distanz '[km']]]</f>
        <v>580.03531249999651</v>
      </c>
      <c r="J27" s="96">
        <f>Materialien_ex_beton_und_Fenster[[#This Row],[Transportemissionen '[kgCO2 eq.']]]/Materialien_ex_beton_und_Fenster[[#Totals],[Transportemissionen '[kgCO2 eq.']]]</f>
        <v>1.6393275362597097E-2</v>
      </c>
    </row>
    <row r="28" spans="1:16">
      <c r="A28" t="s">
        <v>1240</v>
      </c>
      <c r="B28">
        <v>123.66</v>
      </c>
      <c r="C28">
        <v>0.41199999999999998</v>
      </c>
      <c r="D28">
        <v>300</v>
      </c>
      <c r="E28">
        <v>22205.72</v>
      </c>
      <c r="F28" s="96" t="e">
        <f>#REF!/#REF!</f>
        <v>#REF!</v>
      </c>
      <c r="G2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1.5457500000000001E-2</v>
      </c>
      <c r="H28" s="44">
        <f>Gesamtauswertung!$D$9</f>
        <v>100</v>
      </c>
      <c r="I28">
        <f>'Transport Kennzahlen'!$E$30*Materialien_ex_beton_und_Fenster[[#This Row],[LKW-Fahrten]]*Materialien_ex_beton_und_Fenster[[#This Row],[Distanz '[km']]]</f>
        <v>1.4336831249999915</v>
      </c>
      <c r="J28" s="96">
        <f>Materialien_ex_beton_und_Fenster[[#This Row],[Transportemissionen '[kgCO2 eq.']]]/Materialien_ex_beton_und_Fenster[[#Totals],[Transportemissionen '[kgCO2 eq.']]]</f>
        <v>4.0519536904632362E-5</v>
      </c>
      <c r="L28" t="s">
        <v>146</v>
      </c>
      <c r="P28" t="s">
        <v>1161</v>
      </c>
    </row>
    <row r="29" spans="1:16">
      <c r="A29" t="s">
        <v>1244</v>
      </c>
      <c r="B29">
        <v>4121.95</v>
      </c>
      <c r="C29">
        <v>4.1219999999999999</v>
      </c>
      <c r="D29">
        <v>1000</v>
      </c>
      <c r="E29">
        <v>12213.146000000002</v>
      </c>
      <c r="F29" s="96" t="e">
        <f>#REF!/#REF!</f>
        <v>#REF!</v>
      </c>
      <c r="G2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0.51524375</v>
      </c>
      <c r="H29" s="44">
        <f>Gesamtauswertung!$D$9</f>
        <v>100</v>
      </c>
      <c r="I29">
        <f>'Transport Kennzahlen'!$E$30*Materialien_ex_beton_und_Fenster[[#This Row],[LKW-Fahrten]]*Materialien_ex_beton_und_Fenster[[#This Row],[Distanz '[km']]]</f>
        <v>47.788857812499714</v>
      </c>
      <c r="J29" s="96">
        <f>Materialien_ex_beton_und_Fenster[[#This Row],[Transportemissionen '[kgCO2 eq.']]]/Materialien_ex_beton_und_Fenster[[#Totals],[Transportemissionen '[kgCO2 eq.']]]</f>
        <v>1.3506348467091165E-3</v>
      </c>
    </row>
    <row r="30" spans="1:16">
      <c r="A30" t="s">
        <v>1263</v>
      </c>
      <c r="B30">
        <v>4896.8599999999997</v>
      </c>
      <c r="C30">
        <v>24.484000000000002</v>
      </c>
      <c r="D30">
        <v>200</v>
      </c>
      <c r="E30">
        <v>82383.2212</v>
      </c>
      <c r="F30" s="96" t="e">
        <f>#REF!/#REF!</f>
        <v>#REF!</v>
      </c>
      <c r="G3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0.61210749999999992</v>
      </c>
      <c r="H30" s="44">
        <f>Gesamtauswertung!$D$9</f>
        <v>100</v>
      </c>
      <c r="I30">
        <f>'Transport Kennzahlen'!$E$30*Materialien_ex_beton_und_Fenster[[#This Row],[LKW-Fahrten]]*Materialien_ex_beton_und_Fenster[[#This Row],[Distanz '[km']]]</f>
        <v>56.772970624999651</v>
      </c>
      <c r="J30" s="96">
        <f>Materialien_ex_beton_und_Fenster[[#This Row],[Transportemissionen '[kgCO2 eq.']]]/Materialien_ex_beton_und_Fenster[[#Totals],[Transportemissionen '[kgCO2 eq.']]]</f>
        <v>1.6045487585865921E-3</v>
      </c>
      <c r="L30" t="s">
        <v>147</v>
      </c>
    </row>
    <row r="31" spans="1:16">
      <c r="A31" t="s">
        <v>1253</v>
      </c>
      <c r="B31">
        <v>19768.5</v>
      </c>
      <c r="C31">
        <v>10.981999999999999</v>
      </c>
      <c r="D31">
        <v>1800</v>
      </c>
      <c r="E31">
        <v>0</v>
      </c>
      <c r="F31" s="96" t="e">
        <f>#REF!/#REF!</f>
        <v>#REF!</v>
      </c>
      <c r="G3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2.4710624999999999</v>
      </c>
      <c r="H31" s="44">
        <f>Gesamtauswertung!$D$9</f>
        <v>100</v>
      </c>
      <c r="I31">
        <f>'Transport Kennzahlen'!$E$30*Materialien_ex_beton_und_Fenster[[#This Row],[LKW-Fahrten]]*Materialien_ex_beton_und_Fenster[[#This Row],[Distanz '[km']]]</f>
        <v>229.19104687499862</v>
      </c>
      <c r="J31" s="96">
        <f>Materialien_ex_beton_und_Fenster[[#This Row],[Transportemissionen '[kgCO2 eq.']]]/Materialien_ex_beton_und_Fenster[[#Totals],[Transportemissionen '[kgCO2 eq.']]]</f>
        <v>6.4775227664501441E-3</v>
      </c>
    </row>
    <row r="32" spans="1:16">
      <c r="A32" t="s">
        <v>524</v>
      </c>
      <c r="B32">
        <v>16564.63</v>
      </c>
      <c r="C32">
        <v>331.29300000000001</v>
      </c>
      <c r="D32">
        <v>50</v>
      </c>
      <c r="E32">
        <v>113249.17199999999</v>
      </c>
      <c r="F32" s="96" t="e">
        <f>#REF!/#REF!</f>
        <v>#REF!</v>
      </c>
      <c r="G3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4.6012916666666666</v>
      </c>
      <c r="H32" s="44">
        <f>Gesamtauswertung!$D$9</f>
        <v>100</v>
      </c>
      <c r="I32">
        <f>'Transport Kennzahlen'!$E$30*Materialien_ex_beton_und_Fenster[[#This Row],[LKW-Fahrten]]*Materialien_ex_beton_und_Fenster[[#This Row],[Distanz '[km']]]</f>
        <v>426.76980208333077</v>
      </c>
      <c r="J32" s="96">
        <f>Materialien_ex_beton_und_Fenster[[#This Row],[Transportemissionen '[kgCO2 eq.']]]/Materialien_ex_beton_und_Fenster[[#Totals],[Transportemissionen '[kgCO2 eq.']]]</f>
        <v>1.2061601649456726E-2</v>
      </c>
    </row>
    <row r="33" spans="1:10">
      <c r="A33" t="s">
        <v>1262</v>
      </c>
      <c r="B33">
        <v>183632.4</v>
      </c>
      <c r="C33">
        <v>102.018</v>
      </c>
      <c r="D33">
        <v>1800</v>
      </c>
      <c r="E33">
        <v>0</v>
      </c>
      <c r="F33" s="96" t="e">
        <f>#REF!/#REF!</f>
        <v>#REF!</v>
      </c>
      <c r="G3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22.954050000000002</v>
      </c>
      <c r="H33" s="44">
        <f>Gesamtauswertung!$D$9</f>
        <v>100</v>
      </c>
      <c r="I33">
        <f>'Transport Kennzahlen'!$E$30*Materialien_ex_beton_und_Fenster[[#This Row],[LKW-Fahrten]]*Materialien_ex_beton_und_Fenster[[#This Row],[Distanz '[km']]]</f>
        <v>2128.9881374999877</v>
      </c>
      <c r="J33" s="96">
        <f>Materialien_ex_beton_und_Fenster[[#This Row],[Transportemissionen '[kgCO2 eq.']]]/Materialien_ex_beton_und_Fenster[[#Totals],[Transportemissionen '[kgCO2 eq.']]]</f>
        <v>6.0170627597333118E-2</v>
      </c>
    </row>
    <row r="34" spans="1:10">
      <c r="E34">
        <f>SUBTOTAL(109,Materialien_ex_beton_und_Fenster[GWP])</f>
        <v>4138035.9220000003</v>
      </c>
      <c r="I34">
        <f>SUM(Materialien_ex_beton_und_Fenster[Transportemissionen '[kgCO2 eq.']])</f>
        <v>35382.515066110907</v>
      </c>
    </row>
    <row r="35" spans="1:10">
      <c r="F35" s="96" t="e">
        <f>#REF!/L49</f>
        <v>#REF!</v>
      </c>
      <c r="G35" s="96"/>
      <c r="H35" s="96"/>
      <c r="J35" s="96">
        <f>Materialien_ex_beton_und_Fenster[[#Totals],[Transportemissionen '[kgCO2 eq.']]]/L49</f>
        <v>8.4780655473848457E-3</v>
      </c>
    </row>
    <row r="49" spans="12:12">
      <c r="L49">
        <f>SUM(Materialien_ex_beton_und_Fenster[[#Totals],[GWP]],I34)</f>
        <v>4173418.4370661112</v>
      </c>
    </row>
  </sheetData>
  <phoneticPr fontId="11" type="noConversion"/>
  <conditionalFormatting sqref="A1:D33 F1:I33">
    <cfRule type="containsBlanks" dxfId="28" priority="135">
      <formula>LEN(TRIM(A1))=0</formula>
    </cfRule>
  </conditionalFormatting>
  <conditionalFormatting sqref="I2:I33">
    <cfRule type="colorScale" priority="2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1CDD-9518-4651-9498-FCE244C98AB9}">
  <sheetPr codeName="Tabelle11"/>
  <dimension ref="A1:N55"/>
  <sheetViews>
    <sheetView zoomScaleNormal="100" workbookViewId="0">
      <selection activeCell="E30" sqref="E30"/>
    </sheetView>
  </sheetViews>
  <sheetFormatPr baseColWidth="10" defaultColWidth="11.42578125" defaultRowHeight="15"/>
  <cols>
    <col min="1" max="1" width="46.85546875" bestFit="1" customWidth="1"/>
    <col min="2" max="2" width="20.140625" bestFit="1" customWidth="1"/>
    <col min="3" max="3" width="23.28515625" bestFit="1" customWidth="1"/>
    <col min="4" max="4" width="9" bestFit="1" customWidth="1"/>
    <col min="5" max="5" width="9.140625" bestFit="1" customWidth="1"/>
    <col min="6" max="6" width="25.5703125" bestFit="1" customWidth="1"/>
    <col min="7" max="7" width="14.85546875" bestFit="1" customWidth="1"/>
    <col min="8" max="8" width="14.28515625" bestFit="1" customWidth="1"/>
    <col min="9" max="9" width="33.140625" bestFit="1" customWidth="1"/>
    <col min="10" max="10" width="25.5703125" bestFit="1" customWidth="1"/>
    <col min="11" max="11" width="18.7109375" bestFit="1" customWidth="1"/>
    <col min="12" max="12" width="19.28515625" bestFit="1" customWidth="1"/>
    <col min="13" max="13" width="18.7109375" bestFit="1" customWidth="1"/>
    <col min="14" max="14" width="19.28515625" bestFit="1" customWidth="1"/>
  </cols>
  <sheetData>
    <row r="1" spans="1:14">
      <c r="A1" t="s">
        <v>29</v>
      </c>
      <c r="B1" t="s">
        <v>126</v>
      </c>
      <c r="C1" t="s">
        <v>127</v>
      </c>
      <c r="D1" t="s">
        <v>65</v>
      </c>
      <c r="E1" t="s">
        <v>3</v>
      </c>
      <c r="F1" t="s">
        <v>1130</v>
      </c>
      <c r="G1" t="s">
        <v>129</v>
      </c>
      <c r="H1" t="s">
        <v>130</v>
      </c>
      <c r="I1" t="s">
        <v>2</v>
      </c>
      <c r="J1" t="s">
        <v>1131</v>
      </c>
      <c r="K1" t="s">
        <v>1145</v>
      </c>
      <c r="L1" t="s">
        <v>1146</v>
      </c>
      <c r="M1" t="s">
        <v>1147</v>
      </c>
      <c r="N1" t="s">
        <v>1148</v>
      </c>
    </row>
    <row r="2" spans="1:14">
      <c r="A2" t="s">
        <v>63</v>
      </c>
      <c r="B2">
        <v>395707.2</v>
      </c>
      <c r="C2">
        <v>164.87799999999999</v>
      </c>
      <c r="D2">
        <v>2400</v>
      </c>
      <c r="E2">
        <v>88822.88</v>
      </c>
      <c r="F2">
        <f>Beton[[#This Row],[Summe Masse '[kg']]]*$H$22</f>
        <v>39056.300640000001</v>
      </c>
      <c r="G2">
        <f>IF('Transport Kennzahlen'!$D$6&lt;Beton[[#This Row],[Dichte]],Beton[[#This Row],[Summe Masse '[kg']]]/'Transport Kennzahlen'!$D$5,Beton[[#This Row],[Summe Volumen '[m3']]]/'Transport Kennzahlen'!$F$5)*(1/$A$22)</f>
        <v>29.442499999999999</v>
      </c>
      <c r="H2" s="44">
        <f>Gesamtauswertung!$D$9</f>
        <v>100</v>
      </c>
      <c r="I2">
        <f>'Transport Kennzahlen'!$E$10*Beton[[#This Row],[LKW-Fahrten]]*Beton[[#This Row],[Distanz '[km']]]</f>
        <v>1751.6079312499896</v>
      </c>
      <c r="J2">
        <f>Beton[[#This Row],[Summe Masse '[kg']]]*$H$25</f>
        <v>41549.256000000001</v>
      </c>
      <c r="K2">
        <f>Beton[[#This Row],[GWP]]*((100-$E$8)/100)</f>
        <v>81404.093272519953</v>
      </c>
      <c r="L2">
        <f>Beton[[#This Row],[GWP]]*((100-$E$9)/100)</f>
        <v>82294.347679817554</v>
      </c>
      <c r="M2">
        <f>Beton[[#This Row],[GWP]]*((100-$E$10)/100)</f>
        <v>81226.852633979477</v>
      </c>
      <c r="N2">
        <f>Beton[[#This Row],[GWP]]*((100-$E$11)/100)</f>
        <v>82138.37591790194</v>
      </c>
    </row>
    <row r="3" spans="1:14">
      <c r="A3" t="s">
        <v>1264</v>
      </c>
      <c r="B3">
        <v>1453756.5</v>
      </c>
      <c r="C3">
        <v>612.10799999999995</v>
      </c>
      <c r="D3">
        <v>2375</v>
      </c>
      <c r="E3">
        <v>0</v>
      </c>
      <c r="F3">
        <f>Beton[[#This Row],[Summe Masse '[kg']]]*$H$22</f>
        <v>143485.76655</v>
      </c>
      <c r="G3">
        <f>IF('Transport Kennzahlen'!$D$6&lt;Beton[[#This Row],[Dichte]],Beton[[#This Row],[Summe Masse '[kg']]]/'Transport Kennzahlen'!$D$5,Beton[[#This Row],[Summe Volumen '[m3']]]/'Transport Kennzahlen'!$F$5)*(1/$A$22)</f>
        <v>109.30499999999998</v>
      </c>
      <c r="H3" s="44">
        <f>Gesamtauswertung!$D$9</f>
        <v>100</v>
      </c>
      <c r="I3">
        <f>'Transport Kennzahlen'!$E$10*Beton[[#This Row],[LKW-Fahrten]]*Beton[[#This Row],[Distanz '[km']]]</f>
        <v>6502.8277124999604</v>
      </c>
      <c r="J3">
        <f>Beton[[#This Row],[Summe Masse '[kg']]]*$H$25</f>
        <v>152644.4325</v>
      </c>
      <c r="K3">
        <f>Beton[[#This Row],[GWP]]*((100-$E$8)/100)</f>
        <v>0</v>
      </c>
      <c r="L3">
        <f>Beton[[#This Row],[GWP]]*((100-$E$9)/100)</f>
        <v>0</v>
      </c>
      <c r="M3">
        <f>Beton[[#This Row],[GWP]]*((100-$E$10)/100)</f>
        <v>0</v>
      </c>
      <c r="N3">
        <f>Beton[[#This Row],[GWP]]*((100-$E$11)/100)</f>
        <v>0</v>
      </c>
    </row>
    <row r="4" spans="1:14">
      <c r="E4">
        <f>SUBTOTAL(109,Beton[GWP])</f>
        <v>88822.88</v>
      </c>
      <c r="F4">
        <f>SUBTOTAL(109,Beton[GWP_ÖKOBETON C25/30])</f>
        <v>182542.06719</v>
      </c>
      <c r="I4">
        <f>SUBTOTAL(109,Beton[Transportemissionen '[kgCO2 eq.']])</f>
        <v>8254.43564374995</v>
      </c>
      <c r="J4">
        <f>SUBTOTAL(109,Beton[GWP_ÖKOBETON C30/37])</f>
        <v>194193.68849999999</v>
      </c>
      <c r="K4">
        <f>SUBTOTAL(109,Beton[RCC C25/30 CEM I])</f>
        <v>81404.093272519953</v>
      </c>
      <c r="L4">
        <f>SUBTOTAL(109,Beton[RCC C25/30 CEM II])</f>
        <v>82294.347679817554</v>
      </c>
      <c r="M4">
        <f>SUBTOTAL(109,Beton[RCC C30/37 CEM I])</f>
        <v>81226.852633979477</v>
      </c>
      <c r="N4">
        <f>SUBTOTAL(109,Beton[RCC C30/37 CEM II])</f>
        <v>82138.37591790194</v>
      </c>
    </row>
    <row r="6" spans="1:14">
      <c r="A6" t="s">
        <v>1022</v>
      </c>
      <c r="B6" t="s">
        <v>131</v>
      </c>
    </row>
    <row r="7" spans="1:14">
      <c r="A7" t="s">
        <v>1133</v>
      </c>
      <c r="B7">
        <f>Beton[[#Totals],[GWP_ÖKOBETON C25/30]]</f>
        <v>182542.06719</v>
      </c>
      <c r="D7" t="s">
        <v>1141</v>
      </c>
      <c r="E7" t="s">
        <v>1142</v>
      </c>
    </row>
    <row r="8" spans="1:14">
      <c r="A8" t="s">
        <v>1134</v>
      </c>
      <c r="B8">
        <f>Beton[[#Totals],[GWP_ÖKOBETON C30/37]]</f>
        <v>194193.68849999999</v>
      </c>
      <c r="D8" t="s">
        <v>1137</v>
      </c>
      <c r="E8" s="44">
        <f>'Beton Zusammensetzung'!K27</f>
        <v>8.3523375142531364</v>
      </c>
    </row>
    <row r="9" spans="1:14">
      <c r="A9" t="s">
        <v>297</v>
      </c>
      <c r="B9">
        <f>Beton[[#Totals],[GWP]]</f>
        <v>88822.88</v>
      </c>
      <c r="D9" t="s">
        <v>1138</v>
      </c>
      <c r="E9" s="44">
        <f>'Beton Zusammensetzung'!K28</f>
        <v>7.3500570125427602</v>
      </c>
    </row>
    <row r="10" spans="1:14">
      <c r="A10" t="s">
        <v>1145</v>
      </c>
      <c r="B10">
        <f>Beton[[#Totals],[RCC C25/30 CEM I]]</f>
        <v>81404.093272519953</v>
      </c>
      <c r="D10" t="s">
        <v>1139</v>
      </c>
      <c r="E10" s="44">
        <f>'Beton Zusammensetzung'!K29</f>
        <v>8.5518814139110599</v>
      </c>
    </row>
    <row r="11" spans="1:14">
      <c r="A11" t="s">
        <v>1146</v>
      </c>
      <c r="B11">
        <f>Beton[[#Totals],[RCC C25/30 CEM II]]</f>
        <v>82294.347679817554</v>
      </c>
      <c r="D11" t="s">
        <v>1140</v>
      </c>
      <c r="E11" s="44">
        <f>'Beton Zusammensetzung'!K30</f>
        <v>7.5256556442417324</v>
      </c>
    </row>
    <row r="12" spans="1:14">
      <c r="A12" t="s">
        <v>1147</v>
      </c>
      <c r="B12">
        <f>Beton[[#Totals],[RCC C30/37 CEM I]]</f>
        <v>81226.852633979477</v>
      </c>
    </row>
    <row r="13" spans="1:14">
      <c r="A13" t="s">
        <v>1148</v>
      </c>
      <c r="B13">
        <f>Beton[[#Totals],[RCC C30/37 CEM II]]</f>
        <v>82138.37591790194</v>
      </c>
    </row>
    <row r="21" spans="1:10">
      <c r="A21" t="s">
        <v>241</v>
      </c>
      <c r="G21" s="57" t="s">
        <v>242</v>
      </c>
      <c r="H21" s="57"/>
      <c r="I21" s="57"/>
      <c r="J21" s="57"/>
    </row>
    <row r="22" spans="1:10" ht="18">
      <c r="A22" s="96">
        <f>Gesamtauswertung!D8/100</f>
        <v>0.8</v>
      </c>
      <c r="G22" t="s">
        <v>243</v>
      </c>
      <c r="H22">
        <v>9.8699999999999996E-2</v>
      </c>
      <c r="I22" t="s">
        <v>244</v>
      </c>
    </row>
    <row r="24" spans="1:10">
      <c r="G24" s="57" t="s">
        <v>1129</v>
      </c>
      <c r="H24" s="57"/>
      <c r="I24" s="57"/>
      <c r="J24" s="57"/>
    </row>
    <row r="25" spans="1:10" ht="18">
      <c r="G25" t="s">
        <v>243</v>
      </c>
      <c r="H25">
        <v>0.105</v>
      </c>
      <c r="I25" t="s">
        <v>244</v>
      </c>
    </row>
    <row r="27" spans="1:10">
      <c r="A27" t="s">
        <v>245</v>
      </c>
    </row>
    <row r="40" spans="1:5">
      <c r="A40" s="207" t="s">
        <v>246</v>
      </c>
      <c r="B40" s="205"/>
      <c r="C40" s="206"/>
    </row>
    <row r="41" spans="1:5">
      <c r="A41" s="7"/>
      <c r="C41" s="8"/>
    </row>
    <row r="42" spans="1:5">
      <c r="A42" s="7" t="s">
        <v>89</v>
      </c>
      <c r="B42">
        <f>SUM(Beton[Summe Masse '[kg']])</f>
        <v>1849463.7</v>
      </c>
      <c r="C42" s="8" t="s">
        <v>247</v>
      </c>
    </row>
    <row r="43" spans="1:5">
      <c r="A43" s="7"/>
      <c r="C43" s="8"/>
      <c r="E43" s="3" t="s">
        <v>248</v>
      </c>
    </row>
    <row r="44" spans="1:5">
      <c r="A44" s="7" t="s">
        <v>249</v>
      </c>
      <c r="B44" s="226">
        <f>1/5</f>
        <v>0.2</v>
      </c>
      <c r="C44" s="8"/>
      <c r="E44" s="3" t="s">
        <v>250</v>
      </c>
    </row>
    <row r="45" spans="1:5">
      <c r="A45" s="7"/>
      <c r="C45" s="8"/>
    </row>
    <row r="46" spans="1:5">
      <c r="A46" s="7" t="s">
        <v>251</v>
      </c>
      <c r="B46" s="226">
        <v>0.71</v>
      </c>
      <c r="C46" s="8"/>
    </row>
    <row r="47" spans="1:5">
      <c r="A47" s="7"/>
      <c r="C47" s="8"/>
    </row>
    <row r="48" spans="1:5">
      <c r="A48" s="7" t="s">
        <v>252</v>
      </c>
      <c r="B48">
        <v>0.56499999999999995</v>
      </c>
      <c r="C48" s="8" t="s">
        <v>253</v>
      </c>
    </row>
    <row r="49" spans="1:4">
      <c r="A49" s="7"/>
      <c r="C49" s="8"/>
    </row>
    <row r="50" spans="1:4">
      <c r="A50" s="7" t="s">
        <v>254</v>
      </c>
      <c r="B50" s="136">
        <v>0.66</v>
      </c>
      <c r="C50" s="8"/>
    </row>
    <row r="51" spans="1:4">
      <c r="A51" s="7"/>
      <c r="C51" s="8"/>
    </row>
    <row r="52" spans="1:4">
      <c r="A52" s="7" t="s">
        <v>255</v>
      </c>
      <c r="B52" s="136">
        <v>0.15</v>
      </c>
      <c r="C52" s="8" t="s">
        <v>256</v>
      </c>
      <c r="D52" t="s">
        <v>257</v>
      </c>
    </row>
    <row r="53" spans="1:4">
      <c r="A53" s="7"/>
      <c r="C53" s="8"/>
    </row>
    <row r="54" spans="1:4">
      <c r="A54" s="197" t="s">
        <v>258</v>
      </c>
      <c r="B54" s="198">
        <f>B42*B44*B46*B48*B50*B52</f>
        <v>14689.864792448998</v>
      </c>
      <c r="C54" s="201" t="s">
        <v>259</v>
      </c>
    </row>
    <row r="55" spans="1:4">
      <c r="A55" s="7" t="s">
        <v>260</v>
      </c>
    </row>
  </sheetData>
  <phoneticPr fontId="11" type="noConversion"/>
  <conditionalFormatting sqref="G1:I1 H2 G3:I3">
    <cfRule type="containsBlanks" dxfId="27" priority="3">
      <formula>LEN(TRIM(G1))=0</formula>
    </cfRule>
  </conditionalFormatting>
  <hyperlinks>
    <hyperlink ref="E43" r:id="rId1" xr:uid="{A2B86406-0266-4145-A1F8-387CC1DCB774}"/>
    <hyperlink ref="E44" r:id="rId2" xr:uid="{1B94CF91-5E12-47A2-9311-82D093519203}"/>
  </hyperlinks>
  <pageMargins left="0.7" right="0.7" top="0.78740157499999996" bottom="0.78740157499999996" header="0.3" footer="0.3"/>
  <pageSetup paperSize="9" orientation="portrait"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495-ABB9-4CF7-B882-5439C50067C8}">
  <sheetPr codeName="Tabelle17"/>
  <dimension ref="A2:M43"/>
  <sheetViews>
    <sheetView topLeftCell="A4" zoomScale="85" zoomScaleNormal="85" workbookViewId="0">
      <selection activeCell="I32" sqref="I32"/>
    </sheetView>
  </sheetViews>
  <sheetFormatPr baseColWidth="10" defaultRowHeight="15"/>
  <cols>
    <col min="1" max="1" width="18.28515625" customWidth="1"/>
    <col min="2" max="2" width="16.7109375" customWidth="1"/>
    <col min="3" max="3" width="19" customWidth="1"/>
    <col min="4" max="4" width="25.85546875" customWidth="1"/>
    <col min="5" max="5" width="16.7109375" customWidth="1"/>
    <col min="6" max="6" width="20.85546875" customWidth="1"/>
    <col min="7" max="7" width="15.28515625" customWidth="1"/>
    <col min="8" max="8" width="18.42578125" customWidth="1"/>
    <col min="9" max="9" width="27.85546875" customWidth="1"/>
    <col min="10" max="10" width="24.28515625" bestFit="1" customWidth="1"/>
    <col min="11" max="11" width="23" bestFit="1" customWidth="1"/>
  </cols>
  <sheetData>
    <row r="2" spans="1:13">
      <c r="A2" s="411" t="s">
        <v>1156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t="s">
        <v>1157</v>
      </c>
    </row>
    <row r="3" spans="1:13">
      <c r="M3" t="s">
        <v>1158</v>
      </c>
    </row>
    <row r="4" spans="1:13">
      <c r="A4" s="51" t="s">
        <v>1121</v>
      </c>
    </row>
    <row r="5" spans="1:13">
      <c r="A5" s="52"/>
      <c r="B5" s="52"/>
      <c r="C5" s="52" t="s">
        <v>1125</v>
      </c>
      <c r="D5" s="52" t="s">
        <v>586</v>
      </c>
      <c r="E5" s="52" t="s">
        <v>381</v>
      </c>
      <c r="G5" s="278"/>
      <c r="H5" s="278" t="s">
        <v>1115</v>
      </c>
      <c r="I5" s="278" t="s">
        <v>1119</v>
      </c>
      <c r="J5" s="278" t="s">
        <v>1128</v>
      </c>
    </row>
    <row r="6" spans="1:13">
      <c r="A6" s="52" t="s">
        <v>1112</v>
      </c>
      <c r="B6" s="52"/>
      <c r="C6" s="266">
        <v>1754</v>
      </c>
      <c r="D6" s="352">
        <f>100-D7-D8</f>
        <v>72.97605473204105</v>
      </c>
      <c r="E6" s="52" t="s">
        <v>22</v>
      </c>
      <c r="G6" s="278" t="s">
        <v>1116</v>
      </c>
      <c r="H6" s="278">
        <v>0.6</v>
      </c>
      <c r="I6" s="278">
        <v>280</v>
      </c>
    </row>
    <row r="7" spans="1:13">
      <c r="A7" s="52" t="s">
        <v>1126</v>
      </c>
      <c r="B7" s="52"/>
      <c r="C7" s="52">
        <v>280</v>
      </c>
      <c r="D7" s="349">
        <f>L11</f>
        <v>16.704675028506273</v>
      </c>
      <c r="E7" s="52" t="s">
        <v>22</v>
      </c>
      <c r="G7" s="278" t="s">
        <v>1117</v>
      </c>
      <c r="H7" s="278">
        <v>0.5</v>
      </c>
      <c r="I7" s="278">
        <v>300</v>
      </c>
    </row>
    <row r="8" spans="1:13">
      <c r="A8" s="261" t="s">
        <v>1068</v>
      </c>
      <c r="B8" s="261"/>
      <c r="C8" s="261">
        <f>H6*C7</f>
        <v>168</v>
      </c>
      <c r="D8" s="353">
        <f>L13</f>
        <v>10.319270239452679</v>
      </c>
      <c r="E8" s="261" t="s">
        <v>22</v>
      </c>
      <c r="G8" s="278" t="s">
        <v>1118</v>
      </c>
      <c r="H8" s="278"/>
      <c r="I8" s="278"/>
    </row>
    <row r="9" spans="1:13">
      <c r="A9" s="5"/>
      <c r="B9" s="5"/>
      <c r="C9">
        <v>95</v>
      </c>
      <c r="D9" s="351"/>
      <c r="E9" s="5"/>
    </row>
    <row r="10" spans="1:13">
      <c r="C10" s="5">
        <f>SUM(C6:C9)</f>
        <v>2297</v>
      </c>
      <c r="G10" t="s">
        <v>1124</v>
      </c>
    </row>
    <row r="11" spans="1:13">
      <c r="G11" s="410" t="s">
        <v>1126</v>
      </c>
      <c r="H11" s="69">
        <v>1754</v>
      </c>
      <c r="I11">
        <v>100</v>
      </c>
      <c r="K11" t="s">
        <v>1123</v>
      </c>
      <c r="L11">
        <f>(H12*I11)/H11</f>
        <v>16.704675028506273</v>
      </c>
    </row>
    <row r="12" spans="1:13">
      <c r="A12" s="51" t="s">
        <v>1122</v>
      </c>
      <c r="G12" s="410"/>
      <c r="H12">
        <v>293</v>
      </c>
      <c r="I12" t="s">
        <v>1123</v>
      </c>
    </row>
    <row r="13" spans="1:13">
      <c r="A13" s="52"/>
      <c r="B13" s="52"/>
      <c r="C13" s="52" t="s">
        <v>1120</v>
      </c>
      <c r="D13" s="52" t="s">
        <v>586</v>
      </c>
      <c r="E13" s="52" t="s">
        <v>381</v>
      </c>
      <c r="G13" s="410" t="s">
        <v>1068</v>
      </c>
      <c r="H13" s="69">
        <v>1754</v>
      </c>
      <c r="I13">
        <v>100</v>
      </c>
      <c r="K13" t="s">
        <v>1123</v>
      </c>
      <c r="L13">
        <f>(H14*I13)/H13</f>
        <v>10.319270239452679</v>
      </c>
    </row>
    <row r="14" spans="1:13">
      <c r="A14" s="52" t="s">
        <v>1112</v>
      </c>
      <c r="B14" s="52"/>
      <c r="C14" s="266">
        <v>1754</v>
      </c>
      <c r="D14" s="352">
        <f>100-D15-D16</f>
        <v>72.405929304446971</v>
      </c>
      <c r="E14" s="52" t="s">
        <v>22</v>
      </c>
      <c r="G14" s="410"/>
      <c r="H14">
        <v>181</v>
      </c>
      <c r="I14" t="s">
        <v>1123</v>
      </c>
    </row>
    <row r="15" spans="1:13">
      <c r="A15" s="52" t="s">
        <v>1067</v>
      </c>
      <c r="B15" s="52"/>
      <c r="C15" s="52">
        <v>287</v>
      </c>
      <c r="D15" s="349">
        <f>L17</f>
        <v>17.10376282782212</v>
      </c>
      <c r="E15" s="52" t="s">
        <v>22</v>
      </c>
    </row>
    <row r="16" spans="1:13">
      <c r="A16" s="261" t="s">
        <v>1068</v>
      </c>
      <c r="B16" s="261"/>
      <c r="C16" s="261">
        <v>171</v>
      </c>
      <c r="D16" s="353">
        <f>L19</f>
        <v>10.4903078677309</v>
      </c>
      <c r="E16" s="261" t="s">
        <v>22</v>
      </c>
      <c r="G16" t="s">
        <v>1127</v>
      </c>
    </row>
    <row r="17" spans="1:12">
      <c r="A17" s="5" t="s">
        <v>1149</v>
      </c>
      <c r="B17" s="5"/>
      <c r="C17">
        <v>95</v>
      </c>
      <c r="D17" s="351"/>
      <c r="E17" s="5"/>
      <c r="G17" s="410" t="s">
        <v>1126</v>
      </c>
      <c r="H17" s="69">
        <v>1754</v>
      </c>
      <c r="I17">
        <v>100</v>
      </c>
      <c r="K17" t="s">
        <v>1123</v>
      </c>
      <c r="L17">
        <f>(H18*I17)/H17</f>
        <v>17.10376282782212</v>
      </c>
    </row>
    <row r="18" spans="1:12">
      <c r="C18" s="5">
        <f>SUM(C14:C17)</f>
        <v>2307</v>
      </c>
      <c r="G18" s="410"/>
      <c r="H18">
        <v>300</v>
      </c>
      <c r="I18" t="s">
        <v>1123</v>
      </c>
    </row>
    <row r="19" spans="1:12">
      <c r="G19" s="410" t="s">
        <v>1068</v>
      </c>
      <c r="H19" s="69">
        <v>1754</v>
      </c>
      <c r="I19">
        <v>100</v>
      </c>
      <c r="K19" t="s">
        <v>1123</v>
      </c>
      <c r="L19">
        <f>(H20*I19)/H19</f>
        <v>10.4903078677309</v>
      </c>
    </row>
    <row r="20" spans="1:12">
      <c r="G20" s="410"/>
      <c r="H20">
        <v>184</v>
      </c>
      <c r="I20" t="s">
        <v>1123</v>
      </c>
    </row>
    <row r="22" spans="1:12" ht="20.25" customHeight="1">
      <c r="A22" s="51" t="s">
        <v>1069</v>
      </c>
      <c r="B22" s="51"/>
      <c r="C22" s="51"/>
      <c r="D22" s="51"/>
      <c r="E22" s="51"/>
      <c r="F22" s="51"/>
      <c r="G22" s="354" t="s">
        <v>1132</v>
      </c>
    </row>
    <row r="23" spans="1:12" ht="19.5" customHeight="1"/>
    <row r="24" spans="1:12" ht="18.75" customHeight="1">
      <c r="A24" t="s">
        <v>1070</v>
      </c>
      <c r="F24" t="s">
        <v>1144</v>
      </c>
      <c r="G24">
        <f>100-50</f>
        <v>50</v>
      </c>
    </row>
    <row r="25" spans="1:12" ht="18.75" customHeight="1">
      <c r="F25" t="s">
        <v>1143</v>
      </c>
      <c r="G25">
        <f>94-50</f>
        <v>44</v>
      </c>
    </row>
    <row r="26" spans="1:12" ht="15" customHeight="1">
      <c r="A26" t="s">
        <v>1071</v>
      </c>
      <c r="J26" t="s">
        <v>1141</v>
      </c>
      <c r="K26" t="s">
        <v>1142</v>
      </c>
    </row>
    <row r="27" spans="1:12">
      <c r="J27" t="s">
        <v>1137</v>
      </c>
      <c r="K27" s="44">
        <f>($D$7/100*$G$24/100)*100</f>
        <v>8.3523375142531364</v>
      </c>
    </row>
    <row r="28" spans="1:12" ht="15" customHeight="1">
      <c r="A28" s="412" t="s">
        <v>1072</v>
      </c>
      <c r="B28" s="412" t="s">
        <v>1073</v>
      </c>
      <c r="C28" s="413" t="s">
        <v>1074</v>
      </c>
      <c r="D28" s="413"/>
      <c r="E28" s="413"/>
      <c r="F28" s="413"/>
      <c r="G28" s="413"/>
      <c r="H28" s="413"/>
      <c r="J28" t="s">
        <v>1138</v>
      </c>
      <c r="K28" s="44">
        <f>($D$7/100*$G$25/100)*100</f>
        <v>7.3500570125427602</v>
      </c>
    </row>
    <row r="29" spans="1:12">
      <c r="A29" s="412"/>
      <c r="B29" s="412"/>
      <c r="C29" s="409" t="s">
        <v>1075</v>
      </c>
      <c r="D29" s="409" t="s">
        <v>1076</v>
      </c>
      <c r="E29" s="409" t="s">
        <v>1077</v>
      </c>
      <c r="F29" s="342" t="s">
        <v>1078</v>
      </c>
      <c r="G29" s="409" t="s">
        <v>1080</v>
      </c>
      <c r="H29" s="409" t="s">
        <v>1081</v>
      </c>
      <c r="J29" t="s">
        <v>1139</v>
      </c>
      <c r="K29" s="44">
        <f>($D$15/100*$G$24/100)*100</f>
        <v>8.5518814139110599</v>
      </c>
    </row>
    <row r="30" spans="1:12">
      <c r="A30" s="412"/>
      <c r="B30" s="412"/>
      <c r="C30" s="409"/>
      <c r="D30" s="409"/>
      <c r="E30" s="409"/>
      <c r="F30" s="342" t="s">
        <v>1079</v>
      </c>
      <c r="G30" s="409"/>
      <c r="H30" s="409"/>
      <c r="J30" t="s">
        <v>1140</v>
      </c>
      <c r="K30" s="44">
        <f>($D$15/100*$G$25/100)*100</f>
        <v>7.5256556442417324</v>
      </c>
    </row>
    <row r="31" spans="1:12">
      <c r="A31" s="343" t="s">
        <v>1082</v>
      </c>
      <c r="B31" s="52" t="s">
        <v>1085</v>
      </c>
      <c r="C31" s="52" t="s">
        <v>1082</v>
      </c>
      <c r="D31" s="344" t="s">
        <v>1101</v>
      </c>
      <c r="E31" s="344" t="s">
        <v>1106</v>
      </c>
      <c r="F31" s="344" t="s">
        <v>1106</v>
      </c>
      <c r="G31" s="344" t="s">
        <v>1106</v>
      </c>
      <c r="H31" s="344" t="s">
        <v>1111</v>
      </c>
    </row>
    <row r="32" spans="1:12" ht="30">
      <c r="A32" s="346" t="s">
        <v>1083</v>
      </c>
      <c r="B32" s="345" t="s">
        <v>1086</v>
      </c>
      <c r="C32" s="52" t="s">
        <v>1088</v>
      </c>
      <c r="D32" s="344" t="s">
        <v>1102</v>
      </c>
      <c r="E32" s="344" t="s">
        <v>1107</v>
      </c>
      <c r="F32" s="344" t="s">
        <v>1106</v>
      </c>
      <c r="G32" s="344" t="s">
        <v>1106</v>
      </c>
      <c r="H32" s="344" t="s">
        <v>1111</v>
      </c>
    </row>
    <row r="33" spans="1:12">
      <c r="A33" s="346"/>
      <c r="B33" s="345"/>
      <c r="C33" s="52" t="s">
        <v>1090</v>
      </c>
      <c r="D33" s="344" t="s">
        <v>1103</v>
      </c>
      <c r="E33" s="344" t="s">
        <v>1108</v>
      </c>
      <c r="F33" s="344" t="s">
        <v>1106</v>
      </c>
      <c r="G33" s="344" t="s">
        <v>1106</v>
      </c>
      <c r="H33" s="344" t="s">
        <v>1111</v>
      </c>
    </row>
    <row r="34" spans="1:12" ht="30">
      <c r="A34" s="346"/>
      <c r="B34" s="345" t="s">
        <v>1089</v>
      </c>
      <c r="C34" s="52" t="s">
        <v>1093</v>
      </c>
      <c r="D34" s="344" t="s">
        <v>1102</v>
      </c>
      <c r="E34" s="344" t="s">
        <v>1106</v>
      </c>
      <c r="F34" s="344" t="s">
        <v>1107</v>
      </c>
      <c r="G34" s="344" t="s">
        <v>1106</v>
      </c>
      <c r="H34" s="344" t="s">
        <v>1111</v>
      </c>
    </row>
    <row r="35" spans="1:12">
      <c r="A35" s="346"/>
      <c r="B35" s="345"/>
      <c r="C35" s="52" t="s">
        <v>1094</v>
      </c>
      <c r="D35" s="344" t="s">
        <v>1103</v>
      </c>
      <c r="E35" s="344" t="s">
        <v>1106</v>
      </c>
      <c r="F35" s="344" t="s">
        <v>1108</v>
      </c>
      <c r="G35" s="344" t="s">
        <v>1106</v>
      </c>
      <c r="H35" s="344" t="s">
        <v>1111</v>
      </c>
    </row>
    <row r="36" spans="1:12" ht="30">
      <c r="A36" s="346"/>
      <c r="B36" s="347" t="s">
        <v>1091</v>
      </c>
      <c r="C36" s="52" t="s">
        <v>1095</v>
      </c>
      <c r="D36" s="344" t="s">
        <v>1102</v>
      </c>
      <c r="E36" s="344" t="s">
        <v>1106</v>
      </c>
      <c r="F36" s="344" t="s">
        <v>1106</v>
      </c>
      <c r="G36" s="344" t="s">
        <v>1107</v>
      </c>
      <c r="H36" s="344" t="s">
        <v>1111</v>
      </c>
    </row>
    <row r="37" spans="1:12">
      <c r="A37" s="346"/>
      <c r="B37" s="347"/>
      <c r="C37" s="52" t="s">
        <v>1096</v>
      </c>
      <c r="D37" s="344" t="s">
        <v>1103</v>
      </c>
      <c r="E37" s="344" t="s">
        <v>1106</v>
      </c>
      <c r="F37" s="344" t="s">
        <v>1106</v>
      </c>
      <c r="G37" s="344" t="s">
        <v>1108</v>
      </c>
      <c r="H37" s="344" t="s">
        <v>1111</v>
      </c>
    </row>
    <row r="38" spans="1:12" ht="30">
      <c r="A38" s="346"/>
      <c r="B38" s="347" t="s">
        <v>1092</v>
      </c>
      <c r="C38" s="52" t="s">
        <v>1097</v>
      </c>
      <c r="D38" s="344" t="s">
        <v>1102</v>
      </c>
      <c r="E38" s="344" t="s">
        <v>1107</v>
      </c>
      <c r="F38" s="344"/>
      <c r="G38" s="344"/>
      <c r="H38" s="344" t="s">
        <v>1111</v>
      </c>
    </row>
    <row r="39" spans="1:12">
      <c r="A39" s="346"/>
      <c r="B39" s="347"/>
      <c r="C39" s="52" t="s">
        <v>1098</v>
      </c>
      <c r="D39" s="344" t="s">
        <v>1103</v>
      </c>
      <c r="E39" s="344" t="s">
        <v>1108</v>
      </c>
      <c r="F39" s="344"/>
      <c r="G39" s="344"/>
      <c r="H39" s="344" t="s">
        <v>1111</v>
      </c>
    </row>
    <row r="40" spans="1:12">
      <c r="A40" s="346" t="s">
        <v>1084</v>
      </c>
      <c r="B40" s="345" t="s">
        <v>1087</v>
      </c>
      <c r="C40" s="52" t="s">
        <v>1099</v>
      </c>
      <c r="D40" s="344" t="s">
        <v>1104</v>
      </c>
      <c r="E40" s="344" t="s">
        <v>1109</v>
      </c>
      <c r="F40" s="344" t="s">
        <v>1106</v>
      </c>
      <c r="G40" s="344" t="s">
        <v>1106</v>
      </c>
      <c r="H40" s="344" t="s">
        <v>1111</v>
      </c>
    </row>
    <row r="41" spans="1:12">
      <c r="A41" s="346"/>
      <c r="B41" s="345"/>
      <c r="C41" s="52" t="s">
        <v>1100</v>
      </c>
      <c r="D41" s="344" t="s">
        <v>1105</v>
      </c>
      <c r="E41" s="344" t="s">
        <v>1110</v>
      </c>
      <c r="F41" s="344" t="s">
        <v>1106</v>
      </c>
      <c r="G41" s="344" t="s">
        <v>1106</v>
      </c>
      <c r="H41" s="344" t="s">
        <v>1111</v>
      </c>
    </row>
    <row r="42" spans="1:12">
      <c r="D42" s="1"/>
      <c r="E42" s="1"/>
      <c r="F42" s="1"/>
      <c r="G42" s="1"/>
      <c r="H42" s="1"/>
    </row>
    <row r="43" spans="1:12">
      <c r="A43" s="408"/>
      <c r="B43" s="408"/>
      <c r="C43" s="408"/>
      <c r="D43" s="408"/>
      <c r="E43" s="408"/>
      <c r="F43" s="408"/>
      <c r="G43" s="408"/>
      <c r="H43" s="408"/>
      <c r="I43" s="408"/>
      <c r="J43" s="408"/>
      <c r="K43" s="408"/>
      <c r="L43" s="408"/>
    </row>
  </sheetData>
  <mergeCells count="14">
    <mergeCell ref="A43:L43"/>
    <mergeCell ref="G29:G30"/>
    <mergeCell ref="G19:G20"/>
    <mergeCell ref="A2:L2"/>
    <mergeCell ref="A28:A30"/>
    <mergeCell ref="B28:B30"/>
    <mergeCell ref="C28:H28"/>
    <mergeCell ref="C29:C30"/>
    <mergeCell ref="D29:D30"/>
    <mergeCell ref="E29:E30"/>
    <mergeCell ref="H29:H30"/>
    <mergeCell ref="G11:G12"/>
    <mergeCell ref="G13:G14"/>
    <mergeCell ref="G17:G18"/>
  </mergeCells>
  <phoneticPr fontId="1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0E0F-27C4-4566-B74C-24A284D00864}">
  <sheetPr codeName="Tabelle71"/>
  <dimension ref="A2:K18"/>
  <sheetViews>
    <sheetView zoomScale="85" zoomScaleNormal="85" workbookViewId="0">
      <selection activeCell="E13" sqref="E13"/>
    </sheetView>
  </sheetViews>
  <sheetFormatPr baseColWidth="10" defaultColWidth="11.42578125" defaultRowHeight="15"/>
  <cols>
    <col min="1" max="1" width="43.140625" bestFit="1" customWidth="1"/>
    <col min="2" max="2" width="12.28515625" bestFit="1" customWidth="1"/>
    <col min="3" max="3" width="9.28515625" bestFit="1" customWidth="1"/>
    <col min="4" max="4" width="14.5703125" bestFit="1" customWidth="1"/>
    <col min="5" max="5" width="9.28515625" bestFit="1" customWidth="1"/>
    <col min="6" max="6" width="32.85546875" bestFit="1" customWidth="1"/>
    <col min="7" max="7" width="13.140625" bestFit="1" customWidth="1"/>
    <col min="8" max="8" width="16" bestFit="1" customWidth="1"/>
    <col min="9" max="9" width="16.5703125" bestFit="1" customWidth="1"/>
    <col min="10" max="10" width="14.85546875" bestFit="1" customWidth="1"/>
    <col min="11" max="12" width="33.140625" bestFit="1" customWidth="1"/>
  </cols>
  <sheetData>
    <row r="2" spans="1:11">
      <c r="A2" s="101" t="s">
        <v>269</v>
      </c>
      <c r="B2" s="101"/>
      <c r="C2" s="101"/>
      <c r="D2" s="101"/>
      <c r="K2" t="s">
        <v>270</v>
      </c>
    </row>
    <row r="3" spans="1:11">
      <c r="A3" s="98" t="s">
        <v>98</v>
      </c>
      <c r="B3" s="98">
        <v>43</v>
      </c>
      <c r="C3" s="98"/>
      <c r="D3" s="98" t="s">
        <v>271</v>
      </c>
      <c r="K3" t="s">
        <v>228</v>
      </c>
    </row>
    <row r="4" spans="1:11">
      <c r="A4" s="98" t="s">
        <v>120</v>
      </c>
      <c r="B4" s="98">
        <v>0.05</v>
      </c>
      <c r="C4" s="98"/>
      <c r="D4" s="98" t="s">
        <v>272</v>
      </c>
    </row>
    <row r="5" spans="1:11" ht="17.25">
      <c r="A5" s="98" t="s">
        <v>273</v>
      </c>
      <c r="B5" s="98">
        <f>B3/B4</f>
        <v>860</v>
      </c>
      <c r="C5" s="98"/>
      <c r="D5" s="98" t="s">
        <v>274</v>
      </c>
    </row>
    <row r="7" spans="1:11">
      <c r="A7" s="101" t="s">
        <v>275</v>
      </c>
      <c r="B7" s="101"/>
      <c r="C7" s="101"/>
      <c r="D7" s="101"/>
      <c r="E7" s="3" t="s">
        <v>276</v>
      </c>
      <c r="I7" t="s">
        <v>21</v>
      </c>
      <c r="J7" s="96">
        <f>Gesamtauswertung!D8/100</f>
        <v>0.8</v>
      </c>
    </row>
    <row r="8" spans="1:11" ht="17.25">
      <c r="A8" s="102" t="s">
        <v>273</v>
      </c>
      <c r="B8" s="102">
        <v>450</v>
      </c>
      <c r="C8" s="102"/>
      <c r="D8" s="227" t="s">
        <v>274</v>
      </c>
      <c r="E8" t="s">
        <v>277</v>
      </c>
    </row>
    <row r="9" spans="1:11">
      <c r="A9" s="102" t="s">
        <v>120</v>
      </c>
      <c r="B9" s="102">
        <v>0.106</v>
      </c>
      <c r="C9" s="102"/>
      <c r="D9" s="102" t="s">
        <v>272</v>
      </c>
    </row>
    <row r="10" spans="1:11" ht="17.25">
      <c r="A10" s="102" t="s">
        <v>278</v>
      </c>
      <c r="B10" s="102">
        <f>B8*B9</f>
        <v>47.699999999999996</v>
      </c>
      <c r="C10" s="102"/>
      <c r="D10" s="227" t="s">
        <v>279</v>
      </c>
    </row>
    <row r="12" spans="1:11">
      <c r="A12" t="s">
        <v>29</v>
      </c>
      <c r="B12" t="s">
        <v>3</v>
      </c>
      <c r="C12" t="s">
        <v>280</v>
      </c>
      <c r="D12" t="s">
        <v>130</v>
      </c>
      <c r="E12" t="s">
        <v>281</v>
      </c>
      <c r="F12" t="s">
        <v>282</v>
      </c>
      <c r="G12" t="s">
        <v>236</v>
      </c>
      <c r="H12" t="s">
        <v>283</v>
      </c>
      <c r="I12" t="s">
        <v>284</v>
      </c>
      <c r="J12" t="s">
        <v>129</v>
      </c>
      <c r="K12" t="s">
        <v>2</v>
      </c>
    </row>
    <row r="13" spans="1:11">
      <c r="A13" t="s">
        <v>1265</v>
      </c>
      <c r="B13">
        <v>174203.87340000001</v>
      </c>
      <c r="C13">
        <v>1415.23</v>
      </c>
      <c r="D13" s="44">
        <f>Gesamtauswertung!$D$9</f>
        <v>100</v>
      </c>
      <c r="E13" t="s">
        <v>270</v>
      </c>
      <c r="F13">
        <f>IF(Fenster[[#This Row],[Art]] = "Glas", $B$3, $B$10)</f>
        <v>47.699999999999996</v>
      </c>
      <c r="G13">
        <f>Fenster[[#This Row],[Flächenbezogene Masse '[kg/m2']]]*Fenster[[#This Row],[Fläche]]</f>
        <v>67506.47099999999</v>
      </c>
      <c r="H13">
        <f>Fenster[[#This Row],[Masse '[kg']]]/Fenster[[#This Row],[Dichte '[kg/m3']]]</f>
        <v>150.01437999999999</v>
      </c>
      <c r="I13">
        <f>IF(Fenster[[#This Row],[Art]] = "Glas", $B$5,$B$8)</f>
        <v>450</v>
      </c>
      <c r="J13">
        <f>IF('Transport Kennzahlen'!$D$26&lt;Fenster[[#This Row],[Dichte '[kg/m3']]],Fenster[[#This Row],[Masse '[kg']]]/'Transport Kennzahlen'!$D$25,Fenster[[#This Row],[Volumen '[m3']]]/'Transport Kennzahlen'!$F$25)*(1/$J$7)</f>
        <v>8.4383088749999988</v>
      </c>
      <c r="K13">
        <f>'Transport Kennzahlen'!$E$30*Fenster[[#This Row],[LKW-Fahrten]]*Fenster[[#This Row],[Distanz '[km']]]*$J$7</f>
        <v>626.12251852499628</v>
      </c>
    </row>
    <row r="14" spans="1:11">
      <c r="B14">
        <f>SUBTOTAL(109,Fenster[GWP])</f>
        <v>174203.87340000001</v>
      </c>
      <c r="K14">
        <f>SUBTOTAL(109,Fenster[Transportemissionen '[kgCO2 eq.']])</f>
        <v>626.12251852499628</v>
      </c>
    </row>
    <row r="18" spans="11:11">
      <c r="K18" t="s">
        <v>1055</v>
      </c>
    </row>
  </sheetData>
  <dataValidations count="1">
    <dataValidation type="list" allowBlank="1" showInputMessage="1" showErrorMessage="1" sqref="E13" xr:uid="{FC9EBBF2-6C54-46B6-96EE-86BE076FE89C}">
      <formula1>$K$2:$K$3</formula1>
    </dataValidation>
  </dataValidations>
  <hyperlinks>
    <hyperlink ref="E7" r:id="rId1" xr:uid="{A54347A2-40D6-41E3-AF8B-DDD4B0C3B155}"/>
  </hyperlinks>
  <pageMargins left="0.7" right="0.7" top="0.78740157499999996" bottom="0.78740157499999996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798A-7272-4BC9-A65A-3352D0BEAA55}">
  <sheetPr codeName="Tabelle1"/>
  <dimension ref="B1:N35"/>
  <sheetViews>
    <sheetView topLeftCell="C1" zoomScale="115" zoomScaleNormal="115" workbookViewId="0">
      <selection activeCell="C4" sqref="C4"/>
    </sheetView>
  </sheetViews>
  <sheetFormatPr baseColWidth="10" defaultColWidth="11.42578125" defaultRowHeight="15"/>
  <cols>
    <col min="2" max="2" width="27.140625" customWidth="1"/>
    <col min="3" max="3" width="19" customWidth="1"/>
    <col min="4" max="4" width="19.85546875" customWidth="1"/>
    <col min="5" max="5" width="19.5703125" customWidth="1"/>
    <col min="6" max="6" width="30.7109375" bestFit="1" customWidth="1"/>
    <col min="7" max="7" width="30" customWidth="1"/>
    <col min="8" max="8" width="29.85546875" customWidth="1"/>
    <col min="9" max="9" width="29.140625" customWidth="1"/>
    <col min="11" max="11" width="11.42578125" customWidth="1"/>
  </cols>
  <sheetData>
    <row r="1" spans="2:14">
      <c r="F1" s="414" t="s">
        <v>656</v>
      </c>
      <c r="G1" s="414"/>
    </row>
    <row r="2" spans="2:14">
      <c r="B2" s="59" t="s">
        <v>203</v>
      </c>
      <c r="C2" s="262" t="s">
        <v>234</v>
      </c>
      <c r="D2" s="59" t="s">
        <v>235</v>
      </c>
      <c r="E2" s="59" t="s">
        <v>236</v>
      </c>
      <c r="F2" s="59" t="s">
        <v>237</v>
      </c>
      <c r="G2" s="59" t="s">
        <v>238</v>
      </c>
      <c r="H2" s="59" t="s">
        <v>130</v>
      </c>
      <c r="I2" s="59" t="s">
        <v>239</v>
      </c>
      <c r="N2" t="s">
        <v>132</v>
      </c>
    </row>
    <row r="3" spans="2:14">
      <c r="B3" s="52" t="s">
        <v>89</v>
      </c>
      <c r="C3" s="263">
        <v>2400</v>
      </c>
      <c r="D3" s="266">
        <v>100</v>
      </c>
      <c r="E3" s="52">
        <f>C3*D3</f>
        <v>240000</v>
      </c>
      <c r="F3" s="268">
        <f>IF('Transport Kennzahlen'!$D$16&lt;'Abbruch-Entsorgung'!C3,'Abbruch-Entsorgung'!E3/'Transport Kennzahlen'!$D$15,'Abbruch-Entsorgung'!D3/'Transport Kennzahlen'!$H$15)*(1/'Abbruch-Entsorgung'!$N$3)</f>
        <v>10.714285714285714</v>
      </c>
      <c r="G3" s="268">
        <f>IF('Transport Kennzahlen'!$D$16&lt;'Abbruch-Entsorgung'!C3,'Abbruch-Entsorgung'!E3/'Transport Kennzahlen'!$D$15,'Abbruch-Entsorgung'!D3/'Transport Kennzahlen'!$I$15)*(1/'Abbruch-Entsorgung'!$N$3)</f>
        <v>10.714285714285714</v>
      </c>
      <c r="H3" s="266">
        <v>50</v>
      </c>
      <c r="I3" s="348">
        <f>'Transport Kennzahlen'!$E$20*IF(K3=TRUE,G3,F3)*'Abbruch-Entsorgung'!H3</f>
        <v>496.87499999999699</v>
      </c>
      <c r="K3" t="b">
        <v>1</v>
      </c>
      <c r="N3" s="100">
        <f>Gesamtauswertung!D8/100</f>
        <v>0.8</v>
      </c>
    </row>
    <row r="4" spans="2:14">
      <c r="B4" s="52" t="s">
        <v>102</v>
      </c>
      <c r="C4" s="263">
        <v>7850</v>
      </c>
      <c r="D4" s="266">
        <v>10</v>
      </c>
      <c r="E4" s="52">
        <f t="shared" ref="E4" si="0">C4*D4</f>
        <v>78500</v>
      </c>
      <c r="F4" s="268">
        <f>IF('Transport Kennzahlen'!$D$16&lt;'Abbruch-Entsorgung'!C4,'Abbruch-Entsorgung'!E4/'Transport Kennzahlen'!$D$15,'Abbruch-Entsorgung'!D4/'Transport Kennzahlen'!$H$15)*(1/'Abbruch-Entsorgung'!$N$3)</f>
        <v>3.5044642857142856</v>
      </c>
      <c r="G4" s="268">
        <f>IF('Transport Kennzahlen'!$D$16&lt;'Abbruch-Entsorgung'!C4,'Abbruch-Entsorgung'!E4/'Transport Kennzahlen'!$D$15,'Abbruch-Entsorgung'!D4/'Transport Kennzahlen'!$I$15)*(1/'Abbruch-Entsorgung'!$N$3)</f>
        <v>3.5044642857142856</v>
      </c>
      <c r="H4" s="266">
        <v>15</v>
      </c>
      <c r="I4" s="348">
        <f>'Transport Kennzahlen'!$E$20*IF(K4=TRUE,G4,F4)*'Abbruch-Entsorgung'!H4</f>
        <v>48.755859374999709</v>
      </c>
      <c r="K4" t="b">
        <v>1</v>
      </c>
    </row>
    <row r="5" spans="2:14">
      <c r="B5" s="52" t="s">
        <v>228</v>
      </c>
      <c r="C5" s="263">
        <v>2500</v>
      </c>
      <c r="D5" s="266">
        <v>2</v>
      </c>
      <c r="E5" s="52">
        <f t="shared" ref="E5" si="1">C5*D5</f>
        <v>5000</v>
      </c>
      <c r="F5" s="268">
        <f>IF('Transport Kennzahlen'!$D$16&lt;'Abbruch-Entsorgung'!C5,'Abbruch-Entsorgung'!E5/'Transport Kennzahlen'!$D$15,'Abbruch-Entsorgung'!D5/'Transport Kennzahlen'!$H$15)*(1/'Abbruch-Entsorgung'!$N$3)</f>
        <v>0.22321428571428573</v>
      </c>
      <c r="G5" s="268">
        <f>IF('Transport Kennzahlen'!$D$16&lt;'Abbruch-Entsorgung'!C5,'Abbruch-Entsorgung'!E5/'Transport Kennzahlen'!$D$15,'Abbruch-Entsorgung'!D5/'Transport Kennzahlen'!$I$15)*(1/'Abbruch-Entsorgung'!$N$3)</f>
        <v>0.22321428571428573</v>
      </c>
      <c r="H5" s="266">
        <v>100</v>
      </c>
      <c r="I5" s="348">
        <f>'Transport Kennzahlen'!$E$20*IF(K5=TRUE,G5,F5)*'Abbruch-Entsorgung'!H5</f>
        <v>20.703124999999879</v>
      </c>
      <c r="K5" t="b">
        <v>1</v>
      </c>
    </row>
    <row r="6" spans="2:14">
      <c r="B6" s="52" t="s">
        <v>212</v>
      </c>
      <c r="C6" s="263">
        <v>675</v>
      </c>
      <c r="D6" s="266">
        <v>10</v>
      </c>
      <c r="E6" s="52">
        <f t="shared" ref="E6:E11" si="2">C6*D6</f>
        <v>6750</v>
      </c>
      <c r="F6" s="269">
        <f>IF('Transport Kennzahlen'!$D$16&lt;'Abbruch-Entsorgung'!C6,'Abbruch-Entsorgung'!E6/'Transport Kennzahlen'!$D$15,'Abbruch-Entsorgung'!D6/'Transport Kennzahlen'!$H$15)*(1/'Abbruch-Entsorgung'!$N$3)</f>
        <v>1.25</v>
      </c>
      <c r="G6" s="269">
        <f>IF('Transport Kennzahlen'!$D$16&lt;'Abbruch-Entsorgung'!C6,'Abbruch-Entsorgung'!E6/'Transport Kennzahlen'!$D$15,'Abbruch-Entsorgung'!D6/'Transport Kennzahlen'!$I$15)*(1/'Abbruch-Entsorgung'!$N$3)</f>
        <v>0.3125</v>
      </c>
      <c r="H6" s="266">
        <v>100</v>
      </c>
      <c r="I6" s="348">
        <f>'Transport Kennzahlen'!$E$20*IF(K6=TRUE,G6,F6)*'Abbruch-Entsorgung'!H6</f>
        <v>28.984374999999829</v>
      </c>
      <c r="K6" t="b">
        <v>1</v>
      </c>
    </row>
    <row r="7" spans="2:14">
      <c r="B7" s="52" t="s">
        <v>214</v>
      </c>
      <c r="C7" s="263">
        <v>680</v>
      </c>
      <c r="D7" s="266">
        <v>10</v>
      </c>
      <c r="E7" s="52">
        <f t="shared" si="2"/>
        <v>6800</v>
      </c>
      <c r="F7" s="269">
        <f>IF('Transport Kennzahlen'!$D$16&lt;'Abbruch-Entsorgung'!C7,'Abbruch-Entsorgung'!E7/'Transport Kennzahlen'!$D$15,'Abbruch-Entsorgung'!D7/'Transport Kennzahlen'!$H$15)*(1/'Abbruch-Entsorgung'!$N$3)</f>
        <v>1.25</v>
      </c>
      <c r="G7" s="269">
        <f>IF('Transport Kennzahlen'!$D$16&lt;'Abbruch-Entsorgung'!C7,'Abbruch-Entsorgung'!E7/'Transport Kennzahlen'!$D$15,'Abbruch-Entsorgung'!D7/'Transport Kennzahlen'!$I$15)*(1/'Abbruch-Entsorgung'!$N$3)</f>
        <v>0.3125</v>
      </c>
      <c r="H7" s="266">
        <v>100</v>
      </c>
      <c r="I7" s="348">
        <f>'Transport Kennzahlen'!$E$20*IF(K7=TRUE,G7,F7)*'Abbruch-Entsorgung'!H7</f>
        <v>28.984374999999829</v>
      </c>
      <c r="K7" t="b">
        <v>1</v>
      </c>
    </row>
    <row r="8" spans="2:14">
      <c r="B8" s="52" t="s">
        <v>216</v>
      </c>
      <c r="C8" s="263">
        <v>470</v>
      </c>
      <c r="D8" s="266">
        <v>3</v>
      </c>
      <c r="E8" s="52">
        <f t="shared" si="2"/>
        <v>1410</v>
      </c>
      <c r="F8" s="269">
        <f>IF('Transport Kennzahlen'!$D$16&lt;'Abbruch-Entsorgung'!C8,'Abbruch-Entsorgung'!E8/'Transport Kennzahlen'!$D$15,'Abbruch-Entsorgung'!D8/'Transport Kennzahlen'!$H$15)*(1/'Abbruch-Entsorgung'!$N$3)</f>
        <v>0.375</v>
      </c>
      <c r="G8" s="269">
        <f>IF('Transport Kennzahlen'!$D$16&lt;'Abbruch-Entsorgung'!C8,'Abbruch-Entsorgung'!E8/'Transport Kennzahlen'!$D$15,'Abbruch-Entsorgung'!D8/'Transport Kennzahlen'!$I$15)*(1/'Abbruch-Entsorgung'!$N$3)</f>
        <v>9.375E-2</v>
      </c>
      <c r="H8" s="266">
        <v>100</v>
      </c>
      <c r="I8" s="348">
        <f>'Transport Kennzahlen'!$E$20*IF(K8=TRUE,G8,F8)*'Abbruch-Entsorgung'!H8</f>
        <v>8.6953124999999485</v>
      </c>
      <c r="K8" t="b">
        <v>1</v>
      </c>
    </row>
    <row r="9" spans="2:14">
      <c r="B9" s="52" t="s">
        <v>227</v>
      </c>
      <c r="C9" s="263">
        <v>500</v>
      </c>
      <c r="D9" s="266">
        <v>10</v>
      </c>
      <c r="E9" s="52">
        <f t="shared" si="2"/>
        <v>5000</v>
      </c>
      <c r="F9" s="269">
        <f>IF('Transport Kennzahlen'!$D$16&lt;'Abbruch-Entsorgung'!C9,'Abbruch-Entsorgung'!E9/'Transport Kennzahlen'!$D$15,'Abbruch-Entsorgung'!D9/'Transport Kennzahlen'!$H$15)*(1/'Abbruch-Entsorgung'!$N$3)</f>
        <v>1.25</v>
      </c>
      <c r="G9" s="269">
        <f>IF('Transport Kennzahlen'!$D$16&lt;'Abbruch-Entsorgung'!C9,'Abbruch-Entsorgung'!E9/'Transport Kennzahlen'!$D$15,'Abbruch-Entsorgung'!D9/'Transport Kennzahlen'!$I$15)*(1/'Abbruch-Entsorgung'!$N$3)</f>
        <v>0.3125</v>
      </c>
      <c r="H9" s="266">
        <v>100</v>
      </c>
      <c r="I9" s="348">
        <f>'Transport Kennzahlen'!$E$20*IF(K9=TRUE,G9,F9)*'Abbruch-Entsorgung'!H9</f>
        <v>28.984374999999829</v>
      </c>
      <c r="K9" t="b">
        <v>1</v>
      </c>
    </row>
    <row r="10" spans="2:14">
      <c r="B10" s="52" t="s">
        <v>229</v>
      </c>
      <c r="C10" s="263">
        <v>650</v>
      </c>
      <c r="D10" s="266">
        <v>10</v>
      </c>
      <c r="E10" s="52">
        <f t="shared" si="2"/>
        <v>6500</v>
      </c>
      <c r="F10" s="269">
        <f>IF('Transport Kennzahlen'!$D$16&lt;'Abbruch-Entsorgung'!C10,'Abbruch-Entsorgung'!E10/'Transport Kennzahlen'!$D$15,'Abbruch-Entsorgung'!D10/'Transport Kennzahlen'!$H$15)*(1/'Abbruch-Entsorgung'!$N$3)</f>
        <v>1.25</v>
      </c>
      <c r="G10" s="269">
        <f>IF('Transport Kennzahlen'!$D$16&lt;'Abbruch-Entsorgung'!C10,'Abbruch-Entsorgung'!E10/'Transport Kennzahlen'!$D$15,'Abbruch-Entsorgung'!D10/'Transport Kennzahlen'!$I$15)*(1/'Abbruch-Entsorgung'!$N$3)</f>
        <v>0.3125</v>
      </c>
      <c r="H10" s="266">
        <v>100</v>
      </c>
      <c r="I10" s="348">
        <f>'Transport Kennzahlen'!$E$20*IF(K10=TRUE,G10,F10)*'Abbruch-Entsorgung'!H10</f>
        <v>28.984374999999829</v>
      </c>
      <c r="K10" t="b">
        <v>1</v>
      </c>
    </row>
    <row r="11" spans="2:14">
      <c r="B11" s="261" t="s">
        <v>230</v>
      </c>
      <c r="C11" s="4">
        <v>470</v>
      </c>
      <c r="D11" s="266">
        <v>10</v>
      </c>
      <c r="E11" s="52">
        <f t="shared" si="2"/>
        <v>4700</v>
      </c>
      <c r="F11" s="269">
        <f>IF('Transport Kennzahlen'!$D$16&lt;'Abbruch-Entsorgung'!C11,'Abbruch-Entsorgung'!E11/'Transport Kennzahlen'!$D$15,'Abbruch-Entsorgung'!D11/'Transport Kennzahlen'!$H$15)*(1/'Abbruch-Entsorgung'!$N$3)</f>
        <v>1.25</v>
      </c>
      <c r="G11" s="269">
        <f>IF('Transport Kennzahlen'!$D$16&lt;'Abbruch-Entsorgung'!C11,'Abbruch-Entsorgung'!E11/'Transport Kennzahlen'!$D$15,'Abbruch-Entsorgung'!D11/'Transport Kennzahlen'!$I$15)*(1/'Abbruch-Entsorgung'!$N$3)</f>
        <v>0.3125</v>
      </c>
      <c r="H11" s="266">
        <v>100</v>
      </c>
      <c r="I11" s="348">
        <f>'Transport Kennzahlen'!$E$20*IF(K11=TRUE,G11,F11)*'Abbruch-Entsorgung'!H11</f>
        <v>28.984374999999829</v>
      </c>
      <c r="K11" t="b">
        <v>1</v>
      </c>
    </row>
    <row r="12" spans="2:14">
      <c r="B12" s="52" t="s">
        <v>231</v>
      </c>
      <c r="C12" s="263">
        <v>1100</v>
      </c>
      <c r="D12" s="266">
        <v>15</v>
      </c>
      <c r="E12" s="52">
        <v>100000</v>
      </c>
      <c r="F12" s="269">
        <f>IF('Transport Kennzahlen'!$D$16&lt;'Abbruch-Entsorgung'!C12,'Abbruch-Entsorgung'!E12/'Transport Kennzahlen'!$D$15,'Abbruch-Entsorgung'!D12/'Transport Kennzahlen'!$H$15)*(1/'Abbruch-Entsorgung'!$N$3)</f>
        <v>1.875</v>
      </c>
      <c r="G12" s="269">
        <f>IF('Transport Kennzahlen'!$D$16&lt;'Abbruch-Entsorgung'!C12,'Abbruch-Entsorgung'!E12/'Transport Kennzahlen'!$D$15,'Abbruch-Entsorgung'!D12/'Transport Kennzahlen'!$I$15)*(1/'Abbruch-Entsorgung'!$N$3)</f>
        <v>0.46875</v>
      </c>
      <c r="H12" s="266">
        <v>36</v>
      </c>
      <c r="I12" s="348">
        <f>'Transport Kennzahlen'!$E$20*IF(K12=TRUE,G12,F12)*'Abbruch-Entsorgung'!H12</f>
        <v>15.651562499999905</v>
      </c>
      <c r="K12" t="b">
        <v>1</v>
      </c>
    </row>
    <row r="13" spans="2:14">
      <c r="B13" s="90" t="s">
        <v>149</v>
      </c>
      <c r="C13" s="264"/>
      <c r="D13" s="265"/>
      <c r="E13" s="265"/>
      <c r="F13" s="265"/>
      <c r="G13" s="265"/>
      <c r="H13" s="265"/>
      <c r="I13" s="265"/>
    </row>
    <row r="14" spans="2:14">
      <c r="B14" s="52" t="s">
        <v>219</v>
      </c>
      <c r="C14" s="263">
        <v>15.8</v>
      </c>
      <c r="D14" s="266">
        <v>100</v>
      </c>
      <c r="E14" s="52">
        <f>C14*D14</f>
        <v>1580</v>
      </c>
      <c r="F14" s="269">
        <f>IF('Transport Kennzahlen'!$D$16&lt;'Abbruch-Entsorgung'!C14,'Abbruch-Entsorgung'!E14/'Transport Kennzahlen'!$D$15,'Abbruch-Entsorgung'!D14/'Transport Kennzahlen'!$H$15)*(1/'Abbruch-Entsorgung'!$N$3)</f>
        <v>12.5</v>
      </c>
      <c r="G14" s="269">
        <f>IF('Transport Kennzahlen'!$D$16&lt;'Abbruch-Entsorgung'!C14,'Abbruch-Entsorgung'!E14/'Transport Kennzahlen'!$D$15,'Abbruch-Entsorgung'!D14/'Transport Kennzahlen'!$I$15)*(1/'Abbruch-Entsorgung'!$N$3)</f>
        <v>3.125</v>
      </c>
      <c r="H14" s="266">
        <v>100</v>
      </c>
      <c r="I14" s="349">
        <f>'Transport Kennzahlen'!$E$20*IF(K14=TRUE,G14,F14)*'Abbruch-Entsorgung'!H14</f>
        <v>289.84374999999829</v>
      </c>
      <c r="K14" t="b">
        <v>1</v>
      </c>
    </row>
    <row r="15" spans="2:14">
      <c r="B15" s="52" t="s">
        <v>220</v>
      </c>
      <c r="C15" s="263">
        <v>30</v>
      </c>
      <c r="D15" s="266">
        <v>100</v>
      </c>
      <c r="E15" s="52">
        <f t="shared" ref="E15:E18" si="3">C15*D15</f>
        <v>3000</v>
      </c>
      <c r="F15" s="269">
        <f>IF('Transport Kennzahlen'!$D$16&lt;'Abbruch-Entsorgung'!C15,'Abbruch-Entsorgung'!E15/'Transport Kennzahlen'!$D$15,'Abbruch-Entsorgung'!D15/'Transport Kennzahlen'!$H$15)*(1/'Abbruch-Entsorgung'!$N$3)</f>
        <v>12.5</v>
      </c>
      <c r="G15" s="269">
        <f>IF('Transport Kennzahlen'!$D$16&lt;'Abbruch-Entsorgung'!C15,'Abbruch-Entsorgung'!E15/'Transport Kennzahlen'!$D$15,'Abbruch-Entsorgung'!D15/'Transport Kennzahlen'!$I$15)*(1/'Abbruch-Entsorgung'!$N$3)</f>
        <v>3.125</v>
      </c>
      <c r="H15" s="266">
        <v>100</v>
      </c>
      <c r="I15" s="349">
        <f>'Transport Kennzahlen'!$E$20*IF(K15=TRUE,G15,F15)*'Abbruch-Entsorgung'!H15</f>
        <v>289.84374999999829</v>
      </c>
      <c r="K15" t="b">
        <v>1</v>
      </c>
    </row>
    <row r="16" spans="2:14">
      <c r="B16" s="52" t="s">
        <v>222</v>
      </c>
      <c r="C16" s="263">
        <v>24</v>
      </c>
      <c r="D16" s="266">
        <v>100</v>
      </c>
      <c r="E16" s="52">
        <f t="shared" si="3"/>
        <v>2400</v>
      </c>
      <c r="F16" s="269">
        <f>IF('Transport Kennzahlen'!$D$16&lt;'Abbruch-Entsorgung'!C16,'Abbruch-Entsorgung'!E16/'Transport Kennzahlen'!$D$15,'Abbruch-Entsorgung'!D16/'Transport Kennzahlen'!$H$15)*(1/'Abbruch-Entsorgung'!$N$3)</f>
        <v>12.5</v>
      </c>
      <c r="G16" s="269">
        <f>IF('Transport Kennzahlen'!$D$16&lt;'Abbruch-Entsorgung'!C16,'Abbruch-Entsorgung'!E16/'Transport Kennzahlen'!$D$15,'Abbruch-Entsorgung'!D16/'Transport Kennzahlen'!$I$15)*(1/'Abbruch-Entsorgung'!$N$3)</f>
        <v>3.125</v>
      </c>
      <c r="H16" s="266">
        <v>100</v>
      </c>
      <c r="I16" s="349">
        <f>'Transport Kennzahlen'!$E$20*IF(K16=TRUE,G16,F16)*'Abbruch-Entsorgung'!H16</f>
        <v>289.84374999999829</v>
      </c>
      <c r="K16" t="b">
        <v>1</v>
      </c>
    </row>
    <row r="17" spans="2:11">
      <c r="B17" s="52" t="s">
        <v>224</v>
      </c>
      <c r="C17" s="263">
        <v>125</v>
      </c>
      <c r="D17" s="266">
        <v>100</v>
      </c>
      <c r="E17" s="52">
        <f t="shared" si="3"/>
        <v>12500</v>
      </c>
      <c r="F17" s="269">
        <f>IF('Transport Kennzahlen'!$D$16&lt;'Abbruch-Entsorgung'!C17,'Abbruch-Entsorgung'!E17/'Transport Kennzahlen'!$D$15,'Abbruch-Entsorgung'!D17/'Transport Kennzahlen'!$H$15)*(1/'Abbruch-Entsorgung'!$N$3)</f>
        <v>12.5</v>
      </c>
      <c r="G17" s="269">
        <f>IF('Transport Kennzahlen'!$D$16&lt;'Abbruch-Entsorgung'!C17,'Abbruch-Entsorgung'!E17/'Transport Kennzahlen'!$D$15,'Abbruch-Entsorgung'!D17/'Transport Kennzahlen'!$I$15)*(1/'Abbruch-Entsorgung'!$N$3)</f>
        <v>3.125</v>
      </c>
      <c r="H17" s="266">
        <v>100</v>
      </c>
      <c r="I17" s="349">
        <f>'Transport Kennzahlen'!$E$20*IF(K17=TRUE,G17,F17)*'Abbruch-Entsorgung'!H17</f>
        <v>289.84374999999829</v>
      </c>
      <c r="K17" t="b">
        <v>1</v>
      </c>
    </row>
    <row r="18" spans="2:11">
      <c r="B18" s="261" t="s">
        <v>226</v>
      </c>
      <c r="C18" s="4">
        <v>70</v>
      </c>
      <c r="D18" s="266">
        <v>100</v>
      </c>
      <c r="E18" s="261">
        <f t="shared" si="3"/>
        <v>7000</v>
      </c>
      <c r="F18" s="270">
        <f>IF('Transport Kennzahlen'!$D$16&lt;'Abbruch-Entsorgung'!C18,'Abbruch-Entsorgung'!E18/'Transport Kennzahlen'!$D$15,'Abbruch-Entsorgung'!D18/'Transport Kennzahlen'!$H$15)*(1/'Abbruch-Entsorgung'!$N$3)</f>
        <v>12.5</v>
      </c>
      <c r="G18" s="270">
        <f>IF('Transport Kennzahlen'!$D$16&lt;'Abbruch-Entsorgung'!C18,'Abbruch-Entsorgung'!E18/'Transport Kennzahlen'!$D$15,'Abbruch-Entsorgung'!D18/'Transport Kennzahlen'!$I$15)*(1/'Abbruch-Entsorgung'!$N$3)</f>
        <v>3.125</v>
      </c>
      <c r="H18" s="267">
        <v>100</v>
      </c>
      <c r="I18" s="349">
        <f>'Transport Kennzahlen'!$E$20*IF(K18=TRUE,G18,F18)*'Abbruch-Entsorgung'!H18</f>
        <v>289.84374999999829</v>
      </c>
      <c r="K18" t="b">
        <v>1</v>
      </c>
    </row>
    <row r="19" spans="2:11">
      <c r="B19" s="5"/>
      <c r="C19" s="5"/>
      <c r="D19" s="5"/>
      <c r="E19" s="5"/>
      <c r="F19" s="5"/>
      <c r="G19" s="5"/>
      <c r="H19" s="5"/>
      <c r="I19" s="350">
        <f>SUM(I3:I12,I14:I18)</f>
        <v>2184.8214843749865</v>
      </c>
    </row>
    <row r="21" spans="2:11">
      <c r="B21" t="s">
        <v>657</v>
      </c>
      <c r="E21" s="266"/>
      <c r="F21" t="s">
        <v>1024</v>
      </c>
    </row>
    <row r="35" spans="2:2">
      <c r="B35" s="3" t="s">
        <v>240</v>
      </c>
    </row>
  </sheetData>
  <mergeCells count="1">
    <mergeCell ref="F1:G1"/>
  </mergeCells>
  <hyperlinks>
    <hyperlink ref="B35" r:id="rId1" xr:uid="{DA91D8C4-F443-4EAB-B384-63896C4084DD}"/>
  </hyperlinks>
  <pageMargins left="0.7" right="0.7" top="0.78740157499999996" bottom="0.78740157499999996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61" r:id="rId5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180975</xdr:rowOff>
                  </from>
                  <to>
                    <xdr:col>6</xdr:col>
                    <xdr:colOff>1200150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6" name="Check Box 14">
              <controlPr defaultSize="0" autoFill="0" autoLine="0" autoPict="0">
                <anchor moveWithCells="1">
                  <from>
                    <xdr:col>6</xdr:col>
                    <xdr:colOff>9525</xdr:colOff>
                    <xdr:row>3</xdr:row>
                    <xdr:rowOff>0</xdr:rowOff>
                  </from>
                  <to>
                    <xdr:col>6</xdr:col>
                    <xdr:colOff>1200150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7" name="Check Box 15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0</xdr:rowOff>
                  </from>
                  <to>
                    <xdr:col>6</xdr:col>
                    <xdr:colOff>1200150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8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9" name="Check Box 17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10" name="Check Box 18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0</xdr:rowOff>
                  </from>
                  <to>
                    <xdr:col>6</xdr:col>
                    <xdr:colOff>1200150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11" name="Check Box 19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180975</xdr:rowOff>
                  </from>
                  <to>
                    <xdr:col>6</xdr:col>
                    <xdr:colOff>1200150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12" name="Check Box 20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9525</xdr:rowOff>
                  </from>
                  <to>
                    <xdr:col>6</xdr:col>
                    <xdr:colOff>1200150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13" name="Check Box 21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0</xdr:rowOff>
                  </from>
                  <to>
                    <xdr:col>6</xdr:col>
                    <xdr:colOff>1200150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14" name="Check Box 22">
              <controlPr defaultSize="0" autoFill="0" autoLine="0" autoPict="0">
                <anchor moveWithCells="1">
                  <from>
                    <xdr:col>6</xdr:col>
                    <xdr:colOff>9525</xdr:colOff>
                    <xdr:row>10</xdr:row>
                    <xdr:rowOff>0</xdr:rowOff>
                  </from>
                  <to>
                    <xdr:col>6</xdr:col>
                    <xdr:colOff>1200150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15" name="Check Box 23">
              <controlPr defaultSize="0" autoFill="0" autoLine="0" autoPict="0">
                <anchor moveWithCells="1">
                  <from>
                    <xdr:col>6</xdr:col>
                    <xdr:colOff>9525</xdr:colOff>
                    <xdr:row>11</xdr:row>
                    <xdr:rowOff>0</xdr:rowOff>
                  </from>
                  <to>
                    <xdr:col>6</xdr:col>
                    <xdr:colOff>1200150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16" name="Check Box 24">
              <controlPr defaultSize="0" autoFill="0" autoLine="0" autoPict="0">
                <anchor moveWithCells="1">
                  <from>
                    <xdr:col>6</xdr:col>
                    <xdr:colOff>9525</xdr:colOff>
                    <xdr:row>13</xdr:row>
                    <xdr:rowOff>0</xdr:rowOff>
                  </from>
                  <to>
                    <xdr:col>6</xdr:col>
                    <xdr:colOff>1200150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17" name="Check Box 25">
              <controlPr defaultSize="0" autoFill="0" autoLine="0" autoPict="0">
                <anchor moveWithCells="1">
                  <from>
                    <xdr:col>6</xdr:col>
                    <xdr:colOff>9525</xdr:colOff>
                    <xdr:row>14</xdr:row>
                    <xdr:rowOff>9525</xdr:rowOff>
                  </from>
                  <to>
                    <xdr:col>6</xdr:col>
                    <xdr:colOff>1200150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18" name="Check Box 26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0</xdr:rowOff>
                  </from>
                  <to>
                    <xdr:col>6</xdr:col>
                    <xdr:colOff>1200150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19" name="Check Box 27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180975</xdr:rowOff>
                  </from>
                  <to>
                    <xdr:col>6</xdr:col>
                    <xdr:colOff>1200150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20" name="Check Box 28">
              <controlPr defaultSize="0" autoFill="0" autoLine="0" autoPict="0">
                <anchor moveWithCells="1">
                  <from>
                    <xdr:col>6</xdr:col>
                    <xdr:colOff>9525</xdr:colOff>
                    <xdr:row>17</xdr:row>
                    <xdr:rowOff>0</xdr:rowOff>
                  </from>
                  <to>
                    <xdr:col>6</xdr:col>
                    <xdr:colOff>1200150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1850-F25A-4156-8099-E46CFA26AD10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D703-B630-403C-B4AE-A1ED76B41B61}">
  <sheetPr codeName="Tabelle14"/>
  <dimension ref="A1:S35"/>
  <sheetViews>
    <sheetView zoomScale="70" zoomScaleNormal="70" workbookViewId="0">
      <selection activeCell="G24" sqref="G24"/>
    </sheetView>
  </sheetViews>
  <sheetFormatPr baseColWidth="10" defaultRowHeight="15"/>
  <cols>
    <col min="2" max="2" width="18.42578125" customWidth="1"/>
    <col min="14" max="14" width="20.7109375" customWidth="1"/>
    <col min="15" max="15" width="28.140625" customWidth="1"/>
    <col min="16" max="16" width="29.140625" customWidth="1"/>
  </cols>
  <sheetData>
    <row r="1" spans="1:19">
      <c r="A1" s="415" t="s">
        <v>975</v>
      </c>
      <c r="B1" s="415"/>
      <c r="C1" s="415"/>
      <c r="D1" s="415"/>
      <c r="E1" s="415"/>
      <c r="F1" s="415"/>
      <c r="G1" s="415"/>
      <c r="H1" s="415"/>
      <c r="J1" t="s">
        <v>261</v>
      </c>
      <c r="N1" s="417" t="s">
        <v>933</v>
      </c>
      <c r="O1" s="417"/>
      <c r="P1" s="417"/>
      <c r="R1" t="s">
        <v>1038</v>
      </c>
      <c r="S1" t="s">
        <v>1039</v>
      </c>
    </row>
    <row r="2" spans="1:19">
      <c r="A2" s="321"/>
      <c r="B2" s="322"/>
      <c r="C2" s="311" t="s">
        <v>982</v>
      </c>
      <c r="D2" s="52" t="s">
        <v>980</v>
      </c>
      <c r="F2" t="s">
        <v>978</v>
      </c>
    </row>
    <row r="3" spans="1:19">
      <c r="A3" s="320" t="s">
        <v>829</v>
      </c>
      <c r="B3" s="320"/>
      <c r="C3" s="266">
        <v>12</v>
      </c>
      <c r="D3" s="266">
        <v>10</v>
      </c>
      <c r="F3" s="57"/>
      <c r="G3" t="s">
        <v>979</v>
      </c>
      <c r="J3" t="s">
        <v>262</v>
      </c>
      <c r="N3" s="416" t="s">
        <v>842</v>
      </c>
      <c r="O3" s="416"/>
      <c r="P3" s="416"/>
    </row>
    <row r="4" spans="1:19">
      <c r="A4" s="52" t="s">
        <v>983</v>
      </c>
      <c r="B4" s="52"/>
      <c r="C4" s="266">
        <v>0</v>
      </c>
      <c r="D4" s="266">
        <v>0</v>
      </c>
      <c r="F4" t="s">
        <v>980</v>
      </c>
      <c r="G4" t="s">
        <v>981</v>
      </c>
      <c r="N4" s="52"/>
      <c r="O4" s="52" t="s">
        <v>852</v>
      </c>
      <c r="P4" s="52" t="s">
        <v>916</v>
      </c>
    </row>
    <row r="5" spans="1:19">
      <c r="A5" s="52" t="s">
        <v>823</v>
      </c>
      <c r="B5" s="52"/>
      <c r="C5" s="266">
        <v>0</v>
      </c>
      <c r="D5" s="266">
        <v>0</v>
      </c>
      <c r="J5">
        <v>0.42</v>
      </c>
      <c r="K5" t="s">
        <v>264</v>
      </c>
      <c r="N5" s="52" t="s">
        <v>938</v>
      </c>
      <c r="O5" s="52"/>
      <c r="P5" s="52">
        <v>4.9000000000000004</v>
      </c>
    </row>
    <row r="6" spans="1:19">
      <c r="A6" s="52" t="s">
        <v>945</v>
      </c>
      <c r="B6" s="52"/>
      <c r="C6" s="266">
        <v>0</v>
      </c>
      <c r="D6" s="266">
        <v>0</v>
      </c>
      <c r="N6" s="52" t="s">
        <v>939</v>
      </c>
      <c r="O6" s="52"/>
      <c r="P6" s="52">
        <v>15</v>
      </c>
    </row>
    <row r="7" spans="1:19">
      <c r="A7" s="52" t="s">
        <v>946</v>
      </c>
      <c r="B7" s="52"/>
      <c r="C7" s="266">
        <v>0</v>
      </c>
      <c r="D7" s="266">
        <v>0</v>
      </c>
    </row>
    <row r="8" spans="1:19">
      <c r="A8" s="52" t="s">
        <v>977</v>
      </c>
      <c r="B8" s="52"/>
      <c r="C8" s="266">
        <v>0</v>
      </c>
      <c r="D8" s="266">
        <v>0</v>
      </c>
      <c r="N8" s="416" t="s">
        <v>854</v>
      </c>
      <c r="O8" s="416"/>
      <c r="P8" s="416"/>
    </row>
    <row r="9" spans="1:19">
      <c r="O9" s="52" t="s">
        <v>852</v>
      </c>
      <c r="P9" s="52" t="s">
        <v>921</v>
      </c>
    </row>
    <row r="10" spans="1:19" ht="18">
      <c r="A10" s="278" t="s">
        <v>984</v>
      </c>
      <c r="B10" s="278"/>
      <c r="C10" s="278"/>
      <c r="D10" s="278"/>
      <c r="E10" s="57" t="s">
        <v>986</v>
      </c>
      <c r="F10" s="57"/>
      <c r="G10" s="57"/>
      <c r="O10" s="52"/>
      <c r="P10" s="52">
        <v>2</v>
      </c>
    </row>
    <row r="11" spans="1:19">
      <c r="A11" t="s">
        <v>829</v>
      </c>
      <c r="C11">
        <f>C3*D3*4*P29</f>
        <v>62832</v>
      </c>
      <c r="D11" t="s">
        <v>267</v>
      </c>
      <c r="E11">
        <f>C11*$J$5</f>
        <v>26389.439999999999</v>
      </c>
      <c r="F11" t="s">
        <v>259</v>
      </c>
    </row>
    <row r="12" spans="1:19">
      <c r="A12" t="s">
        <v>983</v>
      </c>
      <c r="C12">
        <f t="shared" ref="C12:C13" si="0">C4*D4*4*P30</f>
        <v>0</v>
      </c>
      <c r="D12" t="s">
        <v>267</v>
      </c>
      <c r="E12">
        <f t="shared" ref="E12:E16" si="1">C12*$J$5</f>
        <v>0</v>
      </c>
      <c r="F12" t="s">
        <v>259</v>
      </c>
      <c r="N12" s="416" t="s">
        <v>855</v>
      </c>
      <c r="O12" s="416"/>
      <c r="P12" s="416"/>
    </row>
    <row r="13" spans="1:19">
      <c r="A13" t="s">
        <v>823</v>
      </c>
      <c r="C13">
        <f t="shared" si="0"/>
        <v>0</v>
      </c>
      <c r="D13" t="s">
        <v>267</v>
      </c>
      <c r="E13">
        <f t="shared" si="1"/>
        <v>0</v>
      </c>
      <c r="F13" t="s">
        <v>259</v>
      </c>
      <c r="N13" s="52"/>
      <c r="O13" s="52" t="s">
        <v>852</v>
      </c>
      <c r="P13" s="52" t="s">
        <v>916</v>
      </c>
    </row>
    <row r="14" spans="1:19">
      <c r="A14" t="s">
        <v>945</v>
      </c>
      <c r="C14">
        <f>C6*D6*4*P33</f>
        <v>0</v>
      </c>
      <c r="D14" t="s">
        <v>267</v>
      </c>
      <c r="E14">
        <f t="shared" si="1"/>
        <v>0</v>
      </c>
      <c r="F14" t="s">
        <v>259</v>
      </c>
      <c r="N14" s="52" t="s">
        <v>856</v>
      </c>
      <c r="O14" s="308" t="s">
        <v>857</v>
      </c>
      <c r="P14" s="308" t="s">
        <v>857</v>
      </c>
    </row>
    <row r="15" spans="1:19">
      <c r="A15" t="s">
        <v>946</v>
      </c>
      <c r="C15">
        <f>C7*D7*4*P34</f>
        <v>0</v>
      </c>
      <c r="D15" t="s">
        <v>267</v>
      </c>
      <c r="E15">
        <f t="shared" si="1"/>
        <v>0</v>
      </c>
      <c r="F15" t="s">
        <v>259</v>
      </c>
      <c r="N15" s="52" t="s">
        <v>1114</v>
      </c>
      <c r="O15" s="52"/>
      <c r="P15" s="308">
        <v>80</v>
      </c>
    </row>
    <row r="16" spans="1:19">
      <c r="A16" t="s">
        <v>977</v>
      </c>
      <c r="C16">
        <f>C8*D8*4*P35</f>
        <v>0</v>
      </c>
      <c r="D16" t="s">
        <v>267</v>
      </c>
      <c r="E16">
        <f t="shared" si="1"/>
        <v>0</v>
      </c>
      <c r="F16" t="s">
        <v>259</v>
      </c>
      <c r="N16" s="52" t="s">
        <v>918</v>
      </c>
      <c r="O16" s="52"/>
      <c r="P16" s="308">
        <v>100</v>
      </c>
    </row>
    <row r="17" spans="1:17">
      <c r="A17" s="318"/>
      <c r="B17" s="318" t="s">
        <v>985</v>
      </c>
      <c r="C17" s="318">
        <f>SUM(C11:C16)</f>
        <v>62832</v>
      </c>
      <c r="D17" s="318" t="s">
        <v>267</v>
      </c>
      <c r="E17" s="58">
        <f>SUM(E11:E16)</f>
        <v>26389.439999999999</v>
      </c>
      <c r="F17" s="58" t="s">
        <v>259</v>
      </c>
      <c r="G17" s="58"/>
      <c r="N17" s="52" t="s">
        <v>919</v>
      </c>
      <c r="O17" s="52"/>
      <c r="P17" s="308">
        <v>190</v>
      </c>
    </row>
    <row r="19" spans="1:17">
      <c r="A19" s="99" t="s">
        <v>987</v>
      </c>
      <c r="B19" s="99"/>
      <c r="C19" s="99"/>
      <c r="D19" s="99"/>
      <c r="E19" s="221" t="s">
        <v>992</v>
      </c>
      <c r="F19" s="221"/>
      <c r="G19" s="221"/>
      <c r="N19" s="416" t="s">
        <v>920</v>
      </c>
      <c r="O19" s="416"/>
      <c r="P19" s="416"/>
    </row>
    <row r="20" spans="1:17">
      <c r="A20" t="s">
        <v>989</v>
      </c>
      <c r="C20">
        <f>SUM(C3:C8)</f>
        <v>12</v>
      </c>
      <c r="D20" t="s">
        <v>84</v>
      </c>
      <c r="N20" s="52"/>
      <c r="O20" s="52" t="s">
        <v>852</v>
      </c>
      <c r="P20" s="52" t="s">
        <v>916</v>
      </c>
    </row>
    <row r="21" spans="1:17">
      <c r="A21" t="s">
        <v>990</v>
      </c>
      <c r="C21" s="319">
        <v>50</v>
      </c>
      <c r="D21" t="s">
        <v>16</v>
      </c>
      <c r="N21" s="52" t="s">
        <v>919</v>
      </c>
      <c r="O21" s="52"/>
      <c r="P21" s="308">
        <v>40</v>
      </c>
    </row>
    <row r="22" spans="1:17">
      <c r="B22" t="s">
        <v>985</v>
      </c>
      <c r="C22">
        <f>C20*2*C21</f>
        <v>1200</v>
      </c>
      <c r="D22" t="s">
        <v>16</v>
      </c>
      <c r="E22" s="21">
        <f>C22*'Transport Kennzahlen'!E30</f>
        <v>1112.9999999999934</v>
      </c>
      <c r="F22" t="s">
        <v>259</v>
      </c>
    </row>
    <row r="23" spans="1:17">
      <c r="B23" s="2" t="s">
        <v>991</v>
      </c>
      <c r="C23" s="2"/>
      <c r="N23" s="416" t="s">
        <v>858</v>
      </c>
      <c r="O23" s="416"/>
      <c r="P23" s="416"/>
    </row>
    <row r="24" spans="1:17">
      <c r="N24" s="52"/>
      <c r="O24" s="52" t="s">
        <v>852</v>
      </c>
      <c r="P24" s="52" t="s">
        <v>915</v>
      </c>
    </row>
    <row r="25" spans="1:17">
      <c r="A25" s="58" t="s">
        <v>1113</v>
      </c>
      <c r="B25" s="58"/>
      <c r="C25" s="58"/>
      <c r="D25" s="58"/>
      <c r="E25" s="58"/>
      <c r="F25" s="58"/>
      <c r="G25" s="58"/>
      <c r="N25" s="52" t="s">
        <v>859</v>
      </c>
      <c r="O25" s="308" t="s">
        <v>857</v>
      </c>
      <c r="P25" s="308" t="s">
        <v>857</v>
      </c>
    </row>
    <row r="26" spans="1:17">
      <c r="E26">
        <f>E17+E22</f>
        <v>27502.439999999991</v>
      </c>
      <c r="F26" t="s">
        <v>259</v>
      </c>
      <c r="N26" s="52" t="s">
        <v>936</v>
      </c>
      <c r="O26" s="52"/>
      <c r="P26" s="308">
        <v>11</v>
      </c>
    </row>
    <row r="28" spans="1:17">
      <c r="N28" s="221" t="s">
        <v>940</v>
      </c>
      <c r="O28" s="221"/>
      <c r="P28" s="261" t="s">
        <v>915</v>
      </c>
      <c r="Q28" t="s">
        <v>988</v>
      </c>
    </row>
    <row r="29" spans="1:17">
      <c r="N29" s="52" t="s">
        <v>937</v>
      </c>
      <c r="O29" s="52"/>
      <c r="P29" s="52">
        <f>P6+P16+P26+P5</f>
        <v>130.9</v>
      </c>
    </row>
    <row r="30" spans="1:17">
      <c r="A30" t="s">
        <v>993</v>
      </c>
      <c r="N30" s="52" t="s">
        <v>943</v>
      </c>
      <c r="O30" s="52"/>
      <c r="P30" s="52">
        <f>P5+P15+P26+P10</f>
        <v>97.9</v>
      </c>
    </row>
    <row r="31" spans="1:17">
      <c r="N31" s="52" t="s">
        <v>976</v>
      </c>
      <c r="O31" s="52"/>
      <c r="P31" s="52">
        <f>P17+P21+P5</f>
        <v>234.9</v>
      </c>
    </row>
    <row r="32" spans="1:17">
      <c r="N32" s="315"/>
      <c r="O32" s="316"/>
      <c r="P32" s="317"/>
    </row>
    <row r="33" spans="14:16">
      <c r="N33" s="52" t="s">
        <v>945</v>
      </c>
      <c r="O33" s="52"/>
      <c r="P33" s="52">
        <f>P5+P26+P15</f>
        <v>95.9</v>
      </c>
    </row>
    <row r="34" spans="14:16">
      <c r="N34" s="52" t="s">
        <v>946</v>
      </c>
      <c r="O34" s="52"/>
      <c r="P34" s="52">
        <f>P5</f>
        <v>4.9000000000000004</v>
      </c>
    </row>
    <row r="35" spans="14:16">
      <c r="N35" s="52" t="s">
        <v>947</v>
      </c>
      <c r="O35" s="52"/>
      <c r="P35" s="52">
        <f>P5</f>
        <v>4.9000000000000004</v>
      </c>
    </row>
  </sheetData>
  <mergeCells count="7">
    <mergeCell ref="A1:H1"/>
    <mergeCell ref="N23:P23"/>
    <mergeCell ref="N1:P1"/>
    <mergeCell ref="N3:P3"/>
    <mergeCell ref="N8:P8"/>
    <mergeCell ref="N12:P12"/>
    <mergeCell ref="N19:P19"/>
  </mergeCells>
  <phoneticPr fontId="11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2C6-EFE6-41EA-BAD5-21B17768F11E}">
  <sheetPr codeName="Tabelle15"/>
  <dimension ref="A1:Y152"/>
  <sheetViews>
    <sheetView zoomScale="70" zoomScaleNormal="70" workbookViewId="0">
      <selection activeCell="H31" sqref="H31"/>
    </sheetView>
  </sheetViews>
  <sheetFormatPr baseColWidth="10" defaultRowHeight="15"/>
  <cols>
    <col min="1" max="1" width="36.7109375" customWidth="1"/>
    <col min="2" max="2" width="41.5703125" bestFit="1" customWidth="1"/>
    <col min="3" max="3" width="25.28515625" customWidth="1"/>
    <col min="4" max="4" width="22.85546875" bestFit="1" customWidth="1"/>
    <col min="5" max="5" width="23.28515625" bestFit="1" customWidth="1"/>
    <col min="6" max="6" width="30.140625" bestFit="1" customWidth="1"/>
    <col min="7" max="7" width="23.28515625" bestFit="1" customWidth="1"/>
    <col min="8" max="8" width="28.28515625" bestFit="1" customWidth="1"/>
    <col min="9" max="9" width="19.42578125" bestFit="1" customWidth="1"/>
    <col min="10" max="10" width="18.85546875" bestFit="1" customWidth="1"/>
    <col min="11" max="11" width="24.5703125" bestFit="1" customWidth="1"/>
    <col min="12" max="12" width="43" customWidth="1"/>
    <col min="13" max="13" width="20.5703125" bestFit="1" customWidth="1"/>
    <col min="14" max="14" width="25.5703125" bestFit="1" customWidth="1"/>
    <col min="15" max="15" width="24.5703125" bestFit="1" customWidth="1"/>
    <col min="16" max="16" width="19.28515625" bestFit="1" customWidth="1"/>
    <col min="17" max="17" width="28.5703125" bestFit="1" customWidth="1"/>
    <col min="18" max="18" width="25.5703125" bestFit="1" customWidth="1"/>
    <col min="19" max="19" width="25.42578125" bestFit="1" customWidth="1"/>
  </cols>
  <sheetData>
    <row r="1" spans="1:14" ht="15.75" thickBot="1">
      <c r="A1" s="417" t="s">
        <v>933</v>
      </c>
      <c r="B1" s="417"/>
      <c r="C1" s="417"/>
      <c r="E1" s="256" t="s">
        <v>823</v>
      </c>
      <c r="F1" s="271" t="s">
        <v>209</v>
      </c>
      <c r="G1" s="295"/>
      <c r="I1" s="58" t="s">
        <v>941</v>
      </c>
      <c r="L1" s="297" t="s">
        <v>822</v>
      </c>
      <c r="M1" s="289" t="s">
        <v>860</v>
      </c>
      <c r="N1" s="257"/>
    </row>
    <row r="2" spans="1:14">
      <c r="E2" s="258" t="s">
        <v>824</v>
      </c>
      <c r="F2" s="285">
        <v>1</v>
      </c>
      <c r="G2" s="259" t="s">
        <v>826</v>
      </c>
      <c r="I2" s="58" t="s">
        <v>942</v>
      </c>
      <c r="L2" s="293"/>
      <c r="M2" s="294" t="s">
        <v>806</v>
      </c>
      <c r="N2" s="295" t="s">
        <v>807</v>
      </c>
    </row>
    <row r="3" spans="1:14">
      <c r="A3" s="416" t="s">
        <v>842</v>
      </c>
      <c r="B3" s="416"/>
      <c r="C3" s="416"/>
      <c r="E3" s="258" t="s">
        <v>825</v>
      </c>
      <c r="F3" s="285">
        <v>1</v>
      </c>
      <c r="G3" s="259" t="s">
        <v>826</v>
      </c>
      <c r="I3" s="58"/>
      <c r="L3" s="258" t="s">
        <v>805</v>
      </c>
      <c r="M3">
        <v>6.0549999999999997</v>
      </c>
      <c r="N3" s="259">
        <v>2.4350000000000001</v>
      </c>
    </row>
    <row r="4" spans="1:14">
      <c r="A4" s="52"/>
      <c r="B4" s="52" t="s">
        <v>852</v>
      </c>
      <c r="C4" s="52" t="s">
        <v>916</v>
      </c>
      <c r="E4" s="258"/>
      <c r="F4" s="285"/>
      <c r="G4" s="259"/>
      <c r="I4" s="58"/>
      <c r="L4" s="258"/>
      <c r="N4" s="259"/>
    </row>
    <row r="5" spans="1:14" ht="15.75" thickBot="1">
      <c r="A5" s="52" t="s">
        <v>938</v>
      </c>
      <c r="B5" s="52"/>
      <c r="C5" s="52">
        <v>4.9000000000000004</v>
      </c>
      <c r="E5" s="255" t="s">
        <v>827</v>
      </c>
      <c r="F5" s="288">
        <v>1</v>
      </c>
      <c r="G5" s="60" t="s">
        <v>828</v>
      </c>
      <c r="I5" s="58"/>
      <c r="L5" s="258" t="s">
        <v>808</v>
      </c>
      <c r="N5" s="259"/>
    </row>
    <row r="6" spans="1:14" ht="15.75" thickBot="1">
      <c r="A6" s="52" t="s">
        <v>939</v>
      </c>
      <c r="B6" s="52"/>
      <c r="C6" s="52">
        <v>15</v>
      </c>
      <c r="F6" s="271" t="s">
        <v>840</v>
      </c>
      <c r="G6" s="271" t="s">
        <v>841</v>
      </c>
      <c r="H6" s="271" t="s">
        <v>862</v>
      </c>
      <c r="I6" s="58"/>
      <c r="L6" s="258" t="s">
        <v>809</v>
      </c>
      <c r="N6" s="259"/>
    </row>
    <row r="7" spans="1:14">
      <c r="F7" s="285" t="s">
        <v>842</v>
      </c>
      <c r="G7" s="285">
        <v>200</v>
      </c>
      <c r="H7" s="418">
        <v>1</v>
      </c>
      <c r="I7" s="58"/>
      <c r="L7" s="258" t="s">
        <v>810</v>
      </c>
      <c r="N7" s="259"/>
    </row>
    <row r="8" spans="1:14" ht="15.75" thickBot="1">
      <c r="A8" s="416" t="s">
        <v>854</v>
      </c>
      <c r="B8" s="416"/>
      <c r="C8" s="416"/>
      <c r="F8" s="288" t="s">
        <v>843</v>
      </c>
      <c r="G8" s="288">
        <v>3000</v>
      </c>
      <c r="H8" s="420"/>
      <c r="I8" s="58"/>
      <c r="L8" s="258" t="s">
        <v>811</v>
      </c>
      <c r="N8" s="259"/>
    </row>
    <row r="9" spans="1:14" ht="15.75" thickBot="1">
      <c r="B9" s="52" t="s">
        <v>852</v>
      </c>
      <c r="C9" s="52" t="s">
        <v>921</v>
      </c>
      <c r="G9" t="s">
        <v>850</v>
      </c>
      <c r="I9" s="58"/>
      <c r="L9" s="258"/>
      <c r="N9" s="259"/>
    </row>
    <row r="10" spans="1:14" ht="15.75" thickBot="1">
      <c r="B10" s="52"/>
      <c r="C10" s="52">
        <v>2</v>
      </c>
      <c r="G10" s="289" t="s">
        <v>860</v>
      </c>
      <c r="I10" s="58"/>
      <c r="L10" s="258"/>
      <c r="N10" s="259"/>
    </row>
    <row r="11" spans="1:14" ht="15.75" thickBot="1">
      <c r="I11" s="58"/>
      <c r="L11" s="258" t="s">
        <v>812</v>
      </c>
      <c r="N11" s="259"/>
    </row>
    <row r="12" spans="1:14" ht="15.75" thickBot="1">
      <c r="A12" s="416" t="s">
        <v>855</v>
      </c>
      <c r="B12" s="416"/>
      <c r="C12" s="416"/>
      <c r="E12" s="271" t="s">
        <v>829</v>
      </c>
      <c r="F12" s="295"/>
      <c r="I12" s="58"/>
      <c r="L12" s="258" t="s">
        <v>816</v>
      </c>
      <c r="M12" t="s">
        <v>815</v>
      </c>
      <c r="N12" s="259"/>
    </row>
    <row r="13" spans="1:14" ht="15.75" thickBot="1">
      <c r="A13" s="52"/>
      <c r="B13" s="52" t="s">
        <v>852</v>
      </c>
      <c r="C13" s="52" t="s">
        <v>916</v>
      </c>
      <c r="E13" s="255" t="s">
        <v>830</v>
      </c>
      <c r="F13" s="60" t="s">
        <v>831</v>
      </c>
      <c r="I13" s="58"/>
      <c r="L13" s="258" t="s">
        <v>813</v>
      </c>
      <c r="M13" t="s">
        <v>817</v>
      </c>
      <c r="N13" s="259"/>
    </row>
    <row r="14" spans="1:14" ht="15.75" thickBot="1">
      <c r="A14" s="52" t="s">
        <v>856</v>
      </c>
      <c r="B14" s="308" t="s">
        <v>857</v>
      </c>
      <c r="C14" s="308" t="s">
        <v>857</v>
      </c>
      <c r="E14" s="271" t="s">
        <v>840</v>
      </c>
      <c r="F14" s="271" t="s">
        <v>841</v>
      </c>
      <c r="I14" s="58"/>
      <c r="L14" s="258" t="s">
        <v>814</v>
      </c>
      <c r="M14" t="s">
        <v>818</v>
      </c>
      <c r="N14" s="259" t="s">
        <v>819</v>
      </c>
    </row>
    <row r="15" spans="1:14">
      <c r="A15" s="52" t="s">
        <v>917</v>
      </c>
      <c r="B15" s="52"/>
      <c r="C15" s="308">
        <v>80</v>
      </c>
      <c r="E15" s="285" t="s">
        <v>842</v>
      </c>
      <c r="F15" s="285">
        <v>200</v>
      </c>
      <c r="I15" s="58"/>
      <c r="L15" s="258" t="s">
        <v>820</v>
      </c>
      <c r="N15" s="259"/>
    </row>
    <row r="16" spans="1:14" ht="15.75" thickBot="1">
      <c r="A16" s="52" t="s">
        <v>918</v>
      </c>
      <c r="B16" s="52"/>
      <c r="C16" s="308">
        <v>100</v>
      </c>
      <c r="E16" s="285" t="s">
        <v>843</v>
      </c>
      <c r="F16" s="285">
        <v>3000</v>
      </c>
      <c r="I16" s="58"/>
      <c r="L16" s="255" t="s">
        <v>821</v>
      </c>
      <c r="M16" s="55"/>
      <c r="N16" s="60"/>
    </row>
    <row r="17" spans="1:15" ht="15.75" thickBot="1">
      <c r="A17" s="52" t="s">
        <v>919</v>
      </c>
      <c r="B17" s="52"/>
      <c r="C17" s="308">
        <v>190</v>
      </c>
      <c r="E17" s="285" t="s">
        <v>837</v>
      </c>
      <c r="F17" s="285">
        <v>2000</v>
      </c>
      <c r="I17" s="58"/>
      <c r="L17" s="271" t="s">
        <v>839</v>
      </c>
      <c r="M17" s="422" t="s">
        <v>838</v>
      </c>
      <c r="N17" s="423"/>
      <c r="O17" s="271" t="s">
        <v>862</v>
      </c>
    </row>
    <row r="18" spans="1:15" ht="15.75" thickBot="1">
      <c r="E18" s="60" t="s">
        <v>844</v>
      </c>
      <c r="F18" s="288">
        <v>1000</v>
      </c>
      <c r="I18" s="58"/>
      <c r="L18" s="286" t="s">
        <v>842</v>
      </c>
      <c r="M18" s="424">
        <v>200</v>
      </c>
      <c r="N18" s="425"/>
      <c r="O18" s="418">
        <v>2</v>
      </c>
    </row>
    <row r="19" spans="1:15" ht="15.75" thickBot="1">
      <c r="A19" s="416" t="s">
        <v>920</v>
      </c>
      <c r="B19" s="416"/>
      <c r="C19" s="416"/>
      <c r="G19" s="271" t="s">
        <v>862</v>
      </c>
      <c r="I19" s="58"/>
      <c r="L19" s="285" t="s">
        <v>836</v>
      </c>
      <c r="M19" s="426">
        <v>3000</v>
      </c>
      <c r="N19" s="427"/>
      <c r="O19" s="419"/>
    </row>
    <row r="20" spans="1:15" ht="15.75" thickBot="1">
      <c r="A20" s="52"/>
      <c r="B20" s="52" t="s">
        <v>852</v>
      </c>
      <c r="C20" s="52" t="s">
        <v>916</v>
      </c>
      <c r="F20" s="289" t="s">
        <v>860</v>
      </c>
      <c r="G20">
        <v>3</v>
      </c>
      <c r="I20" s="58"/>
      <c r="L20" s="288" t="s">
        <v>837</v>
      </c>
      <c r="M20" s="428">
        <v>2000</v>
      </c>
      <c r="N20" s="429"/>
      <c r="O20" s="420"/>
    </row>
    <row r="21" spans="1:15" ht="15.75" thickBot="1">
      <c r="A21" s="52" t="s">
        <v>919</v>
      </c>
      <c r="B21" s="52"/>
      <c r="C21" s="308">
        <v>40</v>
      </c>
      <c r="I21" s="58"/>
    </row>
    <row r="22" spans="1:15" ht="15.75" thickBot="1">
      <c r="E22" s="271" t="s">
        <v>832</v>
      </c>
      <c r="F22" s="295"/>
      <c r="I22" s="58"/>
    </row>
    <row r="23" spans="1:15" ht="15.75" thickBot="1">
      <c r="A23" s="416" t="s">
        <v>858</v>
      </c>
      <c r="B23" s="416"/>
      <c r="C23" s="416"/>
      <c r="E23" s="255" t="s">
        <v>833</v>
      </c>
      <c r="F23" s="60" t="s">
        <v>834</v>
      </c>
      <c r="I23" s="58"/>
    </row>
    <row r="24" spans="1:15" ht="15.75" thickBot="1">
      <c r="A24" s="52"/>
      <c r="B24" s="52" t="s">
        <v>852</v>
      </c>
      <c r="C24" s="52" t="s">
        <v>915</v>
      </c>
      <c r="E24" s="271" t="s">
        <v>840</v>
      </c>
      <c r="F24" s="271" t="s">
        <v>841</v>
      </c>
      <c r="I24" s="58"/>
    </row>
    <row r="25" spans="1:15" ht="15.75" thickBot="1">
      <c r="A25" s="52" t="s">
        <v>859</v>
      </c>
      <c r="B25" s="308" t="s">
        <v>857</v>
      </c>
      <c r="C25" s="308" t="s">
        <v>857</v>
      </c>
      <c r="E25" s="255" t="s">
        <v>842</v>
      </c>
      <c r="F25" s="271">
        <v>200</v>
      </c>
      <c r="I25" s="58"/>
      <c r="L25" s="271" t="s">
        <v>846</v>
      </c>
    </row>
    <row r="26" spans="1:15" ht="15.75" thickBot="1">
      <c r="A26" s="52" t="s">
        <v>936</v>
      </c>
      <c r="B26" s="52"/>
      <c r="C26" s="308">
        <v>11</v>
      </c>
      <c r="F26" t="s">
        <v>849</v>
      </c>
      <c r="I26" s="58"/>
      <c r="L26" s="271" t="s">
        <v>840</v>
      </c>
      <c r="M26" s="271" t="s">
        <v>841</v>
      </c>
    </row>
    <row r="27" spans="1:15" ht="15.75" thickBot="1">
      <c r="F27" t="s">
        <v>851</v>
      </c>
      <c r="G27" s="271" t="s">
        <v>862</v>
      </c>
      <c r="I27" s="58"/>
      <c r="L27" s="285" t="s">
        <v>842</v>
      </c>
      <c r="M27" s="285">
        <v>200</v>
      </c>
    </row>
    <row r="28" spans="1:15" ht="15.75" thickBot="1">
      <c r="A28" s="57" t="s">
        <v>940</v>
      </c>
      <c r="B28" s="57"/>
      <c r="C28" s="261" t="s">
        <v>915</v>
      </c>
      <c r="F28" s="289" t="s">
        <v>860</v>
      </c>
      <c r="G28">
        <v>4</v>
      </c>
      <c r="I28" s="58"/>
      <c r="L28" s="285" t="s">
        <v>836</v>
      </c>
      <c r="M28" s="285">
        <v>3000</v>
      </c>
    </row>
    <row r="29" spans="1:15" ht="15.75" thickBot="1">
      <c r="A29" s="52" t="s">
        <v>937</v>
      </c>
      <c r="B29" s="52"/>
      <c r="C29" s="52">
        <f>C6+C16+C26+C5</f>
        <v>130.9</v>
      </c>
      <c r="I29" s="58"/>
      <c r="L29" s="288" t="s">
        <v>837</v>
      </c>
      <c r="M29" s="288">
        <v>2000</v>
      </c>
      <c r="N29" s="271" t="s">
        <v>862</v>
      </c>
    </row>
    <row r="30" spans="1:15" ht="15.75" thickBot="1">
      <c r="A30" s="52" t="s">
        <v>943</v>
      </c>
      <c r="B30" s="52"/>
      <c r="C30" s="52">
        <f>C5+C15+C26</f>
        <v>95.9</v>
      </c>
      <c r="E30" t="s">
        <v>845</v>
      </c>
      <c r="I30" s="58"/>
      <c r="N30">
        <v>3</v>
      </c>
    </row>
    <row r="31" spans="1:15" ht="15.75" thickBot="1">
      <c r="A31" s="52" t="s">
        <v>944</v>
      </c>
      <c r="B31" s="52"/>
      <c r="C31" s="52">
        <f>C17+C21</f>
        <v>230</v>
      </c>
      <c r="E31" s="271" t="s">
        <v>840</v>
      </c>
      <c r="F31" s="271" t="s">
        <v>841</v>
      </c>
      <c r="I31" s="58"/>
      <c r="M31" s="289" t="s">
        <v>860</v>
      </c>
    </row>
    <row r="32" spans="1:15">
      <c r="A32" s="262"/>
      <c r="B32" s="313"/>
      <c r="C32" s="314"/>
      <c r="E32" s="286" t="s">
        <v>842</v>
      </c>
      <c r="F32" s="286">
        <v>200</v>
      </c>
      <c r="I32" s="58"/>
    </row>
    <row r="33" spans="1:14">
      <c r="A33" s="52" t="s">
        <v>945</v>
      </c>
      <c r="B33" s="52"/>
      <c r="C33" s="52">
        <f>C5</f>
        <v>4.9000000000000004</v>
      </c>
      <c r="E33" s="285" t="s">
        <v>836</v>
      </c>
      <c r="F33" s="285">
        <v>3000</v>
      </c>
      <c r="I33" s="58"/>
    </row>
    <row r="34" spans="1:14" ht="15.75" thickBot="1">
      <c r="A34" s="52" t="s">
        <v>946</v>
      </c>
      <c r="B34" s="52"/>
      <c r="C34" s="52">
        <f>C5</f>
        <v>4.9000000000000004</v>
      </c>
      <c r="E34" s="285" t="s">
        <v>837</v>
      </c>
      <c r="F34" s="285">
        <v>2000</v>
      </c>
      <c r="I34" s="58"/>
    </row>
    <row r="35" spans="1:14" ht="15.75" thickBot="1">
      <c r="A35" s="52" t="s">
        <v>947</v>
      </c>
      <c r="B35" s="52"/>
      <c r="C35" s="52">
        <f>C5</f>
        <v>4.9000000000000004</v>
      </c>
      <c r="E35" s="288" t="s">
        <v>847</v>
      </c>
      <c r="F35" s="288">
        <v>400</v>
      </c>
      <c r="G35" s="271" t="s">
        <v>862</v>
      </c>
      <c r="I35" s="58"/>
    </row>
    <row r="36" spans="1:14" ht="15.75" thickBot="1">
      <c r="G36">
        <v>1</v>
      </c>
      <c r="I36" s="58"/>
    </row>
    <row r="37" spans="1:14" ht="15.75" thickBot="1">
      <c r="F37" s="289" t="s">
        <v>860</v>
      </c>
      <c r="I37" s="58"/>
      <c r="L37" s="296" t="s">
        <v>925</v>
      </c>
    </row>
    <row r="38" spans="1:14" ht="15.75" thickBot="1">
      <c r="I38" s="58"/>
      <c r="L38" s="286" t="s">
        <v>861</v>
      </c>
      <c r="M38" s="286" t="s">
        <v>841</v>
      </c>
    </row>
    <row r="39" spans="1:14" ht="15.75" thickBot="1">
      <c r="E39" s="271" t="s">
        <v>835</v>
      </c>
      <c r="I39" s="58"/>
      <c r="L39" s="271" t="s">
        <v>863</v>
      </c>
      <c r="M39" s="271">
        <v>66.7</v>
      </c>
    </row>
    <row r="40" spans="1:14" ht="15.75" thickBot="1">
      <c r="E40" s="271" t="s">
        <v>840</v>
      </c>
      <c r="F40" s="271" t="s">
        <v>841</v>
      </c>
      <c r="I40" s="58"/>
      <c r="L40" s="271" t="s">
        <v>864</v>
      </c>
      <c r="M40" s="271">
        <v>80</v>
      </c>
    </row>
    <row r="41" spans="1:14" ht="15.75" thickBot="1">
      <c r="E41" s="255" t="s">
        <v>842</v>
      </c>
      <c r="F41" s="271">
        <v>200</v>
      </c>
      <c r="I41" s="58"/>
      <c r="L41" s="288" t="s">
        <v>865</v>
      </c>
      <c r="M41" s="288">
        <v>15.4</v>
      </c>
    </row>
    <row r="42" spans="1:14" ht="15.75" thickBot="1">
      <c r="E42" s="296" t="s">
        <v>848</v>
      </c>
      <c r="F42" s="296">
        <v>3000</v>
      </c>
      <c r="G42" t="s">
        <v>849</v>
      </c>
      <c r="H42" s="271" t="s">
        <v>862</v>
      </c>
      <c r="I42" s="58"/>
      <c r="L42" s="271" t="s">
        <v>852</v>
      </c>
      <c r="M42" s="271" t="s">
        <v>853</v>
      </c>
      <c r="N42" s="271" t="s">
        <v>866</v>
      </c>
    </row>
    <row r="43" spans="1:14" ht="15.75" thickBot="1">
      <c r="F43" t="s">
        <v>851</v>
      </c>
      <c r="H43">
        <v>1</v>
      </c>
      <c r="I43" s="58"/>
      <c r="L43" s="271">
        <v>9746</v>
      </c>
      <c r="M43" s="271"/>
      <c r="N43" s="271">
        <v>3.4</v>
      </c>
    </row>
    <row r="44" spans="1:14" ht="15.75" thickBot="1"/>
    <row r="45" spans="1:14" ht="15.75" thickBot="1">
      <c r="M45" s="289" t="s">
        <v>867</v>
      </c>
    </row>
    <row r="49" spans="12:15" ht="15.75" thickBot="1"/>
    <row r="50" spans="12:15" ht="15.75" thickBot="1">
      <c r="L50" s="307" t="s">
        <v>868</v>
      </c>
    </row>
    <row r="51" spans="12:15">
      <c r="L51" s="293" t="s">
        <v>871</v>
      </c>
      <c r="M51" s="295">
        <v>59.5</v>
      </c>
      <c r="N51" s="306" t="s">
        <v>893</v>
      </c>
    </row>
    <row r="52" spans="12:15">
      <c r="L52" s="258" t="s">
        <v>869</v>
      </c>
      <c r="M52" s="299">
        <v>0.8</v>
      </c>
      <c r="N52" s="32" t="s">
        <v>874</v>
      </c>
    </row>
    <row r="53" spans="12:15">
      <c r="L53" s="258" t="s">
        <v>872</v>
      </c>
      <c r="M53" s="259">
        <v>39</v>
      </c>
      <c r="N53" s="306" t="s">
        <v>893</v>
      </c>
    </row>
    <row r="54" spans="12:15">
      <c r="L54" s="258" t="s">
        <v>870</v>
      </c>
      <c r="M54" s="299">
        <v>4.2</v>
      </c>
      <c r="N54" s="32" t="s">
        <v>874</v>
      </c>
    </row>
    <row r="55" spans="12:15">
      <c r="L55" s="258" t="s">
        <v>873</v>
      </c>
      <c r="M55" s="299">
        <v>0.5</v>
      </c>
      <c r="N55" s="32" t="s">
        <v>874</v>
      </c>
    </row>
    <row r="56" spans="12:15" ht="15.75" thickBot="1">
      <c r="L56" s="255" t="s">
        <v>875</v>
      </c>
      <c r="M56" s="300">
        <v>12</v>
      </c>
      <c r="N56" s="301">
        <f>M56/12</f>
        <v>1</v>
      </c>
      <c r="O56" s="301" t="s">
        <v>876</v>
      </c>
    </row>
    <row r="57" spans="12:15" ht="15.75" thickBot="1">
      <c r="L57" s="303" t="s">
        <v>898</v>
      </c>
      <c r="M57" s="304">
        <f>M51*M52*M53*M54*M55*N56</f>
        <v>3898.4400000000005</v>
      </c>
    </row>
    <row r="58" spans="12:15" ht="15.75" thickBot="1"/>
    <row r="59" spans="12:15" ht="15.75" thickBot="1">
      <c r="M59" s="289" t="s">
        <v>878</v>
      </c>
    </row>
    <row r="62" spans="12:15">
      <c r="L62" s="16" t="s">
        <v>877</v>
      </c>
    </row>
    <row r="63" spans="12:15" ht="15.75" thickBot="1">
      <c r="L63" t="s">
        <v>879</v>
      </c>
    </row>
    <row r="64" spans="12:15">
      <c r="L64" s="293" t="s">
        <v>880</v>
      </c>
      <c r="M64" s="295">
        <v>18</v>
      </c>
      <c r="N64" s="306" t="s">
        <v>893</v>
      </c>
    </row>
    <row r="65" spans="12:18">
      <c r="L65" s="258" t="s">
        <v>882</v>
      </c>
      <c r="M65" s="259">
        <v>0.85</v>
      </c>
      <c r="N65" s="306" t="s">
        <v>893</v>
      </c>
    </row>
    <row r="66" spans="12:18">
      <c r="L66" s="258" t="s">
        <v>881</v>
      </c>
      <c r="M66" s="259">
        <v>1200</v>
      </c>
      <c r="N66" s="301">
        <f>M66/1000</f>
        <v>1.2</v>
      </c>
      <c r="O66" s="301" t="s">
        <v>894</v>
      </c>
    </row>
    <row r="67" spans="12:18">
      <c r="L67" s="258" t="s">
        <v>883</v>
      </c>
      <c r="M67" s="299">
        <v>0.95</v>
      </c>
      <c r="N67" s="32" t="s">
        <v>874</v>
      </c>
    </row>
    <row r="68" spans="12:18">
      <c r="L68" s="258" t="s">
        <v>884</v>
      </c>
      <c r="M68" s="299">
        <v>70</v>
      </c>
      <c r="N68" s="302" t="s">
        <v>874</v>
      </c>
      <c r="O68" s="254" t="s">
        <v>892</v>
      </c>
      <c r="P68" t="s">
        <v>885</v>
      </c>
    </row>
    <row r="69" spans="12:18" ht="15.75" thickBot="1">
      <c r="L69" s="255"/>
      <c r="M69" s="60"/>
      <c r="P69" t="s">
        <v>886</v>
      </c>
    </row>
    <row r="70" spans="12:18" ht="15.75" thickBot="1">
      <c r="L70" s="303" t="s">
        <v>887</v>
      </c>
      <c r="M70" s="304">
        <f>N66*M68*M67</f>
        <v>79.8</v>
      </c>
    </row>
    <row r="72" spans="12:18" ht="15.75" thickBot="1">
      <c r="L72" t="s">
        <v>888</v>
      </c>
      <c r="M72">
        <v>28000</v>
      </c>
      <c r="N72" s="306" t="s">
        <v>893</v>
      </c>
    </row>
    <row r="73" spans="12:18" ht="15.75" thickBot="1">
      <c r="L73" s="303" t="s">
        <v>889</v>
      </c>
      <c r="M73" s="304">
        <f>M72/M70</f>
        <v>350.87719298245617</v>
      </c>
    </row>
    <row r="74" spans="12:18" ht="15.75" thickBot="1">
      <c r="L74" t="s">
        <v>891</v>
      </c>
      <c r="M74" s="298">
        <v>15</v>
      </c>
      <c r="N74" s="32" t="s">
        <v>874</v>
      </c>
      <c r="O74" t="s">
        <v>895</v>
      </c>
      <c r="P74" s="254" t="s">
        <v>892</v>
      </c>
      <c r="Q74" s="310" t="s">
        <v>934</v>
      </c>
      <c r="R74" s="309"/>
    </row>
    <row r="75" spans="12:18" ht="15.75" thickBot="1">
      <c r="L75" s="303" t="s">
        <v>890</v>
      </c>
      <c r="M75" s="304">
        <f>M74*M73</f>
        <v>5263.1578947368425</v>
      </c>
    </row>
    <row r="76" spans="12:18" ht="15.75" thickBot="1"/>
    <row r="77" spans="12:18" ht="15.75" thickBot="1">
      <c r="M77" s="289" t="s">
        <v>911</v>
      </c>
    </row>
    <row r="80" spans="12:18">
      <c r="L80" t="s">
        <v>896</v>
      </c>
    </row>
    <row r="81" spans="1:16">
      <c r="L81" s="421" t="s">
        <v>897</v>
      </c>
      <c r="M81" s="421"/>
      <c r="N81" s="23">
        <v>5</v>
      </c>
      <c r="O81" s="32" t="s">
        <v>874</v>
      </c>
    </row>
    <row r="82" spans="1:16">
      <c r="L82" t="s">
        <v>899</v>
      </c>
      <c r="M82">
        <v>1.5</v>
      </c>
      <c r="N82" s="306" t="s">
        <v>893</v>
      </c>
      <c r="P82" s="3" t="s">
        <v>935</v>
      </c>
    </row>
    <row r="83" spans="1:16" ht="15.75" thickBot="1">
      <c r="L83" t="s">
        <v>900</v>
      </c>
      <c r="M83">
        <v>4.25</v>
      </c>
      <c r="N83" s="32" t="s">
        <v>874</v>
      </c>
    </row>
    <row r="84" spans="1:16" ht="15.75" thickBot="1">
      <c r="L84" s="303" t="s">
        <v>901</v>
      </c>
      <c r="M84" s="305">
        <f>(M83/M82)/60</f>
        <v>4.7222222222222228E-2</v>
      </c>
    </row>
    <row r="86" spans="1:16">
      <c r="L86" t="s">
        <v>904</v>
      </c>
      <c r="M86">
        <v>7.5</v>
      </c>
      <c r="N86" s="306" t="s">
        <v>893</v>
      </c>
    </row>
    <row r="87" spans="1:16" ht="15.75" thickBot="1">
      <c r="L87" t="s">
        <v>902</v>
      </c>
      <c r="M87" s="301">
        <f>(M86*M84)</f>
        <v>0.35416666666666669</v>
      </c>
      <c r="N87" s="301" t="s">
        <v>894</v>
      </c>
    </row>
    <row r="88" spans="1:16" ht="15.75" thickBot="1">
      <c r="L88" s="303" t="s">
        <v>903</v>
      </c>
      <c r="M88" s="305">
        <f>N81*M87</f>
        <v>1.7708333333333335</v>
      </c>
    </row>
    <row r="89" spans="1:16" ht="15.75" thickBot="1"/>
    <row r="90" spans="1:16" ht="15.75" thickBot="1">
      <c r="M90" s="289" t="s">
        <v>912</v>
      </c>
    </row>
    <row r="91" spans="1:16" ht="15.75" thickBot="1">
      <c r="D91" s="271" t="s">
        <v>913</v>
      </c>
    </row>
    <row r="93" spans="1:16">
      <c r="A93" t="s">
        <v>905</v>
      </c>
    </row>
    <row r="94" spans="1:16">
      <c r="A94" t="s">
        <v>906</v>
      </c>
    </row>
    <row r="95" spans="1:16">
      <c r="A95" t="s">
        <v>907</v>
      </c>
    </row>
    <row r="96" spans="1:16">
      <c r="A96" t="s">
        <v>908</v>
      </c>
    </row>
    <row r="97" spans="1:1">
      <c r="A97" t="s">
        <v>909</v>
      </c>
    </row>
    <row r="98" spans="1:1">
      <c r="A98" t="s">
        <v>910</v>
      </c>
    </row>
    <row r="138" spans="25:25" ht="15.75" thickBot="1"/>
    <row r="139" spans="25:25" ht="15.75" thickBot="1">
      <c r="Y139" s="271" t="s">
        <v>914</v>
      </c>
    </row>
    <row r="145" spans="22:23">
      <c r="W145" t="s">
        <v>924</v>
      </c>
    </row>
    <row r="146" spans="22:23">
      <c r="V146" t="s">
        <v>922</v>
      </c>
      <c r="W146">
        <v>86</v>
      </c>
    </row>
    <row r="147" spans="22:23">
      <c r="V147" t="s">
        <v>923</v>
      </c>
      <c r="W147">
        <v>55</v>
      </c>
    </row>
    <row r="148" spans="22:23">
      <c r="V148" t="s">
        <v>925</v>
      </c>
      <c r="W148">
        <v>49</v>
      </c>
    </row>
    <row r="149" spans="22:23">
      <c r="V149" t="s">
        <v>926</v>
      </c>
      <c r="W149" t="s">
        <v>927</v>
      </c>
    </row>
    <row r="150" spans="22:23">
      <c r="V150" t="s">
        <v>928</v>
      </c>
      <c r="W150" t="s">
        <v>929</v>
      </c>
    </row>
    <row r="151" spans="22:23">
      <c r="V151" t="s">
        <v>930</v>
      </c>
      <c r="W151" t="s">
        <v>931</v>
      </c>
    </row>
    <row r="152" spans="22:23">
      <c r="V152" t="s">
        <v>932</v>
      </c>
      <c r="W152">
        <v>87</v>
      </c>
    </row>
  </sheetData>
  <mergeCells count="13">
    <mergeCell ref="A23:C23"/>
    <mergeCell ref="O18:O20"/>
    <mergeCell ref="H7:H8"/>
    <mergeCell ref="L81:M81"/>
    <mergeCell ref="M17:N17"/>
    <mergeCell ref="M18:N18"/>
    <mergeCell ref="M19:N19"/>
    <mergeCell ref="M20:N20"/>
    <mergeCell ref="A1:C1"/>
    <mergeCell ref="A3:C3"/>
    <mergeCell ref="A8:C8"/>
    <mergeCell ref="A12:C12"/>
    <mergeCell ref="A19:C19"/>
  </mergeCells>
  <hyperlinks>
    <hyperlink ref="P82" r:id="rId1" xr:uid="{9663A820-F49D-4EE2-9E7B-79CEBBCCBCF4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6977-B868-4FBD-B361-DBE4B52EAEC8}">
  <sheetPr codeName="Tabelle18">
    <tabColor rgb="FFFFC000"/>
  </sheetPr>
  <dimension ref="A1:Y54"/>
  <sheetViews>
    <sheetView topLeftCell="A7" zoomScale="85" zoomScaleNormal="85" workbookViewId="0">
      <selection activeCell="D22" sqref="D22"/>
    </sheetView>
  </sheetViews>
  <sheetFormatPr baseColWidth="10" defaultRowHeight="15"/>
  <cols>
    <col min="2" max="2" width="48.85546875" customWidth="1"/>
    <col min="3" max="3" width="47.5703125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5">
      <c r="C1" s="341" t="s">
        <v>1057</v>
      </c>
      <c r="F1" t="s">
        <v>1026</v>
      </c>
    </row>
    <row r="2" spans="1:25">
      <c r="B2" t="s">
        <v>1056</v>
      </c>
      <c r="C2">
        <f>(5+47+40+8)/1000</f>
        <v>0.1</v>
      </c>
      <c r="D2" s="277" t="b">
        <v>0</v>
      </c>
      <c r="F2" s="319"/>
      <c r="G2" t="s">
        <v>1040</v>
      </c>
      <c r="W2" t="s">
        <v>1022</v>
      </c>
      <c r="X2" t="s">
        <v>1030</v>
      </c>
      <c r="Y2" t="s">
        <v>1031</v>
      </c>
    </row>
    <row r="3" spans="1:25">
      <c r="B3" s="333" t="s">
        <v>995</v>
      </c>
      <c r="F3" s="334"/>
      <c r="G3" t="s">
        <v>1024</v>
      </c>
      <c r="S3" t="s">
        <v>265</v>
      </c>
      <c r="T3" t="s">
        <v>266</v>
      </c>
      <c r="W3">
        <v>1</v>
      </c>
      <c r="X3">
        <f>441.22*W3^1.5479</f>
        <v>441.22</v>
      </c>
      <c r="Y3">
        <f t="shared" ref="Y3:Y42" si="0">52.128*W3^2.1552</f>
        <v>52.128</v>
      </c>
    </row>
    <row r="4" spans="1:25">
      <c r="D4" t="s">
        <v>1029</v>
      </c>
      <c r="S4" t="s">
        <v>268</v>
      </c>
      <c r="T4">
        <f>L12</f>
        <v>0</v>
      </c>
      <c r="W4">
        <v>2</v>
      </c>
      <c r="X4">
        <f t="shared" ref="X4:X22" si="1">441.22*W4^1.5479</f>
        <v>1290.0885495428406</v>
      </c>
      <c r="Y4">
        <f>52.128*W4^2.1552</f>
        <v>232.1939551461077</v>
      </c>
    </row>
    <row r="5" spans="1:25">
      <c r="C5" s="20" t="s">
        <v>996</v>
      </c>
      <c r="D5" s="327" t="s">
        <v>1027</v>
      </c>
      <c r="G5" s="277" t="b">
        <v>0</v>
      </c>
      <c r="S5" t="s">
        <v>38</v>
      </c>
      <c r="T5">
        <f>C37</f>
        <v>49717.58</v>
      </c>
      <c r="W5">
        <v>3</v>
      </c>
      <c r="X5">
        <f t="shared" si="1"/>
        <v>2416.524376836976</v>
      </c>
      <c r="Y5">
        <f t="shared" si="0"/>
        <v>556.36882962466996</v>
      </c>
    </row>
    <row r="6" spans="1:25">
      <c r="B6" s="337" t="s">
        <v>997</v>
      </c>
      <c r="C6" s="334">
        <v>18</v>
      </c>
      <c r="D6" s="7"/>
      <c r="W6">
        <v>4</v>
      </c>
      <c r="X6">
        <f t="shared" si="1"/>
        <v>3772.1056744063048</v>
      </c>
      <c r="Y6">
        <f t="shared" si="0"/>
        <v>1034.2624464086991</v>
      </c>
    </row>
    <row r="7" spans="1:25">
      <c r="A7" s="1"/>
      <c r="D7" s="7" t="s">
        <v>1034</v>
      </c>
      <c r="W7">
        <v>5</v>
      </c>
      <c r="X7">
        <f t="shared" si="1"/>
        <v>5328.3268812505685</v>
      </c>
      <c r="Y7">
        <f t="shared" si="0"/>
        <v>1672.9817983789544</v>
      </c>
    </row>
    <row r="8" spans="1:25">
      <c r="B8" s="337" t="s">
        <v>1048</v>
      </c>
      <c r="C8" s="95">
        <v>1000</v>
      </c>
      <c r="D8" s="327" t="s">
        <v>998</v>
      </c>
      <c r="E8" s="290" t="s">
        <v>999</v>
      </c>
      <c r="F8" s="290" t="s">
        <v>1000</v>
      </c>
      <c r="G8" s="290" t="s">
        <v>1001</v>
      </c>
      <c r="H8" s="290" t="s">
        <v>1002</v>
      </c>
      <c r="I8" s="290" t="s">
        <v>1003</v>
      </c>
      <c r="J8" s="290" t="s">
        <v>1004</v>
      </c>
      <c r="K8" s="290" t="s">
        <v>1005</v>
      </c>
      <c r="L8" s="290" t="s">
        <v>1006</v>
      </c>
      <c r="M8" s="290" t="s">
        <v>1007</v>
      </c>
      <c r="N8" s="290" t="s">
        <v>1008</v>
      </c>
      <c r="O8" s="290" t="s">
        <v>1009</v>
      </c>
      <c r="W8">
        <v>6</v>
      </c>
      <c r="X8">
        <f t="shared" si="1"/>
        <v>7065.7051544547639</v>
      </c>
      <c r="Y8">
        <f t="shared" si="0"/>
        <v>2478.2358630786343</v>
      </c>
    </row>
    <row r="9" spans="1:25">
      <c r="B9" s="336" t="s">
        <v>1010</v>
      </c>
      <c r="C9" s="44">
        <f>C8*S13</f>
        <v>1620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S9">
        <f>_xlfn.XLOOKUP(Gesamtauswertung!I17,EnergieverbraecheArtderBaustelle[Bitte wählen], EnergieverbraecheArtderBaustelle[CO2-Emissionen ])</f>
        <v>49717.58</v>
      </c>
      <c r="W9">
        <v>7</v>
      </c>
      <c r="X9">
        <f t="shared" si="1"/>
        <v>8969.7935303556042</v>
      </c>
      <c r="Y9">
        <f t="shared" si="0"/>
        <v>3454.8274252009169</v>
      </c>
    </row>
    <row r="10" spans="1:25">
      <c r="A10" s="277" t="b">
        <v>0</v>
      </c>
      <c r="B10" s="336" t="s">
        <v>1023</v>
      </c>
      <c r="C10" s="319">
        <v>20</v>
      </c>
      <c r="D10" s="7"/>
      <c r="W10">
        <v>8</v>
      </c>
      <c r="X10">
        <f t="shared" si="1"/>
        <v>11029.305875112517</v>
      </c>
      <c r="Y10">
        <f t="shared" si="0"/>
        <v>4606.9192773696477</v>
      </c>
    </row>
    <row r="11" spans="1:25">
      <c r="B11" s="338" t="s">
        <v>1011</v>
      </c>
      <c r="C11" s="339">
        <f>C6*IF(A10,C10,C9)</f>
        <v>29160</v>
      </c>
      <c r="D11" s="327">
        <f>SUM(D9:O9)</f>
        <v>30087</v>
      </c>
      <c r="S11" t="s">
        <v>1162</v>
      </c>
      <c r="W11">
        <v>9</v>
      </c>
      <c r="X11">
        <f t="shared" si="1"/>
        <v>13235.098281690169</v>
      </c>
      <c r="Y11">
        <f t="shared" si="0"/>
        <v>5938.1958751136635</v>
      </c>
    </row>
    <row r="12" spans="1:25">
      <c r="D12" s="7"/>
      <c r="S12" t="s">
        <v>1045</v>
      </c>
      <c r="T12" t="s">
        <v>1046</v>
      </c>
      <c r="W12">
        <v>10</v>
      </c>
      <c r="X12">
        <f t="shared" si="1"/>
        <v>15579.560078243678</v>
      </c>
      <c r="Y12">
        <f t="shared" si="0"/>
        <v>7451.969395585058</v>
      </c>
    </row>
    <row r="13" spans="1:25" ht="18">
      <c r="B13" s="329" t="s">
        <v>1025</v>
      </c>
      <c r="C13" s="329">
        <f>IF(D2,C2,226/1000)</f>
        <v>0.22600000000000001</v>
      </c>
      <c r="D13" s="7"/>
      <c r="S13">
        <v>1.62</v>
      </c>
      <c r="T13">
        <v>1.06E-2</v>
      </c>
      <c r="W13">
        <v>11</v>
      </c>
      <c r="X13">
        <f t="shared" si="1"/>
        <v>18056.22374293939</v>
      </c>
      <c r="Y13">
        <f t="shared" si="0"/>
        <v>9151.2533255083908</v>
      </c>
    </row>
    <row r="14" spans="1:25">
      <c r="D14" s="7"/>
      <c r="W14">
        <v>12</v>
      </c>
      <c r="X14">
        <f t="shared" si="1"/>
        <v>20659.501641375995</v>
      </c>
      <c r="Y14">
        <f t="shared" si="0"/>
        <v>11038.815738818987</v>
      </c>
    </row>
    <row r="15" spans="1:25" ht="18">
      <c r="B15" s="340" t="s">
        <v>1017</v>
      </c>
      <c r="C15" s="46">
        <f>C11*C13</f>
        <v>6590.16</v>
      </c>
      <c r="D15" s="331">
        <f>(D11*C13)</f>
        <v>6799.6620000000003</v>
      </c>
      <c r="E15" t="s">
        <v>1019</v>
      </c>
      <c r="W15">
        <v>13</v>
      </c>
      <c r="X15">
        <f t="shared" si="1"/>
        <v>23384.500911485913</v>
      </c>
      <c r="Y15">
        <f t="shared" si="0"/>
        <v>13117.219184351219</v>
      </c>
    </row>
    <row r="16" spans="1:25">
      <c r="W16">
        <v>14</v>
      </c>
      <c r="X16">
        <f t="shared" si="1"/>
        <v>26226.888910917936</v>
      </c>
      <c r="Y16">
        <f t="shared" si="0"/>
        <v>15388.851369794433</v>
      </c>
    </row>
    <row r="17" spans="1:25">
      <c r="W17">
        <v>15</v>
      </c>
      <c r="X17">
        <f t="shared" si="1"/>
        <v>29182.792702728206</v>
      </c>
      <c r="Y17">
        <f t="shared" si="0"/>
        <v>17855.949300711218</v>
      </c>
    </row>
    <row r="18" spans="1:25">
      <c r="W18">
        <v>16</v>
      </c>
      <c r="X18">
        <f t="shared" si="1"/>
        <v>32248.722222220753</v>
      </c>
      <c r="Y18">
        <f t="shared" si="0"/>
        <v>20520.618632046258</v>
      </c>
    </row>
    <row r="19" spans="1:25">
      <c r="B19" s="2" t="s">
        <v>1042</v>
      </c>
      <c r="C19" s="2"/>
      <c r="E19" s="277" t="b">
        <v>1</v>
      </c>
      <c r="W19">
        <v>17</v>
      </c>
      <c r="X19">
        <f t="shared" si="1"/>
        <v>35421.510383343448</v>
      </c>
      <c r="Y19">
        <f t="shared" si="0"/>
        <v>23384.84943311293</v>
      </c>
    </row>
    <row r="20" spans="1:25">
      <c r="B20" s="335" t="s">
        <v>1012</v>
      </c>
      <c r="W20">
        <v>18</v>
      </c>
      <c r="X20">
        <f t="shared" si="1"/>
        <v>38698.265593768658</v>
      </c>
      <c r="Y20">
        <f t="shared" si="0"/>
        <v>26450.529210308145</v>
      </c>
    </row>
    <row r="21" spans="1:25">
      <c r="B21" s="337" t="s">
        <v>997</v>
      </c>
      <c r="C21" s="57">
        <v>18</v>
      </c>
      <c r="W21">
        <v>19</v>
      </c>
      <c r="X21">
        <f t="shared" si="1"/>
        <v>42076.333548721617</v>
      </c>
      <c r="Y21">
        <f t="shared" si="0"/>
        <v>29719.453795626254</v>
      </c>
    </row>
    <row r="22" spans="1:25">
      <c r="B22" s="221" t="s">
        <v>1048</v>
      </c>
      <c r="C22" s="334">
        <v>1000</v>
      </c>
      <c r="W22">
        <v>20</v>
      </c>
      <c r="X22">
        <f t="shared" si="1"/>
        <v>45553.266089154858</v>
      </c>
      <c r="Y22">
        <f t="shared" si="0"/>
        <v>33193.336548278145</v>
      </c>
    </row>
    <row r="23" spans="1:25">
      <c r="B23" s="221" t="s">
        <v>1036</v>
      </c>
      <c r="C23" s="44">
        <f>C22*T13</f>
        <v>10.6</v>
      </c>
      <c r="W23">
        <v>21</v>
      </c>
      <c r="X23">
        <f t="shared" ref="X23:X42" si="2">441.22*W23^1.5479</f>
        <v>49126.795524452442</v>
      </c>
      <c r="Y23">
        <f t="shared" si="0"/>
        <v>36873.816204616429</v>
      </c>
    </row>
    <row r="24" spans="1:25">
      <c r="A24" s="277" t="b">
        <v>0</v>
      </c>
      <c r="B24" s="221" t="s">
        <v>1035</v>
      </c>
      <c r="C24" s="319">
        <v>20</v>
      </c>
      <c r="W24">
        <v>22</v>
      </c>
      <c r="X24">
        <f t="shared" si="2"/>
        <v>52794.813242259377</v>
      </c>
      <c r="Y24">
        <f t="shared" si="0"/>
        <v>40762.463631709739</v>
      </c>
    </row>
    <row r="25" spans="1:25">
      <c r="B25" s="341" t="s">
        <v>1043</v>
      </c>
      <c r="C25" s="341">
        <f>(C21*IF(A24,C24,C23))*1000</f>
        <v>190799.99999999997</v>
      </c>
      <c r="D25" s="221" t="s">
        <v>1016</v>
      </c>
      <c r="E25" s="57">
        <v>2</v>
      </c>
      <c r="W25">
        <v>23</v>
      </c>
      <c r="X25">
        <f t="shared" si="2"/>
        <v>56555.351724492335</v>
      </c>
      <c r="Y25">
        <f t="shared" si="0"/>
        <v>44860.78768194023</v>
      </c>
    </row>
    <row r="26" spans="1:25">
      <c r="W26">
        <v>24</v>
      </c>
      <c r="X26">
        <f t="shared" si="2"/>
        <v>60406.569300577263</v>
      </c>
      <c r="Y26">
        <f t="shared" si="0"/>
        <v>49170.240303205283</v>
      </c>
    </row>
    <row r="27" spans="1:25" ht="18">
      <c r="B27" s="328" t="s">
        <v>1028</v>
      </c>
      <c r="C27" s="329">
        <f>IF(D2,C2,226/1000)</f>
        <v>0.22600000000000001</v>
      </c>
      <c r="W27">
        <v>25</v>
      </c>
      <c r="X27">
        <f t="shared" si="2"/>
        <v>64346.737123107312</v>
      </c>
      <c r="Y27">
        <f t="shared" si="0"/>
        <v>53692.221027226828</v>
      </c>
    </row>
    <row r="28" spans="1:25">
      <c r="W28">
        <v>26</v>
      </c>
      <c r="X28">
        <f t="shared" si="2"/>
        <v>68374.227964920166</v>
      </c>
      <c r="Y28">
        <f t="shared" si="0"/>
        <v>58428.080934102756</v>
      </c>
    </row>
    <row r="29" spans="1:25" ht="18">
      <c r="D29" s="328" t="s">
        <v>1041</v>
      </c>
      <c r="E29" s="329">
        <f>3.31</f>
        <v>3.31</v>
      </c>
      <c r="F29" t="s">
        <v>1015</v>
      </c>
      <c r="W29">
        <v>27</v>
      </c>
      <c r="X29">
        <f t="shared" si="2"/>
        <v>72487.506521774747</v>
      </c>
      <c r="Y29">
        <f t="shared" si="0"/>
        <v>63379.126172479919</v>
      </c>
    </row>
    <row r="30" spans="1:25">
      <c r="I30" s="332" t="s">
        <v>1013</v>
      </c>
      <c r="W30">
        <v>28</v>
      </c>
      <c r="X30">
        <f t="shared" si="2"/>
        <v>76685.1209693743</v>
      </c>
      <c r="Y30">
        <f t="shared" si="0"/>
        <v>68546.621100141347</v>
      </c>
    </row>
    <row r="31" spans="1:25" ht="18">
      <c r="C31" s="27" t="s">
        <v>1033</v>
      </c>
      <c r="D31" s="37" t="s">
        <v>1020</v>
      </c>
      <c r="I31" s="3" t="s">
        <v>1014</v>
      </c>
      <c r="W31">
        <v>29</v>
      </c>
      <c r="X31">
        <f t="shared" si="2"/>
        <v>80965.695572987825</v>
      </c>
      <c r="Y31">
        <f t="shared" si="0"/>
        <v>73931.791098325179</v>
      </c>
    </row>
    <row r="32" spans="1:25">
      <c r="W32">
        <v>30</v>
      </c>
      <c r="X32">
        <f t="shared" si="2"/>
        <v>85327.924186283519</v>
      </c>
      <c r="Y32">
        <f t="shared" si="0"/>
        <v>79535.825103984724</v>
      </c>
    </row>
    <row r="33" spans="2:25">
      <c r="C33" s="330">
        <f>C25*C27</f>
        <v>43120.799999999996</v>
      </c>
      <c r="D33" s="330">
        <f>E25*E29</f>
        <v>6.62</v>
      </c>
      <c r="W33">
        <v>31</v>
      </c>
      <c r="X33">
        <f t="shared" si="2"/>
        <v>89770.564506006514</v>
      </c>
      <c r="Y33">
        <f t="shared" si="0"/>
        <v>85359.877896908278</v>
      </c>
    </row>
    <row r="34" spans="2:25">
      <c r="W34">
        <v>32</v>
      </c>
      <c r="X34">
        <f t="shared" si="2"/>
        <v>94292.43297283609</v>
      </c>
      <c r="Y34">
        <f t="shared" si="0"/>
        <v>91405.07217272355</v>
      </c>
    </row>
    <row r="35" spans="2:25" ht="18">
      <c r="B35" s="20" t="s">
        <v>1018</v>
      </c>
      <c r="C35" s="20">
        <f>SUM(C33:D33)</f>
        <v>43127.42</v>
      </c>
      <c r="D35" s="20" t="s">
        <v>1019</v>
      </c>
      <c r="W35">
        <v>33</v>
      </c>
      <c r="X35">
        <f t="shared" si="2"/>
        <v>98892.400227631617</v>
      </c>
      <c r="Y35">
        <f t="shared" si="0"/>
        <v>97672.500428022759</v>
      </c>
    </row>
    <row r="36" spans="2:25">
      <c r="W36">
        <v>34</v>
      </c>
      <c r="X36">
        <f t="shared" si="2"/>
        <v>103569.38704742353</v>
      </c>
      <c r="Y36">
        <f t="shared" si="0"/>
        <v>104163.22667991689</v>
      </c>
    </row>
    <row r="37" spans="2:25" ht="18">
      <c r="B37" s="41" t="s">
        <v>1021</v>
      </c>
      <c r="C37" s="41">
        <f>IF(G5=TRUE,D15,C15)+IF(E19=TRUE,C35,C36)</f>
        <v>49717.58</v>
      </c>
      <c r="D37" s="41" t="s">
        <v>1019</v>
      </c>
      <c r="W37">
        <v>35</v>
      </c>
      <c r="X37">
        <f t="shared" si="2"/>
        <v>108322.36069774981</v>
      </c>
      <c r="Y37">
        <f t="shared" si="0"/>
        <v>110878.28803908764</v>
      </c>
    </row>
    <row r="38" spans="2:25">
      <c r="W38">
        <v>36</v>
      </c>
      <c r="X38">
        <f t="shared" si="2"/>
        <v>113150.33164790492</v>
      </c>
      <c r="Y38">
        <f t="shared" si="0"/>
        <v>117818.69615272222</v>
      </c>
    </row>
    <row r="39" spans="2:25">
      <c r="W39">
        <v>37</v>
      </c>
      <c r="X39">
        <f t="shared" si="2"/>
        <v>118052.35060383145</v>
      </c>
      <c r="Y39">
        <f t="shared" si="0"/>
        <v>124985.43853146481</v>
      </c>
    </row>
    <row r="40" spans="2:25">
      <c r="B40" t="s">
        <v>1135</v>
      </c>
      <c r="W40">
        <v>38</v>
      </c>
      <c r="X40">
        <f t="shared" si="2"/>
        <v>123027.50582011472</v>
      </c>
      <c r="Y40">
        <f t="shared" si="0"/>
        <v>132379.47977264554</v>
      </c>
    </row>
    <row r="41" spans="2:25">
      <c r="W41">
        <v>39</v>
      </c>
      <c r="X41">
        <f t="shared" si="2"/>
        <v>128074.92065811205</v>
      </c>
      <c r="Y41">
        <f t="shared" si="0"/>
        <v>140001.76269044951</v>
      </c>
    </row>
    <row r="42" spans="2:25">
      <c r="W42">
        <v>40</v>
      </c>
      <c r="X42">
        <f t="shared" si="2"/>
        <v>133193.75136189847</v>
      </c>
      <c r="Y42">
        <f t="shared" si="0"/>
        <v>147853.20936234953</v>
      </c>
    </row>
    <row r="44" spans="2:25">
      <c r="W44" t="s">
        <v>1049</v>
      </c>
    </row>
    <row r="46" spans="2:25">
      <c r="W46" t="s">
        <v>1050</v>
      </c>
    </row>
    <row r="48" spans="2:25">
      <c r="W48" t="s">
        <v>1051</v>
      </c>
    </row>
    <row r="50" spans="23:23">
      <c r="W50" t="s">
        <v>1052</v>
      </c>
    </row>
    <row r="52" spans="23:23">
      <c r="W52" t="s">
        <v>1053</v>
      </c>
    </row>
    <row r="54" spans="23:23">
      <c r="W54" t="s">
        <v>1054</v>
      </c>
    </row>
  </sheetData>
  <conditionalFormatting sqref="B13">
    <cfRule type="expression" dxfId="26" priority="9">
      <formula>#REF!=TRUE</formula>
    </cfRule>
    <cfRule type="expression" dxfId="25" priority="10">
      <formula>#REF!=TRUE</formula>
    </cfRule>
  </conditionalFormatting>
  <conditionalFormatting sqref="B20:G35">
    <cfRule type="expression" dxfId="24" priority="15">
      <formula>$E$19=FALSE</formula>
    </cfRule>
    <cfRule type="expression" dxfId="23" priority="16">
      <formula>$E$19=FALSE</formula>
    </cfRule>
  </conditionalFormatting>
  <conditionalFormatting sqref="C22:C24">
    <cfRule type="expression" dxfId="22" priority="1">
      <formula>#REF!=TRUE</formula>
    </cfRule>
    <cfRule type="expression" dxfId="21" priority="2">
      <formula>#REF!=TRUE</formula>
    </cfRule>
  </conditionalFormatting>
  <conditionalFormatting sqref="D6:O15">
    <cfRule type="expression" dxfId="20" priority="11">
      <formula>$G$5=FALSE</formula>
    </cfRule>
    <cfRule type="expression" dxfId="19" priority="12">
      <formula>$G$5=FALSE</formula>
    </cfRule>
  </conditionalFormatting>
  <conditionalFormatting sqref="F3 C6 C9:C15">
    <cfRule type="expression" dxfId="18" priority="193">
      <formula>#REF!=TRUE</formula>
    </cfRule>
    <cfRule type="expression" dxfId="17" priority="194">
      <formula>#REF!=TRUE</formula>
    </cfRule>
  </conditionalFormatting>
  <conditionalFormatting sqref="G16">
    <cfRule type="expression" dxfId="16" priority="20">
      <formula>$D$8:$O$15="FALSCH"</formula>
    </cfRule>
  </conditionalFormatting>
  <conditionalFormatting sqref="P9">
    <cfRule type="expression" dxfId="15" priority="7">
      <formula>#REF!=TRUE</formula>
    </cfRule>
    <cfRule type="expression" dxfId="14" priority="8">
      <formula>#REF!=TRUE</formula>
    </cfRule>
  </conditionalFormatting>
  <hyperlinks>
    <hyperlink ref="I31" r:id="rId1" xr:uid="{26412279-DA18-41FE-89DC-631399644AF2}"/>
    <hyperlink ref="I30" r:id="rId2" xr:uid="{BAD69099-C2F4-49F3-9D3D-532262D92414}"/>
  </hyperlinks>
  <pageMargins left="0.7" right="0.7" top="0.78740157499999996" bottom="0.78740157499999996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6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7" name="Check Box 3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8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8</xdr:row>
                    <xdr:rowOff>180975</xdr:rowOff>
                  </from>
                  <to>
                    <xdr:col>1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9" name="Check Box 7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5" r:id="rId10" name="Check Box 9">
              <controlPr defaultSize="0" autoFill="0" autoLine="0" autoPict="0">
                <anchor moveWithCells="1">
                  <from>
                    <xdr:col>3</xdr:col>
                    <xdr:colOff>38100</xdr:colOff>
                    <xdr:row>1</xdr:row>
                    <xdr:rowOff>0</xdr:rowOff>
                  </from>
                  <to>
                    <xdr:col>3</xdr:col>
                    <xdr:colOff>1143000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2">
    <tablePart r:id="rId11"/>
    <tablePart r:id="rId1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D035-2EA3-4E6E-B545-0579A96F380F}">
  <sheetPr codeName="Tabelle19">
    <tabColor rgb="FFFF0000"/>
  </sheetPr>
  <dimension ref="A1:V37"/>
  <sheetViews>
    <sheetView topLeftCell="B1" zoomScale="115" zoomScaleNormal="115" workbookViewId="0">
      <selection activeCell="B22" sqref="B22"/>
    </sheetView>
  </sheetViews>
  <sheetFormatPr baseColWidth="10" defaultRowHeight="15"/>
  <cols>
    <col min="2" max="2" width="48.85546875" customWidth="1"/>
    <col min="3" max="3" width="34.28515625" bestFit="1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2">
      <c r="F1" t="s">
        <v>1026</v>
      </c>
    </row>
    <row r="2" spans="1:22">
      <c r="F2" s="319"/>
      <c r="G2" t="s">
        <v>1040</v>
      </c>
    </row>
    <row r="3" spans="1:22">
      <c r="B3" s="333" t="s">
        <v>995</v>
      </c>
      <c r="F3" s="334"/>
      <c r="G3" t="s">
        <v>1024</v>
      </c>
    </row>
    <row r="4" spans="1:22">
      <c r="D4" t="s">
        <v>1029</v>
      </c>
      <c r="U4" t="s">
        <v>1044</v>
      </c>
    </row>
    <row r="5" spans="1:22">
      <c r="C5" s="20" t="s">
        <v>996</v>
      </c>
      <c r="D5" s="327" t="s">
        <v>1027</v>
      </c>
      <c r="G5" s="277" t="b">
        <v>0</v>
      </c>
      <c r="U5" t="s">
        <v>1045</v>
      </c>
      <c r="V5" t="s">
        <v>1046</v>
      </c>
    </row>
    <row r="6" spans="1:22">
      <c r="B6" s="337" t="s">
        <v>997</v>
      </c>
      <c r="C6" s="334">
        <v>9</v>
      </c>
      <c r="D6" s="7"/>
      <c r="U6">
        <v>14.09</v>
      </c>
      <c r="V6">
        <v>10.63326357</v>
      </c>
    </row>
    <row r="7" spans="1:22">
      <c r="A7" s="1"/>
      <c r="D7" s="7" t="s">
        <v>1034</v>
      </c>
    </row>
    <row r="8" spans="1:22">
      <c r="B8" s="337" t="s">
        <v>1048</v>
      </c>
      <c r="C8" s="95">
        <v>31652</v>
      </c>
      <c r="D8" s="327" t="s">
        <v>998</v>
      </c>
      <c r="E8" s="290" t="s">
        <v>999</v>
      </c>
      <c r="F8" s="290" t="s">
        <v>1000</v>
      </c>
      <c r="G8" s="290" t="s">
        <v>1001</v>
      </c>
      <c r="H8" s="290" t="s">
        <v>1002</v>
      </c>
      <c r="I8" s="290" t="s">
        <v>1003</v>
      </c>
      <c r="J8" s="290" t="s">
        <v>1004</v>
      </c>
      <c r="K8" s="290" t="s">
        <v>1005</v>
      </c>
      <c r="L8" s="290" t="s">
        <v>1006</v>
      </c>
      <c r="M8" s="290" t="s">
        <v>1007</v>
      </c>
      <c r="N8" s="290" t="s">
        <v>1008</v>
      </c>
      <c r="O8" s="290" t="s">
        <v>1009</v>
      </c>
      <c r="U8" t="s">
        <v>1047</v>
      </c>
    </row>
    <row r="9" spans="1:22">
      <c r="B9" s="8"/>
      <c r="C9" s="44">
        <f>C8*U9</f>
        <v>51276.240000000005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U9">
        <v>1.62</v>
      </c>
    </row>
    <row r="10" spans="1:22">
      <c r="A10" s="277" t="b">
        <v>1</v>
      </c>
      <c r="B10" s="8"/>
      <c r="D10" s="7"/>
    </row>
    <row r="11" spans="1:22">
      <c r="B11" s="338" t="s">
        <v>1011</v>
      </c>
      <c r="C11" s="339">
        <f>C9*C6</f>
        <v>461486.16000000003</v>
      </c>
      <c r="D11" s="327">
        <f>SUM(D9:O9)</f>
        <v>30087</v>
      </c>
    </row>
    <row r="12" spans="1:22">
      <c r="D12" s="7"/>
    </row>
    <row r="13" spans="1:22" ht="18">
      <c r="B13" s="329" t="s">
        <v>1025</v>
      </c>
      <c r="C13" s="329">
        <f>108/1000</f>
        <v>0.108</v>
      </c>
      <c r="D13" s="7"/>
    </row>
    <row r="14" spans="1:22">
      <c r="D14" s="7"/>
    </row>
    <row r="15" spans="1:22" ht="18">
      <c r="B15" s="340" t="s">
        <v>1017</v>
      </c>
      <c r="C15" s="46">
        <f>C11*C13</f>
        <v>49840.505280000005</v>
      </c>
      <c r="D15" s="331">
        <f>(D11*C13)</f>
        <v>3249.3960000000002</v>
      </c>
      <c r="E15" t="s">
        <v>1019</v>
      </c>
    </row>
    <row r="19" spans="1:9">
      <c r="B19" s="2" t="s">
        <v>1042</v>
      </c>
      <c r="C19" s="2"/>
      <c r="E19" s="277" t="b">
        <v>1</v>
      </c>
    </row>
    <row r="20" spans="1:9">
      <c r="B20" s="335" t="s">
        <v>1012</v>
      </c>
    </row>
    <row r="22" spans="1:9">
      <c r="B22" s="221" t="s">
        <v>1032</v>
      </c>
      <c r="C22" s="334">
        <v>1</v>
      </c>
    </row>
    <row r="23" spans="1:9">
      <c r="B23" s="221" t="s">
        <v>1036</v>
      </c>
      <c r="C23" s="44" t="e">
        <f>_xlfn.XLOOKUP(C22,#REF!,#REF!)</f>
        <v>#REF!</v>
      </c>
    </row>
    <row r="24" spans="1:9">
      <c r="A24" s="277" t="b">
        <v>0</v>
      </c>
      <c r="B24" s="221" t="s">
        <v>1035</v>
      </c>
      <c r="C24" s="319"/>
    </row>
    <row r="25" spans="1:9">
      <c r="B25" s="341" t="s">
        <v>1043</v>
      </c>
      <c r="C25" s="341" t="e">
        <f>(C6*IF(A24,C24,C23))*1000</f>
        <v>#REF!</v>
      </c>
      <c r="D25" s="221" t="s">
        <v>1016</v>
      </c>
      <c r="E25" s="57">
        <v>0</v>
      </c>
    </row>
    <row r="27" spans="1:9" ht="18">
      <c r="B27" s="328" t="s">
        <v>1028</v>
      </c>
      <c r="C27" s="329">
        <f>108/1000</f>
        <v>0.108</v>
      </c>
    </row>
    <row r="29" spans="1:9" ht="18">
      <c r="D29" s="328" t="s">
        <v>1041</v>
      </c>
      <c r="E29" s="329">
        <f>3.31</f>
        <v>3.31</v>
      </c>
      <c r="F29" t="s">
        <v>1015</v>
      </c>
    </row>
    <row r="30" spans="1:9">
      <c r="I30" s="332" t="s">
        <v>1013</v>
      </c>
    </row>
    <row r="31" spans="1:9" ht="18">
      <c r="C31" s="27" t="s">
        <v>1033</v>
      </c>
      <c r="D31" s="37" t="s">
        <v>1020</v>
      </c>
      <c r="I31" s="3" t="s">
        <v>1014</v>
      </c>
    </row>
    <row r="33" spans="2:4">
      <c r="C33" s="330" t="e">
        <f>C25*C27</f>
        <v>#REF!</v>
      </c>
      <c r="D33" s="330">
        <f>E25*E29</f>
        <v>0</v>
      </c>
    </row>
    <row r="35" spans="2:4" ht="18">
      <c r="B35" s="20" t="s">
        <v>1018</v>
      </c>
      <c r="C35" s="20" t="e">
        <f>SUM(C33:E33)</f>
        <v>#REF!</v>
      </c>
      <c r="D35" s="20" t="s">
        <v>1019</v>
      </c>
    </row>
    <row r="37" spans="2:4" ht="18">
      <c r="B37" s="41" t="s">
        <v>1021</v>
      </c>
      <c r="C37" s="41" t="e">
        <f>IF(G5=TRUE,D15,C15)+IF(E19=TRUE,C35,C36)</f>
        <v>#REF!</v>
      </c>
      <c r="D37" s="41" t="s">
        <v>1019</v>
      </c>
    </row>
  </sheetData>
  <conditionalFormatting sqref="B13">
    <cfRule type="expression" dxfId="13" priority="5">
      <formula>#REF!=TRUE</formula>
    </cfRule>
    <cfRule type="expression" dxfId="12" priority="6">
      <formula>#REF!=TRUE</formula>
    </cfRule>
  </conditionalFormatting>
  <conditionalFormatting sqref="B20:G35">
    <cfRule type="expression" dxfId="11" priority="9">
      <formula>$E$19=FALSE</formula>
    </cfRule>
    <cfRule type="expression" dxfId="10" priority="10">
      <formula>$E$19=FALSE</formula>
    </cfRule>
  </conditionalFormatting>
  <conditionalFormatting sqref="C22:C24">
    <cfRule type="expression" dxfId="9" priority="1">
      <formula>#REF!=TRUE</formula>
    </cfRule>
    <cfRule type="expression" dxfId="8" priority="2">
      <formula>#REF!=TRUE</formula>
    </cfRule>
  </conditionalFormatting>
  <conditionalFormatting sqref="D6:O15">
    <cfRule type="expression" dxfId="7" priority="7">
      <formula>$G$5=FALSE</formula>
    </cfRule>
    <cfRule type="expression" dxfId="6" priority="8">
      <formula>$G$5=FALSE</formula>
    </cfRule>
  </conditionalFormatting>
  <conditionalFormatting sqref="F3 C6 C9:C15">
    <cfRule type="expression" dxfId="5" priority="12">
      <formula>#REF!=TRUE</formula>
    </cfRule>
    <cfRule type="expression" dxfId="4" priority="13">
      <formula>#REF!=TRUE</formula>
    </cfRule>
  </conditionalFormatting>
  <conditionalFormatting sqref="G16">
    <cfRule type="expression" dxfId="3" priority="11">
      <formula>$D$8:$O$15="FALSCH"</formula>
    </cfRule>
  </conditionalFormatting>
  <conditionalFormatting sqref="P9">
    <cfRule type="expression" dxfId="2" priority="3">
      <formula>#REF!=TRUE</formula>
    </cfRule>
    <cfRule type="expression" dxfId="1" priority="4">
      <formula>#REF!=TRUE</formula>
    </cfRule>
  </conditionalFormatting>
  <hyperlinks>
    <hyperlink ref="I31" r:id="rId1" xr:uid="{89B82252-A417-47F3-8F7E-6125EA6CA1D9}"/>
    <hyperlink ref="I30" r:id="rId2" xr:uid="{02A863CB-F96B-46C1-B1C8-30969B2DD01A}"/>
  </hyperlinks>
  <pageMargins left="0.7" right="0.7" top="0.78740157499999996" bottom="0.78740157499999996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5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6" name="Check Box 2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7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9E3E-72FC-43B6-B274-CD44C104F266}">
  <sheetPr codeName="Tabelle9"/>
  <dimension ref="A1:S23"/>
  <sheetViews>
    <sheetView zoomScale="85" zoomScaleNormal="85" workbookViewId="0">
      <selection activeCell="E26" sqref="E26"/>
    </sheetView>
  </sheetViews>
  <sheetFormatPr baseColWidth="10" defaultColWidth="11.42578125" defaultRowHeight="15"/>
  <cols>
    <col min="1" max="1" width="10.140625" customWidth="1"/>
    <col min="2" max="2" width="58.7109375" customWidth="1"/>
  </cols>
  <sheetData>
    <row r="1" spans="1:19">
      <c r="A1" s="57" t="s">
        <v>285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>
      <c r="A2">
        <v>1</v>
      </c>
      <c r="B2" t="s">
        <v>286</v>
      </c>
      <c r="C2" t="s">
        <v>718</v>
      </c>
    </row>
    <row r="3" spans="1:19" ht="18">
      <c r="A3">
        <v>2</v>
      </c>
      <c r="B3" t="s">
        <v>13</v>
      </c>
      <c r="C3" t="s">
        <v>719</v>
      </c>
    </row>
    <row r="4" spans="1:19" ht="18">
      <c r="A4">
        <v>3</v>
      </c>
      <c r="B4" t="s">
        <v>287</v>
      </c>
      <c r="C4" t="s">
        <v>720</v>
      </c>
    </row>
    <row r="5" spans="1:19">
      <c r="A5">
        <v>4</v>
      </c>
      <c r="B5" t="s">
        <v>288</v>
      </c>
      <c r="C5" t="s">
        <v>721</v>
      </c>
    </row>
    <row r="6" spans="1:19">
      <c r="A6">
        <v>5</v>
      </c>
      <c r="B6" t="s">
        <v>289</v>
      </c>
      <c r="C6" t="s">
        <v>722</v>
      </c>
    </row>
    <row r="7" spans="1:19" ht="18">
      <c r="A7">
        <v>6</v>
      </c>
      <c r="B7" t="s">
        <v>27</v>
      </c>
      <c r="C7" t="s">
        <v>723</v>
      </c>
    </row>
    <row r="8" spans="1:19" ht="18">
      <c r="A8">
        <v>7</v>
      </c>
      <c r="B8" t="s">
        <v>290</v>
      </c>
      <c r="C8" t="s">
        <v>724</v>
      </c>
    </row>
    <row r="9" spans="1:19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</row>
    <row r="10" spans="1:19">
      <c r="A10">
        <v>8</v>
      </c>
      <c r="B10" t="s">
        <v>33</v>
      </c>
      <c r="C10" t="s">
        <v>725</v>
      </c>
    </row>
    <row r="11" spans="1:19" ht="18">
      <c r="A11">
        <v>9</v>
      </c>
      <c r="B11" t="s">
        <v>41</v>
      </c>
      <c r="C11" t="s">
        <v>726</v>
      </c>
    </row>
    <row r="12" spans="1:19">
      <c r="A12" s="57" t="s">
        <v>6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</row>
    <row r="13" spans="1:19">
      <c r="A13">
        <v>10</v>
      </c>
      <c r="B13" t="s">
        <v>108</v>
      </c>
      <c r="C13" t="s">
        <v>291</v>
      </c>
    </row>
    <row r="14" spans="1:19">
      <c r="A14">
        <v>11</v>
      </c>
      <c r="B14" t="s">
        <v>15</v>
      </c>
      <c r="C14" t="s">
        <v>716</v>
      </c>
    </row>
    <row r="15" spans="1:19">
      <c r="A15">
        <v>12</v>
      </c>
      <c r="B15" t="s">
        <v>25</v>
      </c>
      <c r="C15" t="s">
        <v>727</v>
      </c>
    </row>
    <row r="16" spans="1:19">
      <c r="A16">
        <v>13</v>
      </c>
      <c r="B16" t="s">
        <v>717</v>
      </c>
      <c r="C16" t="s">
        <v>728</v>
      </c>
    </row>
    <row r="17" spans="1:19">
      <c r="A17">
        <v>14</v>
      </c>
      <c r="B17" t="s">
        <v>15</v>
      </c>
      <c r="C17" t="s">
        <v>730</v>
      </c>
    </row>
    <row r="18" spans="1:19">
      <c r="A18">
        <v>15</v>
      </c>
      <c r="B18" t="s">
        <v>292</v>
      </c>
      <c r="C18" t="s">
        <v>731</v>
      </c>
    </row>
    <row r="19" spans="1: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</row>
    <row r="20" spans="1:19">
      <c r="A20">
        <v>16</v>
      </c>
      <c r="B20" t="s">
        <v>13</v>
      </c>
      <c r="C20" t="s">
        <v>732</v>
      </c>
    </row>
    <row r="21" spans="1:19">
      <c r="A21">
        <v>17</v>
      </c>
      <c r="B21" t="s">
        <v>27</v>
      </c>
      <c r="C21" t="s">
        <v>733</v>
      </c>
    </row>
    <row r="22" spans="1:19">
      <c r="A22">
        <v>18</v>
      </c>
      <c r="B22" t="s">
        <v>35</v>
      </c>
      <c r="C22" t="s">
        <v>734</v>
      </c>
    </row>
    <row r="23" spans="1:19">
      <c r="A23">
        <v>19</v>
      </c>
      <c r="B23" t="s">
        <v>40</v>
      </c>
      <c r="C23" t="s">
        <v>735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1D1D-6E73-4D0A-91EC-7F57A2A88518}">
  <sheetPr codeName="Tabelle16"/>
  <dimension ref="A2:Q50"/>
  <sheetViews>
    <sheetView zoomScale="130" zoomScaleNormal="130" workbookViewId="0">
      <selection activeCell="M17" sqref="M17"/>
    </sheetView>
  </sheetViews>
  <sheetFormatPr baseColWidth="10" defaultRowHeight="15"/>
  <cols>
    <col min="5" max="5" width="16.85546875" customWidth="1"/>
  </cols>
  <sheetData>
    <row r="2" spans="2:17" ht="15.75" thickBot="1">
      <c r="B2" s="431" t="s">
        <v>736</v>
      </c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</row>
    <row r="3" spans="2:17" ht="15" customHeight="1">
      <c r="B3" s="436" t="s">
        <v>1061</v>
      </c>
      <c r="C3" s="437"/>
      <c r="D3" s="437"/>
      <c r="E3" s="437"/>
      <c r="F3" s="437"/>
      <c r="G3" s="437"/>
      <c r="H3" s="437"/>
      <c r="I3" s="437"/>
      <c r="J3" s="437"/>
      <c r="K3" s="437"/>
      <c r="L3" s="437"/>
      <c r="M3" s="437"/>
      <c r="N3" s="437"/>
      <c r="O3" s="438"/>
      <c r="P3" s="294"/>
      <c r="Q3" s="295"/>
    </row>
    <row r="4" spans="2:17" ht="15.75" thickBot="1">
      <c r="B4" s="439"/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0"/>
      <c r="N4" s="440"/>
      <c r="O4" s="441"/>
      <c r="P4" s="55"/>
      <c r="Q4" s="60"/>
    </row>
    <row r="5" spans="2:17">
      <c r="B5" s="426" t="s">
        <v>737</v>
      </c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7"/>
      <c r="Q5" s="433" t="s">
        <v>738</v>
      </c>
    </row>
    <row r="6" spans="2:17" ht="15.75" thickBot="1">
      <c r="B6" s="428"/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29"/>
      <c r="Q6" s="434"/>
    </row>
    <row r="7" spans="2:17" ht="15.75" thickBot="1">
      <c r="B7" s="424" t="s">
        <v>739</v>
      </c>
      <c r="C7" s="435"/>
      <c r="D7" s="425"/>
      <c r="E7" s="424" t="s">
        <v>740</v>
      </c>
      <c r="F7" s="425"/>
      <c r="G7" s="435" t="s">
        <v>741</v>
      </c>
      <c r="H7" s="435"/>
      <c r="I7" s="435"/>
      <c r="J7" s="435"/>
      <c r="K7" s="435"/>
      <c r="L7" s="422" t="s">
        <v>742</v>
      </c>
      <c r="M7" s="430"/>
      <c r="N7" s="430"/>
      <c r="O7" s="423"/>
      <c r="Q7" s="284" t="s">
        <v>743</v>
      </c>
    </row>
    <row r="8" spans="2:17" ht="15.75" thickBot="1">
      <c r="B8" s="428" t="s">
        <v>744</v>
      </c>
      <c r="C8" s="432"/>
      <c r="D8" s="429"/>
      <c r="E8" s="428" t="s">
        <v>745</v>
      </c>
      <c r="F8" s="429"/>
      <c r="G8" s="432" t="s">
        <v>1058</v>
      </c>
      <c r="H8" s="432"/>
      <c r="I8" s="432"/>
      <c r="J8" s="432"/>
      <c r="K8" s="432"/>
      <c r="L8" s="422" t="s">
        <v>746</v>
      </c>
      <c r="M8" s="430"/>
      <c r="N8" s="430"/>
      <c r="O8" s="423"/>
      <c r="Q8" s="285" t="s">
        <v>747</v>
      </c>
    </row>
    <row r="9" spans="2:17">
      <c r="B9" s="286" t="s">
        <v>748</v>
      </c>
      <c r="C9" s="286" t="s">
        <v>749</v>
      </c>
      <c r="D9" s="286" t="s">
        <v>750</v>
      </c>
      <c r="E9" s="286" t="s">
        <v>751</v>
      </c>
      <c r="F9" s="286" t="s">
        <v>752</v>
      </c>
      <c r="G9" s="280" t="s">
        <v>753</v>
      </c>
      <c r="H9" s="287" t="s">
        <v>754</v>
      </c>
      <c r="I9" s="287" t="s">
        <v>755</v>
      </c>
      <c r="J9" s="287" t="s">
        <v>756</v>
      </c>
      <c r="K9" s="279" t="s">
        <v>757</v>
      </c>
      <c r="L9" s="287" t="s">
        <v>758</v>
      </c>
      <c r="M9" s="287" t="s">
        <v>759</v>
      </c>
      <c r="N9" s="287" t="s">
        <v>760</v>
      </c>
      <c r="O9" s="287" t="s">
        <v>761</v>
      </c>
      <c r="Q9" s="419" t="s">
        <v>762</v>
      </c>
    </row>
    <row r="10" spans="2:17" ht="15.75" thickBot="1">
      <c r="B10" s="288" t="s">
        <v>763</v>
      </c>
      <c r="C10" s="288" t="s">
        <v>764</v>
      </c>
      <c r="D10" s="288" t="s">
        <v>765</v>
      </c>
      <c r="E10" s="288" t="s">
        <v>766</v>
      </c>
      <c r="F10" s="288" t="s">
        <v>767</v>
      </c>
      <c r="G10" s="60" t="s">
        <v>768</v>
      </c>
      <c r="H10" s="288" t="s">
        <v>769</v>
      </c>
      <c r="I10" s="288" t="s">
        <v>769</v>
      </c>
      <c r="J10" s="288" t="s">
        <v>770</v>
      </c>
      <c r="K10" s="255" t="s">
        <v>771</v>
      </c>
      <c r="L10" s="288" t="s">
        <v>772</v>
      </c>
      <c r="M10" s="288" t="s">
        <v>764</v>
      </c>
      <c r="N10" s="288" t="s">
        <v>773</v>
      </c>
      <c r="O10" s="288" t="s">
        <v>774</v>
      </c>
      <c r="Q10" s="419"/>
    </row>
    <row r="11" spans="2:17">
      <c r="B11" s="258"/>
      <c r="E11" t="s">
        <v>775</v>
      </c>
      <c r="F11" s="259" t="s">
        <v>775</v>
      </c>
      <c r="H11" t="s">
        <v>775</v>
      </c>
      <c r="I11" t="s">
        <v>775</v>
      </c>
      <c r="J11" t="s">
        <v>775</v>
      </c>
      <c r="K11" t="s">
        <v>775</v>
      </c>
      <c r="L11" s="258" t="s">
        <v>775</v>
      </c>
      <c r="M11" t="s">
        <v>775</v>
      </c>
      <c r="N11" t="s">
        <v>775</v>
      </c>
      <c r="O11" s="259" t="s">
        <v>775</v>
      </c>
      <c r="Q11" s="285"/>
    </row>
    <row r="12" spans="2:17" ht="15.75" thickBot="1">
      <c r="B12" s="258"/>
      <c r="F12" s="259"/>
      <c r="L12" s="258"/>
      <c r="O12" s="259"/>
      <c r="Q12" s="285"/>
    </row>
    <row r="13" spans="2:17" ht="15.75" thickBot="1">
      <c r="B13" s="258"/>
      <c r="F13" s="259"/>
      <c r="G13" s="289" t="s">
        <v>776</v>
      </c>
      <c r="H13" s="430" t="s">
        <v>1059</v>
      </c>
      <c r="I13" s="430"/>
      <c r="J13" s="423"/>
      <c r="K13" t="s">
        <v>775</v>
      </c>
      <c r="L13" s="258"/>
      <c r="O13" s="259"/>
      <c r="Q13" s="285"/>
    </row>
    <row r="14" spans="2:17" ht="15.75" thickBot="1">
      <c r="B14" s="258"/>
      <c r="F14" s="259"/>
      <c r="L14" s="258"/>
      <c r="O14" s="259"/>
      <c r="Q14" s="285"/>
    </row>
    <row r="15" spans="2:17" ht="15.75" thickBot="1">
      <c r="B15" s="258"/>
      <c r="F15" s="259"/>
      <c r="G15" s="289" t="s">
        <v>777</v>
      </c>
      <c r="H15" s="430" t="s">
        <v>1060</v>
      </c>
      <c r="I15" s="430"/>
      <c r="J15" s="423"/>
      <c r="K15" t="s">
        <v>778</v>
      </c>
      <c r="L15" s="258"/>
      <c r="O15" s="259"/>
      <c r="Q15" s="285"/>
    </row>
    <row r="16" spans="2:17" ht="15.75" thickBot="1">
      <c r="B16" s="255"/>
      <c r="C16" s="55"/>
      <c r="D16" s="55"/>
      <c r="E16" s="55"/>
      <c r="F16" s="60"/>
      <c r="G16" s="55"/>
      <c r="H16" s="55"/>
      <c r="I16" s="55"/>
      <c r="J16" s="55"/>
      <c r="K16" s="55"/>
      <c r="L16" s="255"/>
      <c r="M16" s="55"/>
      <c r="N16" s="55"/>
      <c r="O16" s="60"/>
      <c r="P16" s="55"/>
      <c r="Q16" s="288"/>
    </row>
    <row r="18" spans="1:17">
      <c r="A18" t="s">
        <v>779</v>
      </c>
      <c r="B18" s="290"/>
      <c r="C18" s="290"/>
      <c r="D18" s="290"/>
    </row>
    <row r="19" spans="1:17">
      <c r="A19" t="s">
        <v>780</v>
      </c>
      <c r="B19" s="291"/>
      <c r="C19" s="291"/>
      <c r="D19" s="291"/>
      <c r="E19" s="291"/>
      <c r="F19" s="291"/>
      <c r="G19" s="291"/>
      <c r="H19" s="291"/>
      <c r="I19" s="291"/>
      <c r="J19" s="291"/>
      <c r="K19" t="s">
        <v>804</v>
      </c>
    </row>
    <row r="20" spans="1:17">
      <c r="A20" t="s">
        <v>781</v>
      </c>
      <c r="B20" s="292"/>
      <c r="C20" s="292"/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</row>
    <row r="25" spans="1:17">
      <c r="B25" t="s">
        <v>782</v>
      </c>
      <c r="C25" t="s">
        <v>783</v>
      </c>
      <c r="I25" t="s">
        <v>784</v>
      </c>
      <c r="J25" s="421" t="s">
        <v>785</v>
      </c>
      <c r="K25" s="421"/>
      <c r="L25" s="421"/>
    </row>
    <row r="26" spans="1:17" ht="15.75" thickBot="1">
      <c r="I26" t="s">
        <v>786</v>
      </c>
      <c r="J26" s="453" t="s">
        <v>787</v>
      </c>
      <c r="K26" s="454"/>
      <c r="L26" s="454"/>
      <c r="M26" s="454"/>
      <c r="N26" s="454"/>
    </row>
    <row r="27" spans="1:17">
      <c r="B27" s="418" t="s">
        <v>788</v>
      </c>
      <c r="C27" s="444" t="s">
        <v>1062</v>
      </c>
      <c r="D27" s="445"/>
      <c r="E27" s="446"/>
      <c r="F27" s="455" t="s">
        <v>789</v>
      </c>
      <c r="I27" t="s">
        <v>790</v>
      </c>
      <c r="J27" s="453" t="s">
        <v>791</v>
      </c>
      <c r="K27" s="454"/>
      <c r="L27" s="454"/>
      <c r="M27" s="454"/>
      <c r="N27" s="454"/>
    </row>
    <row r="28" spans="1:17">
      <c r="B28" s="419"/>
      <c r="C28" s="447"/>
      <c r="D28" s="448"/>
      <c r="E28" s="449"/>
      <c r="F28" s="456"/>
    </row>
    <row r="29" spans="1:17">
      <c r="B29" s="419"/>
      <c r="C29" s="447"/>
      <c r="D29" s="448"/>
      <c r="E29" s="449"/>
      <c r="F29" s="456"/>
    </row>
    <row r="30" spans="1:17">
      <c r="B30" s="419"/>
      <c r="C30" s="447"/>
      <c r="D30" s="448"/>
      <c r="E30" s="449"/>
      <c r="F30" s="456"/>
    </row>
    <row r="31" spans="1:17" ht="15.75" thickBot="1">
      <c r="B31" s="420"/>
      <c r="C31" s="450"/>
      <c r="D31" s="451"/>
      <c r="E31" s="452"/>
      <c r="F31" s="457"/>
    </row>
    <row r="32" spans="1:17">
      <c r="B32" s="418" t="s">
        <v>792</v>
      </c>
      <c r="C32" s="444" t="s">
        <v>1063</v>
      </c>
      <c r="D32" s="445"/>
      <c r="E32" s="446"/>
      <c r="F32" s="259"/>
    </row>
    <row r="33" spans="2:6" ht="15.75" thickBot="1">
      <c r="B33" s="420"/>
      <c r="C33" s="450"/>
      <c r="D33" s="451"/>
      <c r="E33" s="452"/>
      <c r="F33" s="259"/>
    </row>
    <row r="34" spans="2:6">
      <c r="B34" s="418" t="s">
        <v>793</v>
      </c>
      <c r="C34" s="444" t="s">
        <v>794</v>
      </c>
      <c r="D34" s="458"/>
      <c r="E34" s="459"/>
      <c r="F34" s="442" t="s">
        <v>795</v>
      </c>
    </row>
    <row r="35" spans="2:6" ht="27" customHeight="1" thickBot="1">
      <c r="B35" s="420"/>
      <c r="C35" s="460"/>
      <c r="D35" s="461"/>
      <c r="E35" s="462"/>
      <c r="F35" s="443"/>
    </row>
    <row r="36" spans="2:6">
      <c r="B36" s="418" t="s">
        <v>796</v>
      </c>
      <c r="C36" s="444" t="s">
        <v>797</v>
      </c>
      <c r="D36" s="445"/>
      <c r="E36" s="446"/>
      <c r="F36" s="259"/>
    </row>
    <row r="37" spans="2:6">
      <c r="B37" s="419"/>
      <c r="C37" s="447"/>
      <c r="D37" s="448"/>
      <c r="E37" s="449"/>
      <c r="F37" s="259"/>
    </row>
    <row r="38" spans="2:6">
      <c r="B38" s="419"/>
      <c r="C38" s="447"/>
      <c r="D38" s="448"/>
      <c r="E38" s="449"/>
      <c r="F38" s="259"/>
    </row>
    <row r="39" spans="2:6">
      <c r="B39" s="419"/>
      <c r="C39" s="447"/>
      <c r="D39" s="448"/>
      <c r="E39" s="449"/>
      <c r="F39" s="259"/>
    </row>
    <row r="40" spans="2:6">
      <c r="B40" s="419"/>
      <c r="C40" s="447"/>
      <c r="D40" s="448"/>
      <c r="E40" s="449"/>
      <c r="F40" s="259"/>
    </row>
    <row r="41" spans="2:6">
      <c r="B41" s="419"/>
      <c r="C41" s="447"/>
      <c r="D41" s="448"/>
      <c r="E41" s="449"/>
      <c r="F41" s="259"/>
    </row>
    <row r="42" spans="2:6" ht="73.5" customHeight="1" thickBot="1">
      <c r="B42" s="420"/>
      <c r="C42" s="450"/>
      <c r="D42" s="451"/>
      <c r="E42" s="452"/>
      <c r="F42" s="259"/>
    </row>
    <row r="43" spans="2:6">
      <c r="B43" s="418" t="s">
        <v>798</v>
      </c>
      <c r="C43" s="444" t="s">
        <v>799</v>
      </c>
      <c r="D43" s="458"/>
      <c r="E43" s="459"/>
      <c r="F43" s="442" t="s">
        <v>795</v>
      </c>
    </row>
    <row r="44" spans="2:6" ht="15.75" thickBot="1">
      <c r="B44" s="420"/>
      <c r="C44" s="460"/>
      <c r="D44" s="461"/>
      <c r="E44" s="462"/>
      <c r="F44" s="443"/>
    </row>
    <row r="45" spans="2:6">
      <c r="B45" s="418" t="s">
        <v>800</v>
      </c>
      <c r="C45" s="444" t="s">
        <v>801</v>
      </c>
      <c r="D45" s="458"/>
      <c r="E45" s="459"/>
      <c r="F45" s="259"/>
    </row>
    <row r="46" spans="2:6">
      <c r="B46" s="419"/>
      <c r="C46" s="463"/>
      <c r="D46" s="454"/>
      <c r="E46" s="464"/>
      <c r="F46" s="259"/>
    </row>
    <row r="47" spans="2:6" ht="15.75" thickBot="1">
      <c r="B47" s="420"/>
      <c r="C47" s="460"/>
      <c r="D47" s="461"/>
      <c r="E47" s="462"/>
      <c r="F47" s="259"/>
    </row>
    <row r="48" spans="2:6">
      <c r="B48" s="418" t="s">
        <v>802</v>
      </c>
      <c r="C48" s="444" t="s">
        <v>803</v>
      </c>
      <c r="D48" s="458"/>
      <c r="E48" s="459"/>
      <c r="F48" s="259"/>
    </row>
    <row r="49" spans="2:6">
      <c r="B49" s="419"/>
      <c r="C49" s="463"/>
      <c r="D49" s="454"/>
      <c r="E49" s="464"/>
      <c r="F49" s="259"/>
    </row>
    <row r="50" spans="2:6" ht="30" customHeight="1" thickBot="1">
      <c r="B50" s="420"/>
      <c r="C50" s="460"/>
      <c r="D50" s="461"/>
      <c r="E50" s="462"/>
      <c r="F50" s="60"/>
    </row>
  </sheetData>
  <mergeCells count="35">
    <mergeCell ref="B48:B50"/>
    <mergeCell ref="C48:E50"/>
    <mergeCell ref="B43:B44"/>
    <mergeCell ref="C43:E44"/>
    <mergeCell ref="F43:F44"/>
    <mergeCell ref="B45:B47"/>
    <mergeCell ref="C45:E47"/>
    <mergeCell ref="F34:F35"/>
    <mergeCell ref="B36:B42"/>
    <mergeCell ref="C36:E42"/>
    <mergeCell ref="H15:J15"/>
    <mergeCell ref="J25:L25"/>
    <mergeCell ref="J26:N26"/>
    <mergeCell ref="B27:B31"/>
    <mergeCell ref="C27:E31"/>
    <mergeCell ref="F27:F31"/>
    <mergeCell ref="J27:N27"/>
    <mergeCell ref="B32:B33"/>
    <mergeCell ref="C32:E33"/>
    <mergeCell ref="B34:B35"/>
    <mergeCell ref="C34:E35"/>
    <mergeCell ref="H13:J13"/>
    <mergeCell ref="B2:P2"/>
    <mergeCell ref="B5:O6"/>
    <mergeCell ref="Q5:Q6"/>
    <mergeCell ref="B7:D7"/>
    <mergeCell ref="E7:F7"/>
    <mergeCell ref="G7:K7"/>
    <mergeCell ref="L7:O7"/>
    <mergeCell ref="B8:D8"/>
    <mergeCell ref="E8:F8"/>
    <mergeCell ref="G8:K8"/>
    <mergeCell ref="L8:O8"/>
    <mergeCell ref="Q9:Q10"/>
    <mergeCell ref="B3:O4"/>
  </mergeCells>
  <hyperlinks>
    <hyperlink ref="B2" r:id="rId1" xr:uid="{6DFBA4C0-5CA0-40AB-A0B5-F64EF50C0929}"/>
    <hyperlink ref="J26" r:id="rId2" xr:uid="{AF1FAEEA-BAE7-401D-A0FC-2CEE1EE06B09}"/>
    <hyperlink ref="J27" r:id="rId3" xr:uid="{33EBF6BD-F0FC-4A58-83BC-0F3523C688E1}"/>
  </hyperlink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3814-FBDD-4401-AC46-37D43FF6B1E5}">
  <sheetPr codeName="Tabelle91"/>
  <dimension ref="A2:R35"/>
  <sheetViews>
    <sheetView zoomScale="85" zoomScaleNormal="85" workbookViewId="0">
      <selection activeCell="F15" sqref="F15"/>
    </sheetView>
  </sheetViews>
  <sheetFormatPr baseColWidth="10" defaultColWidth="11.42578125" defaultRowHeight="15"/>
  <cols>
    <col min="1" max="1" width="4.42578125" customWidth="1"/>
    <col min="5" max="5" width="8.85546875" customWidth="1"/>
    <col min="6" max="6" width="11" customWidth="1"/>
    <col min="7" max="7" width="6.140625" customWidth="1"/>
    <col min="8" max="8" width="37.7109375" customWidth="1"/>
    <col min="9" max="9" width="31.140625" customWidth="1"/>
    <col min="10" max="10" width="9.85546875" customWidth="1"/>
    <col min="11" max="11" width="9.42578125" customWidth="1"/>
    <col min="12" max="12" width="4.5703125" customWidth="1"/>
    <col min="13" max="13" width="21" customWidth="1"/>
    <col min="14" max="14" width="19.28515625" customWidth="1"/>
    <col min="15" max="15" width="16.85546875" customWidth="1"/>
    <col min="16" max="16" width="15.28515625" customWidth="1"/>
    <col min="17" max="17" width="21.7109375" customWidth="1"/>
    <col min="18" max="18" width="24.85546875" customWidth="1"/>
    <col min="19" max="19" width="20.7109375" customWidth="1"/>
    <col min="20" max="20" width="13.7109375" customWidth="1"/>
    <col min="21" max="21" width="43.140625" customWidth="1"/>
    <col min="22" max="22" width="16.85546875" customWidth="1"/>
    <col min="23" max="23" width="9.5703125" customWidth="1"/>
    <col min="24" max="24" width="6.7109375" customWidth="1"/>
  </cols>
  <sheetData>
    <row r="2" spans="1:18">
      <c r="B2" s="468" t="s">
        <v>377</v>
      </c>
      <c r="C2" s="469"/>
      <c r="D2" s="469"/>
      <c r="E2" s="469"/>
      <c r="F2" s="469"/>
      <c r="G2" s="470"/>
      <c r="P2" s="59" t="s">
        <v>203</v>
      </c>
      <c r="Q2" s="59" t="s">
        <v>204</v>
      </c>
      <c r="R2" s="59" t="s">
        <v>205</v>
      </c>
    </row>
    <row r="3" spans="1:18">
      <c r="B3" s="94" t="s">
        <v>378</v>
      </c>
      <c r="C3" s="57"/>
      <c r="D3" s="57"/>
      <c r="E3" s="57"/>
      <c r="F3" s="57"/>
      <c r="G3" s="95"/>
      <c r="P3" s="52" t="s">
        <v>89</v>
      </c>
      <c r="Q3" s="52">
        <v>2400</v>
      </c>
      <c r="R3" s="52" t="s">
        <v>208</v>
      </c>
    </row>
    <row r="4" spans="1:18" ht="19.5" customHeight="1">
      <c r="A4" t="s">
        <v>379</v>
      </c>
      <c r="B4" s="91" t="s">
        <v>10</v>
      </c>
      <c r="C4" s="58" t="s">
        <v>205</v>
      </c>
      <c r="D4" s="58" t="s">
        <v>380</v>
      </c>
      <c r="E4" s="58" t="s">
        <v>381</v>
      </c>
      <c r="F4" s="58"/>
      <c r="G4" s="92"/>
      <c r="P4" s="52" t="s">
        <v>102</v>
      </c>
      <c r="Q4" s="52">
        <v>7850</v>
      </c>
      <c r="R4" s="52" t="s">
        <v>208</v>
      </c>
    </row>
    <row r="5" spans="1:18">
      <c r="B5" s="7"/>
      <c r="D5">
        <f>Q3*F5</f>
        <v>16800</v>
      </c>
      <c r="E5" t="s">
        <v>116</v>
      </c>
      <c r="F5">
        <v>7</v>
      </c>
      <c r="G5" t="s">
        <v>382</v>
      </c>
      <c r="H5" s="117"/>
      <c r="P5" s="52" t="s">
        <v>212</v>
      </c>
      <c r="Q5" s="52">
        <v>675</v>
      </c>
      <c r="R5" s="52" t="s">
        <v>208</v>
      </c>
    </row>
    <row r="6" spans="1:18">
      <c r="B6" s="65" t="s">
        <v>383</v>
      </c>
      <c r="D6">
        <f>D5/F5</f>
        <v>2400</v>
      </c>
      <c r="E6" t="s">
        <v>73</v>
      </c>
      <c r="G6" s="8"/>
      <c r="P6" s="52" t="s">
        <v>214</v>
      </c>
      <c r="Q6" s="52">
        <v>680</v>
      </c>
      <c r="R6" s="52" t="s">
        <v>208</v>
      </c>
    </row>
    <row r="7" spans="1:18">
      <c r="B7" s="91" t="s">
        <v>384</v>
      </c>
      <c r="C7" s="58"/>
      <c r="D7" s="58"/>
      <c r="E7" s="58"/>
      <c r="F7" s="58"/>
      <c r="G7" s="92"/>
      <c r="P7" s="52" t="s">
        <v>216</v>
      </c>
      <c r="Q7" s="52">
        <v>470</v>
      </c>
      <c r="R7" s="52" t="s">
        <v>208</v>
      </c>
    </row>
    <row r="8" spans="1:18">
      <c r="B8" s="7">
        <v>22.45</v>
      </c>
      <c r="C8" t="s">
        <v>385</v>
      </c>
      <c r="G8" s="8"/>
      <c r="P8" s="90" t="s">
        <v>149</v>
      </c>
      <c r="Q8" s="90"/>
      <c r="R8" s="90"/>
    </row>
    <row r="9" spans="1:18" ht="18">
      <c r="B9" s="91" t="s">
        <v>386</v>
      </c>
      <c r="C9" s="58"/>
      <c r="D9" s="58"/>
      <c r="E9" s="58"/>
      <c r="F9" s="58"/>
      <c r="G9" s="92"/>
      <c r="P9" s="52" t="s">
        <v>219</v>
      </c>
      <c r="Q9" s="52">
        <v>15.8</v>
      </c>
      <c r="R9" s="52" t="s">
        <v>208</v>
      </c>
    </row>
    <row r="10" spans="1:18" ht="18">
      <c r="B10" s="93">
        <f>B8/C35</f>
        <v>594.92499999999643</v>
      </c>
      <c r="C10" t="s">
        <v>387</v>
      </c>
      <c r="E10" s="21">
        <f>B10/10^3</f>
        <v>0.59492499999999648</v>
      </c>
      <c r="F10" t="s">
        <v>388</v>
      </c>
      <c r="G10" s="8"/>
      <c r="P10" s="52" t="s">
        <v>220</v>
      </c>
      <c r="Q10" s="52">
        <v>30</v>
      </c>
      <c r="R10" s="52" t="s">
        <v>208</v>
      </c>
    </row>
    <row r="11" spans="1:18">
      <c r="B11" s="91" t="s">
        <v>389</v>
      </c>
      <c r="C11" s="58"/>
      <c r="D11" s="58"/>
      <c r="E11" s="58"/>
      <c r="F11" s="58"/>
      <c r="G11" s="92"/>
      <c r="P11" s="52" t="s">
        <v>222</v>
      </c>
      <c r="Q11" s="52">
        <v>24</v>
      </c>
      <c r="R11" s="52" t="s">
        <v>208</v>
      </c>
    </row>
    <row r="12" spans="1:18">
      <c r="B12" s="9">
        <f>B10/D5</f>
        <v>3.5412202380952169E-2</v>
      </c>
      <c r="C12" s="10" t="s">
        <v>390</v>
      </c>
      <c r="D12" s="10"/>
      <c r="E12" s="10"/>
      <c r="F12" s="10"/>
      <c r="G12" s="11"/>
      <c r="P12" s="52" t="s">
        <v>224</v>
      </c>
      <c r="Q12" s="52">
        <v>125</v>
      </c>
      <c r="R12" s="52" t="s">
        <v>208</v>
      </c>
    </row>
    <row r="13" spans="1:18">
      <c r="B13" s="471" t="s">
        <v>391</v>
      </c>
      <c r="C13" s="472"/>
      <c r="D13" s="472"/>
      <c r="E13" s="472"/>
      <c r="F13" s="472"/>
      <c r="G13" s="473"/>
      <c r="P13" s="52" t="s">
        <v>226</v>
      </c>
      <c r="Q13" s="52">
        <v>70</v>
      </c>
      <c r="R13" s="52" t="s">
        <v>208</v>
      </c>
    </row>
    <row r="14" spans="1:18">
      <c r="B14" s="91" t="s">
        <v>10</v>
      </c>
      <c r="C14" s="58" t="s">
        <v>205</v>
      </c>
      <c r="D14" s="58" t="s">
        <v>380</v>
      </c>
      <c r="E14" s="58" t="s">
        <v>381</v>
      </c>
      <c r="F14" s="58" t="s">
        <v>392</v>
      </c>
      <c r="G14" s="92"/>
      <c r="H14" s="58" t="s">
        <v>393</v>
      </c>
      <c r="I14" s="58" t="s">
        <v>394</v>
      </c>
      <c r="P14" s="59" t="s">
        <v>203</v>
      </c>
      <c r="Q14" s="59" t="s">
        <v>204</v>
      </c>
      <c r="R14" s="59" t="s">
        <v>205</v>
      </c>
    </row>
    <row r="15" spans="1:18">
      <c r="B15" s="65" t="s">
        <v>395</v>
      </c>
      <c r="D15">
        <v>28000</v>
      </c>
      <c r="E15" t="s">
        <v>116</v>
      </c>
      <c r="F15">
        <f>18.1*0.85</f>
        <v>15.385000000000002</v>
      </c>
      <c r="G15" s="8" t="s">
        <v>11</v>
      </c>
      <c r="H15">
        <v>10</v>
      </c>
      <c r="I15">
        <v>40</v>
      </c>
      <c r="P15" s="52" t="s">
        <v>227</v>
      </c>
      <c r="Q15" s="52">
        <v>500</v>
      </c>
      <c r="R15" s="52" t="s">
        <v>208</v>
      </c>
    </row>
    <row r="16" spans="1:18">
      <c r="B16" s="65" t="s">
        <v>383</v>
      </c>
      <c r="D16" s="21">
        <f>D15/F15</f>
        <v>1819.9545011374714</v>
      </c>
      <c r="E16" t="s">
        <v>73</v>
      </c>
      <c r="G16" s="8"/>
      <c r="P16" s="52" t="s">
        <v>228</v>
      </c>
      <c r="Q16" s="52">
        <v>2500</v>
      </c>
      <c r="R16" s="52" t="s">
        <v>208</v>
      </c>
    </row>
    <row r="17" spans="2:18">
      <c r="B17" s="91" t="s">
        <v>384</v>
      </c>
      <c r="C17" s="58"/>
      <c r="D17" s="58"/>
      <c r="E17" s="58"/>
      <c r="F17" s="58"/>
      <c r="G17" s="92"/>
      <c r="P17" s="52" t="s">
        <v>7</v>
      </c>
      <c r="Q17" s="52">
        <v>1900</v>
      </c>
      <c r="R17" s="52" t="s">
        <v>208</v>
      </c>
    </row>
    <row r="18" spans="2:18">
      <c r="B18" s="7">
        <v>35</v>
      </c>
      <c r="C18" t="s">
        <v>385</v>
      </c>
      <c r="G18" s="8"/>
      <c r="P18" s="52" t="s">
        <v>229</v>
      </c>
      <c r="Q18" s="52">
        <v>650</v>
      </c>
      <c r="R18" s="52" t="s">
        <v>208</v>
      </c>
    </row>
    <row r="19" spans="2:18" ht="18">
      <c r="B19" s="91" t="s">
        <v>386</v>
      </c>
      <c r="C19" s="58"/>
      <c r="D19" s="58"/>
      <c r="E19" s="58"/>
      <c r="F19" s="58"/>
      <c r="G19" s="92"/>
      <c r="P19" s="52" t="s">
        <v>230</v>
      </c>
      <c r="Q19" s="52">
        <v>470</v>
      </c>
      <c r="R19" s="52" t="s">
        <v>208</v>
      </c>
    </row>
    <row r="20" spans="2:18" ht="18">
      <c r="B20" s="93">
        <f>B18/C35</f>
        <v>927.49999999999443</v>
      </c>
      <c r="C20" t="s">
        <v>387</v>
      </c>
      <c r="E20" s="21">
        <f>B20/10^3</f>
        <v>0.92749999999999444</v>
      </c>
      <c r="F20" t="s">
        <v>388</v>
      </c>
      <c r="G20" s="8"/>
    </row>
    <row r="21" spans="2:18">
      <c r="B21" s="91" t="s">
        <v>389</v>
      </c>
      <c r="C21" s="58"/>
      <c r="D21" s="58"/>
      <c r="E21" s="58"/>
      <c r="F21" s="58"/>
      <c r="G21" s="92"/>
    </row>
    <row r="22" spans="2:18">
      <c r="B22" s="9">
        <f>B20/D15</f>
        <v>3.31249999999998E-2</v>
      </c>
      <c r="C22" s="10" t="s">
        <v>390</v>
      </c>
      <c r="D22" s="10"/>
      <c r="E22" s="10"/>
      <c r="F22" s="10"/>
      <c r="G22" s="11"/>
    </row>
    <row r="23" spans="2:18">
      <c r="B23" s="471" t="s">
        <v>396</v>
      </c>
      <c r="C23" s="472"/>
      <c r="D23" s="472"/>
      <c r="E23" s="472"/>
      <c r="F23" s="472"/>
      <c r="G23" s="473"/>
    </row>
    <row r="24" spans="2:18">
      <c r="B24" s="91" t="s">
        <v>10</v>
      </c>
      <c r="C24" s="58" t="s">
        <v>205</v>
      </c>
      <c r="D24" s="58" t="s">
        <v>380</v>
      </c>
      <c r="E24" s="58" t="s">
        <v>381</v>
      </c>
      <c r="F24" s="58" t="s">
        <v>392</v>
      </c>
      <c r="G24" s="92"/>
    </row>
    <row r="25" spans="2:18">
      <c r="B25" s="65" t="s">
        <v>395</v>
      </c>
      <c r="D25">
        <v>10000</v>
      </c>
      <c r="E25" t="s">
        <v>116</v>
      </c>
      <c r="F25">
        <v>90</v>
      </c>
      <c r="G25" s="8" t="s">
        <v>11</v>
      </c>
    </row>
    <row r="26" spans="2:18">
      <c r="B26" s="65" t="s">
        <v>383</v>
      </c>
      <c r="D26">
        <f>D25/F25</f>
        <v>111.11111111111111</v>
      </c>
      <c r="E26" t="s">
        <v>73</v>
      </c>
      <c r="G26" s="8"/>
    </row>
    <row r="27" spans="2:18">
      <c r="B27" s="91" t="s">
        <v>384</v>
      </c>
      <c r="C27" s="58"/>
      <c r="D27" s="58"/>
      <c r="E27" s="58"/>
      <c r="F27" s="58"/>
      <c r="G27" s="92"/>
    </row>
    <row r="28" spans="2:18">
      <c r="B28" s="7">
        <v>35</v>
      </c>
      <c r="C28" t="s">
        <v>385</v>
      </c>
      <c r="G28" s="8"/>
    </row>
    <row r="29" spans="2:18" ht="18">
      <c r="B29" s="91" t="s">
        <v>386</v>
      </c>
      <c r="C29" s="58"/>
      <c r="D29" s="58"/>
      <c r="E29" s="58"/>
      <c r="F29" s="58"/>
      <c r="G29" s="92"/>
    </row>
    <row r="30" spans="2:18" ht="18">
      <c r="B30" s="93">
        <f>B28/C35</f>
        <v>927.49999999999443</v>
      </c>
      <c r="C30" t="s">
        <v>387</v>
      </c>
      <c r="E30" s="21">
        <f>B30/10^3</f>
        <v>0.92749999999999444</v>
      </c>
      <c r="F30" t="s">
        <v>388</v>
      </c>
      <c r="G30" s="8"/>
    </row>
    <row r="31" spans="2:18">
      <c r="B31" s="91" t="s">
        <v>397</v>
      </c>
      <c r="C31" s="58"/>
      <c r="D31" s="58"/>
      <c r="E31" s="58"/>
      <c r="F31" s="58"/>
      <c r="G31" s="92"/>
    </row>
    <row r="32" spans="2:18">
      <c r="B32" s="9">
        <f>B30/D25</f>
        <v>9.2749999999999444E-2</v>
      </c>
      <c r="C32" s="10" t="s">
        <v>390</v>
      </c>
      <c r="D32" s="10"/>
      <c r="E32" s="10"/>
      <c r="F32" s="10"/>
      <c r="G32" s="11"/>
    </row>
    <row r="33" spans="2:4" ht="15.75" thickBot="1"/>
    <row r="34" spans="2:4">
      <c r="B34" s="465" t="s">
        <v>398</v>
      </c>
      <c r="C34" s="466"/>
      <c r="D34" s="467"/>
    </row>
    <row r="35" spans="2:4" ht="15.75" thickBot="1">
      <c r="B35" s="61" t="s">
        <v>399</v>
      </c>
      <c r="C35" s="62">
        <v>3.7735849056604001E-2</v>
      </c>
      <c r="D35" s="60" t="s">
        <v>400</v>
      </c>
    </row>
  </sheetData>
  <mergeCells count="4">
    <mergeCell ref="B34:D34"/>
    <mergeCell ref="B2:G2"/>
    <mergeCell ref="B13:G13"/>
    <mergeCell ref="B23:G23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88" orientation="landscape" r:id="rId1"/>
  <rowBreaks count="1" manualBreakCount="1">
    <brk id="27" max="16383" man="1"/>
  </rowBreaks>
  <colBreaks count="3" manualBreakCount="3">
    <brk id="11" max="1048575" man="1"/>
    <brk id="12" max="1048575" man="1"/>
    <brk id="23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85B-B2B9-4ECB-B8DA-ABA731987261}">
  <sheetPr codeName="Tabelle7"/>
  <dimension ref="C1:AM93"/>
  <sheetViews>
    <sheetView topLeftCell="E60" zoomScale="85" zoomScaleNormal="85" workbookViewId="0">
      <selection activeCell="I64" sqref="I64"/>
    </sheetView>
  </sheetViews>
  <sheetFormatPr baseColWidth="10" defaultColWidth="11.42578125" defaultRowHeight="15"/>
  <cols>
    <col min="3" max="3" width="17.28515625" bestFit="1" customWidth="1"/>
    <col min="4" max="4" width="17" bestFit="1" customWidth="1"/>
    <col min="5" max="5" width="29.28515625" customWidth="1"/>
    <col min="6" max="6" width="27.28515625" bestFit="1" customWidth="1"/>
    <col min="7" max="7" width="41.28515625" bestFit="1" customWidth="1"/>
    <col min="8" max="8" width="29.7109375" bestFit="1" customWidth="1"/>
    <col min="9" max="9" width="28.5703125" bestFit="1" customWidth="1"/>
    <col min="10" max="10" width="33.85546875" bestFit="1" customWidth="1"/>
    <col min="11" max="11" width="28.7109375" bestFit="1" customWidth="1"/>
    <col min="12" max="12" width="25.42578125" bestFit="1" customWidth="1"/>
    <col min="13" max="13" width="28.7109375" bestFit="1" customWidth="1"/>
    <col min="14" max="14" width="30.140625" bestFit="1" customWidth="1"/>
    <col min="15" max="15" width="34.28515625" bestFit="1" customWidth="1"/>
    <col min="16" max="16" width="23.85546875" bestFit="1" customWidth="1"/>
    <col min="17" max="17" width="27.42578125" bestFit="1" customWidth="1"/>
    <col min="18" max="18" width="30.28515625" bestFit="1" customWidth="1"/>
    <col min="19" max="19" width="33.85546875" bestFit="1" customWidth="1"/>
    <col min="20" max="20" width="24.42578125" bestFit="1" customWidth="1"/>
    <col min="21" max="22" width="27.28515625" bestFit="1" customWidth="1"/>
    <col min="23" max="23" width="30.7109375" bestFit="1" customWidth="1"/>
    <col min="24" max="24" width="33.85546875" bestFit="1" customWidth="1"/>
    <col min="25" max="25" width="37.28515625" bestFit="1" customWidth="1"/>
    <col min="26" max="26" width="34" bestFit="1" customWidth="1"/>
    <col min="27" max="27" width="37.140625" bestFit="1" customWidth="1"/>
    <col min="28" max="28" width="23.85546875" bestFit="1" customWidth="1"/>
    <col min="29" max="29" width="27.140625" bestFit="1" customWidth="1"/>
    <col min="30" max="30" width="24" bestFit="1" customWidth="1"/>
    <col min="31" max="31" width="27.7109375" bestFit="1" customWidth="1"/>
    <col min="32" max="32" width="30.28515625" bestFit="1" customWidth="1"/>
    <col min="33" max="33" width="33.5703125" bestFit="1" customWidth="1"/>
    <col min="34" max="34" width="29.5703125" bestFit="1" customWidth="1"/>
    <col min="35" max="35" width="33.140625" bestFit="1" customWidth="1"/>
    <col min="36" max="36" width="29.140625" bestFit="1" customWidth="1"/>
    <col min="37" max="37" width="33.140625" bestFit="1" customWidth="1"/>
    <col min="38" max="38" width="28.28515625" bestFit="1" customWidth="1"/>
    <col min="39" max="39" width="33.140625" bestFit="1" customWidth="1"/>
  </cols>
  <sheetData>
    <row r="1" spans="3:39" ht="15.75" thickBot="1">
      <c r="H1" s="424" t="s">
        <v>148</v>
      </c>
      <c r="I1" s="435"/>
      <c r="J1" s="435"/>
      <c r="K1" s="435"/>
      <c r="L1" s="435"/>
      <c r="M1" s="435"/>
      <c r="N1" s="435"/>
      <c r="O1" s="435"/>
      <c r="P1" s="435"/>
      <c r="Q1" s="435"/>
      <c r="R1" s="435"/>
      <c r="S1" s="435"/>
      <c r="T1" s="435"/>
      <c r="U1" s="435"/>
      <c r="V1" s="435"/>
      <c r="W1" s="435"/>
      <c r="X1" s="435"/>
      <c r="Y1" s="435"/>
      <c r="Z1" s="435"/>
      <c r="AA1" s="425"/>
      <c r="AB1" s="424" t="s">
        <v>149</v>
      </c>
      <c r="AC1" s="435"/>
      <c r="AD1" s="435"/>
      <c r="AE1" s="435"/>
      <c r="AF1" s="435"/>
      <c r="AG1" s="435"/>
      <c r="AH1" s="435"/>
      <c r="AI1" s="435"/>
      <c r="AJ1" s="435"/>
      <c r="AK1" s="425"/>
    </row>
    <row r="2" spans="3:39" ht="15.75" thickBot="1">
      <c r="D2" t="s">
        <v>150</v>
      </c>
      <c r="E2" t="s">
        <v>151</v>
      </c>
      <c r="F2" t="s">
        <v>152</v>
      </c>
      <c r="H2" s="256" t="s">
        <v>153</v>
      </c>
      <c r="I2" s="257" t="s">
        <v>154</v>
      </c>
      <c r="J2" s="256" t="s">
        <v>155</v>
      </c>
      <c r="K2" s="257" t="s">
        <v>156</v>
      </c>
      <c r="L2" s="256" t="s">
        <v>157</v>
      </c>
      <c r="M2" s="257" t="s">
        <v>158</v>
      </c>
      <c r="N2" s="256" t="s">
        <v>159</v>
      </c>
      <c r="O2" s="257" t="s">
        <v>160</v>
      </c>
      <c r="P2" s="256" t="s">
        <v>161</v>
      </c>
      <c r="Q2" s="257" t="s">
        <v>162</v>
      </c>
      <c r="R2" s="256" t="s">
        <v>163</v>
      </c>
      <c r="S2" s="257" t="s">
        <v>164</v>
      </c>
      <c r="T2" s="256" t="s">
        <v>165</v>
      </c>
      <c r="U2" s="257" t="s">
        <v>166</v>
      </c>
      <c r="V2" s="256" t="s">
        <v>167</v>
      </c>
      <c r="W2" s="257" t="s">
        <v>168</v>
      </c>
      <c r="X2" s="256" t="s">
        <v>169</v>
      </c>
      <c r="Y2" s="257" t="s">
        <v>170</v>
      </c>
      <c r="Z2" s="256" t="s">
        <v>171</v>
      </c>
      <c r="AA2" s="257" t="s">
        <v>172</v>
      </c>
      <c r="AB2" s="256" t="s">
        <v>173</v>
      </c>
      <c r="AC2" s="257" t="s">
        <v>174</v>
      </c>
      <c r="AD2" s="256" t="s">
        <v>175</v>
      </c>
      <c r="AE2" s="257" t="s">
        <v>176</v>
      </c>
      <c r="AF2" s="256" t="s">
        <v>177</v>
      </c>
      <c r="AG2" s="257" t="s">
        <v>178</v>
      </c>
      <c r="AH2" s="256" t="s">
        <v>179</v>
      </c>
      <c r="AI2" s="257" t="s">
        <v>180</v>
      </c>
      <c r="AJ2" s="256" t="s">
        <v>181</v>
      </c>
      <c r="AK2" s="257" t="s">
        <v>182</v>
      </c>
      <c r="AL2" t="s">
        <v>183</v>
      </c>
      <c r="AM2" t="s">
        <v>184</v>
      </c>
    </row>
    <row r="3" spans="3:39">
      <c r="C3" t="s">
        <v>185</v>
      </c>
      <c r="D3">
        <v>1</v>
      </c>
      <c r="F3">
        <v>2</v>
      </c>
      <c r="H3" s="258"/>
      <c r="I3" s="259"/>
      <c r="J3" s="258"/>
      <c r="K3" s="259"/>
      <c r="L3" s="258"/>
      <c r="M3" s="259"/>
      <c r="N3" s="258"/>
      <c r="O3" s="259"/>
      <c r="P3" s="258"/>
      <c r="Q3" s="259"/>
      <c r="R3" s="258"/>
      <c r="S3" s="259"/>
      <c r="T3" s="258"/>
      <c r="U3" s="259"/>
      <c r="V3" s="258"/>
      <c r="W3" s="259"/>
      <c r="X3" s="258"/>
      <c r="Y3" s="259"/>
      <c r="Z3" s="258"/>
      <c r="AA3" s="259"/>
      <c r="AB3" s="258"/>
      <c r="AC3" s="259"/>
      <c r="AD3" s="258"/>
      <c r="AE3" s="259"/>
      <c r="AF3" s="258"/>
      <c r="AG3" s="259"/>
      <c r="AH3" s="258"/>
      <c r="AI3" s="259"/>
      <c r="AJ3" s="258"/>
      <c r="AK3" s="259"/>
    </row>
    <row r="4" spans="3:39">
      <c r="C4" t="s">
        <v>186</v>
      </c>
      <c r="D4">
        <v>1</v>
      </c>
      <c r="H4" s="258"/>
      <c r="I4" s="259"/>
      <c r="J4" s="258"/>
      <c r="K4" s="259"/>
      <c r="L4" s="258"/>
      <c r="M4" s="259"/>
      <c r="N4" s="258"/>
      <c r="O4" s="259"/>
      <c r="P4" s="258"/>
      <c r="Q4" s="259"/>
      <c r="R4" s="258"/>
      <c r="S4" s="259"/>
      <c r="T4" s="258"/>
      <c r="U4" s="259"/>
      <c r="V4" s="258"/>
      <c r="W4" s="259"/>
      <c r="X4" s="258"/>
      <c r="Y4" s="259"/>
      <c r="Z4" s="258"/>
      <c r="AA4" s="259"/>
      <c r="AB4" s="258"/>
      <c r="AC4" s="259"/>
      <c r="AD4" s="258"/>
      <c r="AE4" s="259"/>
      <c r="AF4" s="258"/>
      <c r="AG4" s="259"/>
      <c r="AH4" s="258"/>
      <c r="AI4" s="259"/>
      <c r="AJ4" s="258"/>
      <c r="AK4" s="259"/>
    </row>
    <row r="5" spans="3:39">
      <c r="C5" t="s">
        <v>187</v>
      </c>
      <c r="D5">
        <v>2.5</v>
      </c>
      <c r="E5">
        <f>0.35*1000</f>
        <v>350</v>
      </c>
      <c r="F5">
        <v>5000</v>
      </c>
      <c r="H5" s="258">
        <f t="shared" ref="H5:H28" si="0">D5*$V$39</f>
        <v>6000</v>
      </c>
      <c r="I5" s="259">
        <f t="shared" ref="I5:I28" si="1">F5/$V$39</f>
        <v>2.0833333333333335</v>
      </c>
      <c r="J5" s="258">
        <f t="shared" ref="J5:J28" si="2">D5*$V$40</f>
        <v>19625</v>
      </c>
      <c r="K5" s="259">
        <f t="shared" ref="K5:K28" si="3">F5/$V$40</f>
        <v>0.63694267515923564</v>
      </c>
      <c r="L5" s="258">
        <f t="shared" ref="L5:L28" si="4">D5*$V$41</f>
        <v>1687.5</v>
      </c>
      <c r="M5" s="259">
        <f t="shared" ref="M5:M28" si="5">F5/$V$41</f>
        <v>7.4074074074074074</v>
      </c>
      <c r="N5" s="258">
        <f t="shared" ref="N5:N28" si="6">D5*$V$42</f>
        <v>1700</v>
      </c>
      <c r="O5" s="259">
        <f t="shared" ref="O5:O28" si="7">F5/$V$42</f>
        <v>7.3529411764705879</v>
      </c>
      <c r="P5" s="258">
        <f t="shared" ref="P5:P28" si="8">D5*$V$43</f>
        <v>1175</v>
      </c>
      <c r="Q5" s="259">
        <f t="shared" ref="Q5:Q28" si="9">F5/$V$43</f>
        <v>10.638297872340425</v>
      </c>
      <c r="R5" s="258">
        <f t="shared" ref="R5:R28" si="10">D5*$V$51</f>
        <v>1250</v>
      </c>
      <c r="S5" s="259">
        <f t="shared" ref="S5:S28" si="11">F5/$V$51</f>
        <v>10</v>
      </c>
      <c r="T5" s="258">
        <f t="shared" ref="T5:T28" si="12">D5*$V$52</f>
        <v>6250</v>
      </c>
      <c r="U5" s="259">
        <f t="shared" ref="U5:U28" si="13">F5/$V$52</f>
        <v>2</v>
      </c>
      <c r="V5" s="258">
        <f t="shared" ref="V5:V28" si="14">D5*$V$53</f>
        <v>4750</v>
      </c>
      <c r="W5" s="259">
        <f t="shared" ref="W5:W28" si="15">F5/$V$53</f>
        <v>2.6315789473684212</v>
      </c>
      <c r="X5" s="258">
        <f t="shared" ref="X5:X28" si="16">D5*$V$54</f>
        <v>1625</v>
      </c>
      <c r="Y5" s="259">
        <f t="shared" ref="Y5:Y28" si="17">F5/$V$54</f>
        <v>7.6923076923076925</v>
      </c>
      <c r="Z5" s="258">
        <f t="shared" ref="Z5:Z28" si="18">D5*$V$55</f>
        <v>1175</v>
      </c>
      <c r="AA5" s="259">
        <f t="shared" ref="AA5:AA28" si="19">F5/$V$55</f>
        <v>10.638297872340425</v>
      </c>
      <c r="AB5" s="258">
        <f t="shared" ref="AB5:AB28" si="20">D5*$V$45</f>
        <v>39.5</v>
      </c>
      <c r="AC5" s="259">
        <f t="shared" ref="AC5:AC28" si="21">F5/$V$45</f>
        <v>316.45569620253161</v>
      </c>
      <c r="AD5" s="258">
        <f t="shared" ref="AD5:AD28" si="22">D5*$V$46</f>
        <v>75</v>
      </c>
      <c r="AE5" s="259">
        <f t="shared" ref="AE5:AE28" si="23">F5/$V$46</f>
        <v>166.66666666666666</v>
      </c>
      <c r="AF5" s="258">
        <f t="shared" ref="AF5:AF28" si="24">D5*$V$47</f>
        <v>60</v>
      </c>
      <c r="AG5" s="259">
        <f t="shared" ref="AG5:AG28" si="25">F5/$V$47</f>
        <v>208.33333333333334</v>
      </c>
      <c r="AH5" s="258">
        <f t="shared" ref="AH5:AH28" si="26">D5*$V$48</f>
        <v>312.5</v>
      </c>
      <c r="AI5" s="259">
        <f t="shared" ref="AI5:AI28" si="27">F5/$V$48</f>
        <v>40</v>
      </c>
      <c r="AJ5" s="258">
        <f>D5*$V$49</f>
        <v>175</v>
      </c>
      <c r="AK5" s="259">
        <f t="shared" ref="AK5:AK28" si="28">F5/$V$49</f>
        <v>71.428571428571431</v>
      </c>
      <c r="AL5">
        <f t="shared" ref="AL5:AL28" si="29">D5*$V$56</f>
        <v>2750</v>
      </c>
      <c r="AM5">
        <f t="shared" ref="AM5:AM28" si="30">F5/$V$56</f>
        <v>4.5454545454545459</v>
      </c>
    </row>
    <row r="6" spans="3:39">
      <c r="C6" t="s">
        <v>188</v>
      </c>
      <c r="D6">
        <v>3</v>
      </c>
      <c r="E6">
        <f>0.46*1000</f>
        <v>460</v>
      </c>
      <c r="F6">
        <v>5000</v>
      </c>
      <c r="H6" s="258">
        <f t="shared" si="0"/>
        <v>7200</v>
      </c>
      <c r="I6" s="259">
        <f t="shared" si="1"/>
        <v>2.0833333333333335</v>
      </c>
      <c r="J6" s="258">
        <f t="shared" si="2"/>
        <v>23550</v>
      </c>
      <c r="K6" s="259">
        <f t="shared" si="3"/>
        <v>0.63694267515923564</v>
      </c>
      <c r="L6" s="258">
        <f t="shared" si="4"/>
        <v>2025</v>
      </c>
      <c r="M6" s="259">
        <f t="shared" si="5"/>
        <v>7.4074074074074074</v>
      </c>
      <c r="N6" s="258">
        <f t="shared" si="6"/>
        <v>2040</v>
      </c>
      <c r="O6" s="259">
        <f t="shared" si="7"/>
        <v>7.3529411764705879</v>
      </c>
      <c r="P6" s="258">
        <f t="shared" si="8"/>
        <v>1410</v>
      </c>
      <c r="Q6" s="259">
        <f t="shared" si="9"/>
        <v>10.638297872340425</v>
      </c>
      <c r="R6" s="258">
        <f t="shared" si="10"/>
        <v>1500</v>
      </c>
      <c r="S6" s="259">
        <f t="shared" si="11"/>
        <v>10</v>
      </c>
      <c r="T6" s="258">
        <f t="shared" si="12"/>
        <v>7500</v>
      </c>
      <c r="U6" s="259">
        <f t="shared" si="13"/>
        <v>2</v>
      </c>
      <c r="V6" s="258">
        <f t="shared" si="14"/>
        <v>5700</v>
      </c>
      <c r="W6" s="259">
        <f t="shared" si="15"/>
        <v>2.6315789473684212</v>
      </c>
      <c r="X6" s="258">
        <f t="shared" si="16"/>
        <v>1950</v>
      </c>
      <c r="Y6" s="259">
        <f t="shared" si="17"/>
        <v>7.6923076923076925</v>
      </c>
      <c r="Z6" s="258">
        <f t="shared" si="18"/>
        <v>1410</v>
      </c>
      <c r="AA6" s="259">
        <f t="shared" si="19"/>
        <v>10.638297872340425</v>
      </c>
      <c r="AB6" s="258">
        <f t="shared" si="20"/>
        <v>47.400000000000006</v>
      </c>
      <c r="AC6" s="259">
        <f t="shared" si="21"/>
        <v>316.45569620253161</v>
      </c>
      <c r="AD6" s="258">
        <f t="shared" si="22"/>
        <v>90</v>
      </c>
      <c r="AE6" s="259">
        <f t="shared" si="23"/>
        <v>166.66666666666666</v>
      </c>
      <c r="AF6" s="258">
        <f t="shared" si="24"/>
        <v>72</v>
      </c>
      <c r="AG6" s="259">
        <f t="shared" si="25"/>
        <v>208.33333333333334</v>
      </c>
      <c r="AH6" s="258">
        <f t="shared" si="26"/>
        <v>375</v>
      </c>
      <c r="AI6" s="259">
        <f t="shared" si="27"/>
        <v>40</v>
      </c>
      <c r="AJ6" s="258">
        <f t="shared" ref="AJ6:AJ28" si="31">D6*$V$49</f>
        <v>210</v>
      </c>
      <c r="AK6" s="259">
        <f t="shared" si="28"/>
        <v>71.428571428571431</v>
      </c>
      <c r="AL6">
        <f t="shared" si="29"/>
        <v>3300</v>
      </c>
      <c r="AM6">
        <f t="shared" si="30"/>
        <v>4.5454545454545459</v>
      </c>
    </row>
    <row r="7" spans="3:39">
      <c r="C7" t="s">
        <v>189</v>
      </c>
      <c r="D7">
        <v>4</v>
      </c>
      <c r="E7">
        <v>580</v>
      </c>
      <c r="F7">
        <v>5000</v>
      </c>
      <c r="H7" s="258">
        <f t="shared" si="0"/>
        <v>9600</v>
      </c>
      <c r="I7" s="259">
        <f t="shared" si="1"/>
        <v>2.0833333333333335</v>
      </c>
      <c r="J7" s="258">
        <f t="shared" si="2"/>
        <v>31400</v>
      </c>
      <c r="K7" s="259">
        <f t="shared" si="3"/>
        <v>0.63694267515923564</v>
      </c>
      <c r="L7" s="258">
        <f t="shared" si="4"/>
        <v>2700</v>
      </c>
      <c r="M7" s="259">
        <f t="shared" si="5"/>
        <v>7.4074074074074074</v>
      </c>
      <c r="N7" s="258">
        <f t="shared" si="6"/>
        <v>2720</v>
      </c>
      <c r="O7" s="259">
        <f t="shared" si="7"/>
        <v>7.3529411764705879</v>
      </c>
      <c r="P7" s="258">
        <f t="shared" si="8"/>
        <v>1880</v>
      </c>
      <c r="Q7" s="259">
        <f t="shared" si="9"/>
        <v>10.638297872340425</v>
      </c>
      <c r="R7" s="258">
        <f t="shared" si="10"/>
        <v>2000</v>
      </c>
      <c r="S7" s="259">
        <f t="shared" si="11"/>
        <v>10</v>
      </c>
      <c r="T7" s="258">
        <f t="shared" si="12"/>
        <v>10000</v>
      </c>
      <c r="U7" s="259">
        <f t="shared" si="13"/>
        <v>2</v>
      </c>
      <c r="V7" s="258">
        <f t="shared" si="14"/>
        <v>7600</v>
      </c>
      <c r="W7" s="259">
        <f t="shared" si="15"/>
        <v>2.6315789473684212</v>
      </c>
      <c r="X7" s="258">
        <f t="shared" si="16"/>
        <v>2600</v>
      </c>
      <c r="Y7" s="259">
        <f t="shared" si="17"/>
        <v>7.6923076923076925</v>
      </c>
      <c r="Z7" s="258">
        <f t="shared" si="18"/>
        <v>1880</v>
      </c>
      <c r="AA7" s="259">
        <f t="shared" si="19"/>
        <v>10.638297872340425</v>
      </c>
      <c r="AB7" s="258">
        <f t="shared" si="20"/>
        <v>63.2</v>
      </c>
      <c r="AC7" s="259">
        <f t="shared" si="21"/>
        <v>316.45569620253161</v>
      </c>
      <c r="AD7" s="258">
        <f t="shared" si="22"/>
        <v>120</v>
      </c>
      <c r="AE7" s="259">
        <f t="shared" si="23"/>
        <v>166.66666666666666</v>
      </c>
      <c r="AF7" s="258">
        <f t="shared" si="24"/>
        <v>96</v>
      </c>
      <c r="AG7" s="259">
        <f t="shared" si="25"/>
        <v>208.33333333333334</v>
      </c>
      <c r="AH7" s="258">
        <f t="shared" si="26"/>
        <v>500</v>
      </c>
      <c r="AI7" s="259">
        <f t="shared" si="27"/>
        <v>40</v>
      </c>
      <c r="AJ7" s="258">
        <f t="shared" si="31"/>
        <v>280</v>
      </c>
      <c r="AK7" s="259">
        <f t="shared" si="28"/>
        <v>71.428571428571431</v>
      </c>
      <c r="AL7">
        <f t="shared" si="29"/>
        <v>4400</v>
      </c>
      <c r="AM7">
        <f t="shared" si="30"/>
        <v>4.5454545454545459</v>
      </c>
    </row>
    <row r="8" spans="3:39">
      <c r="D8">
        <v>5</v>
      </c>
      <c r="H8" s="258">
        <f t="shared" si="0"/>
        <v>12000</v>
      </c>
      <c r="I8" s="259">
        <f t="shared" si="1"/>
        <v>0</v>
      </c>
      <c r="J8" s="258">
        <f t="shared" si="2"/>
        <v>39250</v>
      </c>
      <c r="K8" s="259">
        <f t="shared" si="3"/>
        <v>0</v>
      </c>
      <c r="L8" s="258">
        <f t="shared" si="4"/>
        <v>3375</v>
      </c>
      <c r="M8" s="259">
        <f t="shared" si="5"/>
        <v>0</v>
      </c>
      <c r="N8" s="258">
        <f t="shared" si="6"/>
        <v>3400</v>
      </c>
      <c r="O8" s="259">
        <f t="shared" si="7"/>
        <v>0</v>
      </c>
      <c r="P8" s="258">
        <f t="shared" si="8"/>
        <v>2350</v>
      </c>
      <c r="Q8" s="259">
        <f t="shared" si="9"/>
        <v>0</v>
      </c>
      <c r="R8" s="258">
        <f t="shared" si="10"/>
        <v>2500</v>
      </c>
      <c r="S8" s="259">
        <f t="shared" si="11"/>
        <v>0</v>
      </c>
      <c r="T8" s="258">
        <f t="shared" si="12"/>
        <v>12500</v>
      </c>
      <c r="U8" s="259">
        <f t="shared" si="13"/>
        <v>0</v>
      </c>
      <c r="V8" s="258">
        <f t="shared" si="14"/>
        <v>9500</v>
      </c>
      <c r="W8" s="259">
        <f t="shared" si="15"/>
        <v>0</v>
      </c>
      <c r="X8" s="258">
        <f t="shared" si="16"/>
        <v>3250</v>
      </c>
      <c r="Y8" s="259">
        <f t="shared" si="17"/>
        <v>0</v>
      </c>
      <c r="Z8" s="258">
        <f t="shared" si="18"/>
        <v>2350</v>
      </c>
      <c r="AA8" s="259">
        <f t="shared" si="19"/>
        <v>0</v>
      </c>
      <c r="AB8" s="258">
        <f t="shared" si="20"/>
        <v>79</v>
      </c>
      <c r="AC8" s="259">
        <f t="shared" si="21"/>
        <v>0</v>
      </c>
      <c r="AD8" s="258">
        <f t="shared" si="22"/>
        <v>150</v>
      </c>
      <c r="AE8" s="259">
        <f t="shared" si="23"/>
        <v>0</v>
      </c>
      <c r="AF8" s="258">
        <f t="shared" si="24"/>
        <v>120</v>
      </c>
      <c r="AG8" s="259">
        <f t="shared" si="25"/>
        <v>0</v>
      </c>
      <c r="AH8" s="258">
        <f t="shared" si="26"/>
        <v>625</v>
      </c>
      <c r="AI8" s="259">
        <f t="shared" si="27"/>
        <v>0</v>
      </c>
      <c r="AJ8" s="258">
        <f t="shared" si="31"/>
        <v>350</v>
      </c>
      <c r="AK8" s="259">
        <f t="shared" si="28"/>
        <v>0</v>
      </c>
      <c r="AL8">
        <f t="shared" si="29"/>
        <v>5500</v>
      </c>
      <c r="AM8">
        <f t="shared" si="30"/>
        <v>0</v>
      </c>
    </row>
    <row r="9" spans="3:39">
      <c r="D9">
        <v>5.5</v>
      </c>
      <c r="H9" s="258">
        <f t="shared" si="0"/>
        <v>13200</v>
      </c>
      <c r="I9" s="259">
        <f t="shared" si="1"/>
        <v>0</v>
      </c>
      <c r="J9" s="258">
        <f t="shared" si="2"/>
        <v>43175</v>
      </c>
      <c r="K9" s="259">
        <f t="shared" si="3"/>
        <v>0</v>
      </c>
      <c r="L9" s="258">
        <f t="shared" si="4"/>
        <v>3712.5</v>
      </c>
      <c r="M9" s="259">
        <f t="shared" si="5"/>
        <v>0</v>
      </c>
      <c r="N9" s="258">
        <f t="shared" si="6"/>
        <v>3740</v>
      </c>
      <c r="O9" s="259">
        <f t="shared" si="7"/>
        <v>0</v>
      </c>
      <c r="P9" s="258">
        <f t="shared" si="8"/>
        <v>2585</v>
      </c>
      <c r="Q9" s="259">
        <f t="shared" si="9"/>
        <v>0</v>
      </c>
      <c r="R9" s="258">
        <f t="shared" si="10"/>
        <v>2750</v>
      </c>
      <c r="S9" s="259">
        <f t="shared" si="11"/>
        <v>0</v>
      </c>
      <c r="T9" s="258">
        <f t="shared" si="12"/>
        <v>13750</v>
      </c>
      <c r="U9" s="259">
        <f t="shared" si="13"/>
        <v>0</v>
      </c>
      <c r="V9" s="258">
        <f t="shared" si="14"/>
        <v>10450</v>
      </c>
      <c r="W9" s="259">
        <f t="shared" si="15"/>
        <v>0</v>
      </c>
      <c r="X9" s="258">
        <f t="shared" si="16"/>
        <v>3575</v>
      </c>
      <c r="Y9" s="259">
        <f t="shared" si="17"/>
        <v>0</v>
      </c>
      <c r="Z9" s="258">
        <f t="shared" si="18"/>
        <v>2585</v>
      </c>
      <c r="AA9" s="259">
        <f t="shared" si="19"/>
        <v>0</v>
      </c>
      <c r="AB9" s="258">
        <f t="shared" si="20"/>
        <v>86.9</v>
      </c>
      <c r="AC9" s="259">
        <f t="shared" si="21"/>
        <v>0</v>
      </c>
      <c r="AD9" s="258">
        <f t="shared" si="22"/>
        <v>165</v>
      </c>
      <c r="AE9" s="259">
        <f t="shared" si="23"/>
        <v>0</v>
      </c>
      <c r="AF9" s="258">
        <f t="shared" si="24"/>
        <v>132</v>
      </c>
      <c r="AG9" s="259">
        <f t="shared" si="25"/>
        <v>0</v>
      </c>
      <c r="AH9" s="258">
        <f t="shared" si="26"/>
        <v>687.5</v>
      </c>
      <c r="AI9" s="259">
        <f t="shared" si="27"/>
        <v>0</v>
      </c>
      <c r="AJ9" s="258">
        <f t="shared" si="31"/>
        <v>385</v>
      </c>
      <c r="AK9" s="259">
        <f t="shared" si="28"/>
        <v>0</v>
      </c>
      <c r="AL9">
        <f t="shared" si="29"/>
        <v>6050</v>
      </c>
      <c r="AM9">
        <f t="shared" si="30"/>
        <v>0</v>
      </c>
    </row>
    <row r="10" spans="3:39">
      <c r="D10">
        <v>6</v>
      </c>
      <c r="H10" s="258">
        <f t="shared" si="0"/>
        <v>14400</v>
      </c>
      <c r="I10" s="259">
        <f t="shared" si="1"/>
        <v>0</v>
      </c>
      <c r="J10" s="258">
        <f t="shared" si="2"/>
        <v>47100</v>
      </c>
      <c r="K10" s="259">
        <f t="shared" si="3"/>
        <v>0</v>
      </c>
      <c r="L10" s="258">
        <f t="shared" si="4"/>
        <v>4050</v>
      </c>
      <c r="M10" s="259">
        <f t="shared" si="5"/>
        <v>0</v>
      </c>
      <c r="N10" s="258">
        <f t="shared" si="6"/>
        <v>4080</v>
      </c>
      <c r="O10" s="259">
        <f t="shared" si="7"/>
        <v>0</v>
      </c>
      <c r="P10" s="258">
        <f t="shared" si="8"/>
        <v>2820</v>
      </c>
      <c r="Q10" s="259">
        <f t="shared" si="9"/>
        <v>0</v>
      </c>
      <c r="R10" s="258">
        <f t="shared" si="10"/>
        <v>3000</v>
      </c>
      <c r="S10" s="259">
        <f t="shared" si="11"/>
        <v>0</v>
      </c>
      <c r="T10" s="258">
        <f t="shared" si="12"/>
        <v>15000</v>
      </c>
      <c r="U10" s="259">
        <f t="shared" si="13"/>
        <v>0</v>
      </c>
      <c r="V10" s="258">
        <f t="shared" si="14"/>
        <v>11400</v>
      </c>
      <c r="W10" s="259">
        <f t="shared" si="15"/>
        <v>0</v>
      </c>
      <c r="X10" s="258">
        <f t="shared" si="16"/>
        <v>3900</v>
      </c>
      <c r="Y10" s="259">
        <f t="shared" si="17"/>
        <v>0</v>
      </c>
      <c r="Z10" s="258">
        <f t="shared" si="18"/>
        <v>2820</v>
      </c>
      <c r="AA10" s="259">
        <f t="shared" si="19"/>
        <v>0</v>
      </c>
      <c r="AB10" s="258">
        <f t="shared" si="20"/>
        <v>94.800000000000011</v>
      </c>
      <c r="AC10" s="259">
        <f t="shared" si="21"/>
        <v>0</v>
      </c>
      <c r="AD10" s="258">
        <f t="shared" si="22"/>
        <v>180</v>
      </c>
      <c r="AE10" s="259">
        <f t="shared" si="23"/>
        <v>0</v>
      </c>
      <c r="AF10" s="258">
        <f t="shared" si="24"/>
        <v>144</v>
      </c>
      <c r="AG10" s="259">
        <f t="shared" si="25"/>
        <v>0</v>
      </c>
      <c r="AH10" s="258">
        <f t="shared" si="26"/>
        <v>750</v>
      </c>
      <c r="AI10" s="259">
        <f t="shared" si="27"/>
        <v>0</v>
      </c>
      <c r="AJ10" s="258">
        <f t="shared" si="31"/>
        <v>420</v>
      </c>
      <c r="AK10" s="259">
        <f t="shared" si="28"/>
        <v>0</v>
      </c>
      <c r="AL10">
        <f t="shared" si="29"/>
        <v>6600</v>
      </c>
      <c r="AM10">
        <f t="shared" si="30"/>
        <v>0</v>
      </c>
    </row>
    <row r="11" spans="3:39">
      <c r="C11" t="s">
        <v>190</v>
      </c>
      <c r="D11">
        <v>7</v>
      </c>
      <c r="E11">
        <v>860</v>
      </c>
      <c r="F11">
        <v>10000</v>
      </c>
      <c r="H11" s="258">
        <f t="shared" si="0"/>
        <v>16800</v>
      </c>
      <c r="I11" s="259">
        <f t="shared" si="1"/>
        <v>4.166666666666667</v>
      </c>
      <c r="J11" s="258">
        <f t="shared" si="2"/>
        <v>54950</v>
      </c>
      <c r="K11" s="259">
        <f t="shared" si="3"/>
        <v>1.2738853503184713</v>
      </c>
      <c r="L11" s="258">
        <f t="shared" si="4"/>
        <v>4725</v>
      </c>
      <c r="M11" s="259">
        <f t="shared" si="5"/>
        <v>14.814814814814815</v>
      </c>
      <c r="N11" s="258">
        <f t="shared" si="6"/>
        <v>4760</v>
      </c>
      <c r="O11" s="259">
        <f t="shared" si="7"/>
        <v>14.705882352941176</v>
      </c>
      <c r="P11" s="258">
        <f t="shared" si="8"/>
        <v>3290</v>
      </c>
      <c r="Q11" s="259">
        <f t="shared" si="9"/>
        <v>21.276595744680851</v>
      </c>
      <c r="R11" s="258">
        <f t="shared" si="10"/>
        <v>3500</v>
      </c>
      <c r="S11" s="259">
        <f t="shared" si="11"/>
        <v>20</v>
      </c>
      <c r="T11" s="258">
        <f t="shared" si="12"/>
        <v>17500</v>
      </c>
      <c r="U11" s="259">
        <f t="shared" si="13"/>
        <v>4</v>
      </c>
      <c r="V11" s="258">
        <f t="shared" si="14"/>
        <v>13300</v>
      </c>
      <c r="W11" s="259">
        <f t="shared" si="15"/>
        <v>5.2631578947368425</v>
      </c>
      <c r="X11" s="258">
        <f t="shared" si="16"/>
        <v>4550</v>
      </c>
      <c r="Y11" s="259">
        <f t="shared" si="17"/>
        <v>15.384615384615385</v>
      </c>
      <c r="Z11" s="258">
        <f t="shared" si="18"/>
        <v>3290</v>
      </c>
      <c r="AA11" s="259">
        <f t="shared" si="19"/>
        <v>21.276595744680851</v>
      </c>
      <c r="AB11" s="258">
        <f t="shared" si="20"/>
        <v>110.60000000000001</v>
      </c>
      <c r="AC11" s="259">
        <f t="shared" si="21"/>
        <v>632.91139240506322</v>
      </c>
      <c r="AD11" s="258">
        <f t="shared" si="22"/>
        <v>210</v>
      </c>
      <c r="AE11" s="259">
        <f t="shared" si="23"/>
        <v>333.33333333333331</v>
      </c>
      <c r="AF11" s="258">
        <f t="shared" si="24"/>
        <v>168</v>
      </c>
      <c r="AG11" s="259">
        <f t="shared" si="25"/>
        <v>416.66666666666669</v>
      </c>
      <c r="AH11" s="258">
        <f t="shared" si="26"/>
        <v>875</v>
      </c>
      <c r="AI11" s="259">
        <f t="shared" si="27"/>
        <v>80</v>
      </c>
      <c r="AJ11" s="258">
        <f t="shared" si="31"/>
        <v>490</v>
      </c>
      <c r="AK11" s="259">
        <f t="shared" si="28"/>
        <v>142.85714285714286</v>
      </c>
      <c r="AL11">
        <f t="shared" si="29"/>
        <v>7700</v>
      </c>
      <c r="AM11">
        <f t="shared" si="30"/>
        <v>9.0909090909090917</v>
      </c>
    </row>
    <row r="12" spans="3:39">
      <c r="C12" t="s">
        <v>191</v>
      </c>
      <c r="D12">
        <v>8</v>
      </c>
      <c r="E12">
        <v>890</v>
      </c>
      <c r="F12">
        <v>10000</v>
      </c>
      <c r="H12" s="258">
        <f t="shared" si="0"/>
        <v>19200</v>
      </c>
      <c r="I12" s="259">
        <f t="shared" si="1"/>
        <v>4.166666666666667</v>
      </c>
      <c r="J12" s="258">
        <f t="shared" si="2"/>
        <v>62800</v>
      </c>
      <c r="K12" s="259">
        <f t="shared" si="3"/>
        <v>1.2738853503184713</v>
      </c>
      <c r="L12" s="258">
        <f t="shared" si="4"/>
        <v>5400</v>
      </c>
      <c r="M12" s="259">
        <f t="shared" si="5"/>
        <v>14.814814814814815</v>
      </c>
      <c r="N12" s="258">
        <f t="shared" si="6"/>
        <v>5440</v>
      </c>
      <c r="O12" s="259">
        <f t="shared" si="7"/>
        <v>14.705882352941176</v>
      </c>
      <c r="P12" s="258">
        <f t="shared" si="8"/>
        <v>3760</v>
      </c>
      <c r="Q12" s="259">
        <f t="shared" si="9"/>
        <v>21.276595744680851</v>
      </c>
      <c r="R12" s="258">
        <f t="shared" si="10"/>
        <v>4000</v>
      </c>
      <c r="S12" s="259">
        <f t="shared" si="11"/>
        <v>20</v>
      </c>
      <c r="T12" s="258">
        <f t="shared" si="12"/>
        <v>20000</v>
      </c>
      <c r="U12" s="259">
        <f t="shared" si="13"/>
        <v>4</v>
      </c>
      <c r="V12" s="258">
        <f t="shared" si="14"/>
        <v>15200</v>
      </c>
      <c r="W12" s="259">
        <f t="shared" si="15"/>
        <v>5.2631578947368425</v>
      </c>
      <c r="X12" s="258">
        <f t="shared" si="16"/>
        <v>5200</v>
      </c>
      <c r="Y12" s="259">
        <f t="shared" si="17"/>
        <v>15.384615384615385</v>
      </c>
      <c r="Z12" s="258">
        <f t="shared" si="18"/>
        <v>3760</v>
      </c>
      <c r="AA12" s="259">
        <f t="shared" si="19"/>
        <v>21.276595744680851</v>
      </c>
      <c r="AB12" s="258">
        <f t="shared" si="20"/>
        <v>126.4</v>
      </c>
      <c r="AC12" s="259">
        <f t="shared" si="21"/>
        <v>632.91139240506322</v>
      </c>
      <c r="AD12" s="258">
        <f t="shared" si="22"/>
        <v>240</v>
      </c>
      <c r="AE12" s="259">
        <f t="shared" si="23"/>
        <v>333.33333333333331</v>
      </c>
      <c r="AF12" s="258">
        <f t="shared" si="24"/>
        <v>192</v>
      </c>
      <c r="AG12" s="259">
        <f t="shared" si="25"/>
        <v>416.66666666666669</v>
      </c>
      <c r="AH12" s="258">
        <f t="shared" si="26"/>
        <v>1000</v>
      </c>
      <c r="AI12" s="259">
        <f t="shared" si="27"/>
        <v>80</v>
      </c>
      <c r="AJ12" s="258">
        <f t="shared" si="31"/>
        <v>560</v>
      </c>
      <c r="AK12" s="259">
        <f t="shared" si="28"/>
        <v>142.85714285714286</v>
      </c>
      <c r="AL12">
        <f t="shared" si="29"/>
        <v>8800</v>
      </c>
      <c r="AM12">
        <f t="shared" si="30"/>
        <v>9.0909090909090917</v>
      </c>
    </row>
    <row r="13" spans="3:39">
      <c r="C13" t="s">
        <v>192</v>
      </c>
      <c r="D13">
        <v>10</v>
      </c>
      <c r="E13">
        <v>930</v>
      </c>
      <c r="F13">
        <v>10000</v>
      </c>
      <c r="H13" s="258">
        <f t="shared" si="0"/>
        <v>24000</v>
      </c>
      <c r="I13" s="259">
        <f t="shared" si="1"/>
        <v>4.166666666666667</v>
      </c>
      <c r="J13" s="258">
        <f t="shared" si="2"/>
        <v>78500</v>
      </c>
      <c r="K13" s="259">
        <f t="shared" si="3"/>
        <v>1.2738853503184713</v>
      </c>
      <c r="L13" s="258">
        <f t="shared" si="4"/>
        <v>6750</v>
      </c>
      <c r="M13" s="259">
        <f t="shared" si="5"/>
        <v>14.814814814814815</v>
      </c>
      <c r="N13" s="258">
        <f t="shared" si="6"/>
        <v>6800</v>
      </c>
      <c r="O13" s="259">
        <f t="shared" si="7"/>
        <v>14.705882352941176</v>
      </c>
      <c r="P13" s="258">
        <f t="shared" si="8"/>
        <v>4700</v>
      </c>
      <c r="Q13" s="259">
        <f t="shared" si="9"/>
        <v>21.276595744680851</v>
      </c>
      <c r="R13" s="258">
        <f t="shared" si="10"/>
        <v>5000</v>
      </c>
      <c r="S13" s="259">
        <f t="shared" si="11"/>
        <v>20</v>
      </c>
      <c r="T13" s="258">
        <f t="shared" si="12"/>
        <v>25000</v>
      </c>
      <c r="U13" s="259">
        <f t="shared" si="13"/>
        <v>4</v>
      </c>
      <c r="V13" s="258">
        <f t="shared" si="14"/>
        <v>19000</v>
      </c>
      <c r="W13" s="259">
        <f t="shared" si="15"/>
        <v>5.2631578947368425</v>
      </c>
      <c r="X13" s="258">
        <f t="shared" si="16"/>
        <v>6500</v>
      </c>
      <c r="Y13" s="259">
        <f t="shared" si="17"/>
        <v>15.384615384615385</v>
      </c>
      <c r="Z13" s="258">
        <f t="shared" si="18"/>
        <v>4700</v>
      </c>
      <c r="AA13" s="259">
        <f t="shared" si="19"/>
        <v>21.276595744680851</v>
      </c>
      <c r="AB13" s="258">
        <f t="shared" si="20"/>
        <v>158</v>
      </c>
      <c r="AC13" s="259">
        <f t="shared" si="21"/>
        <v>632.91139240506322</v>
      </c>
      <c r="AD13" s="258">
        <f t="shared" si="22"/>
        <v>300</v>
      </c>
      <c r="AE13" s="259">
        <f t="shared" si="23"/>
        <v>333.33333333333331</v>
      </c>
      <c r="AF13" s="258">
        <f t="shared" si="24"/>
        <v>240</v>
      </c>
      <c r="AG13" s="259">
        <f t="shared" si="25"/>
        <v>416.66666666666669</v>
      </c>
      <c r="AH13" s="258">
        <f t="shared" si="26"/>
        <v>1250</v>
      </c>
      <c r="AI13" s="259">
        <f t="shared" si="27"/>
        <v>80</v>
      </c>
      <c r="AJ13" s="258">
        <f t="shared" si="31"/>
        <v>700</v>
      </c>
      <c r="AK13" s="259">
        <f t="shared" si="28"/>
        <v>142.85714285714286</v>
      </c>
      <c r="AL13">
        <f t="shared" si="29"/>
        <v>11000</v>
      </c>
      <c r="AM13">
        <f t="shared" si="30"/>
        <v>9.0909090909090917</v>
      </c>
    </row>
    <row r="14" spans="3:39">
      <c r="D14">
        <v>11</v>
      </c>
      <c r="H14" s="258">
        <f t="shared" si="0"/>
        <v>26400</v>
      </c>
      <c r="I14" s="259">
        <f t="shared" si="1"/>
        <v>0</v>
      </c>
      <c r="J14" s="258">
        <f t="shared" si="2"/>
        <v>86350</v>
      </c>
      <c r="K14" s="259">
        <f t="shared" si="3"/>
        <v>0</v>
      </c>
      <c r="L14" s="258">
        <f t="shared" si="4"/>
        <v>7425</v>
      </c>
      <c r="M14" s="259">
        <f t="shared" si="5"/>
        <v>0</v>
      </c>
      <c r="N14" s="258">
        <f t="shared" si="6"/>
        <v>7480</v>
      </c>
      <c r="O14" s="259">
        <f t="shared" si="7"/>
        <v>0</v>
      </c>
      <c r="P14" s="258">
        <f t="shared" si="8"/>
        <v>5170</v>
      </c>
      <c r="Q14" s="259">
        <f t="shared" si="9"/>
        <v>0</v>
      </c>
      <c r="R14" s="258">
        <f t="shared" si="10"/>
        <v>5500</v>
      </c>
      <c r="S14" s="259">
        <f t="shared" si="11"/>
        <v>0</v>
      </c>
      <c r="T14" s="258">
        <f t="shared" si="12"/>
        <v>27500</v>
      </c>
      <c r="U14" s="259">
        <f t="shared" si="13"/>
        <v>0</v>
      </c>
      <c r="V14" s="258">
        <f t="shared" si="14"/>
        <v>20900</v>
      </c>
      <c r="W14" s="259">
        <f t="shared" si="15"/>
        <v>0</v>
      </c>
      <c r="X14" s="258">
        <f t="shared" si="16"/>
        <v>7150</v>
      </c>
      <c r="Y14" s="259">
        <f t="shared" si="17"/>
        <v>0</v>
      </c>
      <c r="Z14" s="258">
        <f t="shared" si="18"/>
        <v>5170</v>
      </c>
      <c r="AA14" s="259">
        <f t="shared" si="19"/>
        <v>0</v>
      </c>
      <c r="AB14" s="258">
        <f t="shared" si="20"/>
        <v>173.8</v>
      </c>
      <c r="AC14" s="259">
        <f t="shared" si="21"/>
        <v>0</v>
      </c>
      <c r="AD14" s="258">
        <f t="shared" si="22"/>
        <v>330</v>
      </c>
      <c r="AE14" s="259">
        <f t="shared" si="23"/>
        <v>0</v>
      </c>
      <c r="AF14" s="258">
        <f t="shared" si="24"/>
        <v>264</v>
      </c>
      <c r="AG14" s="259">
        <f t="shared" si="25"/>
        <v>0</v>
      </c>
      <c r="AH14" s="258">
        <f t="shared" si="26"/>
        <v>1375</v>
      </c>
      <c r="AI14" s="259">
        <f t="shared" si="27"/>
        <v>0</v>
      </c>
      <c r="AJ14" s="258">
        <f t="shared" si="31"/>
        <v>770</v>
      </c>
      <c r="AK14" s="259">
        <f t="shared" si="28"/>
        <v>0</v>
      </c>
      <c r="AL14">
        <f t="shared" si="29"/>
        <v>12100</v>
      </c>
      <c r="AM14">
        <f t="shared" si="30"/>
        <v>0</v>
      </c>
    </row>
    <row r="15" spans="3:39">
      <c r="C15" t="s">
        <v>193</v>
      </c>
      <c r="D15">
        <v>11.5</v>
      </c>
      <c r="E15">
        <v>2225</v>
      </c>
      <c r="F15">
        <v>12000</v>
      </c>
      <c r="H15" s="258">
        <f t="shared" si="0"/>
        <v>27600</v>
      </c>
      <c r="I15" s="259">
        <f t="shared" si="1"/>
        <v>5</v>
      </c>
      <c r="J15" s="258">
        <f t="shared" si="2"/>
        <v>90275</v>
      </c>
      <c r="K15" s="259">
        <f t="shared" si="3"/>
        <v>1.5286624203821657</v>
      </c>
      <c r="L15" s="258">
        <f t="shared" si="4"/>
        <v>7762.5</v>
      </c>
      <c r="M15" s="259">
        <f t="shared" si="5"/>
        <v>17.777777777777779</v>
      </c>
      <c r="N15" s="258">
        <f t="shared" si="6"/>
        <v>7820</v>
      </c>
      <c r="O15" s="259">
        <f t="shared" si="7"/>
        <v>17.647058823529413</v>
      </c>
      <c r="P15" s="258">
        <f t="shared" si="8"/>
        <v>5405</v>
      </c>
      <c r="Q15" s="259">
        <f t="shared" si="9"/>
        <v>25.531914893617021</v>
      </c>
      <c r="R15" s="258">
        <f t="shared" si="10"/>
        <v>5750</v>
      </c>
      <c r="S15" s="259">
        <f t="shared" si="11"/>
        <v>24</v>
      </c>
      <c r="T15" s="258">
        <f t="shared" si="12"/>
        <v>28750</v>
      </c>
      <c r="U15" s="259">
        <f t="shared" si="13"/>
        <v>4.8</v>
      </c>
      <c r="V15" s="258">
        <f t="shared" si="14"/>
        <v>21850</v>
      </c>
      <c r="W15" s="259">
        <f t="shared" si="15"/>
        <v>6.3157894736842106</v>
      </c>
      <c r="X15" s="258">
        <f t="shared" si="16"/>
        <v>7475</v>
      </c>
      <c r="Y15" s="259">
        <f t="shared" si="17"/>
        <v>18.46153846153846</v>
      </c>
      <c r="Z15" s="258">
        <f t="shared" si="18"/>
        <v>5405</v>
      </c>
      <c r="AA15" s="259">
        <f t="shared" si="19"/>
        <v>25.531914893617021</v>
      </c>
      <c r="AB15" s="258">
        <f t="shared" si="20"/>
        <v>181.70000000000002</v>
      </c>
      <c r="AC15" s="259">
        <f t="shared" si="21"/>
        <v>759.49367088607596</v>
      </c>
      <c r="AD15" s="258">
        <f t="shared" si="22"/>
        <v>345</v>
      </c>
      <c r="AE15" s="259">
        <f t="shared" si="23"/>
        <v>400</v>
      </c>
      <c r="AF15" s="258">
        <f t="shared" si="24"/>
        <v>276</v>
      </c>
      <c r="AG15" s="259">
        <f t="shared" si="25"/>
        <v>500</v>
      </c>
      <c r="AH15" s="258">
        <f t="shared" si="26"/>
        <v>1437.5</v>
      </c>
      <c r="AI15" s="259">
        <f t="shared" si="27"/>
        <v>96</v>
      </c>
      <c r="AJ15" s="258">
        <f t="shared" si="31"/>
        <v>805</v>
      </c>
      <c r="AK15" s="259">
        <f t="shared" si="28"/>
        <v>171.42857142857142</v>
      </c>
      <c r="AL15">
        <f t="shared" si="29"/>
        <v>12650</v>
      </c>
      <c r="AM15">
        <f t="shared" si="30"/>
        <v>10.909090909090908</v>
      </c>
    </row>
    <row r="16" spans="3:39">
      <c r="C16" t="s">
        <v>193</v>
      </c>
      <c r="D16">
        <v>12</v>
      </c>
      <c r="E16">
        <v>1440</v>
      </c>
      <c r="F16">
        <v>10000</v>
      </c>
      <c r="H16" s="258">
        <f t="shared" si="0"/>
        <v>28800</v>
      </c>
      <c r="I16" s="259">
        <f t="shared" si="1"/>
        <v>4.166666666666667</v>
      </c>
      <c r="J16" s="258">
        <f t="shared" si="2"/>
        <v>94200</v>
      </c>
      <c r="K16" s="259">
        <f t="shared" si="3"/>
        <v>1.2738853503184713</v>
      </c>
      <c r="L16" s="258">
        <f t="shared" si="4"/>
        <v>8100</v>
      </c>
      <c r="M16" s="259">
        <f t="shared" si="5"/>
        <v>14.814814814814815</v>
      </c>
      <c r="N16" s="258">
        <f t="shared" si="6"/>
        <v>8160</v>
      </c>
      <c r="O16" s="259">
        <f t="shared" si="7"/>
        <v>14.705882352941176</v>
      </c>
      <c r="P16" s="258">
        <f t="shared" si="8"/>
        <v>5640</v>
      </c>
      <c r="Q16" s="259">
        <f t="shared" si="9"/>
        <v>21.276595744680851</v>
      </c>
      <c r="R16" s="258">
        <f t="shared" si="10"/>
        <v>6000</v>
      </c>
      <c r="S16" s="259">
        <f t="shared" si="11"/>
        <v>20</v>
      </c>
      <c r="T16" s="258">
        <f t="shared" si="12"/>
        <v>30000</v>
      </c>
      <c r="U16" s="259">
        <f t="shared" si="13"/>
        <v>4</v>
      </c>
      <c r="V16" s="258">
        <f t="shared" si="14"/>
        <v>22800</v>
      </c>
      <c r="W16" s="259">
        <f t="shared" si="15"/>
        <v>5.2631578947368425</v>
      </c>
      <c r="X16" s="258">
        <f t="shared" si="16"/>
        <v>7800</v>
      </c>
      <c r="Y16" s="259">
        <f t="shared" si="17"/>
        <v>15.384615384615385</v>
      </c>
      <c r="Z16" s="258">
        <f t="shared" si="18"/>
        <v>5640</v>
      </c>
      <c r="AA16" s="259">
        <f t="shared" si="19"/>
        <v>21.276595744680851</v>
      </c>
      <c r="AB16" s="258">
        <f t="shared" si="20"/>
        <v>189.60000000000002</v>
      </c>
      <c r="AC16" s="259">
        <f t="shared" si="21"/>
        <v>632.91139240506322</v>
      </c>
      <c r="AD16" s="258">
        <f t="shared" si="22"/>
        <v>360</v>
      </c>
      <c r="AE16" s="259">
        <f t="shared" si="23"/>
        <v>333.33333333333331</v>
      </c>
      <c r="AF16" s="258">
        <f t="shared" si="24"/>
        <v>288</v>
      </c>
      <c r="AG16" s="259">
        <f t="shared" si="25"/>
        <v>416.66666666666669</v>
      </c>
      <c r="AH16" s="258">
        <f t="shared" si="26"/>
        <v>1500</v>
      </c>
      <c r="AI16" s="259">
        <f t="shared" si="27"/>
        <v>80</v>
      </c>
      <c r="AJ16" s="258">
        <f t="shared" si="31"/>
        <v>840</v>
      </c>
      <c r="AK16" s="259">
        <f t="shared" si="28"/>
        <v>142.85714285714286</v>
      </c>
      <c r="AL16">
        <f t="shared" si="29"/>
        <v>13200</v>
      </c>
      <c r="AM16">
        <f t="shared" si="30"/>
        <v>9.0909090909090917</v>
      </c>
    </row>
    <row r="17" spans="3:39">
      <c r="D17">
        <v>14</v>
      </c>
      <c r="H17" s="258">
        <f t="shared" si="0"/>
        <v>33600</v>
      </c>
      <c r="I17" s="259">
        <f t="shared" si="1"/>
        <v>0</v>
      </c>
      <c r="J17" s="258">
        <f t="shared" si="2"/>
        <v>109900</v>
      </c>
      <c r="K17" s="259">
        <f t="shared" si="3"/>
        <v>0</v>
      </c>
      <c r="L17" s="258">
        <f t="shared" si="4"/>
        <v>9450</v>
      </c>
      <c r="M17" s="259">
        <f t="shared" si="5"/>
        <v>0</v>
      </c>
      <c r="N17" s="258">
        <f t="shared" si="6"/>
        <v>9520</v>
      </c>
      <c r="O17" s="259">
        <f t="shared" si="7"/>
        <v>0</v>
      </c>
      <c r="P17" s="258">
        <f t="shared" si="8"/>
        <v>6580</v>
      </c>
      <c r="Q17" s="259">
        <f t="shared" si="9"/>
        <v>0</v>
      </c>
      <c r="R17" s="258">
        <f t="shared" si="10"/>
        <v>7000</v>
      </c>
      <c r="S17" s="259">
        <f t="shared" si="11"/>
        <v>0</v>
      </c>
      <c r="T17" s="258">
        <f t="shared" si="12"/>
        <v>35000</v>
      </c>
      <c r="U17" s="259">
        <f t="shared" si="13"/>
        <v>0</v>
      </c>
      <c r="V17" s="258">
        <f t="shared" si="14"/>
        <v>26600</v>
      </c>
      <c r="W17" s="259">
        <f t="shared" si="15"/>
        <v>0</v>
      </c>
      <c r="X17" s="258">
        <f t="shared" si="16"/>
        <v>9100</v>
      </c>
      <c r="Y17" s="259">
        <f t="shared" si="17"/>
        <v>0</v>
      </c>
      <c r="Z17" s="258">
        <f t="shared" si="18"/>
        <v>6580</v>
      </c>
      <c r="AA17" s="259">
        <f t="shared" si="19"/>
        <v>0</v>
      </c>
      <c r="AB17" s="258">
        <f t="shared" si="20"/>
        <v>221.20000000000002</v>
      </c>
      <c r="AC17" s="259">
        <f t="shared" si="21"/>
        <v>0</v>
      </c>
      <c r="AD17" s="258">
        <f t="shared" si="22"/>
        <v>420</v>
      </c>
      <c r="AE17" s="259">
        <f t="shared" si="23"/>
        <v>0</v>
      </c>
      <c r="AF17" s="258">
        <f t="shared" si="24"/>
        <v>336</v>
      </c>
      <c r="AG17" s="259">
        <f t="shared" si="25"/>
        <v>0</v>
      </c>
      <c r="AH17" s="258">
        <f t="shared" si="26"/>
        <v>1750</v>
      </c>
      <c r="AI17" s="259">
        <f t="shared" si="27"/>
        <v>0</v>
      </c>
      <c r="AJ17" s="258">
        <f t="shared" si="31"/>
        <v>980</v>
      </c>
      <c r="AK17" s="259">
        <f t="shared" si="28"/>
        <v>0</v>
      </c>
      <c r="AL17">
        <f t="shared" si="29"/>
        <v>15400</v>
      </c>
      <c r="AM17">
        <f t="shared" si="30"/>
        <v>0</v>
      </c>
    </row>
    <row r="18" spans="3:39">
      <c r="D18">
        <v>15</v>
      </c>
      <c r="H18" s="258">
        <f t="shared" si="0"/>
        <v>36000</v>
      </c>
      <c r="I18" s="259">
        <f t="shared" si="1"/>
        <v>0</v>
      </c>
      <c r="J18" s="258">
        <f t="shared" si="2"/>
        <v>117750</v>
      </c>
      <c r="K18" s="259">
        <f t="shared" si="3"/>
        <v>0</v>
      </c>
      <c r="L18" s="258">
        <f t="shared" si="4"/>
        <v>10125</v>
      </c>
      <c r="M18" s="259">
        <f t="shared" si="5"/>
        <v>0</v>
      </c>
      <c r="N18" s="258">
        <f t="shared" si="6"/>
        <v>10200</v>
      </c>
      <c r="O18" s="259">
        <f t="shared" si="7"/>
        <v>0</v>
      </c>
      <c r="P18" s="258">
        <f t="shared" si="8"/>
        <v>7050</v>
      </c>
      <c r="Q18" s="259">
        <f t="shared" si="9"/>
        <v>0</v>
      </c>
      <c r="R18" s="258">
        <f t="shared" si="10"/>
        <v>7500</v>
      </c>
      <c r="S18" s="259">
        <f t="shared" si="11"/>
        <v>0</v>
      </c>
      <c r="T18" s="258">
        <f t="shared" si="12"/>
        <v>37500</v>
      </c>
      <c r="U18" s="259">
        <f t="shared" si="13"/>
        <v>0</v>
      </c>
      <c r="V18" s="258">
        <f t="shared" si="14"/>
        <v>28500</v>
      </c>
      <c r="W18" s="259">
        <f t="shared" si="15"/>
        <v>0</v>
      </c>
      <c r="X18" s="258">
        <f t="shared" si="16"/>
        <v>9750</v>
      </c>
      <c r="Y18" s="259">
        <f t="shared" si="17"/>
        <v>0</v>
      </c>
      <c r="Z18" s="258">
        <f t="shared" si="18"/>
        <v>7050</v>
      </c>
      <c r="AA18" s="259">
        <f t="shared" si="19"/>
        <v>0</v>
      </c>
      <c r="AB18" s="258">
        <f t="shared" si="20"/>
        <v>237</v>
      </c>
      <c r="AC18" s="259">
        <f t="shared" si="21"/>
        <v>0</v>
      </c>
      <c r="AD18" s="258">
        <f t="shared" si="22"/>
        <v>450</v>
      </c>
      <c r="AE18" s="259">
        <f t="shared" si="23"/>
        <v>0</v>
      </c>
      <c r="AF18" s="258">
        <f t="shared" si="24"/>
        <v>360</v>
      </c>
      <c r="AG18" s="259">
        <f t="shared" si="25"/>
        <v>0</v>
      </c>
      <c r="AH18" s="258">
        <f t="shared" si="26"/>
        <v>1875</v>
      </c>
      <c r="AI18" s="259">
        <f t="shared" si="27"/>
        <v>0</v>
      </c>
      <c r="AJ18" s="258">
        <f t="shared" si="31"/>
        <v>1050</v>
      </c>
      <c r="AK18" s="259">
        <f t="shared" si="28"/>
        <v>0</v>
      </c>
      <c r="AL18">
        <f t="shared" si="29"/>
        <v>16500</v>
      </c>
      <c r="AM18">
        <f t="shared" si="30"/>
        <v>0</v>
      </c>
    </row>
    <row r="19" spans="3:39">
      <c r="C19" t="s">
        <v>194</v>
      </c>
      <c r="D19">
        <v>16</v>
      </c>
      <c r="E19">
        <v>2060</v>
      </c>
      <c r="F19">
        <v>10000</v>
      </c>
      <c r="H19" s="258">
        <f t="shared" si="0"/>
        <v>38400</v>
      </c>
      <c r="I19" s="259">
        <f t="shared" si="1"/>
        <v>4.166666666666667</v>
      </c>
      <c r="J19" s="258">
        <f t="shared" si="2"/>
        <v>125600</v>
      </c>
      <c r="K19" s="259">
        <f t="shared" si="3"/>
        <v>1.2738853503184713</v>
      </c>
      <c r="L19" s="258">
        <f t="shared" si="4"/>
        <v>10800</v>
      </c>
      <c r="M19" s="259">
        <f t="shared" si="5"/>
        <v>14.814814814814815</v>
      </c>
      <c r="N19" s="258">
        <f t="shared" si="6"/>
        <v>10880</v>
      </c>
      <c r="O19" s="259">
        <f t="shared" si="7"/>
        <v>14.705882352941176</v>
      </c>
      <c r="P19" s="258">
        <f t="shared" si="8"/>
        <v>7520</v>
      </c>
      <c r="Q19" s="259">
        <f t="shared" si="9"/>
        <v>21.276595744680851</v>
      </c>
      <c r="R19" s="258">
        <f t="shared" si="10"/>
        <v>8000</v>
      </c>
      <c r="S19" s="259">
        <f t="shared" si="11"/>
        <v>20</v>
      </c>
      <c r="T19" s="258">
        <f t="shared" si="12"/>
        <v>40000</v>
      </c>
      <c r="U19" s="259">
        <f t="shared" si="13"/>
        <v>4</v>
      </c>
      <c r="V19" s="258">
        <f t="shared" si="14"/>
        <v>30400</v>
      </c>
      <c r="W19" s="259">
        <f t="shared" si="15"/>
        <v>5.2631578947368425</v>
      </c>
      <c r="X19" s="258">
        <f t="shared" si="16"/>
        <v>10400</v>
      </c>
      <c r="Y19" s="259">
        <f t="shared" si="17"/>
        <v>15.384615384615385</v>
      </c>
      <c r="Z19" s="258">
        <f t="shared" si="18"/>
        <v>7520</v>
      </c>
      <c r="AA19" s="259">
        <f t="shared" si="19"/>
        <v>21.276595744680851</v>
      </c>
      <c r="AB19" s="258">
        <f t="shared" si="20"/>
        <v>252.8</v>
      </c>
      <c r="AC19" s="259">
        <f t="shared" si="21"/>
        <v>632.91139240506322</v>
      </c>
      <c r="AD19" s="258">
        <f t="shared" si="22"/>
        <v>480</v>
      </c>
      <c r="AE19" s="259">
        <f t="shared" si="23"/>
        <v>333.33333333333331</v>
      </c>
      <c r="AF19" s="258">
        <f t="shared" si="24"/>
        <v>384</v>
      </c>
      <c r="AG19" s="259">
        <f t="shared" si="25"/>
        <v>416.66666666666669</v>
      </c>
      <c r="AH19" s="258">
        <f t="shared" si="26"/>
        <v>2000</v>
      </c>
      <c r="AI19" s="259">
        <f t="shared" si="27"/>
        <v>80</v>
      </c>
      <c r="AJ19" s="258">
        <f t="shared" si="31"/>
        <v>1120</v>
      </c>
      <c r="AK19" s="259">
        <f t="shared" si="28"/>
        <v>142.85714285714286</v>
      </c>
      <c r="AL19">
        <f t="shared" si="29"/>
        <v>17600</v>
      </c>
      <c r="AM19">
        <f t="shared" si="30"/>
        <v>9.0909090909090917</v>
      </c>
    </row>
    <row r="20" spans="3:39">
      <c r="D20">
        <v>18</v>
      </c>
      <c r="H20" s="258">
        <f t="shared" si="0"/>
        <v>43200</v>
      </c>
      <c r="I20" s="259">
        <f t="shared" si="1"/>
        <v>0</v>
      </c>
      <c r="J20" s="258">
        <f t="shared" si="2"/>
        <v>141300</v>
      </c>
      <c r="K20" s="259">
        <f t="shared" si="3"/>
        <v>0</v>
      </c>
      <c r="L20" s="258">
        <f t="shared" si="4"/>
        <v>12150</v>
      </c>
      <c r="M20" s="259">
        <f t="shared" si="5"/>
        <v>0</v>
      </c>
      <c r="N20" s="258">
        <f t="shared" si="6"/>
        <v>12240</v>
      </c>
      <c r="O20" s="259">
        <f t="shared" si="7"/>
        <v>0</v>
      </c>
      <c r="P20" s="258">
        <f t="shared" si="8"/>
        <v>8460</v>
      </c>
      <c r="Q20" s="259">
        <f t="shared" si="9"/>
        <v>0</v>
      </c>
      <c r="R20" s="258">
        <f t="shared" si="10"/>
        <v>9000</v>
      </c>
      <c r="S20" s="259">
        <f t="shared" si="11"/>
        <v>0</v>
      </c>
      <c r="T20" s="258">
        <f t="shared" si="12"/>
        <v>45000</v>
      </c>
      <c r="U20" s="259">
        <f t="shared" si="13"/>
        <v>0</v>
      </c>
      <c r="V20" s="258">
        <f t="shared" si="14"/>
        <v>34200</v>
      </c>
      <c r="W20" s="259">
        <f t="shared" si="15"/>
        <v>0</v>
      </c>
      <c r="X20" s="258">
        <f t="shared" si="16"/>
        <v>11700</v>
      </c>
      <c r="Y20" s="259">
        <f t="shared" si="17"/>
        <v>0</v>
      </c>
      <c r="Z20" s="258">
        <f t="shared" si="18"/>
        <v>8460</v>
      </c>
      <c r="AA20" s="259">
        <f t="shared" si="19"/>
        <v>0</v>
      </c>
      <c r="AB20" s="258">
        <f t="shared" si="20"/>
        <v>284.40000000000003</v>
      </c>
      <c r="AC20" s="259">
        <f t="shared" si="21"/>
        <v>0</v>
      </c>
      <c r="AD20" s="258">
        <f t="shared" si="22"/>
        <v>540</v>
      </c>
      <c r="AE20" s="259">
        <f t="shared" si="23"/>
        <v>0</v>
      </c>
      <c r="AF20" s="258">
        <f t="shared" si="24"/>
        <v>432</v>
      </c>
      <c r="AG20" s="259">
        <f t="shared" si="25"/>
        <v>0</v>
      </c>
      <c r="AH20" s="258">
        <f t="shared" si="26"/>
        <v>2250</v>
      </c>
      <c r="AI20" s="259">
        <f t="shared" si="27"/>
        <v>0</v>
      </c>
      <c r="AJ20" s="258">
        <f t="shared" si="31"/>
        <v>1260</v>
      </c>
      <c r="AK20" s="259">
        <f t="shared" si="28"/>
        <v>0</v>
      </c>
      <c r="AL20">
        <f t="shared" si="29"/>
        <v>19800</v>
      </c>
      <c r="AM20">
        <f t="shared" si="30"/>
        <v>0</v>
      </c>
    </row>
    <row r="21" spans="3:39">
      <c r="D21">
        <v>20</v>
      </c>
      <c r="H21" s="258">
        <f t="shared" si="0"/>
        <v>48000</v>
      </c>
      <c r="I21" s="259">
        <f t="shared" si="1"/>
        <v>0</v>
      </c>
      <c r="J21" s="258">
        <f t="shared" si="2"/>
        <v>157000</v>
      </c>
      <c r="K21" s="259">
        <f t="shared" si="3"/>
        <v>0</v>
      </c>
      <c r="L21" s="258">
        <f t="shared" si="4"/>
        <v>13500</v>
      </c>
      <c r="M21" s="259">
        <f t="shared" si="5"/>
        <v>0</v>
      </c>
      <c r="N21" s="258">
        <f t="shared" si="6"/>
        <v>13600</v>
      </c>
      <c r="O21" s="259">
        <f t="shared" si="7"/>
        <v>0</v>
      </c>
      <c r="P21" s="258">
        <f t="shared" si="8"/>
        <v>9400</v>
      </c>
      <c r="Q21" s="259">
        <f t="shared" si="9"/>
        <v>0</v>
      </c>
      <c r="R21" s="258">
        <f t="shared" si="10"/>
        <v>10000</v>
      </c>
      <c r="S21" s="259">
        <f t="shared" si="11"/>
        <v>0</v>
      </c>
      <c r="T21" s="258">
        <f t="shared" si="12"/>
        <v>50000</v>
      </c>
      <c r="U21" s="259">
        <f t="shared" si="13"/>
        <v>0</v>
      </c>
      <c r="V21" s="258">
        <f t="shared" si="14"/>
        <v>38000</v>
      </c>
      <c r="W21" s="259">
        <f t="shared" si="15"/>
        <v>0</v>
      </c>
      <c r="X21" s="258">
        <f t="shared" si="16"/>
        <v>13000</v>
      </c>
      <c r="Y21" s="259">
        <f t="shared" si="17"/>
        <v>0</v>
      </c>
      <c r="Z21" s="258">
        <f t="shared" si="18"/>
        <v>9400</v>
      </c>
      <c r="AA21" s="259">
        <f t="shared" si="19"/>
        <v>0</v>
      </c>
      <c r="AB21" s="258">
        <f t="shared" si="20"/>
        <v>316</v>
      </c>
      <c r="AC21" s="259">
        <f t="shared" si="21"/>
        <v>0</v>
      </c>
      <c r="AD21" s="258">
        <f t="shared" si="22"/>
        <v>600</v>
      </c>
      <c r="AE21" s="259">
        <f t="shared" si="23"/>
        <v>0</v>
      </c>
      <c r="AF21" s="258">
        <f t="shared" si="24"/>
        <v>480</v>
      </c>
      <c r="AG21" s="259">
        <f t="shared" si="25"/>
        <v>0</v>
      </c>
      <c r="AH21" s="258">
        <f t="shared" si="26"/>
        <v>2500</v>
      </c>
      <c r="AI21" s="259">
        <f t="shared" si="27"/>
        <v>0</v>
      </c>
      <c r="AJ21" s="258">
        <f t="shared" si="31"/>
        <v>1400</v>
      </c>
      <c r="AK21" s="259">
        <f t="shared" si="28"/>
        <v>0</v>
      </c>
      <c r="AL21">
        <f t="shared" si="29"/>
        <v>22000</v>
      </c>
      <c r="AM21">
        <f t="shared" si="30"/>
        <v>0</v>
      </c>
    </row>
    <row r="22" spans="3:39">
      <c r="C22" t="s">
        <v>195</v>
      </c>
      <c r="D22">
        <v>23</v>
      </c>
      <c r="E22">
        <v>2200</v>
      </c>
      <c r="F22">
        <v>10000</v>
      </c>
      <c r="H22" s="258">
        <f t="shared" si="0"/>
        <v>55200</v>
      </c>
      <c r="I22" s="259">
        <f t="shared" si="1"/>
        <v>4.166666666666667</v>
      </c>
      <c r="J22" s="258">
        <f t="shared" si="2"/>
        <v>180550</v>
      </c>
      <c r="K22" s="259">
        <f t="shared" si="3"/>
        <v>1.2738853503184713</v>
      </c>
      <c r="L22" s="258">
        <f t="shared" si="4"/>
        <v>15525</v>
      </c>
      <c r="M22" s="259">
        <f t="shared" si="5"/>
        <v>14.814814814814815</v>
      </c>
      <c r="N22" s="258">
        <f t="shared" si="6"/>
        <v>15640</v>
      </c>
      <c r="O22" s="259">
        <f t="shared" si="7"/>
        <v>14.705882352941176</v>
      </c>
      <c r="P22" s="258">
        <f t="shared" si="8"/>
        <v>10810</v>
      </c>
      <c r="Q22" s="259">
        <f t="shared" si="9"/>
        <v>21.276595744680851</v>
      </c>
      <c r="R22" s="258">
        <f t="shared" si="10"/>
        <v>11500</v>
      </c>
      <c r="S22" s="259">
        <f t="shared" si="11"/>
        <v>20</v>
      </c>
      <c r="T22" s="258">
        <f t="shared" si="12"/>
        <v>57500</v>
      </c>
      <c r="U22" s="259">
        <f t="shared" si="13"/>
        <v>4</v>
      </c>
      <c r="V22" s="258">
        <f t="shared" si="14"/>
        <v>43700</v>
      </c>
      <c r="W22" s="259">
        <f t="shared" si="15"/>
        <v>5.2631578947368425</v>
      </c>
      <c r="X22" s="258">
        <f t="shared" si="16"/>
        <v>14950</v>
      </c>
      <c r="Y22" s="259">
        <f t="shared" si="17"/>
        <v>15.384615384615385</v>
      </c>
      <c r="Z22" s="258">
        <f t="shared" si="18"/>
        <v>10810</v>
      </c>
      <c r="AA22" s="259">
        <f t="shared" si="19"/>
        <v>21.276595744680851</v>
      </c>
      <c r="AB22" s="258">
        <f t="shared" si="20"/>
        <v>363.40000000000003</v>
      </c>
      <c r="AC22" s="259">
        <f t="shared" si="21"/>
        <v>632.91139240506322</v>
      </c>
      <c r="AD22" s="258">
        <f t="shared" si="22"/>
        <v>690</v>
      </c>
      <c r="AE22" s="259">
        <f t="shared" si="23"/>
        <v>333.33333333333331</v>
      </c>
      <c r="AF22" s="258">
        <f t="shared" si="24"/>
        <v>552</v>
      </c>
      <c r="AG22" s="259">
        <f t="shared" si="25"/>
        <v>416.66666666666669</v>
      </c>
      <c r="AH22" s="258">
        <f t="shared" si="26"/>
        <v>2875</v>
      </c>
      <c r="AI22" s="259">
        <f t="shared" si="27"/>
        <v>80</v>
      </c>
      <c r="AJ22" s="258">
        <f t="shared" si="31"/>
        <v>1610</v>
      </c>
      <c r="AK22" s="259">
        <f t="shared" si="28"/>
        <v>142.85714285714286</v>
      </c>
      <c r="AL22">
        <f t="shared" si="29"/>
        <v>25300</v>
      </c>
      <c r="AM22">
        <f t="shared" si="30"/>
        <v>9.0909090909090917</v>
      </c>
    </row>
    <row r="23" spans="3:39">
      <c r="C23" t="s">
        <v>195</v>
      </c>
      <c r="D23">
        <v>24</v>
      </c>
      <c r="E23">
        <v>2200</v>
      </c>
      <c r="F23">
        <v>10000</v>
      </c>
      <c r="H23" s="258">
        <f t="shared" si="0"/>
        <v>57600</v>
      </c>
      <c r="I23" s="259">
        <f t="shared" si="1"/>
        <v>4.166666666666667</v>
      </c>
      <c r="J23" s="258">
        <f t="shared" si="2"/>
        <v>188400</v>
      </c>
      <c r="K23" s="259">
        <f t="shared" si="3"/>
        <v>1.2738853503184713</v>
      </c>
      <c r="L23" s="258">
        <f t="shared" si="4"/>
        <v>16200</v>
      </c>
      <c r="M23" s="259">
        <f t="shared" si="5"/>
        <v>14.814814814814815</v>
      </c>
      <c r="N23" s="258">
        <f t="shared" si="6"/>
        <v>16320</v>
      </c>
      <c r="O23" s="259">
        <f t="shared" si="7"/>
        <v>14.705882352941176</v>
      </c>
      <c r="P23" s="258">
        <f t="shared" si="8"/>
        <v>11280</v>
      </c>
      <c r="Q23" s="259">
        <f t="shared" si="9"/>
        <v>21.276595744680851</v>
      </c>
      <c r="R23" s="258">
        <f t="shared" si="10"/>
        <v>12000</v>
      </c>
      <c r="S23" s="259">
        <f t="shared" si="11"/>
        <v>20</v>
      </c>
      <c r="T23" s="258">
        <f t="shared" si="12"/>
        <v>60000</v>
      </c>
      <c r="U23" s="259">
        <f t="shared" si="13"/>
        <v>4</v>
      </c>
      <c r="V23" s="258">
        <f t="shared" si="14"/>
        <v>45600</v>
      </c>
      <c r="W23" s="259">
        <f t="shared" si="15"/>
        <v>5.2631578947368425</v>
      </c>
      <c r="X23" s="258">
        <f t="shared" si="16"/>
        <v>15600</v>
      </c>
      <c r="Y23" s="259">
        <f t="shared" si="17"/>
        <v>15.384615384615385</v>
      </c>
      <c r="Z23" s="258">
        <f t="shared" si="18"/>
        <v>11280</v>
      </c>
      <c r="AA23" s="259">
        <f t="shared" si="19"/>
        <v>21.276595744680851</v>
      </c>
      <c r="AB23" s="258">
        <f t="shared" si="20"/>
        <v>379.20000000000005</v>
      </c>
      <c r="AC23" s="259">
        <f t="shared" si="21"/>
        <v>632.91139240506322</v>
      </c>
      <c r="AD23" s="258">
        <f t="shared" si="22"/>
        <v>720</v>
      </c>
      <c r="AE23" s="259">
        <f t="shared" si="23"/>
        <v>333.33333333333331</v>
      </c>
      <c r="AF23" s="258">
        <f t="shared" si="24"/>
        <v>576</v>
      </c>
      <c r="AG23" s="259">
        <f t="shared" si="25"/>
        <v>416.66666666666669</v>
      </c>
      <c r="AH23" s="258">
        <f t="shared" si="26"/>
        <v>3000</v>
      </c>
      <c r="AI23" s="259">
        <f t="shared" si="27"/>
        <v>80</v>
      </c>
      <c r="AJ23" s="258">
        <f t="shared" si="31"/>
        <v>1680</v>
      </c>
      <c r="AK23" s="259">
        <f t="shared" si="28"/>
        <v>142.85714285714286</v>
      </c>
      <c r="AL23">
        <f t="shared" si="29"/>
        <v>26400</v>
      </c>
      <c r="AM23">
        <f t="shared" si="30"/>
        <v>9.0909090909090917</v>
      </c>
    </row>
    <row r="24" spans="3:39">
      <c r="C24" t="s">
        <v>195</v>
      </c>
      <c r="D24">
        <v>30</v>
      </c>
      <c r="E24">
        <v>2800</v>
      </c>
      <c r="F24">
        <v>10000</v>
      </c>
      <c r="H24" s="258">
        <f t="shared" si="0"/>
        <v>72000</v>
      </c>
      <c r="I24" s="259">
        <f t="shared" si="1"/>
        <v>4.166666666666667</v>
      </c>
      <c r="J24" s="258">
        <f t="shared" si="2"/>
        <v>235500</v>
      </c>
      <c r="K24" s="259">
        <f t="shared" si="3"/>
        <v>1.2738853503184713</v>
      </c>
      <c r="L24" s="258">
        <f t="shared" si="4"/>
        <v>20250</v>
      </c>
      <c r="M24" s="259">
        <f t="shared" si="5"/>
        <v>14.814814814814815</v>
      </c>
      <c r="N24" s="258">
        <f t="shared" si="6"/>
        <v>20400</v>
      </c>
      <c r="O24" s="259">
        <f t="shared" si="7"/>
        <v>14.705882352941176</v>
      </c>
      <c r="P24" s="258">
        <f t="shared" si="8"/>
        <v>14100</v>
      </c>
      <c r="Q24" s="259">
        <f t="shared" si="9"/>
        <v>21.276595744680851</v>
      </c>
      <c r="R24" s="258">
        <f t="shared" si="10"/>
        <v>15000</v>
      </c>
      <c r="S24" s="259">
        <f t="shared" si="11"/>
        <v>20</v>
      </c>
      <c r="T24" s="258">
        <f t="shared" si="12"/>
        <v>75000</v>
      </c>
      <c r="U24" s="259">
        <f t="shared" si="13"/>
        <v>4</v>
      </c>
      <c r="V24" s="258">
        <f t="shared" si="14"/>
        <v>57000</v>
      </c>
      <c r="W24" s="259">
        <f t="shared" si="15"/>
        <v>5.2631578947368425</v>
      </c>
      <c r="X24" s="258">
        <f t="shared" si="16"/>
        <v>19500</v>
      </c>
      <c r="Y24" s="259">
        <f t="shared" si="17"/>
        <v>15.384615384615385</v>
      </c>
      <c r="Z24" s="258">
        <f t="shared" si="18"/>
        <v>14100</v>
      </c>
      <c r="AA24" s="259">
        <f t="shared" si="19"/>
        <v>21.276595744680851</v>
      </c>
      <c r="AB24" s="258">
        <f t="shared" si="20"/>
        <v>474</v>
      </c>
      <c r="AC24" s="259">
        <f t="shared" si="21"/>
        <v>632.91139240506322</v>
      </c>
      <c r="AD24" s="258">
        <f t="shared" si="22"/>
        <v>900</v>
      </c>
      <c r="AE24" s="259">
        <f t="shared" si="23"/>
        <v>333.33333333333331</v>
      </c>
      <c r="AF24" s="258">
        <f t="shared" si="24"/>
        <v>720</v>
      </c>
      <c r="AG24" s="259">
        <f t="shared" si="25"/>
        <v>416.66666666666669</v>
      </c>
      <c r="AH24" s="258">
        <f t="shared" si="26"/>
        <v>3750</v>
      </c>
      <c r="AI24" s="259">
        <f t="shared" si="27"/>
        <v>80</v>
      </c>
      <c r="AJ24" s="258">
        <f t="shared" si="31"/>
        <v>2100</v>
      </c>
      <c r="AK24" s="259">
        <f t="shared" si="28"/>
        <v>142.85714285714286</v>
      </c>
      <c r="AL24">
        <f t="shared" si="29"/>
        <v>33000</v>
      </c>
      <c r="AM24">
        <f t="shared" si="30"/>
        <v>9.0909090909090917</v>
      </c>
    </row>
    <row r="25" spans="3:39">
      <c r="C25" t="s">
        <v>195</v>
      </c>
      <c r="D25">
        <v>31</v>
      </c>
      <c r="E25">
        <v>2497</v>
      </c>
      <c r="F25">
        <v>10000</v>
      </c>
      <c r="H25" s="258">
        <f t="shared" si="0"/>
        <v>74400</v>
      </c>
      <c r="I25" s="259">
        <f t="shared" si="1"/>
        <v>4.166666666666667</v>
      </c>
      <c r="J25" s="258">
        <f t="shared" si="2"/>
        <v>243350</v>
      </c>
      <c r="K25" s="259">
        <f t="shared" si="3"/>
        <v>1.2738853503184713</v>
      </c>
      <c r="L25" s="258">
        <f t="shared" si="4"/>
        <v>20925</v>
      </c>
      <c r="M25" s="259">
        <f t="shared" si="5"/>
        <v>14.814814814814815</v>
      </c>
      <c r="N25" s="258">
        <f t="shared" si="6"/>
        <v>21080</v>
      </c>
      <c r="O25" s="259">
        <f t="shared" si="7"/>
        <v>14.705882352941176</v>
      </c>
      <c r="P25" s="258">
        <f t="shared" si="8"/>
        <v>14570</v>
      </c>
      <c r="Q25" s="259">
        <f t="shared" si="9"/>
        <v>21.276595744680851</v>
      </c>
      <c r="R25" s="258">
        <f t="shared" si="10"/>
        <v>15500</v>
      </c>
      <c r="S25" s="259">
        <f t="shared" si="11"/>
        <v>20</v>
      </c>
      <c r="T25" s="258">
        <f t="shared" si="12"/>
        <v>77500</v>
      </c>
      <c r="U25" s="259">
        <f t="shared" si="13"/>
        <v>4</v>
      </c>
      <c r="V25" s="258">
        <f t="shared" si="14"/>
        <v>58900</v>
      </c>
      <c r="W25" s="259">
        <f t="shared" si="15"/>
        <v>5.2631578947368425</v>
      </c>
      <c r="X25" s="258">
        <f t="shared" si="16"/>
        <v>20150</v>
      </c>
      <c r="Y25" s="259">
        <f t="shared" si="17"/>
        <v>15.384615384615385</v>
      </c>
      <c r="Z25" s="258">
        <f t="shared" si="18"/>
        <v>14570</v>
      </c>
      <c r="AA25" s="259">
        <f t="shared" si="19"/>
        <v>21.276595744680851</v>
      </c>
      <c r="AB25" s="258">
        <f t="shared" si="20"/>
        <v>489.8</v>
      </c>
      <c r="AC25" s="259">
        <f t="shared" si="21"/>
        <v>632.91139240506322</v>
      </c>
      <c r="AD25" s="258">
        <f t="shared" si="22"/>
        <v>930</v>
      </c>
      <c r="AE25" s="259">
        <f t="shared" si="23"/>
        <v>333.33333333333331</v>
      </c>
      <c r="AF25" s="258">
        <f t="shared" si="24"/>
        <v>744</v>
      </c>
      <c r="AG25" s="259">
        <f t="shared" si="25"/>
        <v>416.66666666666669</v>
      </c>
      <c r="AH25" s="258">
        <f t="shared" si="26"/>
        <v>3875</v>
      </c>
      <c r="AI25" s="259">
        <f t="shared" si="27"/>
        <v>80</v>
      </c>
      <c r="AJ25" s="258">
        <f t="shared" si="31"/>
        <v>2170</v>
      </c>
      <c r="AK25" s="259">
        <f t="shared" si="28"/>
        <v>142.85714285714286</v>
      </c>
      <c r="AL25">
        <f t="shared" si="29"/>
        <v>34100</v>
      </c>
      <c r="AM25">
        <f t="shared" si="30"/>
        <v>9.0909090909090917</v>
      </c>
    </row>
    <row r="26" spans="3:39">
      <c r="D26">
        <v>32</v>
      </c>
      <c r="H26" s="258">
        <f t="shared" si="0"/>
        <v>76800</v>
      </c>
      <c r="I26" s="259">
        <f t="shared" si="1"/>
        <v>0</v>
      </c>
      <c r="J26" s="258">
        <f t="shared" si="2"/>
        <v>251200</v>
      </c>
      <c r="K26" s="259">
        <f t="shared" si="3"/>
        <v>0</v>
      </c>
      <c r="L26" s="258">
        <f t="shared" si="4"/>
        <v>21600</v>
      </c>
      <c r="M26" s="259">
        <f t="shared" si="5"/>
        <v>0</v>
      </c>
      <c r="N26" s="258">
        <f t="shared" si="6"/>
        <v>21760</v>
      </c>
      <c r="O26" s="259">
        <f t="shared" si="7"/>
        <v>0</v>
      </c>
      <c r="P26" s="258">
        <f t="shared" si="8"/>
        <v>15040</v>
      </c>
      <c r="Q26" s="259">
        <f t="shared" si="9"/>
        <v>0</v>
      </c>
      <c r="R26" s="258">
        <f t="shared" si="10"/>
        <v>16000</v>
      </c>
      <c r="S26" s="259">
        <f t="shared" si="11"/>
        <v>0</v>
      </c>
      <c r="T26" s="258">
        <f t="shared" si="12"/>
        <v>80000</v>
      </c>
      <c r="U26" s="259">
        <f t="shared" si="13"/>
        <v>0</v>
      </c>
      <c r="V26" s="258">
        <f t="shared" si="14"/>
        <v>60800</v>
      </c>
      <c r="W26" s="259">
        <f t="shared" si="15"/>
        <v>0</v>
      </c>
      <c r="X26" s="258">
        <f t="shared" si="16"/>
        <v>20800</v>
      </c>
      <c r="Y26" s="259">
        <f t="shared" si="17"/>
        <v>0</v>
      </c>
      <c r="Z26" s="258">
        <f t="shared" si="18"/>
        <v>15040</v>
      </c>
      <c r="AA26" s="259">
        <f t="shared" si="19"/>
        <v>0</v>
      </c>
      <c r="AB26" s="258">
        <f t="shared" si="20"/>
        <v>505.6</v>
      </c>
      <c r="AC26" s="259">
        <f t="shared" si="21"/>
        <v>0</v>
      </c>
      <c r="AD26" s="258">
        <f t="shared" si="22"/>
        <v>960</v>
      </c>
      <c r="AE26" s="259">
        <f t="shared" si="23"/>
        <v>0</v>
      </c>
      <c r="AF26" s="258">
        <f t="shared" si="24"/>
        <v>768</v>
      </c>
      <c r="AG26" s="259">
        <f t="shared" si="25"/>
        <v>0</v>
      </c>
      <c r="AH26" s="258">
        <f t="shared" si="26"/>
        <v>4000</v>
      </c>
      <c r="AI26" s="259">
        <f t="shared" si="27"/>
        <v>0</v>
      </c>
      <c r="AJ26" s="258">
        <f t="shared" si="31"/>
        <v>2240</v>
      </c>
      <c r="AK26" s="259">
        <f t="shared" si="28"/>
        <v>0</v>
      </c>
      <c r="AL26">
        <f t="shared" si="29"/>
        <v>35200</v>
      </c>
      <c r="AM26">
        <f t="shared" si="30"/>
        <v>0</v>
      </c>
    </row>
    <row r="27" spans="3:39">
      <c r="D27">
        <v>36</v>
      </c>
      <c r="H27" s="258">
        <f t="shared" si="0"/>
        <v>86400</v>
      </c>
      <c r="I27" s="259">
        <f t="shared" si="1"/>
        <v>0</v>
      </c>
      <c r="J27" s="258">
        <f t="shared" si="2"/>
        <v>282600</v>
      </c>
      <c r="K27" s="259">
        <f t="shared" si="3"/>
        <v>0</v>
      </c>
      <c r="L27" s="258">
        <f t="shared" si="4"/>
        <v>24300</v>
      </c>
      <c r="M27" s="259">
        <f t="shared" si="5"/>
        <v>0</v>
      </c>
      <c r="N27" s="258">
        <f t="shared" si="6"/>
        <v>24480</v>
      </c>
      <c r="O27" s="259">
        <f t="shared" si="7"/>
        <v>0</v>
      </c>
      <c r="P27" s="258">
        <f t="shared" si="8"/>
        <v>16920</v>
      </c>
      <c r="Q27" s="259">
        <f t="shared" si="9"/>
        <v>0</v>
      </c>
      <c r="R27" s="258">
        <f t="shared" si="10"/>
        <v>18000</v>
      </c>
      <c r="S27" s="259">
        <f t="shared" si="11"/>
        <v>0</v>
      </c>
      <c r="T27" s="258">
        <f t="shared" si="12"/>
        <v>90000</v>
      </c>
      <c r="U27" s="259">
        <f t="shared" si="13"/>
        <v>0</v>
      </c>
      <c r="V27" s="258">
        <f t="shared" si="14"/>
        <v>68400</v>
      </c>
      <c r="W27" s="259">
        <f t="shared" si="15"/>
        <v>0</v>
      </c>
      <c r="X27" s="258">
        <f t="shared" si="16"/>
        <v>23400</v>
      </c>
      <c r="Y27" s="259">
        <f t="shared" si="17"/>
        <v>0</v>
      </c>
      <c r="Z27" s="258">
        <f t="shared" si="18"/>
        <v>16920</v>
      </c>
      <c r="AA27" s="259">
        <f t="shared" si="19"/>
        <v>0</v>
      </c>
      <c r="AB27" s="258">
        <f t="shared" si="20"/>
        <v>568.80000000000007</v>
      </c>
      <c r="AC27" s="259">
        <f t="shared" si="21"/>
        <v>0</v>
      </c>
      <c r="AD27" s="258">
        <f t="shared" si="22"/>
        <v>1080</v>
      </c>
      <c r="AE27" s="259">
        <f t="shared" si="23"/>
        <v>0</v>
      </c>
      <c r="AF27" s="258">
        <f t="shared" si="24"/>
        <v>864</v>
      </c>
      <c r="AG27" s="259">
        <f t="shared" si="25"/>
        <v>0</v>
      </c>
      <c r="AH27" s="258">
        <f t="shared" si="26"/>
        <v>4500</v>
      </c>
      <c r="AI27" s="259">
        <f t="shared" si="27"/>
        <v>0</v>
      </c>
      <c r="AJ27" s="258">
        <f t="shared" si="31"/>
        <v>2520</v>
      </c>
      <c r="AK27" s="259">
        <f t="shared" si="28"/>
        <v>0</v>
      </c>
      <c r="AL27">
        <f t="shared" si="29"/>
        <v>39600</v>
      </c>
      <c r="AM27">
        <f t="shared" si="30"/>
        <v>0</v>
      </c>
    </row>
    <row r="28" spans="3:39" ht="15.75" thickBot="1">
      <c r="C28" t="s">
        <v>195</v>
      </c>
      <c r="D28">
        <v>40</v>
      </c>
      <c r="E28">
        <v>3250</v>
      </c>
      <c r="F28">
        <v>10000</v>
      </c>
      <c r="H28" s="255">
        <f t="shared" si="0"/>
        <v>96000</v>
      </c>
      <c r="I28" s="60">
        <f t="shared" si="1"/>
        <v>4.166666666666667</v>
      </c>
      <c r="J28" s="255">
        <f t="shared" si="2"/>
        <v>314000</v>
      </c>
      <c r="K28" s="60">
        <f t="shared" si="3"/>
        <v>1.2738853503184713</v>
      </c>
      <c r="L28" s="258">
        <f t="shared" si="4"/>
        <v>27000</v>
      </c>
      <c r="M28" s="259">
        <f t="shared" si="5"/>
        <v>14.814814814814815</v>
      </c>
      <c r="N28" s="258">
        <f t="shared" si="6"/>
        <v>27200</v>
      </c>
      <c r="O28" s="259">
        <f t="shared" si="7"/>
        <v>14.705882352941176</v>
      </c>
      <c r="P28" s="258">
        <f t="shared" si="8"/>
        <v>18800</v>
      </c>
      <c r="Q28" s="259">
        <f t="shared" si="9"/>
        <v>21.276595744680851</v>
      </c>
      <c r="R28" s="258">
        <f t="shared" si="10"/>
        <v>20000</v>
      </c>
      <c r="S28" s="259">
        <f t="shared" si="11"/>
        <v>20</v>
      </c>
      <c r="T28" s="258">
        <f t="shared" si="12"/>
        <v>100000</v>
      </c>
      <c r="U28" s="259">
        <f t="shared" si="13"/>
        <v>4</v>
      </c>
      <c r="V28" s="258">
        <f t="shared" si="14"/>
        <v>76000</v>
      </c>
      <c r="W28" s="259">
        <f t="shared" si="15"/>
        <v>5.2631578947368425</v>
      </c>
      <c r="X28" s="258">
        <f t="shared" si="16"/>
        <v>26000</v>
      </c>
      <c r="Y28" s="259">
        <f t="shared" si="17"/>
        <v>15.384615384615385</v>
      </c>
      <c r="Z28" s="258">
        <f t="shared" si="18"/>
        <v>18800</v>
      </c>
      <c r="AA28" s="259">
        <f t="shared" si="19"/>
        <v>21.276595744680851</v>
      </c>
      <c r="AB28" s="258">
        <f t="shared" si="20"/>
        <v>632</v>
      </c>
      <c r="AC28" s="259">
        <f t="shared" si="21"/>
        <v>632.91139240506322</v>
      </c>
      <c r="AD28" s="258">
        <f t="shared" si="22"/>
        <v>1200</v>
      </c>
      <c r="AE28" s="259">
        <f t="shared" si="23"/>
        <v>333.33333333333331</v>
      </c>
      <c r="AF28" s="258">
        <f t="shared" si="24"/>
        <v>960</v>
      </c>
      <c r="AG28" s="259">
        <f t="shared" si="25"/>
        <v>416.66666666666669</v>
      </c>
      <c r="AH28" s="258">
        <f t="shared" si="26"/>
        <v>5000</v>
      </c>
      <c r="AI28" s="259">
        <f t="shared" si="27"/>
        <v>80</v>
      </c>
      <c r="AJ28" s="258">
        <f t="shared" si="31"/>
        <v>2800</v>
      </c>
      <c r="AK28" s="259">
        <f t="shared" si="28"/>
        <v>142.85714285714286</v>
      </c>
      <c r="AL28">
        <f t="shared" si="29"/>
        <v>44000</v>
      </c>
      <c r="AM28">
        <f t="shared" si="30"/>
        <v>9.0909090909090917</v>
      </c>
    </row>
    <row r="31" spans="3:39">
      <c r="C31" s="2" t="s">
        <v>196</v>
      </c>
    </row>
    <row r="32" spans="3:39" ht="15.75" thickBot="1">
      <c r="C32" t="s">
        <v>197</v>
      </c>
      <c r="D32">
        <v>5</v>
      </c>
      <c r="E32">
        <v>590</v>
      </c>
      <c r="F32">
        <v>10000</v>
      </c>
      <c r="H32" s="255">
        <f>D32*$V$39</f>
        <v>12000</v>
      </c>
      <c r="I32" s="60">
        <f>F32/$V$39</f>
        <v>4.166666666666667</v>
      </c>
      <c r="J32" s="255">
        <f>D32*$V$40</f>
        <v>39250</v>
      </c>
      <c r="K32" s="60">
        <f>F32/$V$40</f>
        <v>1.2738853503184713</v>
      </c>
      <c r="L32" s="258">
        <f>D32*$V$41</f>
        <v>3375</v>
      </c>
      <c r="M32" s="259">
        <f>F32/$V$41</f>
        <v>14.814814814814815</v>
      </c>
      <c r="N32" s="258">
        <f>D32*$V$42</f>
        <v>3400</v>
      </c>
      <c r="O32" s="259">
        <f>F32/$V$42</f>
        <v>14.705882352941176</v>
      </c>
      <c r="P32" s="258">
        <f>D32*$V$43</f>
        <v>2350</v>
      </c>
      <c r="Q32" s="259">
        <f>F32/$V$43</f>
        <v>21.276595744680851</v>
      </c>
      <c r="R32" s="258">
        <f>D32*$V$51</f>
        <v>2500</v>
      </c>
      <c r="S32" s="259">
        <f>F32/$V$51</f>
        <v>20</v>
      </c>
      <c r="T32" s="258">
        <f>D32*$V$52</f>
        <v>12500</v>
      </c>
      <c r="U32" s="259">
        <f>F32/$V$52</f>
        <v>4</v>
      </c>
      <c r="V32" s="258">
        <f>D32*$V$53</f>
        <v>9500</v>
      </c>
      <c r="W32" s="259">
        <f>F32/$V$53</f>
        <v>5.2631578947368425</v>
      </c>
      <c r="X32" s="258">
        <f>D32*$V$54</f>
        <v>3250</v>
      </c>
      <c r="Y32" s="259">
        <f>F32/$V$54</f>
        <v>15.384615384615385</v>
      </c>
      <c r="Z32" s="258">
        <f>D32*$V$55</f>
        <v>2350</v>
      </c>
      <c r="AA32" s="259">
        <f>F32/$V$55</f>
        <v>21.276595744680851</v>
      </c>
      <c r="AB32" s="258">
        <f>D32*$V$45</f>
        <v>79</v>
      </c>
      <c r="AC32" s="259">
        <f>F32/$V$45</f>
        <v>632.91139240506322</v>
      </c>
      <c r="AD32" s="258">
        <f>D32*$V$46</f>
        <v>150</v>
      </c>
      <c r="AE32" s="259">
        <f>F32/$V$46</f>
        <v>333.33333333333331</v>
      </c>
      <c r="AF32" s="258">
        <f>D32*$V$47</f>
        <v>120</v>
      </c>
      <c r="AG32" s="259">
        <f>F32/$V$47</f>
        <v>416.66666666666669</v>
      </c>
      <c r="AH32" s="258">
        <f>D32*$V$48</f>
        <v>625</v>
      </c>
      <c r="AI32" s="259">
        <f>F32/$V$48</f>
        <v>80</v>
      </c>
      <c r="AJ32" s="258">
        <f>D32*$V$49</f>
        <v>350</v>
      </c>
      <c r="AK32" s="259">
        <f>F32/$V$49</f>
        <v>142.85714285714286</v>
      </c>
      <c r="AL32">
        <f>D32*$V$56</f>
        <v>5500</v>
      </c>
      <c r="AM32">
        <f>F32/$V$56</f>
        <v>9.0909090909090917</v>
      </c>
    </row>
    <row r="33" spans="3:39" ht="15.75" thickBot="1">
      <c r="C33" t="s">
        <v>198</v>
      </c>
      <c r="D33">
        <v>7</v>
      </c>
      <c r="E33">
        <v>690</v>
      </c>
      <c r="F33">
        <v>10000</v>
      </c>
      <c r="H33" s="255">
        <f>D33*$V$39</f>
        <v>16800</v>
      </c>
      <c r="I33" s="60">
        <f t="shared" ref="I33:I34" si="32">F33/$V$39</f>
        <v>4.166666666666667</v>
      </c>
      <c r="J33" s="255">
        <f>D33*$V$40</f>
        <v>54950</v>
      </c>
      <c r="K33" s="60">
        <f t="shared" ref="K33:K34" si="33">F33/$V$40</f>
        <v>1.2738853503184713</v>
      </c>
      <c r="L33" s="258">
        <f>D33*$V$41</f>
        <v>4725</v>
      </c>
      <c r="M33" s="259">
        <f t="shared" ref="M33:M34" si="34">F33/$V$41</f>
        <v>14.814814814814815</v>
      </c>
      <c r="N33" s="258">
        <f>D33*$V$42</f>
        <v>4760</v>
      </c>
      <c r="O33" s="259">
        <f t="shared" ref="O33:O34" si="35">F33/$V$42</f>
        <v>14.705882352941176</v>
      </c>
      <c r="P33" s="258">
        <f t="shared" ref="P33:P34" si="36">D33*$V$43</f>
        <v>3290</v>
      </c>
      <c r="Q33" s="259">
        <f t="shared" ref="Q33:Q34" si="37">F33/$V$43</f>
        <v>21.276595744680851</v>
      </c>
      <c r="R33" s="258">
        <f t="shared" ref="R33:R34" si="38">D33*$V$51</f>
        <v>3500</v>
      </c>
      <c r="S33" s="259">
        <f t="shared" ref="S33:S34" si="39">F33/$V$51</f>
        <v>20</v>
      </c>
      <c r="T33" s="258">
        <f t="shared" ref="T33:T34" si="40">D33*$V$52</f>
        <v>17500</v>
      </c>
      <c r="U33" s="259">
        <f t="shared" ref="U33:U34" si="41">F33/$V$52</f>
        <v>4</v>
      </c>
      <c r="V33" s="258">
        <f t="shared" ref="V33:V34" si="42">D33*$V$53</f>
        <v>13300</v>
      </c>
      <c r="W33" s="259">
        <f t="shared" ref="W33:W34" si="43">F33/$V$53</f>
        <v>5.2631578947368425</v>
      </c>
      <c r="X33" s="258">
        <f t="shared" ref="X33:X34" si="44">D33*$V$54</f>
        <v>4550</v>
      </c>
      <c r="Y33" s="259">
        <f t="shared" ref="Y33:Y34" si="45">F33/$V$54</f>
        <v>15.384615384615385</v>
      </c>
      <c r="Z33" s="258">
        <f t="shared" ref="Z33:Z34" si="46">D33*$V$55</f>
        <v>3290</v>
      </c>
      <c r="AA33" s="259">
        <f t="shared" ref="AA33:AA34" si="47">F33/$V$55</f>
        <v>21.276595744680851</v>
      </c>
      <c r="AB33" s="258">
        <f t="shared" ref="AB33:AB34" si="48">D33*$V$45</f>
        <v>110.60000000000001</v>
      </c>
      <c r="AC33" s="259">
        <f t="shared" ref="AC33:AC34" si="49">F33/$V$45</f>
        <v>632.91139240506322</v>
      </c>
      <c r="AD33" s="258">
        <f t="shared" ref="AD33:AD34" si="50">D33*$V$46</f>
        <v>210</v>
      </c>
      <c r="AE33" s="259">
        <f t="shared" ref="AE33:AE34" si="51">F33/$V$46</f>
        <v>333.33333333333331</v>
      </c>
      <c r="AF33" s="258">
        <f t="shared" ref="AF33:AF34" si="52">D33*$V$47</f>
        <v>168</v>
      </c>
      <c r="AG33" s="259">
        <f t="shared" ref="AG33:AG34" si="53">F33/$V$47</f>
        <v>416.66666666666669</v>
      </c>
      <c r="AH33" s="258">
        <f t="shared" ref="AH33:AH34" si="54">D33*$V$48</f>
        <v>875</v>
      </c>
      <c r="AI33" s="259">
        <f t="shared" ref="AI33:AI34" si="55">F33/$V$48</f>
        <v>80</v>
      </c>
      <c r="AJ33" s="258">
        <f t="shared" ref="AJ33:AJ34" si="56">D33*$V$49</f>
        <v>490</v>
      </c>
      <c r="AK33" s="259">
        <f t="shared" ref="AK33:AK34" si="57">F33/$V$49</f>
        <v>142.85714285714286</v>
      </c>
      <c r="AL33">
        <f>D33*$V$56</f>
        <v>7700</v>
      </c>
      <c r="AM33">
        <f>F33/$V$56</f>
        <v>9.0909090909090917</v>
      </c>
    </row>
    <row r="34" spans="3:39" ht="15.75" thickBot="1">
      <c r="C34" t="s">
        <v>199</v>
      </c>
      <c r="D34">
        <v>10</v>
      </c>
      <c r="E34">
        <v>895</v>
      </c>
      <c r="F34">
        <v>10000</v>
      </c>
      <c r="H34" s="255">
        <f>D34*$V$39</f>
        <v>24000</v>
      </c>
      <c r="I34" s="60">
        <f t="shared" si="32"/>
        <v>4.166666666666667</v>
      </c>
      <c r="J34" s="255">
        <f>D34*$V$40</f>
        <v>78500</v>
      </c>
      <c r="K34" s="60">
        <f t="shared" si="33"/>
        <v>1.2738853503184713</v>
      </c>
      <c r="L34" s="258">
        <f>D34*$V$41</f>
        <v>6750</v>
      </c>
      <c r="M34" s="259">
        <f t="shared" si="34"/>
        <v>14.814814814814815</v>
      </c>
      <c r="N34" s="258">
        <f>D34*$V$42</f>
        <v>6800</v>
      </c>
      <c r="O34" s="259">
        <f t="shared" si="35"/>
        <v>14.705882352941176</v>
      </c>
      <c r="P34" s="258">
        <f t="shared" si="36"/>
        <v>4700</v>
      </c>
      <c r="Q34" s="259">
        <f t="shared" si="37"/>
        <v>21.276595744680851</v>
      </c>
      <c r="R34" s="258">
        <f t="shared" si="38"/>
        <v>5000</v>
      </c>
      <c r="S34" s="259">
        <f t="shared" si="39"/>
        <v>20</v>
      </c>
      <c r="T34" s="258">
        <f t="shared" si="40"/>
        <v>25000</v>
      </c>
      <c r="U34" s="259">
        <f t="shared" si="41"/>
        <v>4</v>
      </c>
      <c r="V34" s="258">
        <f t="shared" si="42"/>
        <v>19000</v>
      </c>
      <c r="W34" s="259">
        <f t="shared" si="43"/>
        <v>5.2631578947368425</v>
      </c>
      <c r="X34" s="258">
        <f t="shared" si="44"/>
        <v>6500</v>
      </c>
      <c r="Y34" s="259">
        <f t="shared" si="45"/>
        <v>15.384615384615385</v>
      </c>
      <c r="Z34" s="258">
        <f t="shared" si="46"/>
        <v>4700</v>
      </c>
      <c r="AA34" s="259">
        <f t="shared" si="47"/>
        <v>21.276595744680851</v>
      </c>
      <c r="AB34" s="258">
        <f t="shared" si="48"/>
        <v>158</v>
      </c>
      <c r="AC34" s="259">
        <f t="shared" si="49"/>
        <v>632.91139240506322</v>
      </c>
      <c r="AD34" s="258">
        <f t="shared" si="50"/>
        <v>300</v>
      </c>
      <c r="AE34" s="259">
        <f t="shared" si="51"/>
        <v>333.33333333333331</v>
      </c>
      <c r="AF34" s="258">
        <f t="shared" si="52"/>
        <v>240</v>
      </c>
      <c r="AG34" s="259">
        <f t="shared" si="53"/>
        <v>416.66666666666669</v>
      </c>
      <c r="AH34" s="258">
        <f t="shared" si="54"/>
        <v>1250</v>
      </c>
      <c r="AI34" s="259">
        <f t="shared" si="55"/>
        <v>80</v>
      </c>
      <c r="AJ34" s="258">
        <f t="shared" si="56"/>
        <v>700</v>
      </c>
      <c r="AK34" s="259">
        <f t="shared" si="57"/>
        <v>142.85714285714286</v>
      </c>
      <c r="AL34">
        <f>D34*$V$56</f>
        <v>11000</v>
      </c>
      <c r="AM34">
        <f>F34/$V$56</f>
        <v>9.0909090909090917</v>
      </c>
    </row>
    <row r="35" spans="3:39">
      <c r="C35" s="2" t="s">
        <v>200</v>
      </c>
    </row>
    <row r="36" spans="3:39" ht="15.75" thickBot="1">
      <c r="C36" t="s">
        <v>195</v>
      </c>
      <c r="D36">
        <v>38.5</v>
      </c>
      <c r="E36">
        <v>3100</v>
      </c>
      <c r="F36">
        <v>15000</v>
      </c>
      <c r="H36" s="255">
        <f>D36*$V$39</f>
        <v>92400</v>
      </c>
      <c r="I36" s="60">
        <f>F36/$V$39</f>
        <v>6.25</v>
      </c>
      <c r="J36" s="255">
        <f>D36*$V$40</f>
        <v>302225</v>
      </c>
      <c r="K36" s="60">
        <f>F36/$V$40</f>
        <v>1.910828025477707</v>
      </c>
      <c r="L36" s="258">
        <f>D36*$V$41</f>
        <v>25987.5</v>
      </c>
      <c r="M36" s="259">
        <f>F36/$V$41</f>
        <v>22.222222222222221</v>
      </c>
      <c r="N36" s="258">
        <f>D36*$V$42</f>
        <v>26180</v>
      </c>
      <c r="O36" s="259">
        <f>F36/$V$42</f>
        <v>22.058823529411764</v>
      </c>
      <c r="P36" s="258">
        <f>D36*$V$43</f>
        <v>18095</v>
      </c>
      <c r="Q36" s="259">
        <f>F36/$V$43</f>
        <v>31.914893617021278</v>
      </c>
      <c r="R36" s="258">
        <f>D36*$V$51</f>
        <v>19250</v>
      </c>
      <c r="S36" s="259">
        <f>F36/$V$51</f>
        <v>30</v>
      </c>
      <c r="T36" s="258">
        <f>D36*$V$52</f>
        <v>96250</v>
      </c>
      <c r="U36" s="259">
        <f>F36/$V$52</f>
        <v>6</v>
      </c>
      <c r="V36" s="258">
        <f>D36*$V$53</f>
        <v>73150</v>
      </c>
      <c r="W36" s="259">
        <f>F36/$V$53</f>
        <v>7.8947368421052628</v>
      </c>
      <c r="X36" s="258">
        <f>D36*$V$54</f>
        <v>25025</v>
      </c>
      <c r="Y36" s="259">
        <f>F36/$V$54</f>
        <v>23.076923076923077</v>
      </c>
      <c r="Z36" s="258">
        <f>D36*$V$55</f>
        <v>18095</v>
      </c>
      <c r="AA36" s="259">
        <f>F36/$V$55</f>
        <v>31.914893617021278</v>
      </c>
      <c r="AB36" s="258">
        <f>D36*$V$45</f>
        <v>608.30000000000007</v>
      </c>
      <c r="AC36" s="259">
        <f>F36/$V$45</f>
        <v>949.36708860759484</v>
      </c>
      <c r="AD36" s="258">
        <f>D36*$V$46</f>
        <v>1155</v>
      </c>
      <c r="AE36" s="259">
        <f>F36/$V$46</f>
        <v>500</v>
      </c>
      <c r="AF36" s="258">
        <f>D36*$V$47</f>
        <v>924</v>
      </c>
      <c r="AG36" s="259">
        <f>F36/$V$47</f>
        <v>625</v>
      </c>
      <c r="AH36" s="258">
        <f>D36*$V$48</f>
        <v>4812.5</v>
      </c>
      <c r="AI36" s="259">
        <f>F36/$V$48</f>
        <v>120</v>
      </c>
      <c r="AJ36" s="258">
        <f>D36*$V$49</f>
        <v>2695</v>
      </c>
      <c r="AK36" s="259">
        <f>F36/$V$49</f>
        <v>214.28571428571428</v>
      </c>
      <c r="AL36">
        <f>D36*$V$56</f>
        <v>42350</v>
      </c>
      <c r="AM36">
        <f>F36/$V$56</f>
        <v>13.636363636363637</v>
      </c>
    </row>
    <row r="37" spans="3:39" ht="15.75" thickBot="1"/>
    <row r="38" spans="3:39">
      <c r="C38" s="424" t="s">
        <v>201</v>
      </c>
      <c r="D38" s="435"/>
      <c r="E38" s="474" t="s">
        <v>202</v>
      </c>
      <c r="F38" s="435"/>
      <c r="G38" s="435"/>
      <c r="H38" s="435"/>
      <c r="I38" s="425"/>
      <c r="U38" s="59" t="s">
        <v>203</v>
      </c>
      <c r="V38" s="59" t="s">
        <v>204</v>
      </c>
      <c r="W38" s="59" t="s">
        <v>205</v>
      </c>
    </row>
    <row r="39" spans="3:39">
      <c r="C39" s="426" t="s">
        <v>206</v>
      </c>
      <c r="D39" s="421"/>
      <c r="E39" s="475" t="s">
        <v>207</v>
      </c>
      <c r="F39" s="421"/>
      <c r="G39" s="421"/>
      <c r="H39" s="421"/>
      <c r="I39" s="427"/>
      <c r="U39" s="52" t="s">
        <v>89</v>
      </c>
      <c r="V39" s="52">
        <v>2400</v>
      </c>
      <c r="W39" s="52" t="s">
        <v>208</v>
      </c>
    </row>
    <row r="40" spans="3:39" ht="15.75" thickBot="1">
      <c r="C40" s="428" t="s">
        <v>209</v>
      </c>
      <c r="D40" s="432"/>
      <c r="E40" s="431" t="s">
        <v>210</v>
      </c>
      <c r="F40" s="432"/>
      <c r="G40" s="432"/>
      <c r="H40" s="432"/>
      <c r="I40" s="429"/>
      <c r="U40" s="52" t="s">
        <v>102</v>
      </c>
      <c r="V40" s="52">
        <v>7850</v>
      </c>
      <c r="W40" s="52" t="s">
        <v>208</v>
      </c>
    </row>
    <row r="41" spans="3:39">
      <c r="E41" s="482" t="s">
        <v>211</v>
      </c>
      <c r="F41" s="483"/>
      <c r="G41" s="483"/>
      <c r="H41" s="483"/>
      <c r="I41" s="484"/>
      <c r="U41" s="52" t="s">
        <v>212</v>
      </c>
      <c r="V41" s="52">
        <v>675</v>
      </c>
      <c r="W41" s="52" t="s">
        <v>208</v>
      </c>
    </row>
    <row r="42" spans="3:39">
      <c r="E42" s="476" t="s">
        <v>213</v>
      </c>
      <c r="F42" s="485"/>
      <c r="G42" s="485"/>
      <c r="H42" s="485"/>
      <c r="I42" s="486"/>
      <c r="U42" s="52" t="s">
        <v>214</v>
      </c>
      <c r="V42" s="52">
        <v>680</v>
      </c>
      <c r="W42" s="52" t="s">
        <v>208</v>
      </c>
    </row>
    <row r="43" spans="3:39">
      <c r="E43" s="476" t="s">
        <v>215</v>
      </c>
      <c r="F43" s="477"/>
      <c r="G43" s="477"/>
      <c r="H43" s="477"/>
      <c r="I43" s="478"/>
      <c r="U43" s="52" t="s">
        <v>216</v>
      </c>
      <c r="V43" s="52">
        <v>470</v>
      </c>
      <c r="W43" s="52" t="s">
        <v>208</v>
      </c>
    </row>
    <row r="44" spans="3:39">
      <c r="E44" s="476" t="s">
        <v>217</v>
      </c>
      <c r="F44" s="477"/>
      <c r="G44" s="477"/>
      <c r="H44" s="477"/>
      <c r="I44" s="478"/>
      <c r="U44" s="90" t="s">
        <v>149</v>
      </c>
      <c r="V44" s="90"/>
      <c r="W44" s="90"/>
    </row>
    <row r="45" spans="3:39" ht="15.75" thickBot="1">
      <c r="E45" s="479" t="s">
        <v>218</v>
      </c>
      <c r="F45" s="480"/>
      <c r="G45" s="480"/>
      <c r="H45" s="480"/>
      <c r="I45" s="481"/>
      <c r="U45" s="52" t="s">
        <v>219</v>
      </c>
      <c r="V45" s="52">
        <v>15.8</v>
      </c>
      <c r="W45" s="52" t="s">
        <v>208</v>
      </c>
    </row>
    <row r="46" spans="3:39">
      <c r="E46" s="1"/>
      <c r="F46" s="1"/>
      <c r="G46" s="1"/>
      <c r="H46" s="1"/>
      <c r="I46" s="1"/>
      <c r="U46" s="52" t="s">
        <v>220</v>
      </c>
      <c r="V46" s="52">
        <v>30</v>
      </c>
      <c r="W46" s="52" t="s">
        <v>208</v>
      </c>
    </row>
    <row r="47" spans="3:39">
      <c r="E47" s="1" t="s">
        <v>221</v>
      </c>
      <c r="F47" s="1"/>
      <c r="G47" s="1"/>
      <c r="H47" s="1"/>
      <c r="I47" s="1"/>
      <c r="U47" s="52" t="s">
        <v>222</v>
      </c>
      <c r="V47" s="52">
        <v>24</v>
      </c>
      <c r="W47" s="52" t="s">
        <v>208</v>
      </c>
    </row>
    <row r="48" spans="3:39">
      <c r="E48" s="260" t="s">
        <v>223</v>
      </c>
      <c r="F48" s="1"/>
      <c r="G48" s="1"/>
      <c r="H48" s="1"/>
      <c r="I48" s="1"/>
      <c r="U48" s="52" t="s">
        <v>224</v>
      </c>
      <c r="V48" s="52">
        <v>125</v>
      </c>
      <c r="W48" s="52" t="s">
        <v>208</v>
      </c>
    </row>
    <row r="49" spans="4:26">
      <c r="D49" s="487" t="s">
        <v>225</v>
      </c>
      <c r="E49" s="421"/>
      <c r="F49" s="421"/>
      <c r="G49" s="421"/>
      <c r="H49" s="421"/>
      <c r="I49" s="421"/>
      <c r="U49" s="52" t="s">
        <v>226</v>
      </c>
      <c r="V49" s="52">
        <v>70</v>
      </c>
      <c r="W49" s="52" t="s">
        <v>208</v>
      </c>
    </row>
    <row r="50" spans="4:26">
      <c r="E50" s="421"/>
      <c r="F50" s="421"/>
      <c r="G50" s="421"/>
      <c r="H50" s="421"/>
      <c r="I50" s="421"/>
      <c r="U50" s="59" t="s">
        <v>203</v>
      </c>
      <c r="V50" s="59" t="s">
        <v>204</v>
      </c>
      <c r="W50" s="59" t="s">
        <v>205</v>
      </c>
    </row>
    <row r="51" spans="4:26">
      <c r="U51" s="52" t="s">
        <v>227</v>
      </c>
      <c r="V51" s="52">
        <v>500</v>
      </c>
      <c r="W51" s="52" t="s">
        <v>208</v>
      </c>
    </row>
    <row r="52" spans="4:26">
      <c r="U52" s="52" t="s">
        <v>228</v>
      </c>
      <c r="V52" s="52">
        <v>2500</v>
      </c>
      <c r="W52" s="52" t="s">
        <v>208</v>
      </c>
    </row>
    <row r="53" spans="4:26">
      <c r="U53" s="52" t="s">
        <v>7</v>
      </c>
      <c r="V53" s="52">
        <v>1900</v>
      </c>
      <c r="W53" s="52" t="s">
        <v>208</v>
      </c>
    </row>
    <row r="54" spans="4:26">
      <c r="U54" s="52" t="s">
        <v>229</v>
      </c>
      <c r="V54" s="52">
        <v>650</v>
      </c>
      <c r="W54" s="52" t="s">
        <v>208</v>
      </c>
    </row>
    <row r="55" spans="4:26">
      <c r="U55" s="261" t="s">
        <v>230</v>
      </c>
      <c r="V55" s="261">
        <v>470</v>
      </c>
      <c r="W55" s="52" t="s">
        <v>208</v>
      </c>
    </row>
    <row r="56" spans="4:26">
      <c r="U56" s="52" t="s">
        <v>231</v>
      </c>
      <c r="V56" s="52">
        <v>1100</v>
      </c>
      <c r="W56" s="52" t="s">
        <v>208</v>
      </c>
      <c r="X56" s="489" t="s">
        <v>232</v>
      </c>
      <c r="Y56" s="421"/>
      <c r="Z56" s="421"/>
    </row>
    <row r="58" spans="4:26">
      <c r="U58" t="s">
        <v>233</v>
      </c>
    </row>
    <row r="66" spans="6:10" ht="15.75" thickBot="1"/>
    <row r="67" spans="6:10" ht="15.75" thickBot="1">
      <c r="F67" s="422" t="s">
        <v>658</v>
      </c>
      <c r="G67" s="423"/>
      <c r="H67" s="488" t="s">
        <v>640</v>
      </c>
      <c r="I67" s="421"/>
      <c r="J67" s="421"/>
    </row>
    <row r="68" spans="6:10" ht="15.75" thickBot="1"/>
    <row r="69" spans="6:10" ht="15.75" thickBot="1">
      <c r="F69" s="256" t="s">
        <v>659</v>
      </c>
      <c r="G69" s="422" t="s">
        <v>660</v>
      </c>
      <c r="H69" s="430"/>
      <c r="I69" s="430"/>
      <c r="J69" s="423"/>
    </row>
    <row r="70" spans="6:10" ht="15.75" thickBot="1">
      <c r="F70" t="s">
        <v>661</v>
      </c>
      <c r="G70" s="271" t="s">
        <v>662</v>
      </c>
      <c r="H70" s="271" t="s">
        <v>663</v>
      </c>
      <c r="I70" s="271" t="s">
        <v>664</v>
      </c>
      <c r="J70" s="271" t="s">
        <v>665</v>
      </c>
    </row>
    <row r="71" spans="6:10">
      <c r="F71" t="s">
        <v>666</v>
      </c>
      <c r="G71" t="s">
        <v>667</v>
      </c>
      <c r="H71" t="s">
        <v>668</v>
      </c>
      <c r="I71" t="s">
        <v>669</v>
      </c>
      <c r="J71" t="s">
        <v>670</v>
      </c>
    </row>
    <row r="72" spans="6:10">
      <c r="F72" t="s">
        <v>671</v>
      </c>
      <c r="G72" t="s">
        <v>335</v>
      </c>
      <c r="H72" t="s">
        <v>672</v>
      </c>
      <c r="I72" t="s">
        <v>673</v>
      </c>
      <c r="J72" t="s">
        <v>674</v>
      </c>
    </row>
    <row r="73" spans="6:10">
      <c r="F73" t="s">
        <v>675</v>
      </c>
      <c r="G73" t="s">
        <v>297</v>
      </c>
      <c r="H73" t="s">
        <v>676</v>
      </c>
      <c r="I73" t="s">
        <v>677</v>
      </c>
    </row>
    <row r="74" spans="6:10">
      <c r="F74" t="s">
        <v>678</v>
      </c>
      <c r="G74" t="s">
        <v>679</v>
      </c>
      <c r="H74" t="s">
        <v>680</v>
      </c>
      <c r="I74" t="s">
        <v>681</v>
      </c>
    </row>
    <row r="75" spans="6:10">
      <c r="F75" t="s">
        <v>682</v>
      </c>
      <c r="G75" t="s">
        <v>683</v>
      </c>
      <c r="H75" t="s">
        <v>684</v>
      </c>
      <c r="I75" t="s">
        <v>685</v>
      </c>
    </row>
    <row r="76" spans="6:10">
      <c r="F76" t="s">
        <v>686</v>
      </c>
      <c r="G76" t="s">
        <v>687</v>
      </c>
      <c r="H76" t="s">
        <v>688</v>
      </c>
      <c r="I76" t="s">
        <v>689</v>
      </c>
    </row>
    <row r="77" spans="6:10">
      <c r="F77" t="s">
        <v>690</v>
      </c>
      <c r="G77" t="s">
        <v>691</v>
      </c>
      <c r="H77" t="s">
        <v>692</v>
      </c>
      <c r="I77" t="s">
        <v>693</v>
      </c>
    </row>
    <row r="78" spans="6:10">
      <c r="F78" t="s">
        <v>694</v>
      </c>
      <c r="G78" t="s">
        <v>228</v>
      </c>
      <c r="H78" t="s">
        <v>695</v>
      </c>
      <c r="I78" t="s">
        <v>696</v>
      </c>
    </row>
    <row r="79" spans="6:10">
      <c r="F79" t="s">
        <v>697</v>
      </c>
      <c r="G79" t="s">
        <v>698</v>
      </c>
      <c r="H79" t="s">
        <v>690</v>
      </c>
    </row>
    <row r="80" spans="6:10">
      <c r="F80" t="s">
        <v>699</v>
      </c>
      <c r="G80" t="s">
        <v>700</v>
      </c>
    </row>
    <row r="81" spans="6:7">
      <c r="F81" t="s">
        <v>701</v>
      </c>
      <c r="G81" t="s">
        <v>702</v>
      </c>
    </row>
    <row r="82" spans="6:7">
      <c r="F82" t="s">
        <v>703</v>
      </c>
      <c r="G82" t="s">
        <v>704</v>
      </c>
    </row>
    <row r="83" spans="6:7">
      <c r="G83" t="s">
        <v>705</v>
      </c>
    </row>
    <row r="84" spans="6:7">
      <c r="G84" t="s">
        <v>706</v>
      </c>
    </row>
    <row r="85" spans="6:7">
      <c r="G85" t="s">
        <v>707</v>
      </c>
    </row>
    <row r="86" spans="6:7">
      <c r="G86" t="s">
        <v>708</v>
      </c>
    </row>
    <row r="87" spans="6:7">
      <c r="G87" t="s">
        <v>709</v>
      </c>
    </row>
    <row r="88" spans="6:7">
      <c r="G88" t="s">
        <v>710</v>
      </c>
    </row>
    <row r="89" spans="6:7">
      <c r="G89" t="s">
        <v>711</v>
      </c>
    </row>
    <row r="90" spans="6:7">
      <c r="G90" t="s">
        <v>712</v>
      </c>
    </row>
    <row r="91" spans="6:7">
      <c r="G91" t="s">
        <v>713</v>
      </c>
    </row>
    <row r="92" spans="6:7">
      <c r="G92" t="s">
        <v>714</v>
      </c>
    </row>
    <row r="93" spans="6:7">
      <c r="G93" t="s">
        <v>303</v>
      </c>
    </row>
  </sheetData>
  <mergeCells count="19">
    <mergeCell ref="F67:G67"/>
    <mergeCell ref="G69:J69"/>
    <mergeCell ref="H67:J67"/>
    <mergeCell ref="X56:Z56"/>
    <mergeCell ref="AB1:AK1"/>
    <mergeCell ref="H1:AA1"/>
    <mergeCell ref="C38:D38"/>
    <mergeCell ref="E38:I38"/>
    <mergeCell ref="C39:D39"/>
    <mergeCell ref="E39:I39"/>
    <mergeCell ref="E50:I50"/>
    <mergeCell ref="E43:I43"/>
    <mergeCell ref="E44:I44"/>
    <mergeCell ref="E45:I45"/>
    <mergeCell ref="C40:D40"/>
    <mergeCell ref="E40:I40"/>
    <mergeCell ref="E41:I41"/>
    <mergeCell ref="E42:I42"/>
    <mergeCell ref="D49:I49"/>
  </mergeCells>
  <conditionalFormatting sqref="H5:H7">
    <cfRule type="colorScale" priority="17">
      <colorScale>
        <cfvo type="num" val="0"/>
        <cfvo type="num" val="5000"/>
        <color rgb="FFFF7128"/>
        <color rgb="FFD69494"/>
      </colorScale>
    </cfRule>
    <cfRule type="colorScale" priority="18">
      <colorScale>
        <cfvo type="num" val="0"/>
        <cfvo type="num" val="5000"/>
        <color rgb="FFFF7128"/>
        <color rgb="FFFFEF9C"/>
      </colorScale>
    </cfRule>
  </conditionalFormatting>
  <conditionalFormatting sqref="H11:H13">
    <cfRule type="colorScale" priority="16">
      <colorScale>
        <cfvo type="num" val="0"/>
        <cfvo type="num" val="10000"/>
        <color rgb="FFFF7128"/>
        <color rgb="FFFF5050"/>
      </colorScale>
    </cfRule>
  </conditionalFormatting>
  <conditionalFormatting sqref="H15">
    <cfRule type="colorScale" priority="11">
      <colorScale>
        <cfvo type="num" val="0"/>
        <cfvo type="num" val="12000"/>
        <color rgb="FFFF7128"/>
        <color rgb="FFFF7979"/>
      </colorScale>
    </cfRule>
  </conditionalFormatting>
  <conditionalFormatting sqref="H16">
    <cfRule type="colorScale" priority="15">
      <colorScale>
        <cfvo type="num" val="0"/>
        <cfvo type="num" val="10000"/>
        <color rgb="FFFF7128"/>
        <color rgb="FFFF5050"/>
      </colorScale>
    </cfRule>
  </conditionalFormatting>
  <conditionalFormatting sqref="H19">
    <cfRule type="colorScale" priority="14">
      <colorScale>
        <cfvo type="num" val="0"/>
        <cfvo type="num" val="10000"/>
        <color rgb="FFFF7128"/>
        <color rgb="FFFF5050"/>
      </colorScale>
    </cfRule>
  </conditionalFormatting>
  <conditionalFormatting sqref="H22:H25">
    <cfRule type="colorScale" priority="13">
      <colorScale>
        <cfvo type="num" val="0"/>
        <cfvo type="num" val="10000"/>
        <color rgb="FFFF7128"/>
        <color rgb="FFFF5050"/>
      </colorScale>
    </cfRule>
  </conditionalFormatting>
  <conditionalFormatting sqref="H28">
    <cfRule type="colorScale" priority="12">
      <colorScale>
        <cfvo type="num" val="0"/>
        <cfvo type="num" val="10000"/>
        <color rgb="FFFF7128"/>
        <color rgb="FFFF5050"/>
      </colorScale>
    </cfRule>
  </conditionalFormatting>
  <conditionalFormatting sqref="H32:H34">
    <cfRule type="colorScale" priority="6">
      <colorScale>
        <cfvo type="num" val="0"/>
        <cfvo type="num" val="10000"/>
        <color rgb="FFFF7128"/>
        <color rgb="FFFF5050"/>
      </colorScale>
    </cfRule>
  </conditionalFormatting>
  <conditionalFormatting sqref="H36">
    <cfRule type="colorScale" priority="3">
      <colorScale>
        <cfvo type="num" val="0"/>
        <cfvo type="num" val="10000"/>
        <color rgb="FFFF7128"/>
        <color rgb="FFFF5050"/>
      </colorScale>
    </cfRule>
  </conditionalFormatting>
  <conditionalFormatting sqref="J5:J28">
    <cfRule type="colorScale" priority="7">
      <colorScale>
        <cfvo type="num" val="0"/>
        <cfvo type="num" val="5000"/>
        <color rgb="FFFF7128"/>
        <color rgb="FFD69494"/>
      </colorScale>
    </cfRule>
    <cfRule type="colorScale" priority="8">
      <colorScale>
        <cfvo type="num" val="0"/>
        <cfvo type="num" val="5000"/>
        <color rgb="FFFF7128"/>
        <color rgb="FFFFEF9C"/>
      </colorScale>
    </cfRule>
  </conditionalFormatting>
  <conditionalFormatting sqref="J32:J34">
    <cfRule type="colorScale" priority="4">
      <colorScale>
        <cfvo type="num" val="0"/>
        <cfvo type="num" val="5000"/>
        <color rgb="FFFF7128"/>
        <color rgb="FFD69494"/>
      </colorScale>
    </cfRule>
    <cfRule type="colorScale" priority="5">
      <colorScale>
        <cfvo type="num" val="0"/>
        <cfvo type="num" val="5000"/>
        <color rgb="FFFF7128"/>
        <color rgb="FFFFEF9C"/>
      </colorScale>
    </cfRule>
  </conditionalFormatting>
  <conditionalFormatting sqref="J36">
    <cfRule type="colorScale" priority="1">
      <colorScale>
        <cfvo type="num" val="0"/>
        <cfvo type="num" val="5000"/>
        <color rgb="FFFF7128"/>
        <color rgb="FFD69494"/>
      </colorScale>
    </cfRule>
    <cfRule type="colorScale" priority="2">
      <colorScale>
        <cfvo type="num" val="0"/>
        <cfvo type="num" val="5000"/>
        <color rgb="FFFF7128"/>
        <color rgb="FFFFEF9C"/>
      </colorScale>
    </cfRule>
  </conditionalFormatting>
  <hyperlinks>
    <hyperlink ref="E41" r:id="rId1" xr:uid="{DAFB38A3-2C69-41E4-90F3-97ECF0868617}"/>
    <hyperlink ref="E42" r:id="rId2" xr:uid="{0EF7A082-3EBF-4D04-96D0-50BAA4FB49CE}"/>
    <hyperlink ref="E48" r:id="rId3" xr:uid="{F8F93D26-4018-4BCB-BDA5-1FEAA165BEFD}"/>
    <hyperlink ref="E38" r:id="rId4" xr:uid="{AD6D5300-E198-4FBC-B5E5-8997706F574D}"/>
    <hyperlink ref="E39" r:id="rId5" xr:uid="{90A687E0-6036-4CEF-9AEA-6AD44BA73C05}"/>
    <hyperlink ref="E45" r:id="rId6" location="imgrc=KpjyKD5NcQ6W8M&amp;imgdii=_htyq-ah0K67vM" display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" xr:uid="{CF670872-61B3-41A0-868B-680F66B72183}"/>
    <hyperlink ref="E44" r:id="rId7" xr:uid="{61081A69-1CA5-4CC6-85FE-719C9AE21993}"/>
    <hyperlink ref="E43" r:id="rId8" xr:uid="{FBD6C30E-C628-42BC-B474-475AFB58F844}"/>
    <hyperlink ref="E40" r:id="rId9" xr:uid="{15A9B1D7-68D7-4EAF-AF98-0913B4F4DFF6}"/>
    <hyperlink ref="D49" r:id="rId10" xr:uid="{9CD6258F-89F7-431D-8646-D50B943A3243}"/>
    <hyperlink ref="H67" r:id="rId11" xr:uid="{941A2100-E83E-46A9-99C8-73538154E6B8}"/>
  </hyperlinks>
  <pageMargins left="0.7" right="0.7" top="0.78740157499999996" bottom="0.78740157499999996" header="0.3" footer="0.3"/>
  <pageSetup paperSize="9" orientation="portrait" r:id="rId12"/>
  <drawing r:id="rId1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F818-9C75-4587-8EDE-818AB8E86AD4}">
  <sheetPr codeName="Tabelle81"/>
  <dimension ref="A1:Y106"/>
  <sheetViews>
    <sheetView zoomScale="85" zoomScaleNormal="85" workbookViewId="0">
      <selection activeCell="M53" sqref="M53"/>
    </sheetView>
  </sheetViews>
  <sheetFormatPr baseColWidth="10" defaultColWidth="11.42578125" defaultRowHeight="15"/>
  <sheetData>
    <row r="1" spans="1:25" ht="24" thickBot="1">
      <c r="A1" s="139" t="s">
        <v>293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</row>
    <row r="2" spans="1:25" ht="37.5" customHeight="1" thickTop="1" thickBot="1">
      <c r="A2" s="208" t="s">
        <v>294</v>
      </c>
      <c r="B2" s="209"/>
      <c r="C2" s="210"/>
      <c r="D2" s="210"/>
      <c r="E2" s="210"/>
      <c r="F2" s="210"/>
      <c r="G2" s="210"/>
      <c r="H2" s="210"/>
      <c r="I2" s="211"/>
      <c r="J2" s="140"/>
      <c r="K2" s="140"/>
      <c r="L2" s="492" t="s">
        <v>295</v>
      </c>
      <c r="M2" s="493"/>
      <c r="N2" s="140"/>
      <c r="O2" s="494" t="s">
        <v>296</v>
      </c>
      <c r="P2" s="495"/>
      <c r="Q2" s="495"/>
      <c r="R2" s="495"/>
      <c r="S2" s="495"/>
      <c r="T2" s="495"/>
      <c r="U2" s="495"/>
      <c r="V2" s="495"/>
      <c r="W2" s="495"/>
      <c r="X2" s="141"/>
      <c r="Y2" s="140"/>
    </row>
    <row r="3" spans="1:25" ht="15.75" thickBot="1">
      <c r="A3" s="496" t="s">
        <v>297</v>
      </c>
      <c r="B3" s="497"/>
      <c r="C3" s="497"/>
      <c r="D3" s="497"/>
      <c r="E3" s="497"/>
      <c r="F3" s="497"/>
      <c r="G3" s="497"/>
      <c r="H3" s="497"/>
      <c r="I3" s="497"/>
      <c r="J3" s="140"/>
      <c r="K3" s="140"/>
      <c r="L3" s="142" t="s">
        <v>29</v>
      </c>
      <c r="M3" s="143" t="s">
        <v>130</v>
      </c>
      <c r="N3" s="140"/>
      <c r="O3" s="490" t="s">
        <v>212</v>
      </c>
      <c r="P3" s="491"/>
      <c r="Q3" s="491"/>
      <c r="R3" s="491"/>
      <c r="S3" s="491"/>
      <c r="T3" s="491"/>
      <c r="U3" s="491"/>
      <c r="V3" s="491"/>
      <c r="W3" s="491"/>
      <c r="X3" s="140"/>
      <c r="Y3" s="140"/>
    </row>
    <row r="4" spans="1:25">
      <c r="A4" s="144" t="s">
        <v>298</v>
      </c>
      <c r="B4" s="140"/>
      <c r="C4" s="140"/>
      <c r="D4" s="140"/>
      <c r="E4" s="140"/>
      <c r="F4" s="140"/>
      <c r="G4" s="140"/>
      <c r="H4" s="140"/>
      <c r="I4" s="145"/>
      <c r="J4" s="140"/>
      <c r="K4" s="140"/>
      <c r="L4" s="144" t="s">
        <v>89</v>
      </c>
      <c r="M4" s="145">
        <v>52</v>
      </c>
      <c r="N4" s="140"/>
      <c r="O4" s="144" t="s">
        <v>299</v>
      </c>
      <c r="P4" s="140"/>
      <c r="Q4" s="140"/>
      <c r="R4" s="140"/>
      <c r="S4" s="140"/>
      <c r="T4" s="140"/>
      <c r="U4" s="140"/>
      <c r="V4" s="140"/>
      <c r="W4" s="145"/>
      <c r="X4" s="140"/>
      <c r="Y4" s="140"/>
    </row>
    <row r="5" spans="1:25">
      <c r="A5" s="146" t="s">
        <v>300</v>
      </c>
      <c r="B5" s="140"/>
      <c r="C5" s="140"/>
      <c r="D5" s="140"/>
      <c r="E5" s="140"/>
      <c r="F5" s="140"/>
      <c r="G5" s="140"/>
      <c r="H5" s="140"/>
      <c r="I5" s="145"/>
      <c r="J5" s="140"/>
      <c r="K5" s="140"/>
      <c r="L5" s="144" t="s">
        <v>102</v>
      </c>
      <c r="M5" s="145">
        <v>206</v>
      </c>
      <c r="N5" s="140"/>
      <c r="O5" s="144"/>
      <c r="P5" s="140"/>
      <c r="Q5" s="140" t="s">
        <v>301</v>
      </c>
      <c r="R5" s="140"/>
      <c r="S5" s="140"/>
      <c r="T5" s="140"/>
      <c r="U5" s="140"/>
      <c r="V5" s="140"/>
      <c r="W5" s="145"/>
      <c r="X5" s="140"/>
      <c r="Y5" s="140"/>
    </row>
    <row r="6" spans="1:25">
      <c r="A6" s="144" t="s">
        <v>302</v>
      </c>
      <c r="B6" s="140"/>
      <c r="C6" s="140"/>
      <c r="D6" s="140"/>
      <c r="E6" s="140"/>
      <c r="F6" s="140"/>
      <c r="G6" s="140"/>
      <c r="H6" s="140"/>
      <c r="I6" s="145"/>
      <c r="J6" s="140"/>
      <c r="K6" s="140"/>
      <c r="L6" s="144" t="s">
        <v>303</v>
      </c>
      <c r="M6" s="145">
        <v>34</v>
      </c>
      <c r="N6" s="140"/>
      <c r="O6" s="498" t="s">
        <v>304</v>
      </c>
      <c r="P6" s="499"/>
      <c r="Q6" s="140">
        <v>7.4</v>
      </c>
      <c r="R6" s="140"/>
      <c r="S6" s="140"/>
      <c r="T6" s="140"/>
      <c r="U6" s="140"/>
      <c r="V6" s="140"/>
      <c r="W6" s="145"/>
      <c r="X6" s="140"/>
      <c r="Y6" s="140"/>
    </row>
    <row r="7" spans="1:25">
      <c r="A7" s="146" t="s">
        <v>305</v>
      </c>
      <c r="B7" s="140"/>
      <c r="C7" s="140"/>
      <c r="D7" s="140"/>
      <c r="E7" s="140"/>
      <c r="F7" s="140"/>
      <c r="G7" s="140"/>
      <c r="H7" s="140"/>
      <c r="I7" s="145"/>
      <c r="J7" s="140"/>
      <c r="K7" s="140"/>
      <c r="L7" s="144" t="s">
        <v>214</v>
      </c>
      <c r="M7" s="145">
        <v>310</v>
      </c>
      <c r="N7" s="140"/>
      <c r="O7" s="144" t="s">
        <v>306</v>
      </c>
      <c r="P7" s="140"/>
      <c r="Q7" s="140"/>
      <c r="R7" s="140" t="s">
        <v>307</v>
      </c>
      <c r="S7" s="140"/>
      <c r="T7" s="140"/>
      <c r="U7" s="140"/>
      <c r="V7" s="140"/>
      <c r="W7" s="145"/>
      <c r="X7" s="140"/>
      <c r="Y7" s="140"/>
    </row>
    <row r="8" spans="1:25">
      <c r="A8" s="144" t="s">
        <v>308</v>
      </c>
      <c r="B8" s="140"/>
      <c r="C8" s="140"/>
      <c r="D8" s="140"/>
      <c r="E8" s="140"/>
      <c r="F8" s="140"/>
      <c r="G8" s="140"/>
      <c r="H8" s="140">
        <v>60</v>
      </c>
      <c r="I8" s="145" t="s">
        <v>309</v>
      </c>
      <c r="J8" s="140"/>
      <c r="K8" s="140"/>
      <c r="L8" s="144" t="s">
        <v>216</v>
      </c>
      <c r="M8" s="145">
        <v>207</v>
      </c>
      <c r="N8" s="140"/>
      <c r="O8" s="144" t="s">
        <v>310</v>
      </c>
      <c r="P8" s="140"/>
      <c r="Q8" s="140">
        <v>22.8</v>
      </c>
      <c r="R8" s="147">
        <v>26</v>
      </c>
      <c r="S8" s="140"/>
      <c r="T8" s="148" t="s">
        <v>311</v>
      </c>
      <c r="U8" s="140"/>
      <c r="V8" s="140"/>
      <c r="W8" s="145"/>
      <c r="X8" s="140"/>
      <c r="Y8" s="140"/>
    </row>
    <row r="9" spans="1:25">
      <c r="A9" s="144"/>
      <c r="B9" s="140"/>
      <c r="C9" s="140"/>
      <c r="D9" s="140"/>
      <c r="E9" s="140"/>
      <c r="F9" s="140"/>
      <c r="G9" s="140"/>
      <c r="H9" s="140">
        <v>16.666666670000001</v>
      </c>
      <c r="I9" s="145" t="s">
        <v>312</v>
      </c>
      <c r="J9" s="140"/>
      <c r="K9" s="140"/>
      <c r="L9" s="144" t="s">
        <v>313</v>
      </c>
      <c r="M9" s="145">
        <v>143</v>
      </c>
      <c r="N9" s="140"/>
      <c r="O9" s="144" t="s">
        <v>314</v>
      </c>
      <c r="P9" s="140"/>
      <c r="Q9" s="140">
        <v>29.4</v>
      </c>
      <c r="R9" s="147"/>
      <c r="S9" s="140"/>
      <c r="T9" s="140">
        <v>34</v>
      </c>
      <c r="U9" s="140" t="s">
        <v>16</v>
      </c>
      <c r="V9" s="140"/>
      <c r="W9" s="145"/>
      <c r="X9" s="140"/>
      <c r="Y9" s="140"/>
    </row>
    <row r="10" spans="1:25" ht="15.75" thickBot="1">
      <c r="A10" s="144" t="s">
        <v>315</v>
      </c>
      <c r="B10" s="140">
        <v>5400</v>
      </c>
      <c r="C10" s="140" t="s">
        <v>316</v>
      </c>
      <c r="D10" s="140"/>
      <c r="E10" s="140"/>
      <c r="F10" s="140"/>
      <c r="G10" s="140"/>
      <c r="H10" s="140"/>
      <c r="I10" s="145"/>
      <c r="J10" s="140"/>
      <c r="K10" s="140"/>
      <c r="L10" s="144" t="s">
        <v>317</v>
      </c>
      <c r="M10" s="145">
        <v>733</v>
      </c>
      <c r="N10" s="140"/>
      <c r="O10" s="149"/>
      <c r="P10" s="150"/>
      <c r="Q10" s="150"/>
      <c r="R10" s="150"/>
      <c r="S10" s="150"/>
      <c r="T10" s="150"/>
      <c r="U10" s="150"/>
      <c r="V10" s="150"/>
      <c r="W10" s="151"/>
      <c r="X10" s="140"/>
      <c r="Y10" s="140"/>
    </row>
    <row r="11" spans="1:25">
      <c r="A11" s="144"/>
      <c r="B11" s="140"/>
      <c r="C11" s="140"/>
      <c r="D11" s="140"/>
      <c r="E11" s="140"/>
      <c r="F11" s="140"/>
      <c r="G11" s="140"/>
      <c r="H11" s="140"/>
      <c r="I11" s="145"/>
      <c r="J11" s="140"/>
      <c r="K11" s="140"/>
      <c r="L11" s="144" t="s">
        <v>318</v>
      </c>
      <c r="M11" s="145">
        <v>315</v>
      </c>
      <c r="N11" s="140"/>
      <c r="O11" s="490" t="s">
        <v>297</v>
      </c>
      <c r="P11" s="491"/>
      <c r="Q11" s="491"/>
      <c r="R11" s="491"/>
      <c r="S11" s="491"/>
      <c r="T11" s="491"/>
      <c r="U11" s="491"/>
      <c r="V11" s="491"/>
      <c r="W11" s="491"/>
      <c r="X11" s="140"/>
      <c r="Y11" s="140"/>
    </row>
    <row r="12" spans="1:25" ht="15.75" thickBot="1">
      <c r="A12" s="212" t="s">
        <v>319</v>
      </c>
      <c r="B12" s="213"/>
      <c r="C12" s="213"/>
      <c r="D12" s="213">
        <v>90</v>
      </c>
      <c r="E12" s="213" t="s">
        <v>16</v>
      </c>
      <c r="F12" s="150"/>
      <c r="G12" s="150"/>
      <c r="H12" s="150"/>
      <c r="I12" s="151"/>
      <c r="J12" s="140"/>
      <c r="K12" s="140"/>
      <c r="L12" s="144" t="s">
        <v>228</v>
      </c>
      <c r="M12" s="145">
        <v>184</v>
      </c>
      <c r="N12" s="140"/>
      <c r="O12" s="144" t="s">
        <v>320</v>
      </c>
      <c r="P12" s="140"/>
      <c r="Q12" s="140"/>
      <c r="R12" s="140"/>
      <c r="S12" s="140"/>
      <c r="T12" s="140"/>
      <c r="U12" s="140"/>
      <c r="V12" s="140"/>
      <c r="W12" s="145"/>
      <c r="X12" s="140"/>
      <c r="Y12" s="140"/>
    </row>
    <row r="13" spans="1:25">
      <c r="A13" s="496" t="s">
        <v>321</v>
      </c>
      <c r="B13" s="497"/>
      <c r="C13" s="497"/>
      <c r="D13" s="497"/>
      <c r="E13" s="497"/>
      <c r="F13" s="497"/>
      <c r="G13" s="497"/>
      <c r="H13" s="497"/>
      <c r="I13" s="497"/>
      <c r="J13" s="140"/>
      <c r="K13" s="140"/>
      <c r="L13" s="144" t="s">
        <v>322</v>
      </c>
      <c r="M13" s="145">
        <v>207</v>
      </c>
      <c r="N13" s="140"/>
      <c r="O13" s="144" t="s">
        <v>306</v>
      </c>
      <c r="P13" s="140"/>
      <c r="Q13" s="140"/>
      <c r="R13" s="140" t="s">
        <v>307</v>
      </c>
      <c r="S13" s="140"/>
      <c r="T13" s="140"/>
      <c r="U13" s="140"/>
      <c r="V13" s="140"/>
      <c r="W13" s="145"/>
      <c r="X13" s="140"/>
      <c r="Y13" s="140"/>
    </row>
    <row r="14" spans="1:25">
      <c r="A14" s="146" t="s">
        <v>323</v>
      </c>
      <c r="B14" s="148"/>
      <c r="C14" s="148"/>
      <c r="D14" s="140"/>
      <c r="E14" s="140" t="s">
        <v>324</v>
      </c>
      <c r="F14" s="140"/>
      <c r="G14" s="140"/>
      <c r="H14" s="140"/>
      <c r="I14" s="145"/>
      <c r="J14" s="140"/>
      <c r="K14" s="140"/>
      <c r="L14" s="144" t="s">
        <v>325</v>
      </c>
      <c r="M14" s="145">
        <v>522</v>
      </c>
      <c r="N14" s="140"/>
      <c r="O14" s="144" t="s">
        <v>310</v>
      </c>
      <c r="P14" s="140"/>
      <c r="Q14" s="140">
        <v>22.8</v>
      </c>
      <c r="R14" s="147">
        <v>26</v>
      </c>
      <c r="S14" s="140"/>
      <c r="T14" s="148" t="s">
        <v>311</v>
      </c>
      <c r="U14" s="140"/>
      <c r="V14" s="140"/>
      <c r="W14" s="145"/>
      <c r="X14" s="140"/>
      <c r="Y14" s="140"/>
    </row>
    <row r="15" spans="1:25">
      <c r="A15" s="144">
        <v>200</v>
      </c>
      <c r="B15" s="140" t="s">
        <v>326</v>
      </c>
      <c r="C15" s="140"/>
      <c r="D15" s="140"/>
      <c r="E15" s="140">
        <v>35</v>
      </c>
      <c r="F15" s="140" t="s">
        <v>327</v>
      </c>
      <c r="G15" s="140"/>
      <c r="H15" s="140">
        <v>0.35</v>
      </c>
      <c r="I15" s="145" t="s">
        <v>328</v>
      </c>
      <c r="J15" s="140"/>
      <c r="K15" s="140"/>
      <c r="L15" s="144" t="s">
        <v>329</v>
      </c>
      <c r="M15" s="145">
        <v>261</v>
      </c>
      <c r="N15" s="140"/>
      <c r="O15" s="144" t="s">
        <v>314</v>
      </c>
      <c r="P15" s="140"/>
      <c r="Q15" s="140">
        <v>29.4</v>
      </c>
      <c r="R15" s="147"/>
      <c r="S15" s="140"/>
      <c r="T15" s="140">
        <v>26</v>
      </c>
      <c r="U15" s="140" t="s">
        <v>16</v>
      </c>
      <c r="V15" s="140"/>
      <c r="W15" s="145"/>
      <c r="X15" s="140"/>
      <c r="Y15" s="140"/>
    </row>
    <row r="16" spans="1:25" ht="15.75" thickBot="1">
      <c r="A16" s="144"/>
      <c r="B16" s="140"/>
      <c r="C16" s="140"/>
      <c r="D16" s="140"/>
      <c r="E16" s="140"/>
      <c r="F16" s="140"/>
      <c r="G16" s="140"/>
      <c r="H16" s="140"/>
      <c r="I16" s="145"/>
      <c r="J16" s="140"/>
      <c r="K16" s="140"/>
      <c r="L16" s="152" t="s">
        <v>330</v>
      </c>
      <c r="M16" s="153">
        <v>156</v>
      </c>
      <c r="N16" s="140"/>
      <c r="O16" s="144"/>
      <c r="P16" s="140"/>
      <c r="Q16" s="140"/>
      <c r="R16" s="140"/>
      <c r="S16" s="140"/>
      <c r="T16" s="140"/>
      <c r="U16" s="140"/>
      <c r="V16" s="140"/>
      <c r="W16" s="145"/>
      <c r="X16" s="140"/>
      <c r="Y16" s="140"/>
    </row>
    <row r="17" spans="1:25">
      <c r="A17" s="144" t="s">
        <v>331</v>
      </c>
      <c r="B17" s="140"/>
      <c r="C17" s="140"/>
      <c r="D17" s="140"/>
      <c r="E17" s="140"/>
      <c r="F17" s="140"/>
      <c r="G17" s="140"/>
      <c r="H17" s="140"/>
      <c r="I17" s="145"/>
      <c r="J17" s="140"/>
      <c r="K17" s="140"/>
      <c r="L17" s="144" t="s">
        <v>332</v>
      </c>
      <c r="M17" s="145">
        <v>123</v>
      </c>
      <c r="N17" s="140"/>
      <c r="O17" s="490" t="s">
        <v>102</v>
      </c>
      <c r="P17" s="491"/>
      <c r="Q17" s="491"/>
      <c r="R17" s="491"/>
      <c r="S17" s="491"/>
      <c r="T17" s="491"/>
      <c r="U17" s="491"/>
      <c r="V17" s="491"/>
      <c r="W17" s="491"/>
      <c r="X17" s="140"/>
      <c r="Y17" s="140"/>
    </row>
    <row r="18" spans="1:25">
      <c r="A18" s="214" t="s">
        <v>333</v>
      </c>
      <c r="B18" s="215">
        <v>571</v>
      </c>
      <c r="C18" s="215" t="s">
        <v>16</v>
      </c>
      <c r="D18" s="140" t="s">
        <v>334</v>
      </c>
      <c r="E18" s="140"/>
      <c r="F18" s="140"/>
      <c r="G18" s="140"/>
      <c r="H18" s="140"/>
      <c r="I18" s="145"/>
      <c r="J18" s="140"/>
      <c r="K18" s="140"/>
      <c r="L18" s="152" t="s">
        <v>335</v>
      </c>
      <c r="M18" s="153">
        <v>123</v>
      </c>
      <c r="N18" s="140"/>
      <c r="O18" s="144" t="s">
        <v>336</v>
      </c>
      <c r="P18" s="140"/>
      <c r="Q18" s="140"/>
      <c r="R18" s="140"/>
      <c r="S18" s="140"/>
      <c r="T18" s="140"/>
      <c r="U18" s="140"/>
      <c r="V18" s="140"/>
      <c r="W18" s="145"/>
      <c r="X18" s="140"/>
      <c r="Y18" s="140"/>
    </row>
    <row r="19" spans="1:25">
      <c r="A19" s="144"/>
      <c r="B19" s="140"/>
      <c r="C19" s="140"/>
      <c r="D19" s="140"/>
      <c r="E19" s="140"/>
      <c r="F19" s="140"/>
      <c r="G19" s="140"/>
      <c r="H19" s="140"/>
      <c r="I19" s="145"/>
      <c r="J19" s="140"/>
      <c r="K19" s="140"/>
      <c r="L19" s="140"/>
      <c r="M19" s="140"/>
      <c r="N19" s="140"/>
      <c r="O19" s="144"/>
      <c r="P19" s="140"/>
      <c r="Q19" s="140" t="s">
        <v>301</v>
      </c>
      <c r="R19" s="140"/>
      <c r="S19" s="140"/>
      <c r="T19" s="140"/>
      <c r="U19" s="140"/>
      <c r="V19" s="140"/>
      <c r="W19" s="145"/>
      <c r="X19" s="140"/>
      <c r="Y19" s="140"/>
    </row>
    <row r="20" spans="1:25">
      <c r="A20" s="146" t="s">
        <v>337</v>
      </c>
      <c r="B20" s="148"/>
      <c r="C20" s="148"/>
      <c r="D20" s="140"/>
      <c r="E20" s="140" t="s">
        <v>324</v>
      </c>
      <c r="F20" s="140"/>
      <c r="G20" s="140"/>
      <c r="H20" s="140"/>
      <c r="I20" s="145"/>
      <c r="J20" s="140"/>
      <c r="K20" s="140"/>
      <c r="L20" s="140"/>
      <c r="M20" s="140"/>
      <c r="N20" s="140"/>
      <c r="O20" s="498" t="s">
        <v>338</v>
      </c>
      <c r="P20" s="499"/>
      <c r="Q20" s="140">
        <v>180</v>
      </c>
      <c r="R20" s="140"/>
      <c r="S20" s="140"/>
      <c r="T20" s="140"/>
      <c r="U20" s="140"/>
      <c r="V20" s="140"/>
      <c r="W20" s="145"/>
      <c r="X20" s="140"/>
      <c r="Y20" s="140"/>
    </row>
    <row r="21" spans="1:25">
      <c r="A21" s="144">
        <v>1500</v>
      </c>
      <c r="B21" s="140" t="s">
        <v>326</v>
      </c>
      <c r="C21" s="140"/>
      <c r="D21" s="140"/>
      <c r="E21" s="140">
        <v>35</v>
      </c>
      <c r="F21" s="140" t="s">
        <v>327</v>
      </c>
      <c r="G21" s="140"/>
      <c r="H21" s="140">
        <v>0.35</v>
      </c>
      <c r="I21" s="145" t="s">
        <v>328</v>
      </c>
      <c r="J21" s="140"/>
      <c r="K21" s="140"/>
      <c r="L21" s="140"/>
      <c r="M21" s="140"/>
      <c r="N21" s="140"/>
      <c r="O21" s="144" t="s">
        <v>306</v>
      </c>
      <c r="P21" s="140"/>
      <c r="Q21" s="140"/>
      <c r="R21" s="140" t="s">
        <v>339</v>
      </c>
      <c r="S21" s="140"/>
      <c r="T21" s="140"/>
      <c r="U21" s="140"/>
      <c r="V21" s="140"/>
      <c r="W21" s="145"/>
      <c r="X21" s="140"/>
      <c r="Y21" s="140"/>
    </row>
    <row r="22" spans="1:25">
      <c r="A22" s="144"/>
      <c r="B22" s="140"/>
      <c r="C22" s="140"/>
      <c r="D22" s="140"/>
      <c r="E22" s="140"/>
      <c r="F22" s="140"/>
      <c r="G22" s="140"/>
      <c r="H22" s="140"/>
      <c r="I22" s="145"/>
      <c r="J22" s="140"/>
      <c r="K22" s="140"/>
      <c r="L22" s="140"/>
      <c r="M22" s="140"/>
      <c r="N22" s="140"/>
      <c r="O22" s="144" t="s">
        <v>310</v>
      </c>
      <c r="P22" s="140"/>
      <c r="Q22" s="140">
        <v>22.8</v>
      </c>
      <c r="R22" s="147">
        <v>26</v>
      </c>
      <c r="S22" s="140"/>
      <c r="T22" s="148" t="s">
        <v>311</v>
      </c>
      <c r="U22" s="140"/>
      <c r="V22" s="140"/>
      <c r="W22" s="145"/>
      <c r="X22" s="140"/>
      <c r="Y22" s="140"/>
    </row>
    <row r="23" spans="1:25">
      <c r="A23" s="144" t="s">
        <v>340</v>
      </c>
      <c r="B23" s="140"/>
      <c r="C23" s="140"/>
      <c r="D23" s="140"/>
      <c r="E23" s="140"/>
      <c r="F23" s="140"/>
      <c r="G23" s="140"/>
      <c r="H23" s="140"/>
      <c r="I23" s="145"/>
      <c r="J23" s="140"/>
      <c r="K23" s="140"/>
      <c r="L23" s="140"/>
      <c r="M23" s="140"/>
      <c r="N23" s="140"/>
      <c r="O23" s="144" t="s">
        <v>314</v>
      </c>
      <c r="P23" s="140"/>
      <c r="Q23" s="140">
        <v>29.4</v>
      </c>
      <c r="R23" s="147"/>
      <c r="S23" s="140"/>
      <c r="T23" s="140">
        <v>206</v>
      </c>
      <c r="U23" s="140" t="s">
        <v>16</v>
      </c>
      <c r="V23" s="140"/>
      <c r="W23" s="145"/>
      <c r="X23" s="140"/>
      <c r="Y23" s="140"/>
    </row>
    <row r="24" spans="1:25" ht="15.75" thickBot="1">
      <c r="A24" s="214" t="s">
        <v>333</v>
      </c>
      <c r="B24" s="215">
        <v>4286</v>
      </c>
      <c r="C24" s="215" t="s">
        <v>16</v>
      </c>
      <c r="D24" s="140" t="s">
        <v>341</v>
      </c>
      <c r="E24" s="140"/>
      <c r="F24" s="140"/>
      <c r="G24" s="140"/>
      <c r="H24" s="140"/>
      <c r="I24" s="145"/>
      <c r="J24" s="140"/>
      <c r="K24" s="140"/>
      <c r="L24" s="140"/>
      <c r="M24" s="140"/>
      <c r="N24" s="140"/>
      <c r="O24" s="149"/>
      <c r="P24" s="150"/>
      <c r="Q24" s="150"/>
      <c r="R24" s="150"/>
      <c r="S24" s="150"/>
      <c r="T24" s="150"/>
      <c r="U24" s="150"/>
      <c r="V24" s="150"/>
      <c r="W24" s="151"/>
      <c r="X24" s="140"/>
      <c r="Y24" s="140"/>
    </row>
    <row r="25" spans="1:25" ht="15.75" thickBot="1">
      <c r="A25" s="500" t="s">
        <v>342</v>
      </c>
      <c r="B25" s="501"/>
      <c r="C25" s="501"/>
      <c r="D25" s="501"/>
      <c r="E25" s="501"/>
      <c r="F25" s="501"/>
      <c r="G25" s="501"/>
      <c r="H25" s="501"/>
      <c r="I25" s="501"/>
      <c r="J25" s="140"/>
      <c r="K25" s="140"/>
      <c r="L25" s="140"/>
      <c r="M25" s="140"/>
      <c r="N25" s="140"/>
      <c r="O25" s="490" t="s">
        <v>343</v>
      </c>
      <c r="P25" s="491"/>
      <c r="Q25" s="491"/>
      <c r="R25" s="491"/>
      <c r="S25" s="491"/>
      <c r="T25" s="491"/>
      <c r="U25" s="491"/>
      <c r="V25" s="491"/>
      <c r="W25" s="491"/>
      <c r="X25" s="140"/>
      <c r="Y25" s="140"/>
    </row>
    <row r="26" spans="1:25">
      <c r="A26" s="154" t="s">
        <v>344</v>
      </c>
      <c r="B26" s="155"/>
      <c r="C26" s="155"/>
      <c r="D26" s="155"/>
      <c r="E26" s="155"/>
      <c r="F26" s="155"/>
      <c r="G26" s="155"/>
      <c r="H26" s="155"/>
      <c r="I26" s="156"/>
      <c r="J26" s="140"/>
      <c r="K26" s="140"/>
      <c r="L26" s="140"/>
      <c r="M26" s="140"/>
      <c r="N26" s="140"/>
      <c r="O26" s="144" t="s">
        <v>345</v>
      </c>
      <c r="P26" s="140"/>
      <c r="Q26" s="140"/>
      <c r="R26" s="140"/>
      <c r="S26" s="140"/>
      <c r="T26" s="140"/>
      <c r="U26" s="140"/>
      <c r="V26" s="140"/>
      <c r="W26" s="145"/>
      <c r="X26" s="140"/>
      <c r="Y26" s="140"/>
    </row>
    <row r="27" spans="1:25">
      <c r="A27" s="146" t="s">
        <v>323</v>
      </c>
      <c r="B27" s="148"/>
      <c r="C27" s="148"/>
      <c r="D27" s="140"/>
      <c r="E27" s="140" t="s">
        <v>324</v>
      </c>
      <c r="F27" s="140"/>
      <c r="G27" s="140"/>
      <c r="H27" s="140"/>
      <c r="I27" s="145"/>
      <c r="J27" s="140"/>
      <c r="K27" s="140"/>
      <c r="L27" s="140"/>
      <c r="M27" s="140"/>
      <c r="N27" s="140"/>
      <c r="O27" s="144"/>
      <c r="P27" s="140"/>
      <c r="Q27" s="140" t="s">
        <v>301</v>
      </c>
      <c r="R27" s="140"/>
      <c r="S27" s="140"/>
      <c r="T27" s="140"/>
      <c r="U27" s="140"/>
      <c r="V27" s="140"/>
      <c r="W27" s="145"/>
      <c r="X27" s="140"/>
      <c r="Y27" s="140"/>
    </row>
    <row r="28" spans="1:25">
      <c r="A28" s="144">
        <v>365</v>
      </c>
      <c r="B28" s="140" t="s">
        <v>326</v>
      </c>
      <c r="C28" s="140"/>
      <c r="D28" s="140"/>
      <c r="E28" s="140">
        <v>35</v>
      </c>
      <c r="F28" s="140" t="s">
        <v>327</v>
      </c>
      <c r="G28" s="140"/>
      <c r="H28" s="140">
        <v>0.35</v>
      </c>
      <c r="I28" s="145" t="s">
        <v>328</v>
      </c>
      <c r="J28" s="140"/>
      <c r="K28" s="140"/>
      <c r="L28" s="140"/>
      <c r="M28" s="140"/>
      <c r="N28" s="140"/>
      <c r="O28" s="498" t="s">
        <v>346</v>
      </c>
      <c r="P28" s="499"/>
      <c r="Q28" s="140">
        <v>284</v>
      </c>
      <c r="R28" s="140"/>
      <c r="S28" s="140"/>
      <c r="T28" s="140"/>
      <c r="U28" s="140"/>
      <c r="V28" s="140"/>
      <c r="W28" s="145"/>
      <c r="X28" s="140"/>
      <c r="Y28" s="140"/>
    </row>
    <row r="29" spans="1:25">
      <c r="A29" s="144"/>
      <c r="B29" s="140"/>
      <c r="C29" s="140"/>
      <c r="D29" s="140"/>
      <c r="E29" s="140"/>
      <c r="F29" s="140"/>
      <c r="G29" s="140"/>
      <c r="H29" s="140"/>
      <c r="I29" s="145"/>
      <c r="J29" s="140"/>
      <c r="K29" s="140"/>
      <c r="L29" s="140"/>
      <c r="M29" s="140"/>
      <c r="N29" s="140"/>
      <c r="O29" s="144" t="s">
        <v>306</v>
      </c>
      <c r="P29" s="140"/>
      <c r="Q29" s="140"/>
      <c r="R29" s="140" t="s">
        <v>339</v>
      </c>
      <c r="S29" s="140"/>
      <c r="T29" s="140"/>
      <c r="U29" s="140"/>
      <c r="V29" s="140"/>
      <c r="W29" s="145"/>
      <c r="X29" s="140"/>
      <c r="Y29" s="140"/>
    </row>
    <row r="30" spans="1:25">
      <c r="A30" s="144" t="s">
        <v>347</v>
      </c>
      <c r="B30" s="140"/>
      <c r="C30" s="140"/>
      <c r="D30" s="140"/>
      <c r="E30" s="140"/>
      <c r="F30" s="140"/>
      <c r="G30" s="140"/>
      <c r="H30" s="140"/>
      <c r="I30" s="145"/>
      <c r="J30" s="140"/>
      <c r="K30" s="140"/>
      <c r="L30" s="140"/>
      <c r="M30" s="140"/>
      <c r="N30" s="140"/>
      <c r="O30" s="144" t="s">
        <v>310</v>
      </c>
      <c r="P30" s="140"/>
      <c r="Q30" s="140">
        <v>22.8</v>
      </c>
      <c r="R30" s="147">
        <v>26</v>
      </c>
      <c r="S30" s="140"/>
      <c r="T30" s="148" t="s">
        <v>311</v>
      </c>
      <c r="U30" s="140"/>
      <c r="V30" s="140"/>
      <c r="W30" s="145"/>
      <c r="X30" s="140"/>
      <c r="Y30" s="140"/>
    </row>
    <row r="31" spans="1:25" ht="15.75" thickBot="1">
      <c r="A31" s="216" t="s">
        <v>333</v>
      </c>
      <c r="B31" s="217">
        <v>1043</v>
      </c>
      <c r="C31" s="217" t="s">
        <v>16</v>
      </c>
      <c r="D31" s="157"/>
      <c r="E31" s="157"/>
      <c r="F31" s="157"/>
      <c r="G31" s="157"/>
      <c r="H31" s="157"/>
      <c r="I31" s="158"/>
      <c r="J31" s="140"/>
      <c r="K31" s="140"/>
      <c r="L31" s="140"/>
      <c r="M31" s="140"/>
      <c r="N31" s="140"/>
      <c r="O31" s="144" t="s">
        <v>314</v>
      </c>
      <c r="P31" s="140"/>
      <c r="Q31" s="140">
        <v>29.4</v>
      </c>
      <c r="R31" s="147"/>
      <c r="S31" s="140"/>
      <c r="T31" s="140">
        <v>310</v>
      </c>
      <c r="U31" s="140" t="s">
        <v>16</v>
      </c>
      <c r="V31" s="140"/>
      <c r="W31" s="145"/>
      <c r="X31" s="140"/>
      <c r="Y31" s="140"/>
    </row>
    <row r="32" spans="1:25" ht="16.5" thickTop="1" thickBo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4"/>
      <c r="P32" s="140"/>
      <c r="Q32" s="140"/>
      <c r="R32" s="140"/>
      <c r="S32" s="140"/>
      <c r="T32" s="140"/>
      <c r="U32" s="140"/>
      <c r="V32" s="140"/>
      <c r="W32" s="145"/>
      <c r="X32" s="140"/>
      <c r="Y32" s="140"/>
    </row>
    <row r="33" spans="1:25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490" t="s">
        <v>216</v>
      </c>
      <c r="P33" s="491"/>
      <c r="Q33" s="491"/>
      <c r="R33" s="491"/>
      <c r="S33" s="491"/>
      <c r="T33" s="491"/>
      <c r="U33" s="491"/>
      <c r="V33" s="491"/>
      <c r="W33" s="491"/>
      <c r="X33" s="140"/>
      <c r="Y33" s="140"/>
    </row>
    <row r="34" spans="1:25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4" t="s">
        <v>348</v>
      </c>
      <c r="P34" s="140"/>
      <c r="Q34" s="140"/>
      <c r="R34" s="140"/>
      <c r="S34" s="140"/>
      <c r="T34" s="140"/>
      <c r="U34" s="140"/>
      <c r="V34" s="140"/>
      <c r="W34" s="145"/>
      <c r="X34" s="140"/>
      <c r="Y34" s="140"/>
    </row>
    <row r="35" spans="1:25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4"/>
      <c r="P35" s="140"/>
      <c r="Q35" s="140" t="s">
        <v>301</v>
      </c>
      <c r="R35" s="140"/>
      <c r="S35" s="140"/>
      <c r="T35" s="140"/>
      <c r="U35" s="140"/>
      <c r="V35" s="140"/>
      <c r="W35" s="145"/>
      <c r="X35" s="140"/>
      <c r="Y35" s="140"/>
    </row>
    <row r="36" spans="1:25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498" t="s">
        <v>349</v>
      </c>
      <c r="P36" s="499"/>
      <c r="Q36" s="140">
        <v>181</v>
      </c>
      <c r="R36" s="140"/>
      <c r="S36" s="140"/>
      <c r="T36" s="140"/>
      <c r="U36" s="140"/>
      <c r="V36" s="140"/>
      <c r="W36" s="145"/>
      <c r="X36" s="140"/>
      <c r="Y36" s="140"/>
    </row>
    <row r="37" spans="1:25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4" t="s">
        <v>306</v>
      </c>
      <c r="P37" s="140"/>
      <c r="Q37" s="140"/>
      <c r="R37" s="140" t="s">
        <v>339</v>
      </c>
      <c r="S37" s="140"/>
      <c r="T37" s="140"/>
      <c r="U37" s="140"/>
      <c r="V37" s="140"/>
      <c r="W37" s="145"/>
      <c r="X37" s="140"/>
      <c r="Y37" s="140"/>
    </row>
    <row r="38" spans="1:25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4" t="s">
        <v>310</v>
      </c>
      <c r="P38" s="140"/>
      <c r="Q38" s="140">
        <v>22.8</v>
      </c>
      <c r="R38" s="147">
        <v>26</v>
      </c>
      <c r="S38" s="140"/>
      <c r="T38" s="148" t="s">
        <v>311</v>
      </c>
      <c r="U38" s="140"/>
      <c r="V38" s="140"/>
      <c r="W38" s="145"/>
      <c r="X38" s="140"/>
      <c r="Y38" s="140"/>
    </row>
    <row r="39" spans="1:25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4" t="s">
        <v>314</v>
      </c>
      <c r="P39" s="140"/>
      <c r="Q39" s="140">
        <v>29.4</v>
      </c>
      <c r="R39" s="147"/>
      <c r="S39" s="140"/>
      <c r="T39" s="140">
        <v>207</v>
      </c>
      <c r="U39" s="140" t="s">
        <v>16</v>
      </c>
      <c r="V39" s="140"/>
      <c r="W39" s="145"/>
      <c r="X39" s="140"/>
      <c r="Y39" s="140"/>
    </row>
    <row r="40" spans="1:25" ht="15.75" thickBot="1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9"/>
      <c r="P40" s="150"/>
      <c r="Q40" s="150"/>
      <c r="R40" s="150"/>
      <c r="S40" s="150"/>
      <c r="T40" s="150"/>
      <c r="U40" s="150"/>
      <c r="V40" s="150"/>
      <c r="W40" s="151"/>
      <c r="X40" s="140"/>
      <c r="Y40" s="140"/>
    </row>
    <row r="41" spans="1:25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490" t="s">
        <v>149</v>
      </c>
      <c r="P41" s="491"/>
      <c r="Q41" s="491"/>
      <c r="R41" s="491"/>
      <c r="S41" s="491"/>
      <c r="T41" s="491"/>
      <c r="U41" s="491"/>
      <c r="V41" s="491"/>
      <c r="W41" s="491"/>
      <c r="X41" s="140"/>
      <c r="Y41" s="140"/>
    </row>
    <row r="42" spans="1:25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59" t="s">
        <v>350</v>
      </c>
      <c r="P42" s="160"/>
      <c r="Q42" s="160"/>
      <c r="R42" s="160"/>
      <c r="S42" s="160"/>
      <c r="T42" s="160"/>
      <c r="U42" s="160"/>
      <c r="V42" s="160"/>
      <c r="W42" s="161"/>
      <c r="X42" s="140"/>
      <c r="Y42" s="140"/>
    </row>
    <row r="43" spans="1:25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4" t="s">
        <v>351</v>
      </c>
      <c r="P43" s="140"/>
      <c r="Q43" s="140"/>
      <c r="R43" s="140"/>
      <c r="S43" s="140"/>
      <c r="T43" s="140"/>
      <c r="U43" s="140"/>
      <c r="V43" s="140"/>
      <c r="W43" s="145"/>
      <c r="X43" s="140"/>
      <c r="Y43" s="140"/>
    </row>
    <row r="44" spans="1:25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4"/>
      <c r="P44" s="140"/>
      <c r="Q44" s="140" t="s">
        <v>301</v>
      </c>
      <c r="R44" s="140"/>
      <c r="S44" s="140"/>
      <c r="T44" s="140"/>
      <c r="U44" s="140"/>
      <c r="V44" s="140"/>
      <c r="W44" s="145"/>
      <c r="X44" s="140"/>
      <c r="Y44" s="140"/>
    </row>
    <row r="45" spans="1:25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498" t="s">
        <v>352</v>
      </c>
      <c r="P45" s="499"/>
      <c r="Q45" s="140">
        <v>117</v>
      </c>
      <c r="R45" s="140"/>
      <c r="S45" s="140"/>
      <c r="T45" s="140"/>
      <c r="U45" s="140"/>
      <c r="V45" s="140"/>
      <c r="W45" s="145"/>
      <c r="X45" s="140"/>
      <c r="Y45" s="140"/>
    </row>
    <row r="46" spans="1:25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4" t="s">
        <v>306</v>
      </c>
      <c r="P46" s="140"/>
      <c r="Q46" s="140"/>
      <c r="R46" s="140" t="s">
        <v>339</v>
      </c>
      <c r="S46" s="140"/>
      <c r="T46" s="140"/>
      <c r="U46" s="140"/>
      <c r="V46" s="140"/>
      <c r="W46" s="145"/>
      <c r="X46" s="140"/>
      <c r="Y46" s="140"/>
    </row>
    <row r="47" spans="1:25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4" t="s">
        <v>310</v>
      </c>
      <c r="P47" s="140"/>
      <c r="Q47" s="140">
        <v>22.8</v>
      </c>
      <c r="R47" s="147">
        <v>26</v>
      </c>
      <c r="S47" s="140"/>
      <c r="T47" s="148" t="s">
        <v>311</v>
      </c>
      <c r="U47" s="140"/>
      <c r="V47" s="140"/>
      <c r="W47" s="145"/>
      <c r="X47" s="140"/>
      <c r="Y47" s="140"/>
    </row>
    <row r="48" spans="1:25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4" t="s">
        <v>314</v>
      </c>
      <c r="P48" s="140"/>
      <c r="Q48" s="140">
        <v>29.4</v>
      </c>
      <c r="R48" s="147"/>
      <c r="S48" s="140"/>
      <c r="T48" s="140">
        <v>143</v>
      </c>
      <c r="U48" s="140" t="s">
        <v>16</v>
      </c>
      <c r="V48" s="140"/>
      <c r="W48" s="145"/>
      <c r="X48" s="140"/>
      <c r="Y48" s="140"/>
    </row>
    <row r="49" spans="1:25" ht="15.75" thickBot="1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4"/>
      <c r="P49" s="140"/>
      <c r="Q49" s="140"/>
      <c r="R49" s="140"/>
      <c r="S49" s="140"/>
      <c r="T49" s="140"/>
      <c r="U49" s="140"/>
      <c r="V49" s="140"/>
      <c r="W49" s="145"/>
      <c r="X49" s="140"/>
      <c r="Y49" s="140"/>
    </row>
    <row r="50" spans="1:25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62" t="s">
        <v>353</v>
      </c>
      <c r="P50" s="163"/>
      <c r="Q50" s="163"/>
      <c r="R50" s="163"/>
      <c r="S50" s="163"/>
      <c r="T50" s="163"/>
      <c r="U50" s="163"/>
      <c r="V50" s="163"/>
      <c r="W50" s="164"/>
      <c r="X50" s="140"/>
      <c r="Y50" s="140"/>
    </row>
    <row r="51" spans="1:25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4" t="s">
        <v>354</v>
      </c>
      <c r="P51" s="140"/>
      <c r="Q51" s="140"/>
      <c r="R51" s="140"/>
      <c r="S51" s="140"/>
      <c r="T51" s="140"/>
      <c r="U51" s="140"/>
      <c r="V51" s="140"/>
      <c r="W51" s="145"/>
      <c r="X51" s="140"/>
      <c r="Y51" s="140"/>
    </row>
    <row r="52" spans="1:25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4"/>
      <c r="P52" s="140"/>
      <c r="Q52" s="140" t="s">
        <v>301</v>
      </c>
      <c r="R52" s="140"/>
      <c r="S52" s="140"/>
      <c r="T52" s="140"/>
      <c r="U52" s="140"/>
      <c r="V52" s="140"/>
      <c r="W52" s="145"/>
      <c r="X52" s="140"/>
      <c r="Y52" s="140"/>
    </row>
    <row r="53" spans="1:25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498" t="s">
        <v>355</v>
      </c>
      <c r="P53" s="499"/>
      <c r="Q53" s="140">
        <v>707</v>
      </c>
      <c r="R53" s="140"/>
      <c r="S53" s="140"/>
      <c r="T53" s="140"/>
      <c r="U53" s="140"/>
      <c r="V53" s="140"/>
      <c r="W53" s="145"/>
      <c r="X53" s="140"/>
      <c r="Y53" s="140"/>
    </row>
    <row r="54" spans="1:25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4" t="s">
        <v>306</v>
      </c>
      <c r="P54" s="140"/>
      <c r="Q54" s="140"/>
      <c r="R54" s="140" t="s">
        <v>339</v>
      </c>
      <c r="S54" s="140"/>
      <c r="T54" s="140"/>
      <c r="U54" s="140"/>
      <c r="V54" s="140"/>
      <c r="W54" s="145"/>
      <c r="X54" s="140"/>
      <c r="Y54" s="140"/>
    </row>
    <row r="55" spans="1:25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4" t="s">
        <v>310</v>
      </c>
      <c r="P55" s="140"/>
      <c r="Q55" s="140">
        <v>22.8</v>
      </c>
      <c r="R55" s="147">
        <v>26</v>
      </c>
      <c r="S55" s="140"/>
      <c r="T55" s="148" t="s">
        <v>311</v>
      </c>
      <c r="U55" s="140"/>
      <c r="V55" s="140"/>
      <c r="W55" s="145"/>
      <c r="X55" s="140"/>
      <c r="Y55" s="140"/>
    </row>
    <row r="56" spans="1:25" ht="15.75" thickBot="1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9" t="s">
        <v>314</v>
      </c>
      <c r="P56" s="150"/>
      <c r="Q56" s="150">
        <v>29.4</v>
      </c>
      <c r="R56" s="165"/>
      <c r="S56" s="150"/>
      <c r="T56" s="150">
        <v>733</v>
      </c>
      <c r="U56" s="150" t="s">
        <v>16</v>
      </c>
      <c r="V56" s="150"/>
      <c r="W56" s="151"/>
      <c r="X56" s="140"/>
      <c r="Y56" s="140"/>
    </row>
    <row r="57" spans="1:25" ht="20.25" customHeight="1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62" t="s">
        <v>356</v>
      </c>
      <c r="P57" s="163"/>
      <c r="Q57" s="163"/>
      <c r="R57" s="163"/>
      <c r="S57" s="163"/>
      <c r="T57" s="163"/>
      <c r="U57" s="163"/>
      <c r="V57" s="163"/>
      <c r="W57" s="164"/>
      <c r="X57" s="140"/>
      <c r="Y57" s="140"/>
    </row>
    <row r="58" spans="1:25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4" t="s">
        <v>357</v>
      </c>
      <c r="P58" s="140"/>
      <c r="Q58" s="140"/>
      <c r="R58" s="140"/>
      <c r="S58" s="140"/>
      <c r="T58" s="140"/>
      <c r="U58" s="140"/>
      <c r="V58" s="140"/>
      <c r="W58" s="145"/>
      <c r="X58" s="140"/>
      <c r="Y58" s="140"/>
    </row>
    <row r="59" spans="1:25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4"/>
      <c r="P59" s="140"/>
      <c r="Q59" s="140" t="s">
        <v>301</v>
      </c>
      <c r="R59" s="140"/>
      <c r="S59" s="140"/>
      <c r="T59" s="140"/>
      <c r="U59" s="140"/>
      <c r="V59" s="140"/>
      <c r="W59" s="145"/>
      <c r="X59" s="140"/>
      <c r="Y59" s="140"/>
    </row>
    <row r="60" spans="1:25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498" t="s">
        <v>358</v>
      </c>
      <c r="P60" s="499"/>
      <c r="Q60" s="140">
        <v>289</v>
      </c>
      <c r="R60" s="140"/>
      <c r="S60" s="140"/>
      <c r="T60" s="140"/>
      <c r="U60" s="140"/>
      <c r="V60" s="140"/>
      <c r="W60" s="145"/>
      <c r="X60" s="140"/>
      <c r="Y60" s="140"/>
    </row>
    <row r="61" spans="1:25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4" t="s">
        <v>306</v>
      </c>
      <c r="P61" s="140"/>
      <c r="Q61" s="140"/>
      <c r="R61" s="140" t="s">
        <v>339</v>
      </c>
      <c r="S61" s="140"/>
      <c r="T61" s="140"/>
      <c r="U61" s="140"/>
      <c r="V61" s="140"/>
      <c r="W61" s="145"/>
      <c r="X61" s="140"/>
      <c r="Y61" s="140"/>
    </row>
    <row r="62" spans="1:25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4" t="s">
        <v>310</v>
      </c>
      <c r="P62" s="140"/>
      <c r="Q62" s="140">
        <v>22.8</v>
      </c>
      <c r="R62" s="147">
        <v>26</v>
      </c>
      <c r="S62" s="140"/>
      <c r="T62" s="148" t="s">
        <v>311</v>
      </c>
      <c r="U62" s="140"/>
      <c r="V62" s="140"/>
      <c r="W62" s="145"/>
      <c r="X62" s="140"/>
      <c r="Y62" s="140"/>
    </row>
    <row r="63" spans="1:25" ht="15.75" thickBot="1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9" t="s">
        <v>314</v>
      </c>
      <c r="P63" s="150"/>
      <c r="Q63" s="150">
        <v>29.4</v>
      </c>
      <c r="R63" s="165"/>
      <c r="S63" s="150"/>
      <c r="T63" s="150">
        <v>315</v>
      </c>
      <c r="U63" s="150" t="s">
        <v>16</v>
      </c>
      <c r="V63" s="150"/>
      <c r="W63" s="151"/>
      <c r="X63" s="140"/>
      <c r="Y63" s="140"/>
    </row>
    <row r="64" spans="1:25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490" t="s">
        <v>228</v>
      </c>
      <c r="P64" s="491"/>
      <c r="Q64" s="491"/>
      <c r="R64" s="491"/>
      <c r="S64" s="491"/>
      <c r="T64" s="491"/>
      <c r="U64" s="491"/>
      <c r="V64" s="491"/>
      <c r="W64" s="491"/>
      <c r="X64" s="140"/>
      <c r="Y64" s="140"/>
    </row>
    <row r="65" spans="1:25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4" t="s">
        <v>359</v>
      </c>
      <c r="P65" s="140"/>
      <c r="Q65" s="140"/>
      <c r="R65" s="140"/>
      <c r="S65" s="140"/>
      <c r="T65" s="140"/>
      <c r="U65" s="140"/>
      <c r="V65" s="140"/>
      <c r="W65" s="145"/>
      <c r="X65" s="140"/>
      <c r="Y65" s="140"/>
    </row>
    <row r="66" spans="1:25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4"/>
      <c r="P66" s="140"/>
      <c r="Q66" s="140" t="s">
        <v>301</v>
      </c>
      <c r="R66" s="140"/>
      <c r="S66" s="140"/>
      <c r="T66" s="140"/>
      <c r="U66" s="140"/>
      <c r="V66" s="140"/>
      <c r="W66" s="145"/>
      <c r="X66" s="140"/>
      <c r="Y66" s="140"/>
    </row>
    <row r="67" spans="1:25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498" t="s">
        <v>360</v>
      </c>
      <c r="P67" s="499"/>
      <c r="Q67" s="140">
        <v>158</v>
      </c>
      <c r="R67" s="140"/>
      <c r="S67" s="140"/>
      <c r="T67" s="140"/>
      <c r="U67" s="140"/>
      <c r="V67" s="140"/>
      <c r="W67" s="145"/>
      <c r="X67" s="140"/>
      <c r="Y67" s="140"/>
    </row>
    <row r="68" spans="1:25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4" t="s">
        <v>306</v>
      </c>
      <c r="P68" s="140"/>
      <c r="Q68" s="140"/>
      <c r="R68" s="140" t="s">
        <v>339</v>
      </c>
      <c r="S68" s="140"/>
      <c r="T68" s="140"/>
      <c r="U68" s="140"/>
      <c r="V68" s="140"/>
      <c r="W68" s="145"/>
      <c r="X68" s="140"/>
      <c r="Y68" s="140"/>
    </row>
    <row r="69" spans="1:25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4" t="s">
        <v>310</v>
      </c>
      <c r="P69" s="140"/>
      <c r="Q69" s="140">
        <v>22.8</v>
      </c>
      <c r="R69" s="147">
        <v>26</v>
      </c>
      <c r="S69" s="140"/>
      <c r="T69" s="148" t="s">
        <v>311</v>
      </c>
      <c r="U69" s="140"/>
      <c r="V69" s="140"/>
      <c r="W69" s="145"/>
      <c r="X69" s="140"/>
      <c r="Y69" s="140"/>
    </row>
    <row r="70" spans="1:25" ht="15.75" thickBot="1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4" t="s">
        <v>314</v>
      </c>
      <c r="P70" s="140"/>
      <c r="Q70" s="140">
        <v>29.4</v>
      </c>
      <c r="R70" s="147"/>
      <c r="S70" s="140"/>
      <c r="T70" s="140">
        <v>184</v>
      </c>
      <c r="U70" s="140" t="s">
        <v>16</v>
      </c>
      <c r="V70" s="140"/>
      <c r="W70" s="145"/>
      <c r="X70" s="140"/>
      <c r="Y70" s="140"/>
    </row>
    <row r="71" spans="1:25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490" t="s">
        <v>361</v>
      </c>
      <c r="P71" s="491"/>
      <c r="Q71" s="491"/>
      <c r="R71" s="491"/>
      <c r="S71" s="491"/>
      <c r="T71" s="491"/>
      <c r="U71" s="491"/>
      <c r="V71" s="491"/>
      <c r="W71" s="491"/>
      <c r="X71" s="140"/>
      <c r="Y71" s="140"/>
    </row>
    <row r="72" spans="1:25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4" t="s">
        <v>362</v>
      </c>
      <c r="P72" s="140"/>
      <c r="Q72" s="140"/>
      <c r="R72" s="140"/>
      <c r="S72" s="140"/>
      <c r="T72" s="140"/>
      <c r="U72" s="140"/>
      <c r="V72" s="140"/>
      <c r="W72" s="145"/>
      <c r="X72" s="140"/>
      <c r="Y72" s="140"/>
    </row>
    <row r="73" spans="1:25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4"/>
      <c r="P73" s="140"/>
      <c r="Q73" s="140" t="s">
        <v>301</v>
      </c>
      <c r="R73" s="140"/>
      <c r="S73" s="140"/>
      <c r="T73" s="140"/>
      <c r="U73" s="140"/>
      <c r="V73" s="140"/>
      <c r="W73" s="145"/>
      <c r="X73" s="140"/>
      <c r="Y73" s="140"/>
    </row>
    <row r="74" spans="1:25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498" t="s">
        <v>363</v>
      </c>
      <c r="P74" s="499"/>
      <c r="Q74" s="140">
        <v>181</v>
      </c>
      <c r="R74" s="140"/>
      <c r="S74" s="140"/>
      <c r="T74" s="140"/>
      <c r="U74" s="140"/>
      <c r="V74" s="140"/>
      <c r="W74" s="145"/>
      <c r="X74" s="140"/>
      <c r="Y74" s="140"/>
    </row>
    <row r="75" spans="1:25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4" t="s">
        <v>306</v>
      </c>
      <c r="P75" s="140"/>
      <c r="Q75" s="140"/>
      <c r="R75" s="140" t="s">
        <v>339</v>
      </c>
      <c r="S75" s="140"/>
      <c r="T75" s="140"/>
      <c r="U75" s="140"/>
      <c r="V75" s="140"/>
      <c r="W75" s="145"/>
      <c r="X75" s="140"/>
      <c r="Y75" s="140"/>
    </row>
    <row r="76" spans="1:25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4" t="s">
        <v>310</v>
      </c>
      <c r="P76" s="140"/>
      <c r="Q76" s="140">
        <v>22.8</v>
      </c>
      <c r="R76" s="147">
        <v>26</v>
      </c>
      <c r="S76" s="140"/>
      <c r="T76" s="148" t="s">
        <v>311</v>
      </c>
      <c r="U76" s="140"/>
      <c r="V76" s="140"/>
      <c r="W76" s="145"/>
      <c r="X76" s="140"/>
      <c r="Y76" s="140"/>
    </row>
    <row r="77" spans="1:25" ht="15.75" thickBot="1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4" t="s">
        <v>314</v>
      </c>
      <c r="P77" s="140"/>
      <c r="Q77" s="140">
        <v>29.4</v>
      </c>
      <c r="R77" s="147"/>
      <c r="S77" s="140"/>
      <c r="T77" s="140">
        <v>207</v>
      </c>
      <c r="U77" s="140" t="s">
        <v>16</v>
      </c>
      <c r="V77" s="140"/>
      <c r="W77" s="145"/>
      <c r="X77" s="140"/>
      <c r="Y77" s="140"/>
    </row>
    <row r="78" spans="1:25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490" t="s">
        <v>364</v>
      </c>
      <c r="P78" s="491"/>
      <c r="Q78" s="491"/>
      <c r="R78" s="491"/>
      <c r="S78" s="491"/>
      <c r="T78" s="491"/>
      <c r="U78" s="491"/>
      <c r="V78" s="491"/>
      <c r="W78" s="491"/>
      <c r="X78" s="140"/>
      <c r="Y78" s="140"/>
    </row>
    <row r="79" spans="1:25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4" t="s">
        <v>365</v>
      </c>
      <c r="P79" s="140"/>
      <c r="Q79" s="140"/>
      <c r="R79" s="140"/>
      <c r="S79" s="140"/>
      <c r="T79" s="140"/>
      <c r="U79" s="140"/>
      <c r="V79" s="140"/>
      <c r="W79" s="145"/>
      <c r="X79" s="140"/>
      <c r="Y79" s="140"/>
    </row>
    <row r="80" spans="1:25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4"/>
      <c r="P80" s="140"/>
      <c r="Q80" s="140" t="s">
        <v>301</v>
      </c>
      <c r="R80" s="140"/>
      <c r="S80" s="140"/>
      <c r="T80" s="140"/>
      <c r="U80" s="140"/>
      <c r="V80" s="140"/>
      <c r="W80" s="145"/>
      <c r="X80" s="140"/>
      <c r="Y80" s="140"/>
    </row>
    <row r="81" spans="1:25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498" t="s">
        <v>366</v>
      </c>
      <c r="P81" s="499"/>
      <c r="Q81" s="140">
        <v>496</v>
      </c>
      <c r="R81" s="140"/>
      <c r="S81" s="140"/>
      <c r="T81" s="140"/>
      <c r="U81" s="140"/>
      <c r="V81" s="140"/>
      <c r="W81" s="145"/>
      <c r="X81" s="140"/>
      <c r="Y81" s="140"/>
    </row>
    <row r="82" spans="1:25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4" t="s">
        <v>306</v>
      </c>
      <c r="P82" s="140"/>
      <c r="Q82" s="140"/>
      <c r="R82" s="140" t="s">
        <v>339</v>
      </c>
      <c r="S82" s="140"/>
      <c r="T82" s="140"/>
      <c r="U82" s="140"/>
      <c r="V82" s="140"/>
      <c r="W82" s="145"/>
      <c r="X82" s="140"/>
      <c r="Y82" s="140"/>
    </row>
    <row r="83" spans="1:25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4" t="s">
        <v>310</v>
      </c>
      <c r="P83" s="140"/>
      <c r="Q83" s="140">
        <v>22.8</v>
      </c>
      <c r="R83" s="147">
        <v>26</v>
      </c>
      <c r="S83" s="140"/>
      <c r="T83" s="148" t="s">
        <v>311</v>
      </c>
      <c r="U83" s="140"/>
      <c r="V83" s="140"/>
      <c r="W83" s="145"/>
      <c r="X83" s="140"/>
      <c r="Y83" s="140"/>
    </row>
    <row r="84" spans="1:25" ht="15.75" thickBot="1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4" t="s">
        <v>314</v>
      </c>
      <c r="P84" s="140"/>
      <c r="Q84" s="140">
        <v>29.4</v>
      </c>
      <c r="R84" s="147"/>
      <c r="S84" s="140"/>
      <c r="T84" s="140">
        <v>522</v>
      </c>
      <c r="U84" s="140" t="s">
        <v>16</v>
      </c>
      <c r="V84" s="140"/>
      <c r="W84" s="145"/>
      <c r="X84" s="140"/>
      <c r="Y84" s="140"/>
    </row>
    <row r="85" spans="1:25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490" t="s">
        <v>367</v>
      </c>
      <c r="P85" s="491"/>
      <c r="Q85" s="491"/>
      <c r="R85" s="491"/>
      <c r="S85" s="491"/>
      <c r="T85" s="491"/>
      <c r="U85" s="491"/>
      <c r="V85" s="491"/>
      <c r="W85" s="491"/>
      <c r="X85" s="140"/>
      <c r="Y85" s="140"/>
    </row>
    <row r="86" spans="1:25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4" t="s">
        <v>368</v>
      </c>
      <c r="P86" s="140"/>
      <c r="Q86" s="140"/>
      <c r="R86" s="140"/>
      <c r="S86" s="140"/>
      <c r="T86" s="140"/>
      <c r="U86" s="140"/>
      <c r="V86" s="140"/>
      <c r="W86" s="145"/>
      <c r="X86" s="140"/>
      <c r="Y86" s="140"/>
    </row>
    <row r="87" spans="1:25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4"/>
      <c r="P87" s="140"/>
      <c r="Q87" s="140" t="s">
        <v>301</v>
      </c>
      <c r="R87" s="140"/>
      <c r="S87" s="140"/>
      <c r="T87" s="140"/>
      <c r="U87" s="140"/>
      <c r="V87" s="140"/>
      <c r="W87" s="145"/>
      <c r="X87" s="140"/>
      <c r="Y87" s="140"/>
    </row>
    <row r="88" spans="1:25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498" t="s">
        <v>369</v>
      </c>
      <c r="P88" s="499"/>
      <c r="Q88" s="140">
        <v>235</v>
      </c>
      <c r="R88" s="140"/>
      <c r="S88" s="140"/>
      <c r="T88" s="140"/>
      <c r="U88" s="140"/>
      <c r="V88" s="140"/>
      <c r="W88" s="145"/>
      <c r="X88" s="140"/>
      <c r="Y88" s="140"/>
    </row>
    <row r="89" spans="1:25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4" t="s">
        <v>306</v>
      </c>
      <c r="P89" s="140"/>
      <c r="Q89" s="140"/>
      <c r="R89" s="140" t="s">
        <v>339</v>
      </c>
      <c r="S89" s="140"/>
      <c r="T89" s="140"/>
      <c r="U89" s="140"/>
      <c r="V89" s="140"/>
      <c r="W89" s="145"/>
      <c r="X89" s="140"/>
      <c r="Y89" s="140"/>
    </row>
    <row r="90" spans="1:25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4" t="s">
        <v>310</v>
      </c>
      <c r="P90" s="140"/>
      <c r="Q90" s="140">
        <v>22.8</v>
      </c>
      <c r="R90" s="147">
        <v>26</v>
      </c>
      <c r="S90" s="140"/>
      <c r="T90" s="148" t="s">
        <v>311</v>
      </c>
      <c r="U90" s="140"/>
      <c r="V90" s="140"/>
      <c r="W90" s="145"/>
      <c r="X90" s="140"/>
      <c r="Y90" s="140"/>
    </row>
    <row r="91" spans="1:25" ht="15.75" thickBot="1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4" t="s">
        <v>314</v>
      </c>
      <c r="P91" s="140"/>
      <c r="Q91" s="140">
        <v>29.4</v>
      </c>
      <c r="R91" s="147"/>
      <c r="S91" s="140"/>
      <c r="T91" s="140">
        <v>261</v>
      </c>
      <c r="U91" s="140" t="s">
        <v>16</v>
      </c>
      <c r="V91" s="140"/>
      <c r="W91" s="145"/>
      <c r="X91" s="140"/>
      <c r="Y91" s="140"/>
    </row>
    <row r="92" spans="1:25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490" t="s">
        <v>370</v>
      </c>
      <c r="P92" s="491"/>
      <c r="Q92" s="491"/>
      <c r="R92" s="491"/>
      <c r="S92" s="491"/>
      <c r="T92" s="491"/>
      <c r="U92" s="491"/>
      <c r="V92" s="491"/>
      <c r="W92" s="491"/>
      <c r="X92" s="140"/>
      <c r="Y92" s="140"/>
    </row>
    <row r="93" spans="1:25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4" t="s">
        <v>371</v>
      </c>
      <c r="P93" s="140"/>
      <c r="Q93" s="140"/>
      <c r="R93" s="140"/>
      <c r="S93" s="140"/>
      <c r="T93" s="140"/>
      <c r="U93" s="140"/>
      <c r="V93" s="140"/>
      <c r="W93" s="145"/>
      <c r="X93" s="140"/>
      <c r="Y93" s="140"/>
    </row>
    <row r="94" spans="1:25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4"/>
      <c r="P94" s="140"/>
      <c r="Q94" s="140" t="s">
        <v>301</v>
      </c>
      <c r="R94" s="140"/>
      <c r="S94" s="140"/>
      <c r="T94" s="140"/>
      <c r="U94" s="140"/>
      <c r="V94" s="140"/>
      <c r="W94" s="145"/>
      <c r="X94" s="140"/>
      <c r="Y94" s="140"/>
    </row>
    <row r="95" spans="1:25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498" t="s">
        <v>372</v>
      </c>
      <c r="P95" s="499"/>
      <c r="Q95" s="140">
        <v>130</v>
      </c>
      <c r="R95" s="140"/>
      <c r="S95" s="140"/>
      <c r="T95" s="140"/>
      <c r="U95" s="140"/>
      <c r="V95" s="140"/>
      <c r="W95" s="145"/>
      <c r="X95" s="140"/>
      <c r="Y95" s="140"/>
    </row>
    <row r="96" spans="1:25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4" t="s">
        <v>306</v>
      </c>
      <c r="P96" s="140"/>
      <c r="Q96" s="140"/>
      <c r="R96" s="140" t="s">
        <v>339</v>
      </c>
      <c r="S96" s="140"/>
      <c r="T96" s="140"/>
      <c r="U96" s="140"/>
      <c r="V96" s="140"/>
      <c r="W96" s="145"/>
      <c r="X96" s="140"/>
      <c r="Y96" s="140"/>
    </row>
    <row r="97" spans="1:25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4" t="s">
        <v>310</v>
      </c>
      <c r="P97" s="140"/>
      <c r="Q97" s="140">
        <v>22.8</v>
      </c>
      <c r="R97" s="147">
        <v>26</v>
      </c>
      <c r="S97" s="140"/>
      <c r="T97" s="148" t="s">
        <v>311</v>
      </c>
      <c r="U97" s="140"/>
      <c r="V97" s="140"/>
      <c r="W97" s="145"/>
      <c r="X97" s="140"/>
      <c r="Y97" s="140"/>
    </row>
    <row r="98" spans="1:25" ht="15.75" thickBot="1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9" t="s">
        <v>314</v>
      </c>
      <c r="P98" s="150"/>
      <c r="Q98" s="150">
        <v>29.4</v>
      </c>
      <c r="R98" s="165"/>
      <c r="S98" s="150"/>
      <c r="T98" s="150">
        <v>156</v>
      </c>
      <c r="U98" s="150" t="s">
        <v>16</v>
      </c>
      <c r="V98" s="150"/>
      <c r="W98" s="151"/>
      <c r="X98" s="140"/>
      <c r="Y98" s="140"/>
    </row>
    <row r="99" spans="1:25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490" t="s">
        <v>373</v>
      </c>
      <c r="P99" s="491"/>
      <c r="Q99" s="491"/>
      <c r="R99" s="491"/>
      <c r="S99" s="491"/>
      <c r="T99" s="491"/>
      <c r="U99" s="491"/>
      <c r="V99" s="491"/>
      <c r="W99" s="491"/>
      <c r="X99" s="140"/>
      <c r="Y99" s="140"/>
    </row>
    <row r="100" spans="1:25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4" t="s">
        <v>374</v>
      </c>
      <c r="P100" s="140"/>
      <c r="Q100" s="140"/>
      <c r="R100" s="140"/>
      <c r="S100" s="140"/>
      <c r="T100" s="140"/>
      <c r="U100" s="140"/>
      <c r="V100" s="140"/>
      <c r="W100" s="145"/>
      <c r="X100" s="140"/>
      <c r="Y100" s="140"/>
    </row>
    <row r="101" spans="1:25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4"/>
      <c r="P101" s="140"/>
      <c r="Q101" s="140" t="s">
        <v>301</v>
      </c>
      <c r="R101" s="140"/>
      <c r="S101" s="140"/>
      <c r="T101" s="140"/>
      <c r="U101" s="140"/>
      <c r="V101" s="140"/>
      <c r="W101" s="145"/>
      <c r="X101" s="140"/>
      <c r="Y101" s="140"/>
    </row>
    <row r="102" spans="1:25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498" t="s">
        <v>375</v>
      </c>
      <c r="P102" s="499"/>
      <c r="Q102" s="140">
        <v>35</v>
      </c>
      <c r="R102" s="140"/>
      <c r="S102" s="140"/>
      <c r="T102" s="140"/>
      <c r="U102" s="140"/>
      <c r="V102" s="140"/>
      <c r="W102" s="145"/>
      <c r="X102" s="140"/>
      <c r="Y102" s="140"/>
    </row>
    <row r="103" spans="1:25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4" t="s">
        <v>306</v>
      </c>
      <c r="P103" s="140"/>
      <c r="Q103" s="140"/>
      <c r="R103" s="140" t="s">
        <v>339</v>
      </c>
      <c r="S103" s="140"/>
      <c r="T103" s="140" t="s">
        <v>376</v>
      </c>
      <c r="U103" s="140"/>
      <c r="V103" s="140"/>
      <c r="W103" s="145"/>
      <c r="X103" s="140"/>
      <c r="Y103" s="140"/>
    </row>
    <row r="104" spans="1:25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4" t="s">
        <v>310</v>
      </c>
      <c r="P104" s="140"/>
      <c r="Q104" s="140">
        <v>22.8</v>
      </c>
      <c r="R104" s="147">
        <v>26</v>
      </c>
      <c r="S104" s="140"/>
      <c r="T104" s="148" t="s">
        <v>311</v>
      </c>
      <c r="U104" s="140"/>
      <c r="V104" s="140"/>
      <c r="W104" s="145"/>
      <c r="X104" s="140"/>
      <c r="Y104" s="140"/>
    </row>
    <row r="105" spans="1:25" ht="15.75" thickBot="1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9" t="s">
        <v>314</v>
      </c>
      <c r="P105" s="150"/>
      <c r="Q105" s="150">
        <v>29.4</v>
      </c>
      <c r="R105" s="165"/>
      <c r="S105" s="150"/>
      <c r="T105" s="150">
        <v>61</v>
      </c>
      <c r="U105" s="150" t="s">
        <v>16</v>
      </c>
      <c r="V105" s="150">
        <v>122.6</v>
      </c>
      <c r="W105" s="151" t="s">
        <v>16</v>
      </c>
      <c r="X105" s="140"/>
      <c r="Y105" s="140"/>
    </row>
    <row r="106" spans="1:25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</row>
  </sheetData>
  <mergeCells count="30">
    <mergeCell ref="O102:P102"/>
    <mergeCell ref="O64:W64"/>
    <mergeCell ref="O67:P67"/>
    <mergeCell ref="O71:W71"/>
    <mergeCell ref="O74:P74"/>
    <mergeCell ref="O78:W78"/>
    <mergeCell ref="O81:P81"/>
    <mergeCell ref="O85:W85"/>
    <mergeCell ref="O88:P88"/>
    <mergeCell ref="O92:W92"/>
    <mergeCell ref="O95:P95"/>
    <mergeCell ref="O99:W99"/>
    <mergeCell ref="O60:P60"/>
    <mergeCell ref="A13:I13"/>
    <mergeCell ref="O17:W17"/>
    <mergeCell ref="O20:P20"/>
    <mergeCell ref="A25:I25"/>
    <mergeCell ref="O25:W25"/>
    <mergeCell ref="O28:P28"/>
    <mergeCell ref="O33:W33"/>
    <mergeCell ref="O36:P36"/>
    <mergeCell ref="O41:W41"/>
    <mergeCell ref="O45:P45"/>
    <mergeCell ref="O53:P53"/>
    <mergeCell ref="O11:W11"/>
    <mergeCell ref="L2:M2"/>
    <mergeCell ref="O2:W2"/>
    <mergeCell ref="A3:I3"/>
    <mergeCell ref="O3:W3"/>
    <mergeCell ref="O6:P6"/>
  </mergeCells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AD2F-A403-4950-9C94-B7DBA5E0EE82}">
  <sheetPr codeName="Tabelle10"/>
  <dimension ref="C5:C6"/>
  <sheetViews>
    <sheetView workbookViewId="0">
      <selection activeCell="J17" sqref="J17"/>
    </sheetView>
  </sheetViews>
  <sheetFormatPr baseColWidth="10" defaultColWidth="11.42578125" defaultRowHeight="15"/>
  <sheetData>
    <row r="5" spans="3:3">
      <c r="C5" t="s">
        <v>401</v>
      </c>
    </row>
    <row r="6" spans="3:3">
      <c r="C6" t="str" cm="1">
        <f t="array" aca="1" ref="C6" ca="1" xml:space="preserve"> LEFT(CELL("dateiname"),FIND("[",CELL("dateiname"))-1)</f>
        <v>P:\022 REACT\05\00B Entwurf\Daten für die Überprüfung REACT\20250210_Daten mit Problem\Problem mit ROSE Datei\TEST Haus der Jugend\</v>
      </c>
    </row>
  </sheetData>
  <sheetProtection algorithmName="SHA-512" hashValue="Bb32wchH090DaCNIonro0taWvaqooG23cmUGKpr2WG0X61frNirHE/1IDASuX5UP/Jp0S3bAJlrGjJsRp16/hw==" saltValue="80mBLRSYnLP7reid6Ya2jA==" spinCount="100000" sheet="1" objects="1" scenarios="1"/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3977-33AA-4222-ABEC-0E2C27652992}">
  <sheetPr codeName="Tabelle111"/>
  <dimension ref="A1:AF566"/>
  <sheetViews>
    <sheetView topLeftCell="A455" zoomScale="85" zoomScaleNormal="85" workbookViewId="0">
      <selection activeCell="P522" sqref="P522"/>
    </sheetView>
  </sheetViews>
  <sheetFormatPr baseColWidth="10" defaultColWidth="11.42578125" defaultRowHeight="15"/>
  <cols>
    <col min="1" max="1" width="18.28515625" customWidth="1"/>
    <col min="9" max="9" width="12.28515625" bestFit="1" customWidth="1"/>
  </cols>
  <sheetData>
    <row r="1" spans="1:20" ht="18.75">
      <c r="A1" s="12" t="s">
        <v>402</v>
      </c>
      <c r="B1" s="12"/>
      <c r="C1" s="13"/>
      <c r="K1" s="421" t="s">
        <v>47</v>
      </c>
      <c r="L1" s="421"/>
      <c r="N1" s="509" t="s">
        <v>403</v>
      </c>
      <c r="O1" s="509"/>
      <c r="P1" s="509"/>
      <c r="Q1" s="509"/>
      <c r="R1" s="509"/>
      <c r="S1" s="509"/>
      <c r="T1" s="509"/>
    </row>
    <row r="2" spans="1:20" ht="18.75">
      <c r="A2" s="12" t="s">
        <v>404</v>
      </c>
      <c r="B2" s="12"/>
      <c r="C2" s="12"/>
      <c r="K2" s="16"/>
      <c r="L2" t="s">
        <v>405</v>
      </c>
      <c r="N2" t="s">
        <v>406</v>
      </c>
    </row>
    <row r="3" spans="1:20">
      <c r="K3" s="25"/>
      <c r="L3" t="s">
        <v>407</v>
      </c>
      <c r="N3" s="3" t="s">
        <v>408</v>
      </c>
    </row>
    <row r="4" spans="1:20">
      <c r="K4" s="30"/>
      <c r="L4" t="s">
        <v>409</v>
      </c>
      <c r="N4" t="s">
        <v>410</v>
      </c>
    </row>
    <row r="5" spans="1:20">
      <c r="K5" s="37"/>
      <c r="L5" t="s">
        <v>411</v>
      </c>
      <c r="N5" s="3" t="s">
        <v>412</v>
      </c>
    </row>
    <row r="6" spans="1:20">
      <c r="A6" t="s">
        <v>413</v>
      </c>
      <c r="N6" t="s">
        <v>414</v>
      </c>
    </row>
    <row r="7" spans="1:20">
      <c r="A7" t="s">
        <v>379</v>
      </c>
      <c r="N7" s="3" t="s">
        <v>415</v>
      </c>
    </row>
    <row r="8" spans="1:20">
      <c r="A8" s="507" t="s">
        <v>416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N8" t="s">
        <v>417</v>
      </c>
    </row>
    <row r="9" spans="1:20">
      <c r="A9" s="421" t="s">
        <v>418</v>
      </c>
      <c r="B9" s="421"/>
      <c r="C9" s="421"/>
      <c r="D9" s="421"/>
      <c r="E9" s="421"/>
      <c r="F9" s="421"/>
      <c r="G9" s="421"/>
      <c r="N9" s="3" t="s">
        <v>419</v>
      </c>
    </row>
    <row r="10" spans="1:20">
      <c r="A10" s="16" t="s">
        <v>204</v>
      </c>
      <c r="B10" s="16">
        <v>2400</v>
      </c>
      <c r="C10" s="16" t="s">
        <v>208</v>
      </c>
      <c r="N10" t="s">
        <v>420</v>
      </c>
    </row>
    <row r="11" spans="1:20">
      <c r="A11" t="s">
        <v>421</v>
      </c>
      <c r="N11" s="3" t="s">
        <v>422</v>
      </c>
    </row>
    <row r="12" spans="1:20">
      <c r="A12" s="4" t="s">
        <v>423</v>
      </c>
      <c r="B12" s="5"/>
      <c r="C12" s="5" t="s">
        <v>424</v>
      </c>
      <c r="D12" s="5"/>
      <c r="E12" s="5" t="s">
        <v>425</v>
      </c>
      <c r="F12" s="5">
        <f>B10*7</f>
        <v>16800</v>
      </c>
      <c r="G12" s="6" t="s">
        <v>116</v>
      </c>
      <c r="H12" s="16" t="s">
        <v>426</v>
      </c>
      <c r="I12" s="16" t="s">
        <v>427</v>
      </c>
      <c r="J12" s="16"/>
      <c r="K12" s="16"/>
      <c r="L12" s="16"/>
      <c r="N12" t="s">
        <v>428</v>
      </c>
    </row>
    <row r="13" spans="1:20">
      <c r="A13" s="7" t="s">
        <v>429</v>
      </c>
      <c r="C13" t="s">
        <v>430</v>
      </c>
      <c r="E13" t="s">
        <v>425</v>
      </c>
      <c r="F13">
        <f>B10*9</f>
        <v>21600</v>
      </c>
      <c r="G13" s="8" t="s">
        <v>116</v>
      </c>
      <c r="H13" s="16"/>
      <c r="I13" s="16"/>
      <c r="J13" s="16">
        <v>3.7735849056604001E-2</v>
      </c>
      <c r="K13" s="16"/>
      <c r="L13" s="16"/>
      <c r="N13" s="3" t="s">
        <v>431</v>
      </c>
    </row>
    <row r="14" spans="1:20">
      <c r="A14" s="7" t="s">
        <v>432</v>
      </c>
      <c r="C14" t="s">
        <v>433</v>
      </c>
      <c r="E14" t="s">
        <v>425</v>
      </c>
      <c r="F14">
        <f>B10*12</f>
        <v>28800</v>
      </c>
      <c r="G14" s="8" t="s">
        <v>116</v>
      </c>
      <c r="N14" t="s">
        <v>434</v>
      </c>
    </row>
    <row r="15" spans="1:20">
      <c r="A15" s="9" t="s">
        <v>435</v>
      </c>
      <c r="B15" s="10"/>
      <c r="C15" s="10" t="s">
        <v>436</v>
      </c>
      <c r="D15" s="10"/>
      <c r="E15" s="10" t="s">
        <v>425</v>
      </c>
      <c r="F15" s="10">
        <f>B10*15</f>
        <v>36000</v>
      </c>
      <c r="G15" s="11" t="s">
        <v>116</v>
      </c>
      <c r="H15" s="16" t="s">
        <v>437</v>
      </c>
      <c r="I15" s="16" t="s">
        <v>438</v>
      </c>
      <c r="J15" s="16"/>
      <c r="K15" s="16"/>
      <c r="L15" s="16"/>
      <c r="N15" s="3" t="s">
        <v>439</v>
      </c>
    </row>
    <row r="16" spans="1:20">
      <c r="A16" s="15"/>
      <c r="B16" s="15"/>
      <c r="C16" s="15"/>
      <c r="D16" s="15"/>
      <c r="E16" s="15"/>
      <c r="F16" s="15"/>
      <c r="G16" s="15"/>
      <c r="H16" s="16"/>
      <c r="I16" s="16"/>
      <c r="J16" s="16">
        <v>4.3103448275862002E-2</v>
      </c>
      <c r="K16" s="16"/>
      <c r="L16" s="16"/>
      <c r="N16" t="s">
        <v>440</v>
      </c>
    </row>
    <row r="17" spans="1:19">
      <c r="A17" t="s">
        <v>441</v>
      </c>
      <c r="N17" s="3" t="s">
        <v>442</v>
      </c>
    </row>
    <row r="18" spans="1:19">
      <c r="A18" s="2" t="s">
        <v>443</v>
      </c>
      <c r="H18" s="16" t="s">
        <v>444</v>
      </c>
      <c r="I18" s="16"/>
      <c r="J18" s="16"/>
      <c r="N18" t="s">
        <v>445</v>
      </c>
    </row>
    <row r="19" spans="1:19">
      <c r="A19" s="16" t="s">
        <v>446</v>
      </c>
      <c r="B19" s="16">
        <v>42.66</v>
      </c>
      <c r="C19" s="16" t="s">
        <v>447</v>
      </c>
      <c r="H19" s="16" t="s">
        <v>446</v>
      </c>
      <c r="I19" s="16">
        <v>42.66</v>
      </c>
      <c r="J19" s="16" t="s">
        <v>447</v>
      </c>
      <c r="N19" s="3" t="s">
        <v>448</v>
      </c>
    </row>
    <row r="20" spans="1:19">
      <c r="A20" t="s">
        <v>449</v>
      </c>
      <c r="B20">
        <f>B19/J13</f>
        <v>1130.4899999999932</v>
      </c>
      <c r="C20" t="s">
        <v>450</v>
      </c>
      <c r="E20">
        <f>B20/(10^3)</f>
        <v>1.1304899999999931</v>
      </c>
      <c r="F20" s="1" t="s">
        <v>451</v>
      </c>
      <c r="H20" s="17">
        <v>0.33329999999999999</v>
      </c>
      <c r="I20" s="16" t="s">
        <v>452</v>
      </c>
      <c r="J20" s="16"/>
      <c r="N20" t="s">
        <v>453</v>
      </c>
    </row>
    <row r="21" spans="1:19">
      <c r="D21" s="1" t="s">
        <v>454</v>
      </c>
      <c r="E21" s="1"/>
      <c r="F21" s="1"/>
      <c r="H21" s="17">
        <v>0.33329999999999999</v>
      </c>
      <c r="I21" s="16" t="s">
        <v>455</v>
      </c>
      <c r="J21" s="16"/>
      <c r="N21" s="3" t="s">
        <v>456</v>
      </c>
    </row>
    <row r="22" spans="1:19">
      <c r="A22" s="25" t="s">
        <v>457</v>
      </c>
      <c r="B22" s="25"/>
      <c r="C22" s="25"/>
      <c r="D22" s="25"/>
      <c r="E22" s="25"/>
      <c r="F22" s="25"/>
      <c r="H22" s="17">
        <v>0.33329999999999999</v>
      </c>
      <c r="I22" s="16" t="s">
        <v>458</v>
      </c>
      <c r="J22" s="16"/>
      <c r="N22" t="s">
        <v>459</v>
      </c>
    </row>
    <row r="23" spans="1:19">
      <c r="A23" s="26" t="s">
        <v>460</v>
      </c>
      <c r="B23" s="25"/>
      <c r="C23" s="25"/>
      <c r="D23" s="25"/>
      <c r="E23" s="25"/>
      <c r="F23" s="25"/>
      <c r="G23" s="8"/>
      <c r="N23" s="3" t="s">
        <v>461</v>
      </c>
      <c r="S23" t="s">
        <v>462</v>
      </c>
    </row>
    <row r="24" spans="1:19">
      <c r="A24" s="25" t="s">
        <v>463</v>
      </c>
      <c r="B24" s="25">
        <f>(42.66*7)/13.3</f>
        <v>22.452631578947368</v>
      </c>
      <c r="C24" s="25" t="s">
        <v>447</v>
      </c>
      <c r="D24" s="25"/>
      <c r="E24" s="25"/>
      <c r="F24" s="25"/>
      <c r="G24" s="8"/>
    </row>
    <row r="25" spans="1:19">
      <c r="A25" s="25" t="s">
        <v>449</v>
      </c>
      <c r="B25" s="25">
        <f>B24/J13</f>
        <v>594.9947368421017</v>
      </c>
      <c r="C25" s="25" t="s">
        <v>450</v>
      </c>
      <c r="D25" s="25"/>
      <c r="E25" s="29">
        <f>B25/10^3</f>
        <v>0.59499473684210169</v>
      </c>
      <c r="F25" s="24" t="s">
        <v>451</v>
      </c>
      <c r="G25" s="8"/>
    </row>
    <row r="26" spans="1:19">
      <c r="A26" s="25"/>
      <c r="B26" s="25"/>
      <c r="C26" s="25"/>
      <c r="D26" s="24" t="s">
        <v>454</v>
      </c>
      <c r="E26" s="25"/>
      <c r="F26" s="25"/>
      <c r="G26" s="8"/>
    </row>
    <row r="27" spans="1:19">
      <c r="A27" s="2" t="s">
        <v>464</v>
      </c>
      <c r="G27" s="8"/>
    </row>
    <row r="28" spans="1:19">
      <c r="A28" t="s">
        <v>446</v>
      </c>
      <c r="B28">
        <f>(9*42.66)/13.3</f>
        <v>28.867669172932324</v>
      </c>
      <c r="C28" t="s">
        <v>447</v>
      </c>
      <c r="G28" s="8"/>
    </row>
    <row r="29" spans="1:19">
      <c r="A29" t="s">
        <v>449</v>
      </c>
      <c r="B29">
        <f>B28/J13</f>
        <v>764.99323308270198</v>
      </c>
      <c r="C29" t="s">
        <v>450</v>
      </c>
      <c r="E29">
        <f>B29/10^3</f>
        <v>0.76499323308270195</v>
      </c>
      <c r="F29" s="1" t="s">
        <v>451</v>
      </c>
      <c r="G29" s="8"/>
    </row>
    <row r="30" spans="1:19">
      <c r="D30" s="1" t="s">
        <v>454</v>
      </c>
      <c r="G30" s="8"/>
    </row>
    <row r="31" spans="1:19">
      <c r="A31" s="2" t="s">
        <v>435</v>
      </c>
      <c r="G31" s="8"/>
    </row>
    <row r="32" spans="1:19">
      <c r="A32" t="s">
        <v>446</v>
      </c>
      <c r="B32">
        <f>(15*42.66)/13.3</f>
        <v>48.112781954887211</v>
      </c>
      <c r="C32" t="s">
        <v>447</v>
      </c>
      <c r="G32" s="8"/>
    </row>
    <row r="33" spans="1:12">
      <c r="A33" t="s">
        <v>449</v>
      </c>
      <c r="B33">
        <f>B32/J13</f>
        <v>1274.9887218045035</v>
      </c>
      <c r="C33" t="s">
        <v>450</v>
      </c>
      <c r="E33">
        <f>B33/10^3</f>
        <v>1.2749887218045035</v>
      </c>
      <c r="F33" s="1" t="s">
        <v>451</v>
      </c>
      <c r="G33" s="8"/>
    </row>
    <row r="34" spans="1:12">
      <c r="D34" s="1" t="s">
        <v>454</v>
      </c>
      <c r="G34" s="8"/>
    </row>
    <row r="35" spans="1:12" ht="14.25" customHeight="1">
      <c r="A35" s="14"/>
      <c r="B35" s="14"/>
      <c r="C35" s="14"/>
      <c r="D35" s="14"/>
      <c r="E35" s="14"/>
      <c r="F35" s="14"/>
      <c r="G35" s="11"/>
    </row>
    <row r="36" spans="1:12">
      <c r="A36" s="2" t="s">
        <v>465</v>
      </c>
      <c r="G36" s="32" t="s">
        <v>466</v>
      </c>
    </row>
    <row r="37" spans="1:12">
      <c r="A37" t="s">
        <v>467</v>
      </c>
      <c r="C37" t="s">
        <v>468</v>
      </c>
      <c r="G37" s="32" t="s">
        <v>469</v>
      </c>
    </row>
    <row r="38" spans="1:12">
      <c r="A38" s="39">
        <v>1</v>
      </c>
      <c r="C38" s="31">
        <f>((A38*E25))/F12</f>
        <v>3.5416353383458436E-5</v>
      </c>
      <c r="D38" s="31"/>
    </row>
    <row r="39" spans="1:12">
      <c r="D39" s="1"/>
      <c r="F39" s="1"/>
    </row>
    <row r="40" spans="1:12">
      <c r="A40" s="2" t="s">
        <v>470</v>
      </c>
    </row>
    <row r="41" spans="1:12">
      <c r="A41" t="s">
        <v>471</v>
      </c>
      <c r="C41" t="s">
        <v>472</v>
      </c>
    </row>
    <row r="42" spans="1:12">
      <c r="A42" s="30">
        <v>90</v>
      </c>
      <c r="C42" s="502">
        <f>C38*A42</f>
        <v>3.1874718045112591E-3</v>
      </c>
      <c r="D42" s="502"/>
      <c r="E42" t="s">
        <v>259</v>
      </c>
    </row>
    <row r="43" spans="1:12">
      <c r="A43" s="2"/>
    </row>
    <row r="44" spans="1:12">
      <c r="F44" s="1"/>
    </row>
    <row r="45" spans="1:12">
      <c r="A45" s="508" t="s">
        <v>102</v>
      </c>
      <c r="B45" s="508"/>
      <c r="C45" s="508"/>
      <c r="D45" s="508"/>
      <c r="E45" s="508"/>
      <c r="F45" s="508"/>
      <c r="G45" s="508"/>
      <c r="H45" s="508"/>
      <c r="I45" s="508"/>
      <c r="J45" s="508"/>
      <c r="K45" s="508"/>
      <c r="L45" s="508"/>
    </row>
    <row r="46" spans="1:12">
      <c r="A46" s="16" t="s">
        <v>273</v>
      </c>
      <c r="B46" s="16">
        <v>7850</v>
      </c>
      <c r="C46" s="16" t="s">
        <v>208</v>
      </c>
    </row>
    <row r="48" spans="1:12">
      <c r="A48" s="1" t="s">
        <v>473</v>
      </c>
      <c r="B48" s="1"/>
      <c r="C48" s="1" t="s">
        <v>474</v>
      </c>
      <c r="D48" s="1"/>
      <c r="E48" s="1" t="s">
        <v>475</v>
      </c>
      <c r="F48" s="1"/>
      <c r="G48" s="1" t="s">
        <v>476</v>
      </c>
      <c r="H48" s="1"/>
      <c r="I48" s="1" t="s">
        <v>477</v>
      </c>
      <c r="J48" s="1"/>
      <c r="K48" t="s">
        <v>478</v>
      </c>
    </row>
    <row r="49" spans="1:23">
      <c r="A49" s="1" t="s">
        <v>479</v>
      </c>
      <c r="B49" s="1"/>
      <c r="C49" s="1">
        <v>18</v>
      </c>
      <c r="D49" s="1"/>
      <c r="E49" s="1">
        <v>8</v>
      </c>
      <c r="F49" s="1"/>
      <c r="G49" s="1">
        <f>C49-E49</f>
        <v>10</v>
      </c>
      <c r="H49" s="1"/>
      <c r="I49" s="1">
        <f>G49*10^3</f>
        <v>10000</v>
      </c>
      <c r="J49" s="1"/>
    </row>
    <row r="50" spans="1:23">
      <c r="A50" s="24" t="s">
        <v>480</v>
      </c>
      <c r="B50" s="24"/>
      <c r="C50" s="24">
        <v>24</v>
      </c>
      <c r="D50" s="24"/>
      <c r="E50" s="24">
        <v>14</v>
      </c>
      <c r="F50" s="24"/>
      <c r="G50" s="24">
        <f>C50-E50</f>
        <v>10</v>
      </c>
      <c r="H50" s="24"/>
      <c r="I50" s="24">
        <f>G50*10^3</f>
        <v>10000</v>
      </c>
      <c r="J50" s="24"/>
      <c r="K50" s="25">
        <v>90</v>
      </c>
    </row>
    <row r="51" spans="1:23">
      <c r="A51" s="1" t="s">
        <v>481</v>
      </c>
      <c r="B51" s="1"/>
      <c r="C51" s="1">
        <v>36</v>
      </c>
      <c r="D51" s="1"/>
      <c r="E51" s="1">
        <v>15</v>
      </c>
      <c r="F51" s="1"/>
      <c r="G51" s="1">
        <f>C51-E51</f>
        <v>21</v>
      </c>
      <c r="H51" s="1"/>
      <c r="I51" s="1">
        <f>G51*10^3</f>
        <v>21000</v>
      </c>
      <c r="J51" s="1"/>
    </row>
    <row r="53" spans="1:23">
      <c r="A53" t="s">
        <v>482</v>
      </c>
    </row>
    <row r="54" spans="1:23">
      <c r="A54" s="1" t="s">
        <v>473</v>
      </c>
      <c r="B54" s="1"/>
      <c r="C54" t="s">
        <v>10</v>
      </c>
      <c r="D54" t="s">
        <v>381</v>
      </c>
    </row>
    <row r="55" spans="1:23">
      <c r="A55" s="1" t="s">
        <v>479</v>
      </c>
      <c r="B55" s="1"/>
      <c r="C55">
        <f>I49/$B$46</f>
        <v>1.2738853503184713</v>
      </c>
      <c r="D55" t="s">
        <v>382</v>
      </c>
    </row>
    <row r="56" spans="1:23">
      <c r="A56" s="33" t="s">
        <v>480</v>
      </c>
      <c r="B56" s="33"/>
      <c r="C56" s="34">
        <f>I50/$B$46</f>
        <v>1.2738853503184713</v>
      </c>
      <c r="D56" s="34" t="s">
        <v>382</v>
      </c>
      <c r="E56" t="s">
        <v>483</v>
      </c>
    </row>
    <row r="57" spans="1:23">
      <c r="A57" s="1" t="s">
        <v>481</v>
      </c>
      <c r="B57" s="1"/>
      <c r="C57">
        <f>I51/$B$46</f>
        <v>2.6751592356687897</v>
      </c>
      <c r="D57" t="s">
        <v>382</v>
      </c>
      <c r="L57" s="2" t="s">
        <v>484</v>
      </c>
      <c r="Q57" s="32" t="s">
        <v>485</v>
      </c>
      <c r="U57" t="s">
        <v>486</v>
      </c>
    </row>
    <row r="58" spans="1:23">
      <c r="L58" t="s">
        <v>487</v>
      </c>
      <c r="N58" t="s">
        <v>488</v>
      </c>
      <c r="R58" s="32" t="s">
        <v>489</v>
      </c>
      <c r="S58" s="32"/>
      <c r="T58" s="32"/>
      <c r="U58" s="32"/>
      <c r="V58" s="32"/>
      <c r="W58" s="32"/>
    </row>
    <row r="59" spans="1:23">
      <c r="A59" s="16" t="s">
        <v>490</v>
      </c>
      <c r="B59" s="16"/>
      <c r="C59" s="16"/>
      <c r="D59" s="16"/>
      <c r="E59" s="16" t="s">
        <v>426</v>
      </c>
      <c r="F59" s="16" t="s">
        <v>427</v>
      </c>
      <c r="G59" s="16"/>
      <c r="H59" s="16"/>
      <c r="I59" s="16"/>
      <c r="L59" s="39">
        <v>1</v>
      </c>
      <c r="N59" s="502">
        <f>((L59*F68))/I50</f>
        <v>9.2749999999999449E-5</v>
      </c>
      <c r="O59" s="502"/>
      <c r="Q59" s="1"/>
      <c r="R59" s="32" t="s">
        <v>491</v>
      </c>
    </row>
    <row r="60" spans="1:23">
      <c r="A60" s="18" t="s">
        <v>473</v>
      </c>
      <c r="B60" s="18"/>
      <c r="C60" s="16" t="s">
        <v>492</v>
      </c>
      <c r="D60" s="16" t="s">
        <v>381</v>
      </c>
      <c r="E60" s="16"/>
      <c r="F60" s="16"/>
      <c r="G60" s="16">
        <v>3.7735849056604001E-2</v>
      </c>
      <c r="H60" s="16"/>
      <c r="I60" s="16"/>
      <c r="O60" s="1"/>
    </row>
    <row r="61" spans="1:23">
      <c r="A61" s="18" t="s">
        <v>479</v>
      </c>
      <c r="B61" s="18"/>
      <c r="C61" s="16">
        <v>25</v>
      </c>
      <c r="D61" s="16" t="s">
        <v>447</v>
      </c>
      <c r="E61" t="s">
        <v>493</v>
      </c>
      <c r="L61" s="2" t="s">
        <v>470</v>
      </c>
    </row>
    <row r="62" spans="1:23">
      <c r="A62" s="24" t="s">
        <v>480</v>
      </c>
      <c r="B62" s="24"/>
      <c r="C62" s="25">
        <v>35</v>
      </c>
      <c r="D62" s="25" t="s">
        <v>447</v>
      </c>
      <c r="L62" t="s">
        <v>471</v>
      </c>
      <c r="N62" t="s">
        <v>472</v>
      </c>
    </row>
    <row r="63" spans="1:23">
      <c r="A63" s="18" t="s">
        <v>481</v>
      </c>
      <c r="B63" s="18"/>
      <c r="C63" s="16">
        <v>40</v>
      </c>
      <c r="D63" s="16" t="s">
        <v>447</v>
      </c>
      <c r="L63" s="30">
        <v>4286</v>
      </c>
      <c r="N63" s="502">
        <f>N59*L63</f>
        <v>0.39752649999999762</v>
      </c>
      <c r="O63" s="502"/>
      <c r="P63" t="s">
        <v>259</v>
      </c>
    </row>
    <row r="65" spans="1:18">
      <c r="A65" t="s">
        <v>494</v>
      </c>
      <c r="L65" s="2"/>
    </row>
    <row r="66" spans="1:18">
      <c r="A66" s="1" t="s">
        <v>473</v>
      </c>
      <c r="B66" s="1"/>
      <c r="E66" s="1" t="s">
        <v>454</v>
      </c>
    </row>
    <row r="67" spans="1:18">
      <c r="A67" s="1" t="s">
        <v>479</v>
      </c>
      <c r="B67" s="1"/>
      <c r="C67">
        <f>C61/$G$60</f>
        <v>662.49999999999602</v>
      </c>
      <c r="D67" t="s">
        <v>450</v>
      </c>
      <c r="F67">
        <f>C67/10^3</f>
        <v>0.66249999999999598</v>
      </c>
      <c r="G67" s="1" t="s">
        <v>451</v>
      </c>
    </row>
    <row r="68" spans="1:18">
      <c r="A68" s="24" t="s">
        <v>480</v>
      </c>
      <c r="B68" s="24"/>
      <c r="C68" s="25">
        <f>C62/$G$60</f>
        <v>927.49999999999443</v>
      </c>
      <c r="D68" s="25" t="s">
        <v>450</v>
      </c>
      <c r="E68" s="25"/>
      <c r="F68" s="25">
        <f>C68/10^3</f>
        <v>0.92749999999999444</v>
      </c>
      <c r="G68" s="24" t="s">
        <v>451</v>
      </c>
    </row>
    <row r="69" spans="1:18">
      <c r="A69" s="1" t="s">
        <v>481</v>
      </c>
      <c r="B69" s="1"/>
      <c r="C69">
        <f>C63/$G$60</f>
        <v>1059.9999999999936</v>
      </c>
      <c r="D69" t="s">
        <v>450</v>
      </c>
      <c r="F69">
        <f>C69/10^3</f>
        <v>1.0599999999999936</v>
      </c>
      <c r="G69" s="1" t="s">
        <v>451</v>
      </c>
    </row>
    <row r="71" spans="1:18">
      <c r="A71" s="509" t="s">
        <v>303</v>
      </c>
      <c r="B71" s="509"/>
      <c r="C71" s="509"/>
      <c r="D71" s="509"/>
      <c r="E71" s="509"/>
      <c r="F71" s="509"/>
      <c r="G71" s="509"/>
      <c r="H71" s="509"/>
      <c r="I71" s="509"/>
      <c r="J71" s="509"/>
      <c r="K71" s="509"/>
      <c r="L71" s="509"/>
    </row>
    <row r="72" spans="1:18">
      <c r="A72" s="1" t="s">
        <v>473</v>
      </c>
      <c r="B72" s="1"/>
      <c r="C72" s="1" t="s">
        <v>474</v>
      </c>
      <c r="D72" s="1"/>
      <c r="E72" s="1" t="s">
        <v>475</v>
      </c>
      <c r="F72" s="1"/>
      <c r="G72" s="1" t="s">
        <v>476</v>
      </c>
      <c r="H72" s="1"/>
      <c r="I72" s="1" t="s">
        <v>477</v>
      </c>
      <c r="J72" s="1"/>
      <c r="K72" t="s">
        <v>478</v>
      </c>
    </row>
    <row r="73" spans="1:18">
      <c r="A73" s="1" t="s">
        <v>479</v>
      </c>
      <c r="B73" s="1"/>
      <c r="C73" s="1">
        <v>18</v>
      </c>
      <c r="D73" s="1"/>
      <c r="E73" s="1">
        <v>8</v>
      </c>
      <c r="F73" s="1"/>
      <c r="G73" s="1">
        <f>C73-E73</f>
        <v>10</v>
      </c>
      <c r="H73" s="1"/>
      <c r="I73" s="1">
        <f>G73*10^3</f>
        <v>10000</v>
      </c>
      <c r="J73" s="1"/>
    </row>
    <row r="74" spans="1:18">
      <c r="A74" s="24" t="s">
        <v>480</v>
      </c>
      <c r="B74" s="24"/>
      <c r="C74" s="24">
        <v>24</v>
      </c>
      <c r="D74" s="24"/>
      <c r="E74" s="24">
        <v>14</v>
      </c>
      <c r="F74" s="24"/>
      <c r="G74" s="24">
        <f>C74-E74</f>
        <v>10</v>
      </c>
      <c r="H74" s="24"/>
      <c r="I74" s="24">
        <f>G74*10^3</f>
        <v>10000</v>
      </c>
      <c r="J74" s="24"/>
      <c r="K74" s="25">
        <v>90</v>
      </c>
    </row>
    <row r="75" spans="1:18">
      <c r="A75" s="1" t="s">
        <v>481</v>
      </c>
      <c r="B75" s="1"/>
      <c r="C75" s="1">
        <v>36</v>
      </c>
      <c r="D75" s="1"/>
      <c r="E75" s="1">
        <v>15</v>
      </c>
      <c r="F75" s="1"/>
      <c r="G75" s="1">
        <f>C75-E75</f>
        <v>21</v>
      </c>
      <c r="H75" s="1"/>
      <c r="I75" s="1">
        <f>G75*10^3</f>
        <v>21000</v>
      </c>
      <c r="J75" s="1"/>
    </row>
    <row r="77" spans="1:18">
      <c r="A77" s="19" t="s">
        <v>495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1:18">
      <c r="A78" s="18" t="s">
        <v>273</v>
      </c>
      <c r="B78" s="16">
        <v>675</v>
      </c>
      <c r="C78" s="16" t="s">
        <v>208</v>
      </c>
    </row>
    <row r="79" spans="1:18">
      <c r="A79" t="s">
        <v>496</v>
      </c>
    </row>
    <row r="80" spans="1:18">
      <c r="A80" s="1" t="s">
        <v>473</v>
      </c>
      <c r="B80" s="1"/>
      <c r="C80" t="s">
        <v>10</v>
      </c>
      <c r="D80" t="s">
        <v>381</v>
      </c>
      <c r="L80" s="2" t="s">
        <v>497</v>
      </c>
      <c r="R80" s="32" t="s">
        <v>498</v>
      </c>
    </row>
    <row r="81" spans="1:18">
      <c r="A81" s="1" t="s">
        <v>479</v>
      </c>
      <c r="B81" s="1"/>
      <c r="C81" s="21">
        <f>$I$73/$B$78</f>
        <v>14.814814814814815</v>
      </c>
      <c r="D81" t="s">
        <v>382</v>
      </c>
      <c r="L81" t="s">
        <v>499</v>
      </c>
      <c r="N81" t="s">
        <v>488</v>
      </c>
      <c r="R81" t="s">
        <v>486</v>
      </c>
    </row>
    <row r="82" spans="1:18">
      <c r="A82" s="35" t="s">
        <v>480</v>
      </c>
      <c r="B82" s="35"/>
      <c r="C82" s="36">
        <f>$I$74/$B$78</f>
        <v>14.814814814814815</v>
      </c>
      <c r="D82" s="37" t="s">
        <v>382</v>
      </c>
      <c r="E82" t="s">
        <v>483</v>
      </c>
      <c r="L82" s="39">
        <v>1</v>
      </c>
      <c r="N82" s="502">
        <f>((L82*F94))/I74</f>
        <v>9.2749999999999449E-5</v>
      </c>
      <c r="O82" s="502"/>
    </row>
    <row r="83" spans="1:18">
      <c r="A83" s="1" t="s">
        <v>481</v>
      </c>
      <c r="B83" s="1"/>
      <c r="C83" s="21">
        <f>$I$75/$B$78</f>
        <v>31.111111111111111</v>
      </c>
      <c r="D83" t="s">
        <v>382</v>
      </c>
      <c r="O83" s="1"/>
    </row>
    <row r="84" spans="1:18">
      <c r="L84" s="2" t="s">
        <v>470</v>
      </c>
    </row>
    <row r="85" spans="1:18">
      <c r="A85" s="16" t="s">
        <v>490</v>
      </c>
      <c r="B85" s="16"/>
      <c r="C85" s="16"/>
      <c r="D85" s="16"/>
      <c r="E85" s="16" t="s">
        <v>426</v>
      </c>
      <c r="F85" s="16" t="s">
        <v>427</v>
      </c>
      <c r="G85" s="16"/>
      <c r="H85" s="16"/>
      <c r="I85" s="16"/>
      <c r="L85" t="s">
        <v>471</v>
      </c>
      <c r="N85" t="s">
        <v>472</v>
      </c>
    </row>
    <row r="86" spans="1:18">
      <c r="A86" s="18" t="s">
        <v>473</v>
      </c>
      <c r="B86" s="18"/>
      <c r="C86" s="16" t="s">
        <v>492</v>
      </c>
      <c r="D86" s="16" t="s">
        <v>381</v>
      </c>
      <c r="E86" s="16"/>
      <c r="F86" s="16"/>
      <c r="G86" s="16">
        <v>3.7735849056604001E-2</v>
      </c>
      <c r="H86" s="16"/>
      <c r="I86" s="16"/>
      <c r="L86" s="30">
        <v>4286</v>
      </c>
      <c r="N86" s="502">
        <f>N82*L86</f>
        <v>0.39752649999999762</v>
      </c>
      <c r="O86" s="502"/>
      <c r="P86" t="s">
        <v>259</v>
      </c>
    </row>
    <row r="87" spans="1:18">
      <c r="A87" s="18" t="s">
        <v>479</v>
      </c>
      <c r="B87" s="18"/>
      <c r="C87" s="16">
        <v>25</v>
      </c>
      <c r="D87" s="16" t="s">
        <v>447</v>
      </c>
      <c r="E87" t="s">
        <v>500</v>
      </c>
    </row>
    <row r="88" spans="1:18">
      <c r="A88" s="24" t="s">
        <v>480</v>
      </c>
      <c r="B88" s="24"/>
      <c r="C88" s="25">
        <v>35</v>
      </c>
      <c r="D88" s="25" t="s">
        <v>447</v>
      </c>
      <c r="L88" s="2"/>
    </row>
    <row r="89" spans="1:18">
      <c r="A89" s="18" t="s">
        <v>481</v>
      </c>
      <c r="B89" s="18"/>
      <c r="C89" s="16">
        <v>40</v>
      </c>
      <c r="D89" s="16" t="s">
        <v>447</v>
      </c>
    </row>
    <row r="91" spans="1:18">
      <c r="A91" t="s">
        <v>494</v>
      </c>
    </row>
    <row r="92" spans="1:18">
      <c r="A92" s="1" t="s">
        <v>473</v>
      </c>
      <c r="B92" s="1"/>
      <c r="E92" s="1" t="s">
        <v>454</v>
      </c>
    </row>
    <row r="93" spans="1:18">
      <c r="A93" s="1" t="s">
        <v>479</v>
      </c>
      <c r="B93" s="1"/>
      <c r="C93">
        <f>C87/$G$60</f>
        <v>662.49999999999602</v>
      </c>
      <c r="D93" t="s">
        <v>450</v>
      </c>
      <c r="F93">
        <f>C93/10^3</f>
        <v>0.66249999999999598</v>
      </c>
      <c r="G93" s="1" t="s">
        <v>451</v>
      </c>
    </row>
    <row r="94" spans="1:18">
      <c r="A94" s="24" t="s">
        <v>480</v>
      </c>
      <c r="B94" s="24"/>
      <c r="C94" s="25">
        <f>C88/$G$60</f>
        <v>927.49999999999443</v>
      </c>
      <c r="D94" s="25" t="s">
        <v>450</v>
      </c>
      <c r="E94" s="25"/>
      <c r="F94" s="25">
        <f>C94/10^3</f>
        <v>0.92749999999999444</v>
      </c>
      <c r="G94" s="24" t="s">
        <v>451</v>
      </c>
    </row>
    <row r="95" spans="1:18">
      <c r="A95" s="1" t="s">
        <v>481</v>
      </c>
      <c r="B95" s="1"/>
      <c r="C95">
        <f>C89/$G$60</f>
        <v>1059.9999999999936</v>
      </c>
      <c r="D95" t="s">
        <v>450</v>
      </c>
      <c r="F95">
        <f>C95/10^3</f>
        <v>1.0599999999999936</v>
      </c>
      <c r="G95" s="1" t="s">
        <v>451</v>
      </c>
    </row>
    <row r="97" spans="1:18">
      <c r="A97" s="20" t="s">
        <v>501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8">
      <c r="A98" s="18" t="s">
        <v>273</v>
      </c>
      <c r="B98" s="16">
        <v>533</v>
      </c>
      <c r="C98" s="16" t="s">
        <v>208</v>
      </c>
    </row>
    <row r="99" spans="1:18">
      <c r="A99" t="s">
        <v>502</v>
      </c>
    </row>
    <row r="100" spans="1:18">
      <c r="A100" s="1" t="s">
        <v>473</v>
      </c>
      <c r="B100" s="1"/>
      <c r="C100" t="s">
        <v>10</v>
      </c>
      <c r="D100" t="s">
        <v>381</v>
      </c>
    </row>
    <row r="101" spans="1:18">
      <c r="A101" s="1" t="s">
        <v>479</v>
      </c>
      <c r="B101" s="1"/>
      <c r="C101" s="21">
        <f>$I$73/$B$98</f>
        <v>18.761726078799249</v>
      </c>
      <c r="D101" t="s">
        <v>382</v>
      </c>
    </row>
    <row r="102" spans="1:18">
      <c r="A102" s="35" t="s">
        <v>480</v>
      </c>
      <c r="B102" s="35"/>
      <c r="C102" s="36">
        <f>$I$74/$B$98</f>
        <v>18.761726078799249</v>
      </c>
      <c r="D102" s="37" t="s">
        <v>382</v>
      </c>
      <c r="E102" t="s">
        <v>483</v>
      </c>
      <c r="L102" s="2" t="s">
        <v>503</v>
      </c>
      <c r="R102" s="32" t="s">
        <v>504</v>
      </c>
    </row>
    <row r="103" spans="1:18">
      <c r="A103" s="1" t="s">
        <v>481</v>
      </c>
      <c r="B103" s="1"/>
      <c r="C103" s="21">
        <f>$I$75/$B$98</f>
        <v>39.399624765478421</v>
      </c>
      <c r="D103" t="s">
        <v>382</v>
      </c>
      <c r="L103" t="s">
        <v>499</v>
      </c>
      <c r="N103" t="s">
        <v>488</v>
      </c>
      <c r="R103" s="32" t="s">
        <v>469</v>
      </c>
    </row>
    <row r="104" spans="1:18">
      <c r="L104" s="39">
        <v>1</v>
      </c>
      <c r="N104" s="502">
        <f>((L104*F114))/I74</f>
        <v>9.2749999999999449E-5</v>
      </c>
      <c r="O104" s="502"/>
    </row>
    <row r="105" spans="1:18">
      <c r="A105" s="16" t="s">
        <v>490</v>
      </c>
      <c r="B105" s="16"/>
      <c r="C105" s="16"/>
      <c r="D105" s="16"/>
      <c r="E105" s="16" t="s">
        <v>426</v>
      </c>
      <c r="F105" s="16" t="s">
        <v>427</v>
      </c>
      <c r="G105" s="16"/>
      <c r="H105" s="16"/>
      <c r="I105" s="16"/>
      <c r="O105" s="1"/>
    </row>
    <row r="106" spans="1:18">
      <c r="A106" s="18" t="s">
        <v>473</v>
      </c>
      <c r="B106" s="18"/>
      <c r="C106" s="16" t="s">
        <v>492</v>
      </c>
      <c r="D106" s="16" t="s">
        <v>381</v>
      </c>
      <c r="E106" s="16"/>
      <c r="F106" s="16"/>
      <c r="G106" s="16">
        <v>3.7735849056604001E-2</v>
      </c>
      <c r="H106" s="16"/>
      <c r="I106" s="16"/>
      <c r="L106" s="2" t="s">
        <v>470</v>
      </c>
    </row>
    <row r="107" spans="1:18">
      <c r="A107" s="18" t="s">
        <v>479</v>
      </c>
      <c r="B107" s="18"/>
      <c r="C107" s="16">
        <v>25</v>
      </c>
      <c r="D107" s="16" t="s">
        <v>447</v>
      </c>
      <c r="E107" t="s">
        <v>500</v>
      </c>
      <c r="L107" t="s">
        <v>471</v>
      </c>
      <c r="N107" t="s">
        <v>472</v>
      </c>
    </row>
    <row r="108" spans="1:18">
      <c r="A108" s="24" t="s">
        <v>480</v>
      </c>
      <c r="B108" s="24"/>
      <c r="C108" s="25">
        <v>35</v>
      </c>
      <c r="D108" s="25" t="s">
        <v>447</v>
      </c>
      <c r="L108" s="30">
        <v>4286</v>
      </c>
      <c r="N108" s="502">
        <f>N104*L108</f>
        <v>0.39752649999999762</v>
      </c>
      <c r="O108" s="502"/>
      <c r="P108" t="s">
        <v>259</v>
      </c>
    </row>
    <row r="109" spans="1:18">
      <c r="A109" s="18" t="s">
        <v>481</v>
      </c>
      <c r="B109" s="18"/>
      <c r="C109" s="16">
        <v>40</v>
      </c>
      <c r="D109" s="16" t="s">
        <v>447</v>
      </c>
    </row>
    <row r="110" spans="1:18">
      <c r="L110" s="2"/>
    </row>
    <row r="111" spans="1:18">
      <c r="A111" t="s">
        <v>494</v>
      </c>
    </row>
    <row r="112" spans="1:18">
      <c r="A112" s="1" t="s">
        <v>473</v>
      </c>
      <c r="B112" s="1"/>
      <c r="E112" s="1" t="s">
        <v>454</v>
      </c>
    </row>
    <row r="113" spans="1:18">
      <c r="A113" s="1" t="s">
        <v>479</v>
      </c>
      <c r="B113" s="1"/>
      <c r="C113">
        <f>C107/$G$60</f>
        <v>662.49999999999602</v>
      </c>
      <c r="D113" t="s">
        <v>450</v>
      </c>
      <c r="F113">
        <f>C113/10^3</f>
        <v>0.66249999999999598</v>
      </c>
      <c r="G113" s="1" t="s">
        <v>451</v>
      </c>
    </row>
    <row r="114" spans="1:18">
      <c r="A114" s="24" t="s">
        <v>480</v>
      </c>
      <c r="B114" s="24"/>
      <c r="C114" s="25">
        <f>C108/$G$60</f>
        <v>927.49999999999443</v>
      </c>
      <c r="D114" s="25" t="s">
        <v>450</v>
      </c>
      <c r="E114" s="25"/>
      <c r="F114" s="25">
        <f>C114/10^3</f>
        <v>0.92749999999999444</v>
      </c>
      <c r="G114" s="24" t="s">
        <v>451</v>
      </c>
    </row>
    <row r="115" spans="1:18">
      <c r="A115" s="1" t="s">
        <v>481</v>
      </c>
      <c r="B115" s="1"/>
      <c r="C115">
        <f>C109/$G$60</f>
        <v>1059.9999999999936</v>
      </c>
      <c r="D115" t="s">
        <v>450</v>
      </c>
      <c r="F115">
        <f>C115/10^3</f>
        <v>1.0599999999999936</v>
      </c>
      <c r="G115" s="1" t="s">
        <v>451</v>
      </c>
    </row>
    <row r="117" spans="1:18">
      <c r="A117" s="20" t="s">
        <v>505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8">
      <c r="A118" s="18" t="s">
        <v>273</v>
      </c>
      <c r="B118" s="16">
        <v>580</v>
      </c>
      <c r="C118" s="16" t="s">
        <v>208</v>
      </c>
    </row>
    <row r="119" spans="1:18">
      <c r="A119" t="s">
        <v>506</v>
      </c>
    </row>
    <row r="120" spans="1:18">
      <c r="A120" s="1" t="s">
        <v>473</v>
      </c>
      <c r="B120" s="1"/>
      <c r="C120" t="s">
        <v>10</v>
      </c>
      <c r="D120" t="s">
        <v>381</v>
      </c>
    </row>
    <row r="121" spans="1:18">
      <c r="A121" s="1" t="s">
        <v>479</v>
      </c>
      <c r="B121" s="1"/>
      <c r="C121" s="21">
        <f>$I$73/$B$118</f>
        <v>17.241379310344829</v>
      </c>
      <c r="D121" t="s">
        <v>382</v>
      </c>
    </row>
    <row r="122" spans="1:18">
      <c r="A122" s="35" t="s">
        <v>480</v>
      </c>
      <c r="B122" s="35"/>
      <c r="C122" s="36">
        <f>$I$74/$B$118</f>
        <v>17.241379310344829</v>
      </c>
      <c r="D122" s="37" t="s">
        <v>382</v>
      </c>
      <c r="L122" s="2" t="s">
        <v>503</v>
      </c>
      <c r="R122" s="32" t="s">
        <v>507</v>
      </c>
    </row>
    <row r="123" spans="1:18">
      <c r="A123" s="1" t="s">
        <v>481</v>
      </c>
      <c r="B123" s="1"/>
      <c r="C123" s="21">
        <f>$I$75/$B$118</f>
        <v>36.206896551724135</v>
      </c>
      <c r="D123" t="s">
        <v>382</v>
      </c>
      <c r="L123" t="s">
        <v>499</v>
      </c>
      <c r="N123" t="s">
        <v>488</v>
      </c>
      <c r="R123" s="32" t="s">
        <v>469</v>
      </c>
    </row>
    <row r="124" spans="1:18">
      <c r="L124" s="39">
        <v>1</v>
      </c>
      <c r="N124" s="502">
        <f>((L124*F134))/I74</f>
        <v>9.2749999999999449E-5</v>
      </c>
      <c r="O124" s="502"/>
    </row>
    <row r="125" spans="1:18">
      <c r="A125" s="16" t="s">
        <v>490</v>
      </c>
      <c r="B125" s="16"/>
      <c r="C125" s="16"/>
      <c r="D125" s="16"/>
      <c r="E125" s="16" t="s">
        <v>426</v>
      </c>
      <c r="F125" s="16" t="s">
        <v>427</v>
      </c>
      <c r="G125" s="16"/>
      <c r="H125" s="16"/>
      <c r="I125" s="16"/>
      <c r="O125" s="1"/>
    </row>
    <row r="126" spans="1:18">
      <c r="A126" s="18" t="s">
        <v>473</v>
      </c>
      <c r="B126" s="18"/>
      <c r="C126" s="16" t="s">
        <v>492</v>
      </c>
      <c r="D126" s="16" t="s">
        <v>381</v>
      </c>
      <c r="E126" s="16"/>
      <c r="F126" s="16"/>
      <c r="G126" s="16">
        <v>3.7735849056604001E-2</v>
      </c>
      <c r="H126" s="16"/>
      <c r="I126" s="16"/>
      <c r="L126" s="2" t="s">
        <v>470</v>
      </c>
    </row>
    <row r="127" spans="1:18">
      <c r="A127" s="18" t="s">
        <v>479</v>
      </c>
      <c r="B127" s="18"/>
      <c r="C127" s="16">
        <v>25</v>
      </c>
      <c r="D127" s="16" t="s">
        <v>447</v>
      </c>
      <c r="E127" t="s">
        <v>493</v>
      </c>
      <c r="L127" t="s">
        <v>471</v>
      </c>
      <c r="N127" t="s">
        <v>472</v>
      </c>
    </row>
    <row r="128" spans="1:18">
      <c r="A128" s="24" t="s">
        <v>480</v>
      </c>
      <c r="B128" s="24"/>
      <c r="C128" s="25">
        <v>35</v>
      </c>
      <c r="D128" s="25" t="s">
        <v>447</v>
      </c>
      <c r="L128" s="30">
        <v>4286</v>
      </c>
      <c r="N128" s="502">
        <f>N124*L128</f>
        <v>0.39752649999999762</v>
      </c>
      <c r="O128" s="502"/>
      <c r="P128" t="s">
        <v>259</v>
      </c>
    </row>
    <row r="129" spans="1:12">
      <c r="A129" s="18" t="s">
        <v>481</v>
      </c>
      <c r="B129" s="18"/>
      <c r="C129" s="16">
        <v>40</v>
      </c>
      <c r="D129" s="16" t="s">
        <v>447</v>
      </c>
    </row>
    <row r="130" spans="1:12">
      <c r="L130" s="2"/>
    </row>
    <row r="131" spans="1:12">
      <c r="A131" t="s">
        <v>494</v>
      </c>
    </row>
    <row r="132" spans="1:12">
      <c r="A132" s="1" t="s">
        <v>473</v>
      </c>
      <c r="B132" s="1"/>
      <c r="E132" s="1" t="s">
        <v>454</v>
      </c>
    </row>
    <row r="133" spans="1:12">
      <c r="A133" s="1" t="s">
        <v>479</v>
      </c>
      <c r="B133" s="1"/>
      <c r="C133">
        <f>C127/$G$60</f>
        <v>662.49999999999602</v>
      </c>
      <c r="D133" t="s">
        <v>450</v>
      </c>
      <c r="F133">
        <f>C133/10^3</f>
        <v>0.66249999999999598</v>
      </c>
      <c r="G133" s="1" t="s">
        <v>451</v>
      </c>
    </row>
    <row r="134" spans="1:12">
      <c r="A134" s="24" t="s">
        <v>480</v>
      </c>
      <c r="B134" s="24"/>
      <c r="C134" s="25">
        <f>C128/$G$60</f>
        <v>927.49999999999443</v>
      </c>
      <c r="D134" s="25" t="s">
        <v>450</v>
      </c>
      <c r="E134" s="25"/>
      <c r="F134" s="25">
        <f>C134/10^3</f>
        <v>0.92749999999999444</v>
      </c>
      <c r="G134" s="24" t="s">
        <v>451</v>
      </c>
    </row>
    <row r="135" spans="1:12">
      <c r="A135" s="1" t="s">
        <v>481</v>
      </c>
      <c r="B135" s="1"/>
      <c r="C135">
        <f>C129/$G$60</f>
        <v>1059.9999999999936</v>
      </c>
      <c r="D135" t="s">
        <v>450</v>
      </c>
      <c r="F135">
        <f>C135/10^3</f>
        <v>1.0599999999999936</v>
      </c>
      <c r="G135" s="1" t="s">
        <v>451</v>
      </c>
    </row>
    <row r="137" spans="1:12">
      <c r="A137" s="510" t="s">
        <v>214</v>
      </c>
      <c r="B137" s="510"/>
      <c r="C137" s="510"/>
      <c r="D137" s="510"/>
      <c r="E137" s="510"/>
      <c r="F137" s="510"/>
      <c r="G137" s="510"/>
      <c r="H137" s="510"/>
      <c r="I137" s="510"/>
      <c r="J137" s="510"/>
      <c r="K137" s="510"/>
      <c r="L137" s="510"/>
    </row>
    <row r="138" spans="1:12">
      <c r="A138" s="1" t="s">
        <v>473</v>
      </c>
      <c r="B138" s="1"/>
      <c r="C138" s="1" t="s">
        <v>474</v>
      </c>
      <c r="D138" s="1"/>
      <c r="E138" s="1" t="s">
        <v>475</v>
      </c>
      <c r="F138" s="1"/>
      <c r="G138" s="1" t="s">
        <v>476</v>
      </c>
      <c r="H138" s="1"/>
      <c r="I138" s="1" t="s">
        <v>477</v>
      </c>
      <c r="J138" s="1"/>
      <c r="K138" t="s">
        <v>478</v>
      </c>
    </row>
    <row r="139" spans="1:12">
      <c r="A139" s="1" t="s">
        <v>479</v>
      </c>
      <c r="B139" s="1"/>
      <c r="C139" s="1">
        <v>18</v>
      </c>
      <c r="D139" s="1"/>
      <c r="E139" s="1">
        <v>8</v>
      </c>
      <c r="F139" s="1"/>
      <c r="G139" s="1">
        <f>C139-E139</f>
        <v>10</v>
      </c>
      <c r="H139" s="1"/>
      <c r="I139" s="1">
        <f>G139*10^3</f>
        <v>10000</v>
      </c>
      <c r="J139" s="1"/>
    </row>
    <row r="140" spans="1:12">
      <c r="A140" s="24" t="s">
        <v>480</v>
      </c>
      <c r="B140" s="24"/>
      <c r="C140" s="24">
        <v>24</v>
      </c>
      <c r="D140" s="24"/>
      <c r="E140" s="24">
        <v>14</v>
      </c>
      <c r="F140" s="24"/>
      <c r="G140" s="24">
        <f>C140-E140</f>
        <v>10</v>
      </c>
      <c r="H140" s="24"/>
      <c r="I140" s="24">
        <f>G140*10^3</f>
        <v>10000</v>
      </c>
      <c r="J140" s="24"/>
      <c r="K140" s="25">
        <v>90</v>
      </c>
    </row>
    <row r="141" spans="1:12">
      <c r="A141" s="1" t="s">
        <v>481</v>
      </c>
      <c r="B141" s="1"/>
      <c r="C141" s="1">
        <v>36</v>
      </c>
      <c r="D141" s="1"/>
      <c r="E141" s="1">
        <v>15</v>
      </c>
      <c r="F141" s="1"/>
      <c r="G141" s="1">
        <f>C141-E141</f>
        <v>21</v>
      </c>
      <c r="H141" s="1"/>
      <c r="I141" s="1">
        <f>G141*10^3</f>
        <v>21000</v>
      </c>
      <c r="J141" s="1"/>
    </row>
    <row r="144" spans="1:12">
      <c r="A144" s="22" t="s">
        <v>508</v>
      </c>
      <c r="B144" s="23" t="s">
        <v>509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8">
      <c r="A145" s="18" t="s">
        <v>273</v>
      </c>
      <c r="B145" s="16">
        <v>1150</v>
      </c>
      <c r="C145" s="16" t="s">
        <v>208</v>
      </c>
    </row>
    <row r="146" spans="1:18">
      <c r="A146" t="s">
        <v>506</v>
      </c>
    </row>
    <row r="147" spans="1:18">
      <c r="A147" s="1" t="s">
        <v>473</v>
      </c>
      <c r="B147" s="1"/>
      <c r="C147" t="s">
        <v>10</v>
      </c>
      <c r="D147" t="s">
        <v>381</v>
      </c>
    </row>
    <row r="148" spans="1:18">
      <c r="A148" s="1" t="s">
        <v>479</v>
      </c>
      <c r="B148" s="1"/>
      <c r="C148" s="21">
        <f>$I$139/$B$145</f>
        <v>8.695652173913043</v>
      </c>
      <c r="D148" t="s">
        <v>382</v>
      </c>
    </row>
    <row r="149" spans="1:18">
      <c r="A149" s="35" t="s">
        <v>480</v>
      </c>
      <c r="B149" s="35"/>
      <c r="C149" s="36">
        <f>$I$140/$B$145</f>
        <v>8.695652173913043</v>
      </c>
      <c r="D149" s="37" t="s">
        <v>382</v>
      </c>
      <c r="E149" t="s">
        <v>510</v>
      </c>
      <c r="L149" s="2" t="s">
        <v>503</v>
      </c>
      <c r="R149" s="32" t="s">
        <v>511</v>
      </c>
    </row>
    <row r="150" spans="1:18">
      <c r="A150" s="1" t="s">
        <v>481</v>
      </c>
      <c r="B150" s="1"/>
      <c r="C150" s="21">
        <f>$I$141/$B$145</f>
        <v>18.260869565217391</v>
      </c>
      <c r="D150" t="s">
        <v>382</v>
      </c>
      <c r="L150" t="s">
        <v>512</v>
      </c>
      <c r="N150" t="s">
        <v>488</v>
      </c>
      <c r="R150" s="32" t="s">
        <v>469</v>
      </c>
    </row>
    <row r="151" spans="1:18">
      <c r="L151" s="39">
        <v>1</v>
      </c>
      <c r="N151" s="502">
        <f>((L151*F161))/I140</f>
        <v>9.2749999999999449E-5</v>
      </c>
      <c r="O151" s="502"/>
    </row>
    <row r="152" spans="1:18">
      <c r="A152" s="16" t="s">
        <v>490</v>
      </c>
      <c r="B152" s="16"/>
      <c r="C152" s="16"/>
      <c r="D152" s="16"/>
      <c r="E152" s="16" t="s">
        <v>426</v>
      </c>
      <c r="F152" s="16" t="s">
        <v>427</v>
      </c>
      <c r="G152" s="16"/>
      <c r="H152" s="16"/>
      <c r="I152" s="16"/>
      <c r="O152" s="1"/>
    </row>
    <row r="153" spans="1:18">
      <c r="A153" s="18" t="s">
        <v>473</v>
      </c>
      <c r="B153" s="18"/>
      <c r="C153" s="16" t="s">
        <v>492</v>
      </c>
      <c r="D153" s="16" t="s">
        <v>381</v>
      </c>
      <c r="E153" s="16"/>
      <c r="F153" s="16"/>
      <c r="G153" s="16">
        <v>3.7735849056604001E-2</v>
      </c>
      <c r="H153" s="16"/>
      <c r="I153" s="16"/>
      <c r="L153" s="2" t="s">
        <v>470</v>
      </c>
    </row>
    <row r="154" spans="1:18">
      <c r="A154" s="18" t="s">
        <v>479</v>
      </c>
      <c r="B154" s="18"/>
      <c r="C154" s="16">
        <v>25</v>
      </c>
      <c r="D154" s="16" t="s">
        <v>447</v>
      </c>
      <c r="E154" t="s">
        <v>493</v>
      </c>
      <c r="L154" t="s">
        <v>471</v>
      </c>
      <c r="N154" t="s">
        <v>472</v>
      </c>
    </row>
    <row r="155" spans="1:18">
      <c r="A155" s="24" t="s">
        <v>480</v>
      </c>
      <c r="B155" s="24"/>
      <c r="C155" s="25">
        <v>35</v>
      </c>
      <c r="D155" s="25" t="s">
        <v>447</v>
      </c>
      <c r="L155" s="30">
        <v>4286</v>
      </c>
      <c r="N155" s="502">
        <f>N151*L155</f>
        <v>0.39752649999999762</v>
      </c>
      <c r="O155" s="502"/>
      <c r="P155" t="s">
        <v>259</v>
      </c>
    </row>
    <row r="156" spans="1:18">
      <c r="A156" s="18" t="s">
        <v>481</v>
      </c>
      <c r="B156" s="18"/>
      <c r="C156" s="16">
        <v>40</v>
      </c>
      <c r="D156" s="16" t="s">
        <v>447</v>
      </c>
    </row>
    <row r="157" spans="1:18">
      <c r="L157" s="2"/>
    </row>
    <row r="158" spans="1:18">
      <c r="A158" t="s">
        <v>494</v>
      </c>
    </row>
    <row r="159" spans="1:18">
      <c r="A159" s="1" t="s">
        <v>473</v>
      </c>
      <c r="B159" s="1"/>
      <c r="E159" s="1" t="s">
        <v>454</v>
      </c>
    </row>
    <row r="160" spans="1:18">
      <c r="A160" s="1" t="s">
        <v>479</v>
      </c>
      <c r="B160" s="1"/>
      <c r="C160">
        <f>C154/$G$60</f>
        <v>662.49999999999602</v>
      </c>
      <c r="D160" t="s">
        <v>450</v>
      </c>
      <c r="F160">
        <f>C160/10^3</f>
        <v>0.66249999999999598</v>
      </c>
      <c r="G160" s="1" t="s">
        <v>451</v>
      </c>
    </row>
    <row r="161" spans="1:18">
      <c r="A161" s="24" t="s">
        <v>480</v>
      </c>
      <c r="B161" s="24"/>
      <c r="C161" s="25">
        <f>C155/$G$60</f>
        <v>927.49999999999443</v>
      </c>
      <c r="D161" s="25" t="s">
        <v>450</v>
      </c>
      <c r="E161" s="25"/>
      <c r="F161" s="25">
        <f>C161/10^3</f>
        <v>0.92749999999999444</v>
      </c>
      <c r="G161" s="24" t="s">
        <v>451</v>
      </c>
    </row>
    <row r="162" spans="1:18">
      <c r="A162" s="1" t="s">
        <v>481</v>
      </c>
      <c r="B162" s="1"/>
      <c r="C162">
        <f>C156/$G$60</f>
        <v>1059.9999999999936</v>
      </c>
      <c r="D162" t="s">
        <v>450</v>
      </c>
      <c r="F162">
        <f>C162/10^3</f>
        <v>1.0599999999999936</v>
      </c>
      <c r="G162" s="1" t="s">
        <v>451</v>
      </c>
    </row>
    <row r="164" spans="1:18">
      <c r="A164" s="22" t="s">
        <v>513</v>
      </c>
      <c r="B164" s="23" t="s">
        <v>514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8">
      <c r="A165" s="18" t="s">
        <v>273</v>
      </c>
      <c r="B165" s="16">
        <v>680</v>
      </c>
      <c r="C165" s="16" t="s">
        <v>208</v>
      </c>
    </row>
    <row r="166" spans="1:18">
      <c r="A166" t="s">
        <v>506</v>
      </c>
    </row>
    <row r="167" spans="1:18">
      <c r="A167" s="1" t="s">
        <v>473</v>
      </c>
      <c r="B167" s="1"/>
      <c r="C167" t="s">
        <v>10</v>
      </c>
      <c r="D167" t="s">
        <v>381</v>
      </c>
    </row>
    <row r="168" spans="1:18">
      <c r="A168" s="1" t="s">
        <v>479</v>
      </c>
      <c r="B168" s="1"/>
      <c r="C168" s="21">
        <f>$I$139/$B$165</f>
        <v>14.705882352941176</v>
      </c>
      <c r="D168" t="s">
        <v>382</v>
      </c>
    </row>
    <row r="169" spans="1:18">
      <c r="A169" s="35" t="s">
        <v>480</v>
      </c>
      <c r="B169" s="35"/>
      <c r="C169" s="36">
        <f>$I$140/$B$165</f>
        <v>14.705882352941176</v>
      </c>
      <c r="D169" s="37" t="s">
        <v>382</v>
      </c>
      <c r="L169" s="2" t="s">
        <v>503</v>
      </c>
      <c r="R169" s="32" t="s">
        <v>515</v>
      </c>
    </row>
    <row r="170" spans="1:18">
      <c r="A170" s="1" t="s">
        <v>481</v>
      </c>
      <c r="B170" s="1"/>
      <c r="C170" s="21">
        <f>$I$141/$B$165</f>
        <v>30.882352941176471</v>
      </c>
      <c r="D170" t="s">
        <v>382</v>
      </c>
      <c r="L170" t="s">
        <v>512</v>
      </c>
      <c r="N170" t="s">
        <v>488</v>
      </c>
      <c r="R170" s="32" t="s">
        <v>469</v>
      </c>
    </row>
    <row r="171" spans="1:18">
      <c r="L171" s="39">
        <v>1</v>
      </c>
      <c r="N171" s="502">
        <f>((L171*F181))/I140</f>
        <v>9.2749999999999449E-5</v>
      </c>
      <c r="O171" s="502"/>
    </row>
    <row r="172" spans="1:18">
      <c r="A172" s="16" t="s">
        <v>490</v>
      </c>
      <c r="B172" s="16"/>
      <c r="C172" s="16"/>
      <c r="D172" s="16"/>
      <c r="E172" s="16" t="s">
        <v>426</v>
      </c>
      <c r="F172" s="16" t="s">
        <v>427</v>
      </c>
      <c r="G172" s="16"/>
      <c r="H172" s="16"/>
      <c r="I172" s="16"/>
      <c r="O172" s="1"/>
    </row>
    <row r="173" spans="1:18">
      <c r="A173" s="18" t="s">
        <v>473</v>
      </c>
      <c r="B173" s="18"/>
      <c r="C173" s="16" t="s">
        <v>492</v>
      </c>
      <c r="D173" s="16" t="s">
        <v>381</v>
      </c>
      <c r="E173" s="16"/>
      <c r="F173" s="16"/>
      <c r="G173" s="16">
        <v>3.7735849056604001E-2</v>
      </c>
      <c r="H173" s="16"/>
      <c r="I173" s="16"/>
      <c r="L173" s="2" t="s">
        <v>470</v>
      </c>
    </row>
    <row r="174" spans="1:18">
      <c r="A174" s="18" t="s">
        <v>479</v>
      </c>
      <c r="B174" s="18"/>
      <c r="C174" s="16">
        <v>25</v>
      </c>
      <c r="D174" s="16" t="s">
        <v>447</v>
      </c>
      <c r="E174" t="s">
        <v>493</v>
      </c>
      <c r="L174" t="s">
        <v>471</v>
      </c>
      <c r="N174" t="s">
        <v>472</v>
      </c>
    </row>
    <row r="175" spans="1:18">
      <c r="A175" s="24" t="s">
        <v>480</v>
      </c>
      <c r="B175" s="24"/>
      <c r="C175" s="25">
        <v>35</v>
      </c>
      <c r="D175" s="25" t="s">
        <v>447</v>
      </c>
      <c r="L175" s="30">
        <v>4286</v>
      </c>
      <c r="N175" s="502">
        <f>N171*L175</f>
        <v>0.39752649999999762</v>
      </c>
      <c r="O175" s="502"/>
      <c r="P175" t="s">
        <v>259</v>
      </c>
    </row>
    <row r="176" spans="1:18">
      <c r="A176" s="18" t="s">
        <v>481</v>
      </c>
      <c r="B176" s="18"/>
      <c r="C176" s="16">
        <v>40</v>
      </c>
      <c r="D176" s="16" t="s">
        <v>447</v>
      </c>
    </row>
    <row r="177" spans="1:32">
      <c r="L177" s="2"/>
    </row>
    <row r="178" spans="1:32">
      <c r="A178" t="s">
        <v>494</v>
      </c>
    </row>
    <row r="179" spans="1:32">
      <c r="A179" s="1" t="s">
        <v>473</v>
      </c>
      <c r="B179" s="1"/>
      <c r="E179" s="1" t="s">
        <v>454</v>
      </c>
    </row>
    <row r="180" spans="1:32">
      <c r="A180" s="1" t="s">
        <v>479</v>
      </c>
      <c r="B180" s="1"/>
      <c r="C180">
        <f>C174/$G$60</f>
        <v>662.49999999999602</v>
      </c>
      <c r="D180" t="s">
        <v>450</v>
      </c>
      <c r="F180">
        <f>C180/10^3</f>
        <v>0.66249999999999598</v>
      </c>
      <c r="G180" s="1" t="s">
        <v>451</v>
      </c>
    </row>
    <row r="181" spans="1:32">
      <c r="A181" s="24" t="s">
        <v>480</v>
      </c>
      <c r="B181" s="24"/>
      <c r="C181" s="25">
        <f>C175/$G$60</f>
        <v>927.49999999999443</v>
      </c>
      <c r="D181" s="25" t="s">
        <v>450</v>
      </c>
      <c r="E181" s="25"/>
      <c r="F181" s="25">
        <f>C181/10^3</f>
        <v>0.92749999999999444</v>
      </c>
      <c r="G181" s="24" t="s">
        <v>451</v>
      </c>
    </row>
    <row r="182" spans="1:32">
      <c r="A182" s="1" t="s">
        <v>481</v>
      </c>
      <c r="B182" s="1"/>
      <c r="C182">
        <f>C176/$G$60</f>
        <v>1059.9999999999936</v>
      </c>
      <c r="D182" t="s">
        <v>450</v>
      </c>
      <c r="F182">
        <f>C182/10^3</f>
        <v>1.0599999999999936</v>
      </c>
      <c r="G182" s="1" t="s">
        <v>451</v>
      </c>
    </row>
    <row r="184" spans="1:32">
      <c r="A184" s="511" t="s">
        <v>149</v>
      </c>
      <c r="B184" s="511"/>
      <c r="C184" s="511"/>
      <c r="D184" s="511"/>
      <c r="E184" s="511"/>
      <c r="F184" s="511"/>
      <c r="G184" s="511"/>
      <c r="H184" s="511"/>
      <c r="I184" s="511"/>
      <c r="J184" s="511"/>
      <c r="K184" s="511"/>
      <c r="L184" s="511"/>
      <c r="M184" s="2" t="s">
        <v>516</v>
      </c>
      <c r="R184" s="32" t="s">
        <v>517</v>
      </c>
      <c r="X184" s="78" t="s">
        <v>518</v>
      </c>
      <c r="Y184" s="79"/>
      <c r="Z184" s="79"/>
      <c r="AA184" s="79"/>
      <c r="AB184" s="5"/>
      <c r="AC184" s="5"/>
      <c r="AD184" s="5"/>
      <c r="AE184" s="5"/>
      <c r="AF184" s="6"/>
    </row>
    <row r="185" spans="1:32">
      <c r="A185" s="24" t="s">
        <v>519</v>
      </c>
      <c r="B185" s="24"/>
      <c r="C185" s="24" t="s">
        <v>520</v>
      </c>
      <c r="D185" s="24"/>
      <c r="E185" s="24" t="s">
        <v>521</v>
      </c>
      <c r="F185" s="24"/>
      <c r="G185" s="24" t="s">
        <v>522</v>
      </c>
      <c r="H185" s="24"/>
      <c r="I185" s="16" t="s">
        <v>523</v>
      </c>
      <c r="J185" s="25" t="s">
        <v>478</v>
      </c>
      <c r="K185" s="25"/>
      <c r="M185" t="s">
        <v>512</v>
      </c>
      <c r="O185" t="s">
        <v>488</v>
      </c>
      <c r="R185" s="32" t="s">
        <v>469</v>
      </c>
      <c r="X185" s="80" t="s">
        <v>524</v>
      </c>
      <c r="Y185" s="27"/>
      <c r="Z185" s="27"/>
      <c r="AA185" s="27"/>
      <c r="AF185" s="8"/>
    </row>
    <row r="186" spans="1:32">
      <c r="A186" s="24" t="s">
        <v>480</v>
      </c>
      <c r="B186" s="24"/>
      <c r="C186" s="24">
        <v>10</v>
      </c>
      <c r="D186" s="24"/>
      <c r="E186" s="24">
        <f>C186*1000</f>
        <v>10000</v>
      </c>
      <c r="F186" s="24"/>
      <c r="G186" s="24">
        <v>35</v>
      </c>
      <c r="H186" s="24"/>
      <c r="I186" s="16">
        <v>3.7735849056604001E-2</v>
      </c>
      <c r="J186" s="513">
        <v>90</v>
      </c>
      <c r="K186" s="513"/>
      <c r="M186" s="39">
        <v>1</v>
      </c>
      <c r="O186" s="502">
        <f>((M186*F189))/H193</f>
        <v>6.5225035161743628E-4</v>
      </c>
      <c r="P186" s="502"/>
      <c r="R186" s="32" t="s">
        <v>525</v>
      </c>
      <c r="X186" s="80"/>
      <c r="Y186" s="27"/>
      <c r="Z186" s="27"/>
      <c r="AA186" s="27"/>
      <c r="AF186" s="8"/>
    </row>
    <row r="187" spans="1:32">
      <c r="A187" t="s">
        <v>494</v>
      </c>
      <c r="P187" s="1"/>
      <c r="R187" s="32" t="s">
        <v>469</v>
      </c>
      <c r="X187" s="81" t="s">
        <v>273</v>
      </c>
      <c r="Y187" s="16">
        <v>70</v>
      </c>
      <c r="Z187" s="16" t="s">
        <v>208</v>
      </c>
      <c r="AD187" t="s">
        <v>526</v>
      </c>
      <c r="AF187" s="8"/>
    </row>
    <row r="188" spans="1:32">
      <c r="A188" s="1" t="s">
        <v>473</v>
      </c>
      <c r="B188" s="1"/>
      <c r="M188" s="2" t="s">
        <v>470</v>
      </c>
      <c r="R188" s="32" t="s">
        <v>527</v>
      </c>
      <c r="X188" s="7" t="s">
        <v>528</v>
      </c>
      <c r="AD188" t="s">
        <v>529</v>
      </c>
      <c r="AE188">
        <f>$J$186*Y187</f>
        <v>6300</v>
      </c>
      <c r="AF188" s="8"/>
    </row>
    <row r="189" spans="1:32">
      <c r="A189" s="24" t="s">
        <v>480</v>
      </c>
      <c r="B189" s="24"/>
      <c r="C189" s="25">
        <f>G186/I186</f>
        <v>927.49999999999443</v>
      </c>
      <c r="D189" s="25" t="s">
        <v>450</v>
      </c>
      <c r="E189" s="25"/>
      <c r="F189" s="25">
        <f>C189/10^3</f>
        <v>0.92749999999999444</v>
      </c>
      <c r="G189" s="24" t="s">
        <v>451</v>
      </c>
      <c r="M189" t="s">
        <v>471</v>
      </c>
      <c r="O189" t="s">
        <v>472</v>
      </c>
      <c r="R189" s="32" t="s">
        <v>469</v>
      </c>
      <c r="X189" s="82">
        <f>$E$186/Y187</f>
        <v>142.85714285714286</v>
      </c>
      <c r="Y189" s="37" t="s">
        <v>382</v>
      </c>
      <c r="Z189" t="s">
        <v>530</v>
      </c>
      <c r="AF189" s="8"/>
    </row>
    <row r="190" spans="1:32">
      <c r="M190" s="38">
        <v>4286</v>
      </c>
      <c r="N190" s="10"/>
      <c r="O190" s="503">
        <f>O186*(M190)</f>
        <v>2.7955450070323318</v>
      </c>
      <c r="P190" s="503"/>
      <c r="Q190" s="10" t="s">
        <v>259</v>
      </c>
      <c r="R190" s="32" t="s">
        <v>531</v>
      </c>
      <c r="X190" s="7"/>
      <c r="AF190" s="8"/>
    </row>
    <row r="191" spans="1:32">
      <c r="A191" s="27" t="s">
        <v>219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R191" s="32" t="s">
        <v>469</v>
      </c>
      <c r="X191" s="65" t="s">
        <v>532</v>
      </c>
      <c r="AF191" s="8"/>
    </row>
    <row r="192" spans="1:32">
      <c r="A192" s="18" t="s">
        <v>273</v>
      </c>
      <c r="B192" s="16">
        <v>15.8</v>
      </c>
      <c r="C192" s="16" t="s">
        <v>208</v>
      </c>
      <c r="G192" t="s">
        <v>526</v>
      </c>
      <c r="M192" s="2" t="s">
        <v>533</v>
      </c>
      <c r="R192" s="32" t="s">
        <v>534</v>
      </c>
      <c r="X192" s="7" t="s">
        <v>512</v>
      </c>
      <c r="Z192" t="s">
        <v>488</v>
      </c>
      <c r="AF192" s="8"/>
    </row>
    <row r="193" spans="1:32">
      <c r="A193" t="s">
        <v>528</v>
      </c>
      <c r="G193" t="s">
        <v>529</v>
      </c>
      <c r="H193">
        <f>$J$186*B192</f>
        <v>1422</v>
      </c>
      <c r="M193" t="s">
        <v>512</v>
      </c>
      <c r="O193" t="s">
        <v>488</v>
      </c>
      <c r="R193" s="32" t="s">
        <v>469</v>
      </c>
      <c r="X193" s="76">
        <v>1</v>
      </c>
      <c r="Z193" s="502">
        <f>((X193*F189))/AE188</f>
        <v>1.4722222222222133E-4</v>
      </c>
      <c r="AA193" s="502"/>
      <c r="AF193" s="8"/>
    </row>
    <row r="194" spans="1:32">
      <c r="A194" s="36">
        <f>$E$186/B192</f>
        <v>632.91139240506322</v>
      </c>
      <c r="B194" s="37" t="s">
        <v>382</v>
      </c>
      <c r="C194" t="s">
        <v>530</v>
      </c>
      <c r="M194" s="39">
        <v>1</v>
      </c>
      <c r="O194" s="502">
        <f>((M194*F189))/H198</f>
        <v>3.4351851851851644E-4</v>
      </c>
      <c r="P194" s="502"/>
      <c r="X194" s="7"/>
      <c r="AA194" s="1"/>
      <c r="AF194" s="8"/>
    </row>
    <row r="195" spans="1:32">
      <c r="P195" s="1"/>
      <c r="X195" s="65" t="s">
        <v>470</v>
      </c>
      <c r="AF195" s="8"/>
    </row>
    <row r="196" spans="1:32">
      <c r="A196" s="27" t="s">
        <v>220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" t="s">
        <v>470</v>
      </c>
      <c r="X196" s="7" t="s">
        <v>471</v>
      </c>
      <c r="Z196" t="s">
        <v>472</v>
      </c>
      <c r="AF196" s="8"/>
    </row>
    <row r="197" spans="1:32">
      <c r="A197" s="18" t="s">
        <v>273</v>
      </c>
      <c r="B197" s="16">
        <v>30</v>
      </c>
      <c r="C197" s="16" t="s">
        <v>208</v>
      </c>
      <c r="G197" t="s">
        <v>526</v>
      </c>
      <c r="M197" t="s">
        <v>471</v>
      </c>
      <c r="O197" t="s">
        <v>472</v>
      </c>
      <c r="X197" s="77">
        <v>4286</v>
      </c>
      <c r="Y197" s="10"/>
      <c r="Z197" s="503">
        <f>Z193*X197</f>
        <v>0.63099444444444064</v>
      </c>
      <c r="AA197" s="503"/>
      <c r="AB197" s="10" t="s">
        <v>259</v>
      </c>
      <c r="AC197" s="10"/>
      <c r="AD197" s="10"/>
      <c r="AE197" s="10"/>
      <c r="AF197" s="11"/>
    </row>
    <row r="198" spans="1:32">
      <c r="A198" t="s">
        <v>528</v>
      </c>
      <c r="G198" t="s">
        <v>529</v>
      </c>
      <c r="H198">
        <f>$J$186*B197</f>
        <v>2700</v>
      </c>
      <c r="M198" s="38">
        <v>4286</v>
      </c>
      <c r="N198" s="10"/>
      <c r="O198" s="503">
        <f>O194*M198</f>
        <v>1.4723203703703616</v>
      </c>
      <c r="P198" s="503"/>
      <c r="Q198" s="10" t="s">
        <v>259</v>
      </c>
    </row>
    <row r="199" spans="1:32">
      <c r="A199" s="36">
        <f>$E$186/B197</f>
        <v>333.33333333333331</v>
      </c>
      <c r="B199" s="37" t="s">
        <v>382</v>
      </c>
      <c r="C199" t="s">
        <v>530</v>
      </c>
    </row>
    <row r="200" spans="1:32">
      <c r="M200" s="2" t="s">
        <v>535</v>
      </c>
      <c r="S200" s="2" t="s">
        <v>536</v>
      </c>
    </row>
    <row r="201" spans="1:32">
      <c r="A201" s="27" t="s">
        <v>222</v>
      </c>
      <c r="B201" s="28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t="s">
        <v>512</v>
      </c>
      <c r="O201" t="s">
        <v>488</v>
      </c>
      <c r="S201" t="s">
        <v>512</v>
      </c>
      <c r="U201" t="s">
        <v>488</v>
      </c>
    </row>
    <row r="202" spans="1:32">
      <c r="A202" s="18" t="s">
        <v>273</v>
      </c>
      <c r="B202" s="16">
        <v>24</v>
      </c>
      <c r="C202" s="16" t="s">
        <v>208</v>
      </c>
      <c r="G202" t="s">
        <v>526</v>
      </c>
      <c r="M202" s="39">
        <v>1</v>
      </c>
      <c r="O202" s="502">
        <f>((M202*F189))/H203</f>
        <v>4.2939814814814555E-4</v>
      </c>
      <c r="P202" s="502"/>
      <c r="S202" s="39">
        <v>1</v>
      </c>
      <c r="U202" s="502">
        <f>((S202*F189))/H208</f>
        <v>9.2749999999999449E-5</v>
      </c>
      <c r="V202" s="502"/>
    </row>
    <row r="203" spans="1:32">
      <c r="A203" t="s">
        <v>528</v>
      </c>
      <c r="G203" t="s">
        <v>529</v>
      </c>
      <c r="H203">
        <f>$J$186*B202</f>
        <v>2160</v>
      </c>
      <c r="P203" s="1"/>
      <c r="V203" s="1"/>
    </row>
    <row r="204" spans="1:32">
      <c r="A204" s="36">
        <f>$E$186/B202</f>
        <v>416.66666666666669</v>
      </c>
      <c r="B204" s="37" t="s">
        <v>382</v>
      </c>
      <c r="C204" t="s">
        <v>530</v>
      </c>
      <c r="M204" s="2" t="s">
        <v>470</v>
      </c>
      <c r="S204" s="2" t="s">
        <v>470</v>
      </c>
    </row>
    <row r="205" spans="1:32">
      <c r="M205" t="s">
        <v>471</v>
      </c>
      <c r="O205" t="s">
        <v>472</v>
      </c>
      <c r="S205" t="s">
        <v>471</v>
      </c>
      <c r="U205" t="s">
        <v>472</v>
      </c>
    </row>
    <row r="206" spans="1:32">
      <c r="A206" s="27" t="s">
        <v>224</v>
      </c>
      <c r="B206" s="28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38">
        <v>4286</v>
      </c>
      <c r="N206" s="10"/>
      <c r="O206" s="503">
        <f>O202*M206</f>
        <v>1.8404004629629518</v>
      </c>
      <c r="P206" s="503"/>
      <c r="Q206" s="10" t="s">
        <v>259</v>
      </c>
      <c r="S206" s="38">
        <v>4286</v>
      </c>
      <c r="T206" s="10"/>
      <c r="U206" s="503">
        <f>U202*S206</f>
        <v>0.39752649999999762</v>
      </c>
      <c r="V206" s="503"/>
      <c r="W206" s="10" t="s">
        <v>259</v>
      </c>
    </row>
    <row r="207" spans="1:32">
      <c r="A207" s="18" t="s">
        <v>273</v>
      </c>
      <c r="B207" s="16">
        <v>125</v>
      </c>
      <c r="C207" s="16" t="s">
        <v>208</v>
      </c>
      <c r="G207" t="s">
        <v>526</v>
      </c>
    </row>
    <row r="208" spans="1:32">
      <c r="A208" t="s">
        <v>528</v>
      </c>
      <c r="G208" t="s">
        <v>529</v>
      </c>
      <c r="H208">
        <f>E186</f>
        <v>10000</v>
      </c>
    </row>
    <row r="209" spans="1:18">
      <c r="A209" s="36">
        <f>$E$186/B207</f>
        <v>80</v>
      </c>
      <c r="B209" s="37" t="s">
        <v>382</v>
      </c>
      <c r="C209" t="s">
        <v>537</v>
      </c>
    </row>
    <row r="211" spans="1:18">
      <c r="A211" s="512" t="s">
        <v>216</v>
      </c>
      <c r="B211" s="512"/>
      <c r="C211" s="512"/>
      <c r="D211" s="512"/>
      <c r="E211" s="512"/>
      <c r="F211" s="512"/>
      <c r="G211" s="512"/>
      <c r="H211" s="512"/>
      <c r="I211" s="512"/>
      <c r="J211" s="512"/>
      <c r="K211" s="512"/>
      <c r="L211" s="512"/>
    </row>
    <row r="212" spans="1:18">
      <c r="A212" s="513" t="s">
        <v>519</v>
      </c>
      <c r="B212" s="513"/>
      <c r="C212" s="513" t="s">
        <v>520</v>
      </c>
      <c r="D212" s="513"/>
      <c r="E212" s="513" t="s">
        <v>521</v>
      </c>
      <c r="F212" s="513"/>
      <c r="G212" s="513" t="s">
        <v>522</v>
      </c>
      <c r="H212" s="513"/>
      <c r="I212" s="16" t="s">
        <v>523</v>
      </c>
      <c r="J212" s="25" t="s">
        <v>478</v>
      </c>
      <c r="K212" s="25"/>
      <c r="M212" s="2" t="s">
        <v>538</v>
      </c>
      <c r="R212" s="32" t="s">
        <v>539</v>
      </c>
    </row>
    <row r="213" spans="1:18">
      <c r="A213" s="513" t="s">
        <v>480</v>
      </c>
      <c r="B213" s="513"/>
      <c r="C213" s="513">
        <v>10</v>
      </c>
      <c r="D213" s="513"/>
      <c r="E213" s="513">
        <f>C213*1000</f>
        <v>10000</v>
      </c>
      <c r="F213" s="513"/>
      <c r="G213" s="513">
        <v>35</v>
      </c>
      <c r="H213" s="513"/>
      <c r="I213" s="16">
        <v>3.7735849056604001E-2</v>
      </c>
      <c r="J213" s="513">
        <v>90</v>
      </c>
      <c r="K213" s="513"/>
      <c r="M213" t="s">
        <v>512</v>
      </c>
      <c r="O213" t="s">
        <v>488</v>
      </c>
      <c r="R213" s="32" t="s">
        <v>469</v>
      </c>
    </row>
    <row r="214" spans="1:18">
      <c r="A214" t="s">
        <v>494</v>
      </c>
      <c r="M214" s="39">
        <v>1</v>
      </c>
      <c r="O214" s="502">
        <f>(M214*F216)/E213</f>
        <v>9.2749999999999449E-5</v>
      </c>
      <c r="P214" s="502"/>
    </row>
    <row r="215" spans="1:18">
      <c r="A215" s="421" t="s">
        <v>473</v>
      </c>
      <c r="B215" s="421"/>
      <c r="P215" s="1"/>
    </row>
    <row r="216" spans="1:18">
      <c r="A216" s="513" t="s">
        <v>480</v>
      </c>
      <c r="B216" s="513"/>
      <c r="C216" s="25">
        <f>G213/I213</f>
        <v>927.49999999999443</v>
      </c>
      <c r="D216" s="25" t="s">
        <v>450</v>
      </c>
      <c r="E216" s="25"/>
      <c r="F216" s="25">
        <f>C216/10^3</f>
        <v>0.92749999999999444</v>
      </c>
      <c r="G216" s="24" t="s">
        <v>451</v>
      </c>
      <c r="M216" s="2" t="s">
        <v>470</v>
      </c>
    </row>
    <row r="217" spans="1:18">
      <c r="M217" t="s">
        <v>471</v>
      </c>
      <c r="O217" t="s">
        <v>472</v>
      </c>
    </row>
    <row r="218" spans="1:18">
      <c r="A218" s="18" t="s">
        <v>273</v>
      </c>
      <c r="B218" s="16">
        <v>470</v>
      </c>
      <c r="C218" s="16" t="s">
        <v>208</v>
      </c>
      <c r="M218" s="38">
        <v>4286</v>
      </c>
      <c r="N218" s="10"/>
      <c r="O218" s="503">
        <f>O214*M218</f>
        <v>0.39752649999999762</v>
      </c>
      <c r="P218" s="503"/>
      <c r="Q218" s="10" t="s">
        <v>259</v>
      </c>
    </row>
    <row r="219" spans="1:18">
      <c r="A219" t="s">
        <v>528</v>
      </c>
    </row>
    <row r="220" spans="1:18">
      <c r="A220" s="21">
        <f>$E$213/B218</f>
        <v>21.276595744680851</v>
      </c>
      <c r="B220" t="s">
        <v>382</v>
      </c>
    </row>
    <row r="227" spans="1:19" ht="28.5">
      <c r="A227" s="42" t="s">
        <v>295</v>
      </c>
      <c r="B227" s="12"/>
    </row>
    <row r="228" spans="1:19" ht="18.75">
      <c r="A228" s="40" t="s">
        <v>540</v>
      </c>
      <c r="B228" s="40"/>
      <c r="C228" s="41"/>
      <c r="D228" s="41"/>
      <c r="E228" s="41"/>
      <c r="F228" s="41"/>
      <c r="G228" s="41"/>
      <c r="H228" s="41"/>
      <c r="I228" s="41"/>
      <c r="M228" s="509" t="s">
        <v>541</v>
      </c>
      <c r="N228" s="509"/>
      <c r="O228" s="509"/>
      <c r="P228" s="509"/>
      <c r="Q228" s="509"/>
      <c r="R228" s="509"/>
      <c r="S228" s="509"/>
    </row>
    <row r="229" spans="1:19">
      <c r="A229" s="507" t="s">
        <v>212</v>
      </c>
      <c r="B229" s="403"/>
      <c r="C229" s="403"/>
      <c r="D229" s="403"/>
      <c r="E229" s="403"/>
      <c r="F229" s="403"/>
      <c r="G229" s="403"/>
      <c r="H229" s="403"/>
      <c r="I229" s="403"/>
      <c r="M229" t="s">
        <v>542</v>
      </c>
    </row>
    <row r="230" spans="1:19">
      <c r="A230" t="s">
        <v>299</v>
      </c>
      <c r="M230" s="3" t="s">
        <v>543</v>
      </c>
    </row>
    <row r="231" spans="1:19">
      <c r="C231" t="s">
        <v>301</v>
      </c>
      <c r="M231" t="s">
        <v>544</v>
      </c>
    </row>
    <row r="232" spans="1:19">
      <c r="A232" s="421" t="s">
        <v>304</v>
      </c>
      <c r="B232" s="421"/>
      <c r="C232">
        <v>7.4</v>
      </c>
      <c r="M232" s="3" t="s">
        <v>545</v>
      </c>
    </row>
    <row r="233" spans="1:19">
      <c r="A233" t="s">
        <v>306</v>
      </c>
      <c r="D233" t="s">
        <v>307</v>
      </c>
      <c r="M233" t="s">
        <v>546</v>
      </c>
    </row>
    <row r="234" spans="1:19">
      <c r="A234" t="s">
        <v>310</v>
      </c>
      <c r="C234">
        <v>22.8</v>
      </c>
      <c r="D234" s="43">
        <f>(C234+C235)/2</f>
        <v>26.1</v>
      </c>
      <c r="F234" t="s">
        <v>547</v>
      </c>
      <c r="M234" s="3" t="s">
        <v>548</v>
      </c>
    </row>
    <row r="235" spans="1:19">
      <c r="A235" t="s">
        <v>314</v>
      </c>
      <c r="C235">
        <v>29.4</v>
      </c>
      <c r="D235" s="1"/>
      <c r="F235" s="44">
        <f>D234+C232</f>
        <v>33.5</v>
      </c>
      <c r="G235" t="s">
        <v>16</v>
      </c>
      <c r="M235" t="s">
        <v>549</v>
      </c>
    </row>
    <row r="236" spans="1:19">
      <c r="M236" s="3" t="s">
        <v>550</v>
      </c>
    </row>
    <row r="237" spans="1:19">
      <c r="A237" s="507" t="s">
        <v>297</v>
      </c>
      <c r="B237" s="403"/>
      <c r="C237" s="403"/>
      <c r="D237" s="403"/>
      <c r="E237" s="403"/>
      <c r="F237" s="403"/>
      <c r="G237" s="403"/>
      <c r="H237" s="403"/>
      <c r="I237" s="403"/>
      <c r="M237" t="s">
        <v>551</v>
      </c>
    </row>
    <row r="238" spans="1:19">
      <c r="A238" t="s">
        <v>320</v>
      </c>
      <c r="M238" s="3" t="s">
        <v>552</v>
      </c>
    </row>
    <row r="239" spans="1:19">
      <c r="A239" t="s">
        <v>306</v>
      </c>
      <c r="D239" t="s">
        <v>307</v>
      </c>
      <c r="M239" t="s">
        <v>553</v>
      </c>
    </row>
    <row r="240" spans="1:19">
      <c r="A240" t="s">
        <v>310</v>
      </c>
      <c r="C240">
        <v>22.8</v>
      </c>
      <c r="D240" s="43">
        <f>(C240+C241)/2</f>
        <v>26.1</v>
      </c>
      <c r="F240" t="s">
        <v>547</v>
      </c>
      <c r="M240" s="3" t="s">
        <v>554</v>
      </c>
    </row>
    <row r="241" spans="1:13">
      <c r="A241" t="s">
        <v>314</v>
      </c>
      <c r="C241">
        <v>29.4</v>
      </c>
      <c r="D241" s="1"/>
      <c r="F241" s="44">
        <f>D240+C238</f>
        <v>26.1</v>
      </c>
      <c r="G241" t="s">
        <v>16</v>
      </c>
      <c r="M241" t="s">
        <v>555</v>
      </c>
    </row>
    <row r="242" spans="1:13">
      <c r="M242" s="3" t="s">
        <v>556</v>
      </c>
    </row>
    <row r="243" spans="1:13">
      <c r="A243" s="507" t="s">
        <v>102</v>
      </c>
      <c r="B243" s="403"/>
      <c r="C243" s="403"/>
      <c r="D243" s="403"/>
      <c r="E243" s="403"/>
      <c r="F243" s="403"/>
      <c r="G243" s="403"/>
      <c r="H243" s="403"/>
      <c r="I243" s="403"/>
      <c r="M243" t="s">
        <v>557</v>
      </c>
    </row>
    <row r="244" spans="1:13">
      <c r="A244" t="s">
        <v>336</v>
      </c>
      <c r="M244" s="3" t="s">
        <v>558</v>
      </c>
    </row>
    <row r="245" spans="1:13">
      <c r="C245" t="s">
        <v>301</v>
      </c>
      <c r="M245" t="s">
        <v>559</v>
      </c>
    </row>
    <row r="246" spans="1:13">
      <c r="A246" s="1" t="s">
        <v>338</v>
      </c>
      <c r="B246" s="1"/>
      <c r="C246">
        <v>180</v>
      </c>
      <c r="M246" s="3" t="s">
        <v>560</v>
      </c>
    </row>
    <row r="247" spans="1:13">
      <c r="A247" t="s">
        <v>306</v>
      </c>
      <c r="D247" t="s">
        <v>339</v>
      </c>
      <c r="M247" t="s">
        <v>561</v>
      </c>
    </row>
    <row r="248" spans="1:13">
      <c r="A248" t="s">
        <v>310</v>
      </c>
      <c r="C248">
        <v>22.8</v>
      </c>
      <c r="D248" s="43">
        <f>(C248+C249)/2</f>
        <v>26.1</v>
      </c>
      <c r="F248" t="s">
        <v>547</v>
      </c>
      <c r="M248" s="3" t="s">
        <v>562</v>
      </c>
    </row>
    <row r="249" spans="1:13">
      <c r="A249" t="s">
        <v>314</v>
      </c>
      <c r="C249">
        <v>29.4</v>
      </c>
      <c r="D249" s="1"/>
      <c r="F249" s="44">
        <f>D248+C246</f>
        <v>206.1</v>
      </c>
      <c r="G249" t="s">
        <v>16</v>
      </c>
    </row>
    <row r="251" spans="1:13">
      <c r="A251" s="507" t="s">
        <v>343</v>
      </c>
      <c r="B251" s="403"/>
      <c r="C251" s="403"/>
      <c r="D251" s="403"/>
      <c r="E251" s="403"/>
      <c r="F251" s="403"/>
      <c r="G251" s="403"/>
      <c r="H251" s="403"/>
      <c r="I251" s="403"/>
    </row>
    <row r="252" spans="1:13">
      <c r="A252" t="s">
        <v>345</v>
      </c>
    </row>
    <row r="253" spans="1:13">
      <c r="C253" t="s">
        <v>301</v>
      </c>
    </row>
    <row r="254" spans="1:13">
      <c r="A254" s="421" t="s">
        <v>346</v>
      </c>
      <c r="B254" s="421"/>
      <c r="C254">
        <v>284</v>
      </c>
    </row>
    <row r="255" spans="1:13">
      <c r="A255" t="s">
        <v>306</v>
      </c>
      <c r="D255" t="s">
        <v>339</v>
      </c>
    </row>
    <row r="256" spans="1:13">
      <c r="A256" t="s">
        <v>310</v>
      </c>
      <c r="C256">
        <v>22.8</v>
      </c>
      <c r="D256" s="43">
        <f>(C256+C257)/2</f>
        <v>26.1</v>
      </c>
      <c r="F256" t="s">
        <v>547</v>
      </c>
    </row>
    <row r="257" spans="1:9">
      <c r="A257" t="s">
        <v>314</v>
      </c>
      <c r="C257">
        <v>29.4</v>
      </c>
      <c r="D257" s="1"/>
      <c r="F257" s="44">
        <f>D256+C254</f>
        <v>310.10000000000002</v>
      </c>
      <c r="G257" t="s">
        <v>16</v>
      </c>
    </row>
    <row r="259" spans="1:9">
      <c r="A259" s="507" t="s">
        <v>216</v>
      </c>
      <c r="B259" s="403"/>
      <c r="C259" s="403"/>
      <c r="D259" s="403"/>
      <c r="E259" s="403"/>
      <c r="F259" s="403"/>
      <c r="G259" s="403"/>
      <c r="H259" s="403"/>
      <c r="I259" s="403"/>
    </row>
    <row r="260" spans="1:9">
      <c r="A260" t="s">
        <v>348</v>
      </c>
    </row>
    <row r="261" spans="1:9">
      <c r="C261" t="s">
        <v>301</v>
      </c>
    </row>
    <row r="262" spans="1:9">
      <c r="A262" s="421" t="s">
        <v>349</v>
      </c>
      <c r="B262" s="421"/>
      <c r="C262">
        <v>181</v>
      </c>
    </row>
    <row r="263" spans="1:9">
      <c r="A263" t="s">
        <v>306</v>
      </c>
      <c r="D263" t="s">
        <v>339</v>
      </c>
    </row>
    <row r="264" spans="1:9">
      <c r="A264" t="s">
        <v>310</v>
      </c>
      <c r="C264">
        <v>22.8</v>
      </c>
      <c r="D264" s="43">
        <f>(C264+C265)/2</f>
        <v>26.1</v>
      </c>
      <c r="F264" t="s">
        <v>547</v>
      </c>
    </row>
    <row r="265" spans="1:9">
      <c r="A265" t="s">
        <v>314</v>
      </c>
      <c r="C265">
        <v>29.4</v>
      </c>
      <c r="D265" s="1"/>
      <c r="F265" s="44">
        <f>D264+C262</f>
        <v>207.1</v>
      </c>
      <c r="G265" t="s">
        <v>16</v>
      </c>
    </row>
    <row r="267" spans="1:9">
      <c r="A267" s="507" t="s">
        <v>149</v>
      </c>
      <c r="B267" s="403"/>
      <c r="C267" s="403"/>
      <c r="D267" s="403"/>
      <c r="E267" s="403"/>
      <c r="F267" s="403"/>
      <c r="G267" s="403"/>
      <c r="H267" s="403"/>
      <c r="I267" s="403"/>
    </row>
    <row r="268" spans="1:9">
      <c r="A268" s="41" t="s">
        <v>350</v>
      </c>
      <c r="B268" s="41"/>
      <c r="C268" s="41"/>
      <c r="D268" s="41"/>
      <c r="E268" s="41"/>
      <c r="F268" s="41"/>
      <c r="G268" s="41"/>
      <c r="H268" s="41"/>
      <c r="I268" s="41"/>
    </row>
    <row r="269" spans="1:9">
      <c r="A269" t="s">
        <v>351</v>
      </c>
    </row>
    <row r="270" spans="1:9">
      <c r="C270" t="s">
        <v>301</v>
      </c>
    </row>
    <row r="271" spans="1:9">
      <c r="A271" s="1" t="s">
        <v>352</v>
      </c>
      <c r="B271" s="1"/>
      <c r="C271">
        <v>117</v>
      </c>
    </row>
    <row r="272" spans="1:9">
      <c r="A272" t="s">
        <v>306</v>
      </c>
      <c r="D272" t="s">
        <v>339</v>
      </c>
    </row>
    <row r="273" spans="1:9">
      <c r="A273" t="s">
        <v>310</v>
      </c>
      <c r="C273">
        <v>22.8</v>
      </c>
      <c r="D273" s="43">
        <f>(C273+C274)/2</f>
        <v>26.1</v>
      </c>
      <c r="F273" t="s">
        <v>547</v>
      </c>
    </row>
    <row r="274" spans="1:9">
      <c r="A274" t="s">
        <v>314</v>
      </c>
      <c r="C274">
        <v>29.4</v>
      </c>
      <c r="D274" s="1"/>
      <c r="F274" s="44">
        <f>D273+C271</f>
        <v>143.1</v>
      </c>
      <c r="G274" t="s">
        <v>16</v>
      </c>
    </row>
    <row r="276" spans="1:9">
      <c r="A276" s="41" t="s">
        <v>353</v>
      </c>
      <c r="B276" s="41"/>
      <c r="C276" s="41"/>
      <c r="D276" s="41"/>
      <c r="E276" s="41"/>
      <c r="F276" s="41"/>
      <c r="G276" s="41"/>
      <c r="H276" s="41"/>
      <c r="I276" s="41"/>
    </row>
    <row r="277" spans="1:9">
      <c r="A277" t="s">
        <v>354</v>
      </c>
    </row>
    <row r="278" spans="1:9">
      <c r="C278" t="s">
        <v>301</v>
      </c>
    </row>
    <row r="279" spans="1:9">
      <c r="A279" s="1" t="s">
        <v>355</v>
      </c>
      <c r="B279" s="1"/>
      <c r="C279" s="44">
        <v>707.2</v>
      </c>
    </row>
    <row r="280" spans="1:9">
      <c r="A280" t="s">
        <v>306</v>
      </c>
      <c r="D280" t="s">
        <v>339</v>
      </c>
    </row>
    <row r="281" spans="1:9">
      <c r="A281" t="s">
        <v>310</v>
      </c>
      <c r="C281">
        <v>22.8</v>
      </c>
      <c r="D281" s="43">
        <f>(C281+C282)/2</f>
        <v>26.1</v>
      </c>
      <c r="F281" t="s">
        <v>547</v>
      </c>
    </row>
    <row r="282" spans="1:9">
      <c r="A282" t="s">
        <v>314</v>
      </c>
      <c r="C282">
        <v>29.4</v>
      </c>
      <c r="D282" s="1"/>
      <c r="F282" s="44">
        <f>D281+C279</f>
        <v>733.30000000000007</v>
      </c>
      <c r="G282" t="s">
        <v>16</v>
      </c>
    </row>
    <row r="285" spans="1:9" ht="18.75">
      <c r="A285" s="45" t="s">
        <v>563</v>
      </c>
      <c r="B285" s="45"/>
      <c r="C285" s="46"/>
      <c r="D285" s="46"/>
      <c r="E285" s="46"/>
      <c r="F285" s="46"/>
      <c r="G285" s="46"/>
      <c r="H285" s="46"/>
      <c r="I285" s="46"/>
    </row>
    <row r="286" spans="1:9">
      <c r="A286" s="505" t="s">
        <v>297</v>
      </c>
      <c r="B286" s="506"/>
      <c r="C286" s="506"/>
      <c r="D286" s="506"/>
      <c r="E286" s="506"/>
      <c r="F286" s="506"/>
      <c r="G286" s="506"/>
      <c r="H286" s="506"/>
      <c r="I286" s="506"/>
    </row>
    <row r="287" spans="1:9">
      <c r="A287" t="s">
        <v>298</v>
      </c>
    </row>
    <row r="288" spans="1:9">
      <c r="A288" s="2" t="s">
        <v>300</v>
      </c>
    </row>
    <row r="289" spans="1:9">
      <c r="A289" t="s">
        <v>302</v>
      </c>
    </row>
    <row r="290" spans="1:9">
      <c r="A290" s="2" t="s">
        <v>305</v>
      </c>
    </row>
    <row r="291" spans="1:9">
      <c r="A291" t="s">
        <v>308</v>
      </c>
      <c r="H291">
        <v>60</v>
      </c>
      <c r="I291" t="s">
        <v>309</v>
      </c>
    </row>
    <row r="292" spans="1:9">
      <c r="H292">
        <f>H291/3.6</f>
        <v>16.666666666666668</v>
      </c>
      <c r="I292" t="s">
        <v>312</v>
      </c>
    </row>
    <row r="293" spans="1:9">
      <c r="A293" t="s">
        <v>315</v>
      </c>
      <c r="B293">
        <v>5400</v>
      </c>
      <c r="C293" t="s">
        <v>316</v>
      </c>
    </row>
    <row r="295" spans="1:9">
      <c r="A295" s="47" t="s">
        <v>319</v>
      </c>
      <c r="B295" s="47"/>
      <c r="C295" s="47"/>
      <c r="D295" s="47">
        <f>(B293*H292)/10^3</f>
        <v>90</v>
      </c>
      <c r="E295" s="47" t="s">
        <v>16</v>
      </c>
    </row>
    <row r="296" spans="1:9">
      <c r="A296" s="505" t="s">
        <v>564</v>
      </c>
      <c r="B296" s="506"/>
      <c r="C296" s="506"/>
      <c r="D296" s="506"/>
      <c r="E296" s="506"/>
      <c r="F296" s="506"/>
      <c r="G296" s="506"/>
      <c r="H296" s="506"/>
      <c r="I296" s="506"/>
    </row>
    <row r="297" spans="1:9">
      <c r="A297" s="2" t="s">
        <v>323</v>
      </c>
      <c r="B297" s="2"/>
      <c r="C297" s="2"/>
      <c r="E297" t="s">
        <v>324</v>
      </c>
    </row>
    <row r="298" spans="1:9">
      <c r="A298">
        <v>200</v>
      </c>
      <c r="B298" t="s">
        <v>326</v>
      </c>
      <c r="E298">
        <v>35</v>
      </c>
      <c r="F298" t="s">
        <v>327</v>
      </c>
      <c r="H298">
        <f>E298/100</f>
        <v>0.35</v>
      </c>
      <c r="I298" t="s">
        <v>328</v>
      </c>
    </row>
    <row r="300" spans="1:9">
      <c r="A300" t="s">
        <v>331</v>
      </c>
    </row>
    <row r="301" spans="1:9">
      <c r="A301" s="47" t="s">
        <v>333</v>
      </c>
      <c r="B301" s="48">
        <f>A298/H298</f>
        <v>571.42857142857144</v>
      </c>
      <c r="C301" s="47" t="s">
        <v>16</v>
      </c>
      <c r="D301" t="s">
        <v>334</v>
      </c>
    </row>
    <row r="303" spans="1:9">
      <c r="A303" s="2" t="s">
        <v>337</v>
      </c>
      <c r="B303" s="2"/>
      <c r="C303" s="2"/>
      <c r="E303" t="s">
        <v>324</v>
      </c>
    </row>
    <row r="304" spans="1:9">
      <c r="A304">
        <v>1500</v>
      </c>
      <c r="B304" t="s">
        <v>326</v>
      </c>
      <c r="E304">
        <v>35</v>
      </c>
      <c r="F304" t="s">
        <v>327</v>
      </c>
      <c r="H304">
        <f>E304/100</f>
        <v>0.35</v>
      </c>
      <c r="I304" t="s">
        <v>328</v>
      </c>
    </row>
    <row r="306" spans="1:4">
      <c r="A306" t="s">
        <v>340</v>
      </c>
    </row>
    <row r="307" spans="1:4">
      <c r="A307" s="47" t="s">
        <v>333</v>
      </c>
      <c r="B307" s="48">
        <f>A304/H304</f>
        <v>4285.7142857142862</v>
      </c>
      <c r="C307" s="47" t="s">
        <v>16</v>
      </c>
      <c r="D307" t="s">
        <v>341</v>
      </c>
    </row>
    <row r="353" spans="1:23">
      <c r="A353" s="417" t="s">
        <v>565</v>
      </c>
      <c r="B353" s="504"/>
      <c r="C353" s="504"/>
      <c r="D353" s="504"/>
      <c r="E353" s="504"/>
      <c r="F353" s="504"/>
      <c r="G353" s="504"/>
      <c r="H353" s="504"/>
      <c r="I353" s="504"/>
      <c r="L353" t="s">
        <v>566</v>
      </c>
    </row>
    <row r="354" spans="1:23">
      <c r="A354" s="24" t="s">
        <v>519</v>
      </c>
      <c r="B354" s="24"/>
      <c r="C354" s="24" t="s">
        <v>520</v>
      </c>
      <c r="D354" s="24"/>
      <c r="E354" s="24" t="s">
        <v>521</v>
      </c>
      <c r="F354" s="24"/>
      <c r="G354" s="24" t="s">
        <v>522</v>
      </c>
      <c r="H354" s="24"/>
      <c r="I354" s="16" t="s">
        <v>523</v>
      </c>
      <c r="J354" s="69" t="s">
        <v>478</v>
      </c>
      <c r="K354" s="69"/>
      <c r="L354" t="s">
        <v>567</v>
      </c>
    </row>
    <row r="355" spans="1:23">
      <c r="A355" s="24" t="s">
        <v>480</v>
      </c>
      <c r="B355" s="24"/>
      <c r="C355" s="24">
        <v>28</v>
      </c>
      <c r="D355" s="24"/>
      <c r="E355" s="24">
        <f>C355*1000</f>
        <v>28000</v>
      </c>
      <c r="F355" s="24"/>
      <c r="G355" s="24">
        <v>35</v>
      </c>
      <c r="H355" s="24" t="s">
        <v>568</v>
      </c>
      <c r="I355" s="16">
        <v>3.7735849056604001E-2</v>
      </c>
      <c r="J355" s="517">
        <f>18.1*0.85</f>
        <v>15.385000000000002</v>
      </c>
      <c r="K355" s="517"/>
      <c r="L355" s="3" t="s">
        <v>233</v>
      </c>
    </row>
    <row r="356" spans="1:23">
      <c r="A356" s="20" t="s">
        <v>569</v>
      </c>
      <c r="L356" t="s">
        <v>570</v>
      </c>
    </row>
    <row r="357" spans="1:23">
      <c r="A357" s="16" t="s">
        <v>571</v>
      </c>
      <c r="B357" s="16">
        <f>1500*0.6+500*0.3+2200*0.1</f>
        <v>1270</v>
      </c>
      <c r="C357" s="16" t="s">
        <v>208</v>
      </c>
      <c r="L357" s="3" t="s">
        <v>572</v>
      </c>
    </row>
    <row r="358" spans="1:23">
      <c r="A358" t="s">
        <v>573</v>
      </c>
      <c r="L358" t="s">
        <v>574</v>
      </c>
    </row>
    <row r="359" spans="1:23">
      <c r="A359" s="44">
        <f>B357*J355</f>
        <v>19538.95</v>
      </c>
      <c r="B359" t="s">
        <v>575</v>
      </c>
      <c r="C359" t="s">
        <v>576</v>
      </c>
      <c r="L359" s="3" t="s">
        <v>577</v>
      </c>
    </row>
    <row r="361" spans="1:23">
      <c r="A361" s="2" t="s">
        <v>578</v>
      </c>
      <c r="G361" s="32" t="s">
        <v>579</v>
      </c>
      <c r="L361" t="s">
        <v>580</v>
      </c>
    </row>
    <row r="362" spans="1:23">
      <c r="A362" t="s">
        <v>467</v>
      </c>
      <c r="C362" t="s">
        <v>468</v>
      </c>
      <c r="G362" s="32" t="s">
        <v>469</v>
      </c>
      <c r="L362" t="s">
        <v>581</v>
      </c>
    </row>
    <row r="363" spans="1:23">
      <c r="A363" s="39">
        <v>1</v>
      </c>
      <c r="C363" s="31">
        <f>((A363*F414))/E355</f>
        <v>3.3124999999999802E-5</v>
      </c>
      <c r="D363" s="31"/>
    </row>
    <row r="364" spans="1:23">
      <c r="D364" s="1"/>
      <c r="F364" s="1"/>
      <c r="L364" t="s">
        <v>582</v>
      </c>
    </row>
    <row r="365" spans="1:23">
      <c r="A365" s="2" t="s">
        <v>470</v>
      </c>
      <c r="L365" s="3" t="s">
        <v>583</v>
      </c>
    </row>
    <row r="366" spans="1:23">
      <c r="A366" t="s">
        <v>471</v>
      </c>
      <c r="C366" t="s">
        <v>472</v>
      </c>
    </row>
    <row r="367" spans="1:23">
      <c r="A367" s="30">
        <v>1043</v>
      </c>
      <c r="C367" s="502">
        <f>C363*A367</f>
        <v>3.4549374999999792E-2</v>
      </c>
      <c r="D367" s="502"/>
      <c r="E367" t="s">
        <v>259</v>
      </c>
      <c r="L367" s="518" t="s">
        <v>584</v>
      </c>
      <c r="M367" s="518"/>
      <c r="N367" s="518"/>
      <c r="O367" s="518"/>
      <c r="P367" s="518"/>
      <c r="Q367" s="518"/>
      <c r="R367" s="518"/>
      <c r="S367" s="518"/>
      <c r="T367" s="518"/>
      <c r="U367" s="518"/>
      <c r="V367" s="518"/>
      <c r="W367" s="518"/>
    </row>
    <row r="368" spans="1:23">
      <c r="L368" t="s">
        <v>585</v>
      </c>
      <c r="M368" t="s">
        <v>586</v>
      </c>
      <c r="N368" t="s">
        <v>273</v>
      </c>
      <c r="O368" t="s">
        <v>380</v>
      </c>
    </row>
    <row r="369" spans="1:17">
      <c r="A369" s="20" t="s">
        <v>587</v>
      </c>
      <c r="B369" s="20"/>
      <c r="G369" s="20" t="s">
        <v>588</v>
      </c>
      <c r="L369">
        <v>2022</v>
      </c>
      <c r="M369">
        <v>100</v>
      </c>
      <c r="N369">
        <v>1860</v>
      </c>
      <c r="O369">
        <v>28000</v>
      </c>
      <c r="Q369" t="s">
        <v>589</v>
      </c>
    </row>
    <row r="370" spans="1:17">
      <c r="A370" s="16" t="s">
        <v>571</v>
      </c>
      <c r="B370" s="16">
        <f>1500*0.8+2200*0.1+500*0.1</f>
        <v>1470</v>
      </c>
      <c r="C370" s="16" t="s">
        <v>208</v>
      </c>
      <c r="G370" s="16" t="s">
        <v>571</v>
      </c>
      <c r="H370" s="16">
        <f>1500*0.7+2200*0.1+500*0.2</f>
        <v>1370</v>
      </c>
      <c r="I370" s="16" t="s">
        <v>208</v>
      </c>
      <c r="L370">
        <v>2012</v>
      </c>
      <c r="M370">
        <v>90</v>
      </c>
      <c r="N370">
        <v>1860</v>
      </c>
      <c r="O370">
        <v>28000</v>
      </c>
    </row>
    <row r="371" spans="1:17">
      <c r="A371" t="s">
        <v>573</v>
      </c>
      <c r="G371" t="s">
        <v>573</v>
      </c>
      <c r="L371">
        <v>2002</v>
      </c>
      <c r="M371">
        <v>80</v>
      </c>
      <c r="N371">
        <v>1860</v>
      </c>
      <c r="O371">
        <v>28000</v>
      </c>
    </row>
    <row r="372" spans="1:17">
      <c r="A372" s="44">
        <f>B370*J355</f>
        <v>22615.95</v>
      </c>
      <c r="B372" t="s">
        <v>90</v>
      </c>
      <c r="C372" t="s">
        <v>576</v>
      </c>
      <c r="G372" s="44">
        <f>H370*J355</f>
        <v>21077.45</v>
      </c>
      <c r="H372" t="s">
        <v>90</v>
      </c>
      <c r="I372" t="s">
        <v>576</v>
      </c>
      <c r="L372">
        <v>1992</v>
      </c>
      <c r="M372">
        <v>70</v>
      </c>
      <c r="N372">
        <v>1860</v>
      </c>
      <c r="O372">
        <v>28000</v>
      </c>
    </row>
    <row r="373" spans="1:17">
      <c r="L373">
        <v>1982</v>
      </c>
      <c r="M373">
        <v>60</v>
      </c>
      <c r="N373">
        <v>1860</v>
      </c>
      <c r="O373">
        <v>28000</v>
      </c>
    </row>
    <row r="374" spans="1:17">
      <c r="A374" s="20" t="s">
        <v>590</v>
      </c>
      <c r="B374" s="20"/>
      <c r="L374">
        <v>1972</v>
      </c>
      <c r="M374">
        <v>50</v>
      </c>
      <c r="N374">
        <v>1860</v>
      </c>
      <c r="O374">
        <v>28000</v>
      </c>
    </row>
    <row r="375" spans="1:17">
      <c r="A375" s="16" t="s">
        <v>571</v>
      </c>
      <c r="B375" s="16">
        <f>2200*0.7+500*0.2+1500*0.1</f>
        <v>1790</v>
      </c>
      <c r="C375" s="16" t="s">
        <v>208</v>
      </c>
      <c r="L375">
        <v>1962</v>
      </c>
      <c r="M375">
        <v>40</v>
      </c>
      <c r="N375">
        <v>1790</v>
      </c>
      <c r="O375">
        <v>27539</v>
      </c>
    </row>
    <row r="376" spans="1:17">
      <c r="A376" t="s">
        <v>573</v>
      </c>
      <c r="F376" t="s">
        <v>591</v>
      </c>
      <c r="L376">
        <v>1952</v>
      </c>
      <c r="M376">
        <v>30</v>
      </c>
      <c r="N376">
        <v>1470</v>
      </c>
      <c r="O376">
        <v>22616</v>
      </c>
    </row>
    <row r="377" spans="1:17">
      <c r="A377" s="44">
        <f>B375*J355</f>
        <v>27539.15</v>
      </c>
      <c r="B377" t="s">
        <v>90</v>
      </c>
      <c r="C377" t="s">
        <v>576</v>
      </c>
      <c r="L377">
        <v>1942</v>
      </c>
      <c r="M377">
        <v>20</v>
      </c>
      <c r="N377">
        <v>1370</v>
      </c>
      <c r="O377">
        <v>21077</v>
      </c>
    </row>
    <row r="378" spans="1:17">
      <c r="L378">
        <v>1932</v>
      </c>
      <c r="M378">
        <v>10</v>
      </c>
      <c r="N378">
        <v>1370</v>
      </c>
      <c r="O378">
        <v>21077</v>
      </c>
    </row>
    <row r="379" spans="1:17">
      <c r="A379" s="20" t="s">
        <v>592</v>
      </c>
      <c r="B379" s="20"/>
      <c r="L379">
        <v>1922</v>
      </c>
      <c r="M379">
        <v>0</v>
      </c>
      <c r="N379">
        <v>1370</v>
      </c>
      <c r="O379">
        <v>21077</v>
      </c>
    </row>
    <row r="380" spans="1:17">
      <c r="A380" s="16" t="s">
        <v>571</v>
      </c>
      <c r="B380" s="16">
        <f>2200*0.8+500*0.2</f>
        <v>1860</v>
      </c>
      <c r="C380" s="16" t="s">
        <v>208</v>
      </c>
      <c r="L380">
        <v>1912</v>
      </c>
      <c r="M380">
        <v>0</v>
      </c>
      <c r="N380">
        <v>1270</v>
      </c>
      <c r="O380">
        <v>19539</v>
      </c>
    </row>
    <row r="381" spans="1:17">
      <c r="A381" t="s">
        <v>593</v>
      </c>
      <c r="L381">
        <v>1902</v>
      </c>
      <c r="M381">
        <v>0</v>
      </c>
      <c r="N381">
        <v>1270</v>
      </c>
      <c r="O381">
        <v>19539</v>
      </c>
    </row>
    <row r="382" spans="1:17">
      <c r="A382" s="44">
        <f>B380*J355</f>
        <v>28616.100000000002</v>
      </c>
      <c r="B382" t="s">
        <v>575</v>
      </c>
      <c r="C382" t="s">
        <v>594</v>
      </c>
    </row>
    <row r="383" spans="1:17">
      <c r="A383" t="s">
        <v>595</v>
      </c>
      <c r="B383">
        <f>B380*A385</f>
        <v>28000</v>
      </c>
    </row>
    <row r="384" spans="1:17">
      <c r="A384" t="s">
        <v>596</v>
      </c>
    </row>
    <row r="385" spans="1:22">
      <c r="A385" s="44">
        <f>E355/B380</f>
        <v>15.053763440860216</v>
      </c>
      <c r="B385" t="s">
        <v>87</v>
      </c>
    </row>
    <row r="386" spans="1:22">
      <c r="A386" s="20" t="s">
        <v>597</v>
      </c>
      <c r="B386" s="20"/>
      <c r="C386" s="20"/>
      <c r="D386" s="20"/>
      <c r="E386" s="20"/>
      <c r="F386" s="20"/>
      <c r="G386" s="20"/>
    </row>
    <row r="388" spans="1:22">
      <c r="A388" s="417" t="s">
        <v>598</v>
      </c>
      <c r="B388" s="417"/>
      <c r="C388" s="417"/>
      <c r="D388" s="417"/>
      <c r="E388" s="417"/>
      <c r="F388" s="417"/>
      <c r="G388" s="417"/>
      <c r="H388" s="417"/>
      <c r="I388" s="417"/>
      <c r="J388" s="417"/>
      <c r="K388" s="417"/>
      <c r="L388" t="s">
        <v>599</v>
      </c>
    </row>
    <row r="389" spans="1:22">
      <c r="A389" s="24" t="s">
        <v>519</v>
      </c>
      <c r="B389" s="24"/>
      <c r="C389" s="24" t="s">
        <v>520</v>
      </c>
      <c r="D389" s="24"/>
      <c r="E389" s="24" t="s">
        <v>521</v>
      </c>
      <c r="F389" s="24"/>
      <c r="G389" s="24" t="s">
        <v>522</v>
      </c>
      <c r="H389" s="24"/>
      <c r="I389" s="16" t="s">
        <v>523</v>
      </c>
      <c r="J389" s="69" t="s">
        <v>478</v>
      </c>
      <c r="K389" s="69"/>
      <c r="L389" s="3" t="s">
        <v>600</v>
      </c>
      <c r="V389" t="s">
        <v>601</v>
      </c>
    </row>
    <row r="390" spans="1:22">
      <c r="A390" s="24" t="s">
        <v>480</v>
      </c>
      <c r="B390" s="24"/>
      <c r="C390" s="24">
        <v>28</v>
      </c>
      <c r="D390" s="24"/>
      <c r="E390" s="24">
        <f>C390*1000</f>
        <v>28000</v>
      </c>
      <c r="F390" s="24"/>
      <c r="G390" s="24">
        <v>35</v>
      </c>
      <c r="H390" s="24" t="s">
        <v>568</v>
      </c>
      <c r="I390" s="16">
        <v>3.7735849056604001E-2</v>
      </c>
      <c r="J390" s="83">
        <f>18.1*0.85</f>
        <v>15.385000000000002</v>
      </c>
      <c r="K390" s="83"/>
      <c r="L390" s="3" t="s">
        <v>602</v>
      </c>
      <c r="V390" t="s">
        <v>603</v>
      </c>
    </row>
    <row r="391" spans="1:22">
      <c r="J391" t="s">
        <v>604</v>
      </c>
      <c r="L391" t="s">
        <v>605</v>
      </c>
    </row>
    <row r="392" spans="1:22">
      <c r="A392" s="4" t="s">
        <v>344</v>
      </c>
      <c r="B392" s="5"/>
      <c r="C392" s="5"/>
      <c r="D392" s="5"/>
      <c r="E392" s="5"/>
      <c r="F392" s="5"/>
      <c r="G392" s="5"/>
      <c r="H392" s="5"/>
      <c r="I392" s="6"/>
      <c r="J392">
        <v>365</v>
      </c>
      <c r="K392" t="s">
        <v>606</v>
      </c>
    </row>
    <row r="393" spans="1:22">
      <c r="A393" s="65" t="s">
        <v>323</v>
      </c>
      <c r="B393" s="2"/>
      <c r="C393" s="2"/>
      <c r="E393" t="s">
        <v>324</v>
      </c>
      <c r="I393" s="8"/>
    </row>
    <row r="394" spans="1:22">
      <c r="A394" s="7">
        <v>365</v>
      </c>
      <c r="B394" t="s">
        <v>326</v>
      </c>
      <c r="E394">
        <v>35</v>
      </c>
      <c r="F394" t="s">
        <v>327</v>
      </c>
      <c r="H394">
        <f>E394/100</f>
        <v>0.35</v>
      </c>
      <c r="I394" s="8" t="s">
        <v>328</v>
      </c>
    </row>
    <row r="395" spans="1:22">
      <c r="A395" s="7"/>
      <c r="I395" s="8"/>
    </row>
    <row r="396" spans="1:22">
      <c r="A396" s="7" t="s">
        <v>347</v>
      </c>
      <c r="I396" s="8"/>
    </row>
    <row r="397" spans="1:22">
      <c r="A397" s="66" t="s">
        <v>333</v>
      </c>
      <c r="B397" s="67">
        <f>A394/H394</f>
        <v>1042.8571428571429</v>
      </c>
      <c r="C397" s="68" t="s">
        <v>16</v>
      </c>
      <c r="D397" s="10"/>
      <c r="E397" s="10"/>
      <c r="F397" s="10"/>
      <c r="G397" s="10"/>
      <c r="H397" s="10"/>
      <c r="I397" s="11"/>
    </row>
    <row r="399" spans="1:22">
      <c r="A399" s="16" t="s">
        <v>571</v>
      </c>
      <c r="B399" s="16">
        <v>1900</v>
      </c>
      <c r="C399" s="16" t="s">
        <v>208</v>
      </c>
    </row>
    <row r="400" spans="1:22">
      <c r="A400" t="s">
        <v>607</v>
      </c>
    </row>
    <row r="401" spans="1:11">
      <c r="A401" s="58">
        <f>B399*J390</f>
        <v>29231.500000000004</v>
      </c>
      <c r="B401" s="58" t="s">
        <v>90</v>
      </c>
      <c r="C401" t="s">
        <v>594</v>
      </c>
    </row>
    <row r="403" spans="1:11">
      <c r="A403" t="s">
        <v>608</v>
      </c>
    </row>
    <row r="404" spans="1:11">
      <c r="A404" s="57" t="s">
        <v>108</v>
      </c>
      <c r="B404" s="70">
        <f>E390/B399</f>
        <v>14.736842105263158</v>
      </c>
      <c r="C404" s="57" t="s">
        <v>87</v>
      </c>
    </row>
    <row r="406" spans="1:11">
      <c r="A406" s="2" t="s">
        <v>578</v>
      </c>
      <c r="G406" s="32" t="s">
        <v>609</v>
      </c>
    </row>
    <row r="407" spans="1:11">
      <c r="A407" t="s">
        <v>467</v>
      </c>
      <c r="C407" t="s">
        <v>468</v>
      </c>
      <c r="G407" s="32" t="s">
        <v>469</v>
      </c>
    </row>
    <row r="408" spans="1:11">
      <c r="A408" s="39">
        <v>1</v>
      </c>
      <c r="C408" s="31">
        <f>((A408*F414))/E390</f>
        <v>3.3124999999999802E-5</v>
      </c>
      <c r="D408" s="31"/>
    </row>
    <row r="409" spans="1:11">
      <c r="D409" s="1"/>
      <c r="F409" s="1"/>
    </row>
    <row r="410" spans="1:11">
      <c r="A410" s="2" t="s">
        <v>470</v>
      </c>
    </row>
    <row r="411" spans="1:11">
      <c r="A411" t="s">
        <v>471</v>
      </c>
      <c r="C411" t="s">
        <v>472</v>
      </c>
    </row>
    <row r="412" spans="1:11">
      <c r="A412" s="30">
        <v>1043</v>
      </c>
      <c r="C412" s="31">
        <f>C408*A412</f>
        <v>3.4549374999999792E-2</v>
      </c>
      <c r="D412" s="31"/>
      <c r="E412" t="s">
        <v>259</v>
      </c>
    </row>
    <row r="413" spans="1:11">
      <c r="A413" s="2"/>
    </row>
    <row r="414" spans="1:11">
      <c r="A414" s="24" t="s">
        <v>480</v>
      </c>
      <c r="B414" s="24"/>
      <c r="C414" s="25">
        <f>E394/I390</f>
        <v>927.49999999999443</v>
      </c>
      <c r="D414" s="25" t="s">
        <v>450</v>
      </c>
      <c r="E414" s="25"/>
      <c r="F414" s="25">
        <f>C414/10^3</f>
        <v>0.92749999999999444</v>
      </c>
      <c r="G414" s="24" t="s">
        <v>451</v>
      </c>
    </row>
    <row r="416" spans="1:11">
      <c r="A416" s="514" t="s">
        <v>228</v>
      </c>
      <c r="B416" s="515"/>
      <c r="C416" s="515"/>
      <c r="D416" s="515"/>
      <c r="E416" s="515"/>
      <c r="F416" s="515"/>
      <c r="G416" s="515"/>
      <c r="H416" s="515"/>
      <c r="I416" s="515"/>
      <c r="J416" s="515"/>
      <c r="K416" s="516"/>
    </row>
    <row r="417" spans="1:11">
      <c r="A417" s="71" t="s">
        <v>204</v>
      </c>
      <c r="B417" s="16">
        <v>2500</v>
      </c>
      <c r="C417" s="16" t="s">
        <v>208</v>
      </c>
      <c r="K417" s="8"/>
    </row>
    <row r="418" spans="1:11">
      <c r="A418" s="7"/>
      <c r="K418" s="8"/>
    </row>
    <row r="419" spans="1:11">
      <c r="A419" s="7" t="s">
        <v>610</v>
      </c>
      <c r="B419" t="s">
        <v>611</v>
      </c>
      <c r="C419" t="s">
        <v>16</v>
      </c>
      <c r="K419" s="8"/>
    </row>
    <row r="420" spans="1:11">
      <c r="A420" s="7"/>
      <c r="K420" s="8"/>
    </row>
    <row r="421" spans="1:11">
      <c r="A421" s="72" t="s">
        <v>519</v>
      </c>
      <c r="B421" s="24"/>
      <c r="C421" s="24" t="s">
        <v>520</v>
      </c>
      <c r="D421" s="24"/>
      <c r="E421" s="24" t="s">
        <v>521</v>
      </c>
      <c r="F421" s="24"/>
      <c r="G421" s="24" t="s">
        <v>522</v>
      </c>
      <c r="H421" s="24"/>
      <c r="I421" s="16" t="s">
        <v>523</v>
      </c>
      <c r="J421" s="25" t="s">
        <v>478</v>
      </c>
      <c r="K421" s="73"/>
    </row>
    <row r="422" spans="1:11">
      <c r="A422" s="72" t="s">
        <v>480</v>
      </c>
      <c r="B422" s="24"/>
      <c r="C422" s="24">
        <v>10</v>
      </c>
      <c r="D422" s="24"/>
      <c r="E422" s="24">
        <f>C422*1000</f>
        <v>10000</v>
      </c>
      <c r="F422" s="24"/>
      <c r="G422" s="24">
        <v>35</v>
      </c>
      <c r="H422" s="24"/>
      <c r="I422" s="16">
        <v>3.7735849056604001E-2</v>
      </c>
      <c r="J422" s="24">
        <v>90</v>
      </c>
      <c r="K422" s="74"/>
    </row>
    <row r="423" spans="1:11">
      <c r="A423" s="7"/>
      <c r="K423" s="8"/>
    </row>
    <row r="424" spans="1:11">
      <c r="A424" s="72" t="s">
        <v>480</v>
      </c>
      <c r="B424" s="24"/>
      <c r="C424" s="25">
        <f>G422/I422</f>
        <v>927.49999999999443</v>
      </c>
      <c r="D424" s="25" t="s">
        <v>450</v>
      </c>
      <c r="E424" s="25"/>
      <c r="F424" s="25">
        <f>C424/10^3</f>
        <v>0.92749999999999444</v>
      </c>
      <c r="G424" s="24" t="s">
        <v>451</v>
      </c>
      <c r="K424" s="8"/>
    </row>
    <row r="425" spans="1:11">
      <c r="A425" s="7"/>
      <c r="K425" s="8"/>
    </row>
    <row r="426" spans="1:11">
      <c r="A426" s="75" t="s">
        <v>573</v>
      </c>
      <c r="K426" s="8"/>
    </row>
    <row r="427" spans="1:11">
      <c r="A427" s="7">
        <f>B417*J422</f>
        <v>225000</v>
      </c>
      <c r="B427" t="s">
        <v>90</v>
      </c>
      <c r="C427" t="s">
        <v>612</v>
      </c>
      <c r="K427" s="8"/>
    </row>
    <row r="428" spans="1:11">
      <c r="A428" s="7"/>
      <c r="K428" s="8"/>
    </row>
    <row r="429" spans="1:11">
      <c r="A429" s="7" t="s">
        <v>613</v>
      </c>
      <c r="K429" s="8"/>
    </row>
    <row r="430" spans="1:11">
      <c r="A430" s="7">
        <f>E422/B417</f>
        <v>4</v>
      </c>
      <c r="B430" t="s">
        <v>614</v>
      </c>
      <c r="K430" s="8"/>
    </row>
    <row r="431" spans="1:11">
      <c r="A431" s="7"/>
      <c r="K431" s="8"/>
    </row>
    <row r="432" spans="1:11">
      <c r="A432" s="65" t="s">
        <v>538</v>
      </c>
      <c r="K432" s="8"/>
    </row>
    <row r="433" spans="1:18">
      <c r="A433" s="7" t="s">
        <v>512</v>
      </c>
      <c r="C433" t="s">
        <v>488</v>
      </c>
      <c r="K433" s="8"/>
    </row>
    <row r="434" spans="1:18">
      <c r="A434" s="76">
        <v>1</v>
      </c>
      <c r="C434" s="31">
        <f>(A434*F424)/E422</f>
        <v>9.2749999999999449E-5</v>
      </c>
      <c r="D434" s="31"/>
      <c r="K434" s="8"/>
    </row>
    <row r="435" spans="1:18">
      <c r="A435" s="7"/>
      <c r="D435" s="1"/>
      <c r="G435" s="32" t="s">
        <v>615</v>
      </c>
      <c r="K435" s="8"/>
    </row>
    <row r="436" spans="1:18">
      <c r="A436" s="65" t="s">
        <v>470</v>
      </c>
      <c r="G436" s="32" t="s">
        <v>469</v>
      </c>
      <c r="K436" s="8"/>
    </row>
    <row r="437" spans="1:18">
      <c r="A437" s="7" t="s">
        <v>471</v>
      </c>
      <c r="C437" t="s">
        <v>472</v>
      </c>
      <c r="K437" s="8"/>
    </row>
    <row r="438" spans="1:18">
      <c r="A438" s="77">
        <v>4286</v>
      </c>
      <c r="B438" s="10"/>
      <c r="C438" s="64">
        <f>C434*A438</f>
        <v>0.39752649999999762</v>
      </c>
      <c r="D438" s="64"/>
      <c r="E438" s="10" t="s">
        <v>259</v>
      </c>
      <c r="F438" s="10"/>
      <c r="G438" s="10"/>
      <c r="H438" s="10"/>
      <c r="I438" s="10"/>
      <c r="J438" s="10"/>
      <c r="K438" s="11"/>
    </row>
    <row r="440" spans="1:18">
      <c r="A440" s="417" t="s">
        <v>616</v>
      </c>
      <c r="B440" s="417"/>
      <c r="C440" s="417"/>
      <c r="D440" s="417"/>
      <c r="E440" s="417"/>
      <c r="F440" s="417"/>
      <c r="G440" s="417"/>
      <c r="H440" s="417"/>
      <c r="I440" s="417"/>
      <c r="J440" s="417"/>
      <c r="K440" s="417"/>
    </row>
    <row r="441" spans="1:18">
      <c r="A441" t="s">
        <v>617</v>
      </c>
      <c r="C441">
        <v>43</v>
      </c>
      <c r="D441" t="s">
        <v>271</v>
      </c>
      <c r="E441" t="s">
        <v>618</v>
      </c>
      <c r="F441">
        <v>0.05</v>
      </c>
      <c r="G441" t="s">
        <v>26</v>
      </c>
      <c r="H441" t="s">
        <v>619</v>
      </c>
      <c r="J441" s="86">
        <f>C442*F441*1.15</f>
        <v>0.104673</v>
      </c>
      <c r="M441" t="s">
        <v>620</v>
      </c>
    </row>
    <row r="442" spans="1:18">
      <c r="A442" t="s">
        <v>621</v>
      </c>
      <c r="C442">
        <f>1.23*1.48</f>
        <v>1.8204</v>
      </c>
      <c r="D442" t="s">
        <v>622</v>
      </c>
      <c r="H442" t="s">
        <v>623</v>
      </c>
      <c r="M442" s="3" t="s">
        <v>624</v>
      </c>
    </row>
    <row r="443" spans="1:18">
      <c r="M443" s="20" t="s">
        <v>625</v>
      </c>
      <c r="N443" s="20"/>
      <c r="O443" s="20"/>
      <c r="P443" s="20"/>
      <c r="Q443" s="20"/>
      <c r="R443" s="20"/>
    </row>
    <row r="444" spans="1:18">
      <c r="A444" t="s">
        <v>626</v>
      </c>
      <c r="C444" s="44">
        <f>C441*C442</f>
        <v>78.277200000000008</v>
      </c>
      <c r="D444" t="s">
        <v>90</v>
      </c>
    </row>
    <row r="446" spans="1:18">
      <c r="A446" s="16" t="s">
        <v>571</v>
      </c>
      <c r="B446" s="87">
        <f>C444/J441</f>
        <v>747.82608695652175</v>
      </c>
      <c r="C446" s="16" t="s">
        <v>208</v>
      </c>
    </row>
    <row r="447" spans="1:18">
      <c r="A447" s="72" t="s">
        <v>519</v>
      </c>
      <c r="B447" s="24"/>
      <c r="C447" s="24" t="s">
        <v>520</v>
      </c>
      <c r="D447" s="24"/>
      <c r="E447" s="24" t="s">
        <v>521</v>
      </c>
      <c r="F447" s="24"/>
      <c r="G447" s="24" t="s">
        <v>522</v>
      </c>
      <c r="H447" s="24"/>
      <c r="I447" s="16" t="s">
        <v>523</v>
      </c>
      <c r="J447" s="25" t="s">
        <v>478</v>
      </c>
      <c r="K447" s="73"/>
    </row>
    <row r="448" spans="1:18">
      <c r="A448" s="72" t="s">
        <v>480</v>
      </c>
      <c r="B448" s="24"/>
      <c r="C448" s="24">
        <v>10</v>
      </c>
      <c r="D448" s="24"/>
      <c r="E448" s="24">
        <f>C448*1000</f>
        <v>10000</v>
      </c>
      <c r="F448" s="24"/>
      <c r="G448" s="24">
        <v>35</v>
      </c>
      <c r="H448" s="24"/>
      <c r="I448" s="16">
        <v>3.7735849056604001E-2</v>
      </c>
      <c r="J448" s="24">
        <v>90</v>
      </c>
      <c r="K448" s="74"/>
    </row>
    <row r="450" spans="1:7">
      <c r="A450" t="s">
        <v>573</v>
      </c>
    </row>
    <row r="451" spans="1:7">
      <c r="A451" s="44">
        <f>J448*B446</f>
        <v>67304.34782608696</v>
      </c>
      <c r="B451" t="s">
        <v>90</v>
      </c>
      <c r="C451" t="s">
        <v>612</v>
      </c>
    </row>
    <row r="453" spans="1:7">
      <c r="A453" t="s">
        <v>627</v>
      </c>
    </row>
    <row r="454" spans="1:7">
      <c r="A454" s="44">
        <f>E448/B446</f>
        <v>13.372093023255815</v>
      </c>
      <c r="B454" t="s">
        <v>87</v>
      </c>
    </row>
    <row r="456" spans="1:7">
      <c r="A456" s="2" t="s">
        <v>538</v>
      </c>
    </row>
    <row r="457" spans="1:7">
      <c r="A457" t="s">
        <v>512</v>
      </c>
      <c r="C457" t="s">
        <v>488</v>
      </c>
    </row>
    <row r="458" spans="1:7">
      <c r="A458" s="39">
        <v>1</v>
      </c>
      <c r="C458" s="31">
        <f>(A458*F424)/E448</f>
        <v>9.2749999999999449E-5</v>
      </c>
      <c r="D458" s="31"/>
    </row>
    <row r="459" spans="1:7">
      <c r="D459" s="1"/>
      <c r="G459" s="32" t="s">
        <v>628</v>
      </c>
    </row>
    <row r="460" spans="1:7">
      <c r="A460" s="2" t="s">
        <v>470</v>
      </c>
      <c r="G460" s="32" t="s">
        <v>469</v>
      </c>
    </row>
    <row r="461" spans="1:7">
      <c r="A461" t="s">
        <v>471</v>
      </c>
      <c r="C461" t="s">
        <v>472</v>
      </c>
    </row>
    <row r="462" spans="1:7">
      <c r="A462" s="30">
        <v>4286</v>
      </c>
      <c r="C462" s="31">
        <f>C458*A462</f>
        <v>0.39752649999999762</v>
      </c>
      <c r="D462" s="31"/>
      <c r="E462" t="s">
        <v>259</v>
      </c>
    </row>
    <row r="470" spans="1:12">
      <c r="A470" s="417" t="s">
        <v>629</v>
      </c>
      <c r="B470" s="417"/>
      <c r="C470" s="417"/>
      <c r="D470" s="417"/>
      <c r="E470" s="417"/>
      <c r="F470" s="417"/>
      <c r="G470" s="417"/>
      <c r="H470" s="417"/>
      <c r="I470" s="417"/>
      <c r="J470" s="417"/>
      <c r="K470" s="417"/>
      <c r="L470" t="s">
        <v>630</v>
      </c>
    </row>
    <row r="471" spans="1:12">
      <c r="A471" s="513" t="s">
        <v>519</v>
      </c>
      <c r="B471" s="513"/>
      <c r="C471" s="513" t="s">
        <v>520</v>
      </c>
      <c r="D471" s="513"/>
      <c r="E471" s="513" t="s">
        <v>521</v>
      </c>
      <c r="F471" s="513"/>
      <c r="G471" s="513" t="s">
        <v>522</v>
      </c>
      <c r="H471" s="513"/>
      <c r="I471" s="16" t="s">
        <v>523</v>
      </c>
      <c r="J471" s="25" t="s">
        <v>478</v>
      </c>
      <c r="K471" s="25"/>
      <c r="L471" t="s">
        <v>631</v>
      </c>
    </row>
    <row r="472" spans="1:12">
      <c r="A472" s="513" t="s">
        <v>480</v>
      </c>
      <c r="B472" s="513"/>
      <c r="C472" s="513">
        <v>10</v>
      </c>
      <c r="D472" s="513"/>
      <c r="E472" s="513">
        <f>C472*1000</f>
        <v>10000</v>
      </c>
      <c r="F472" s="513"/>
      <c r="G472" s="513">
        <v>35</v>
      </c>
      <c r="H472" s="513"/>
      <c r="I472" s="16">
        <v>3.7735849056604001E-2</v>
      </c>
      <c r="J472" s="513">
        <v>90</v>
      </c>
      <c r="K472" s="513"/>
      <c r="L472" s="3" t="s">
        <v>632</v>
      </c>
    </row>
    <row r="473" spans="1:12">
      <c r="A473" t="s">
        <v>494</v>
      </c>
    </row>
    <row r="474" spans="1:12">
      <c r="A474" s="421" t="s">
        <v>473</v>
      </c>
      <c r="B474" s="421"/>
    </row>
    <row r="475" spans="1:12">
      <c r="A475" s="513" t="s">
        <v>480</v>
      </c>
      <c r="B475" s="513"/>
      <c r="C475" s="25">
        <f>G472/I472</f>
        <v>927.49999999999443</v>
      </c>
      <c r="D475" s="25" t="s">
        <v>450</v>
      </c>
      <c r="E475" s="25"/>
      <c r="F475" s="25">
        <f>C475/10^3</f>
        <v>0.92749999999999444</v>
      </c>
      <c r="G475" s="24" t="s">
        <v>451</v>
      </c>
    </row>
    <row r="477" spans="1:12">
      <c r="A477" s="18" t="s">
        <v>273</v>
      </c>
      <c r="B477" s="16">
        <v>500</v>
      </c>
      <c r="C477" s="16" t="s">
        <v>208</v>
      </c>
    </row>
    <row r="478" spans="1:12">
      <c r="A478" t="s">
        <v>528</v>
      </c>
    </row>
    <row r="479" spans="1:12">
      <c r="A479" s="21">
        <f>$E$213/B477</f>
        <v>20</v>
      </c>
      <c r="B479" t="s">
        <v>382</v>
      </c>
      <c r="E479" t="s">
        <v>576</v>
      </c>
    </row>
    <row r="482" spans="1:12">
      <c r="A482" s="2" t="s">
        <v>538</v>
      </c>
      <c r="F482" s="32" t="s">
        <v>633</v>
      </c>
    </row>
    <row r="483" spans="1:12">
      <c r="A483" t="s">
        <v>512</v>
      </c>
      <c r="C483" t="s">
        <v>488</v>
      </c>
      <c r="F483" s="32" t="s">
        <v>469</v>
      </c>
    </row>
    <row r="484" spans="1:12">
      <c r="A484" s="39">
        <v>1</v>
      </c>
      <c r="C484" s="31">
        <f>(A484*F475)/E472</f>
        <v>9.2749999999999449E-5</v>
      </c>
      <c r="D484" s="31"/>
    </row>
    <row r="485" spans="1:12">
      <c r="D485" s="1"/>
    </row>
    <row r="486" spans="1:12">
      <c r="A486" s="2" t="s">
        <v>470</v>
      </c>
    </row>
    <row r="487" spans="1:12">
      <c r="A487" t="s">
        <v>471</v>
      </c>
      <c r="C487" t="s">
        <v>472</v>
      </c>
    </row>
    <row r="488" spans="1:12">
      <c r="A488" s="38">
        <v>4286</v>
      </c>
      <c r="B488" s="10"/>
      <c r="C488" s="64">
        <f>C484*A488</f>
        <v>0.39752649999999762</v>
      </c>
      <c r="D488" s="64"/>
      <c r="E488" s="10" t="s">
        <v>259</v>
      </c>
    </row>
    <row r="490" spans="1:12">
      <c r="A490" s="417" t="s">
        <v>370</v>
      </c>
      <c r="B490" s="417"/>
      <c r="C490" s="417"/>
      <c r="D490" s="417"/>
      <c r="E490" s="417"/>
      <c r="F490" s="417"/>
      <c r="G490" s="417"/>
      <c r="H490" s="417"/>
      <c r="I490" s="417"/>
      <c r="J490" s="417"/>
      <c r="K490" s="417"/>
      <c r="L490" t="s">
        <v>630</v>
      </c>
    </row>
    <row r="491" spans="1:12">
      <c r="A491" t="s">
        <v>634</v>
      </c>
      <c r="L491" s="3" t="s">
        <v>635</v>
      </c>
    </row>
    <row r="493" spans="1:12">
      <c r="A493" s="417" t="s">
        <v>636</v>
      </c>
      <c r="B493" s="417"/>
      <c r="C493" s="417"/>
      <c r="D493" s="417"/>
      <c r="E493" s="417"/>
      <c r="F493" s="417"/>
      <c r="G493" s="417"/>
      <c r="H493" s="417"/>
      <c r="I493" s="417"/>
      <c r="J493" s="417"/>
      <c r="K493" s="417"/>
      <c r="L493" t="s">
        <v>630</v>
      </c>
    </row>
    <row r="494" spans="1:12">
      <c r="A494" s="513" t="s">
        <v>519</v>
      </c>
      <c r="B494" s="513"/>
      <c r="C494" s="513" t="s">
        <v>520</v>
      </c>
      <c r="D494" s="513"/>
      <c r="E494" s="513" t="s">
        <v>521</v>
      </c>
      <c r="F494" s="513"/>
      <c r="G494" s="513" t="s">
        <v>522</v>
      </c>
      <c r="H494" s="513"/>
      <c r="I494" s="16" t="s">
        <v>523</v>
      </c>
      <c r="J494" s="25" t="s">
        <v>478</v>
      </c>
      <c r="K494" s="25"/>
      <c r="L494" s="3" t="s">
        <v>637</v>
      </c>
    </row>
    <row r="495" spans="1:12">
      <c r="A495" s="513" t="s">
        <v>480</v>
      </c>
      <c r="B495" s="513"/>
      <c r="C495" s="513">
        <v>10</v>
      </c>
      <c r="D495" s="513"/>
      <c r="E495" s="513">
        <f>C495*1000</f>
        <v>10000</v>
      </c>
      <c r="F495" s="513"/>
      <c r="G495" s="513">
        <v>35</v>
      </c>
      <c r="H495" s="513"/>
      <c r="I495" s="16">
        <v>3.7735849056604001E-2</v>
      </c>
      <c r="J495" s="513">
        <v>90</v>
      </c>
      <c r="K495" s="513"/>
    </row>
    <row r="496" spans="1:12">
      <c r="A496" t="s">
        <v>494</v>
      </c>
    </row>
    <row r="497" spans="1:7">
      <c r="A497" s="421" t="s">
        <v>473</v>
      </c>
      <c r="B497" s="421"/>
    </row>
    <row r="498" spans="1:7">
      <c r="A498" s="513" t="s">
        <v>480</v>
      </c>
      <c r="B498" s="513"/>
      <c r="C498" s="25">
        <f>G495/I495</f>
        <v>927.49999999999443</v>
      </c>
      <c r="D498" s="25" t="s">
        <v>450</v>
      </c>
      <c r="E498" s="25"/>
      <c r="F498" s="25">
        <f>C498/10^3</f>
        <v>0.92749999999999444</v>
      </c>
      <c r="G498" s="24" t="s">
        <v>451</v>
      </c>
    </row>
    <row r="500" spans="1:7">
      <c r="A500" s="18" t="s">
        <v>273</v>
      </c>
      <c r="B500" s="16">
        <v>650</v>
      </c>
      <c r="C500" s="16" t="s">
        <v>208</v>
      </c>
    </row>
    <row r="501" spans="1:7">
      <c r="A501" t="s">
        <v>528</v>
      </c>
    </row>
    <row r="502" spans="1:7">
      <c r="A502" s="21">
        <f>$E$213/B500</f>
        <v>15.384615384615385</v>
      </c>
      <c r="B502" t="s">
        <v>382</v>
      </c>
      <c r="E502" t="s">
        <v>576</v>
      </c>
    </row>
    <row r="505" spans="1:7">
      <c r="A505" s="2" t="s">
        <v>538</v>
      </c>
      <c r="F505" s="32" t="s">
        <v>638</v>
      </c>
    </row>
    <row r="506" spans="1:7">
      <c r="A506" t="s">
        <v>512</v>
      </c>
      <c r="C506" t="s">
        <v>488</v>
      </c>
      <c r="F506" s="32" t="s">
        <v>469</v>
      </c>
    </row>
    <row r="507" spans="1:7">
      <c r="A507" s="39">
        <v>1</v>
      </c>
      <c r="C507" s="31">
        <f>(A507*F498)/E495</f>
        <v>9.2749999999999449E-5</v>
      </c>
      <c r="D507" s="31"/>
    </row>
    <row r="508" spans="1:7">
      <c r="D508" s="1"/>
    </row>
    <row r="509" spans="1:7">
      <c r="A509" s="2" t="s">
        <v>470</v>
      </c>
    </row>
    <row r="510" spans="1:7">
      <c r="A510" t="s">
        <v>471</v>
      </c>
      <c r="C510" t="s">
        <v>472</v>
      </c>
    </row>
    <row r="511" spans="1:7">
      <c r="A511" s="38">
        <v>4286</v>
      </c>
      <c r="B511" s="10"/>
      <c r="C511" s="64">
        <f>C507*A511</f>
        <v>0.39752649999999762</v>
      </c>
      <c r="D511" s="64"/>
      <c r="E511" s="10" t="s">
        <v>259</v>
      </c>
    </row>
    <row r="513" spans="5:13">
      <c r="E513" s="3" t="s">
        <v>263</v>
      </c>
    </row>
    <row r="516" spans="5:13" ht="15.75" thickBot="1"/>
    <row r="517" spans="5:13">
      <c r="F517" s="312" t="s">
        <v>953</v>
      </c>
      <c r="G517" s="294"/>
      <c r="H517" s="294"/>
      <c r="I517" s="294"/>
      <c r="J517" s="294"/>
      <c r="K517" s="294"/>
      <c r="L517" s="294"/>
      <c r="M517" s="295"/>
    </row>
    <row r="518" spans="5:13">
      <c r="F518" s="258"/>
      <c r="M518" s="259"/>
    </row>
    <row r="519" spans="5:13">
      <c r="F519" s="258"/>
      <c r="M519" s="259"/>
    </row>
    <row r="520" spans="5:13">
      <c r="F520" s="258"/>
      <c r="M520" s="259"/>
    </row>
    <row r="521" spans="5:13">
      <c r="F521" s="258"/>
      <c r="M521" s="259"/>
    </row>
    <row r="522" spans="5:13">
      <c r="F522" s="258"/>
      <c r="M522" s="259"/>
    </row>
    <row r="523" spans="5:13">
      <c r="F523" s="258"/>
      <c r="M523" s="259"/>
    </row>
    <row r="524" spans="5:13">
      <c r="F524" s="258"/>
      <c r="M524" s="259"/>
    </row>
    <row r="525" spans="5:13">
      <c r="F525" s="258"/>
      <c r="M525" s="259"/>
    </row>
    <row r="526" spans="5:13">
      <c r="F526" s="258"/>
      <c r="M526" s="259"/>
    </row>
    <row r="527" spans="5:13">
      <c r="F527" s="258"/>
      <c r="M527" s="259"/>
    </row>
    <row r="529" spans="1:13" ht="15.75" thickBot="1">
      <c r="A529" t="s">
        <v>956</v>
      </c>
      <c r="B529" s="421" t="s">
        <v>951</v>
      </c>
      <c r="C529" s="421"/>
      <c r="F529" s="255"/>
      <c r="G529" s="55"/>
      <c r="H529" s="55"/>
      <c r="I529" s="55"/>
      <c r="J529" s="55"/>
      <c r="K529" s="55"/>
      <c r="L529" s="55"/>
      <c r="M529" s="60"/>
    </row>
    <row r="530" spans="1:13">
      <c r="B530" t="s">
        <v>948</v>
      </c>
      <c r="C530">
        <v>2.67</v>
      </c>
      <c r="D530" t="s">
        <v>949</v>
      </c>
      <c r="E530" t="s">
        <v>952</v>
      </c>
      <c r="F530" s="3" t="s">
        <v>953</v>
      </c>
    </row>
    <row r="531" spans="1:13">
      <c r="B531" t="s">
        <v>950</v>
      </c>
      <c r="C531">
        <v>2.42</v>
      </c>
      <c r="D531" t="s">
        <v>949</v>
      </c>
      <c r="E531" t="s">
        <v>952</v>
      </c>
      <c r="F531" s="3" t="s">
        <v>953</v>
      </c>
    </row>
    <row r="533" spans="1:13">
      <c r="A533" t="s">
        <v>957</v>
      </c>
      <c r="B533" s="421" t="s">
        <v>951</v>
      </c>
      <c r="C533" s="421"/>
    </row>
    <row r="534" spans="1:13">
      <c r="B534" t="s">
        <v>948</v>
      </c>
      <c r="C534">
        <v>2.7</v>
      </c>
      <c r="D534" t="s">
        <v>949</v>
      </c>
      <c r="E534" t="s">
        <v>952</v>
      </c>
      <c r="F534" s="3" t="s">
        <v>958</v>
      </c>
    </row>
    <row r="535" spans="1:13">
      <c r="B535" t="s">
        <v>950</v>
      </c>
      <c r="C535">
        <v>2.2999999999999998</v>
      </c>
      <c r="D535" t="s">
        <v>949</v>
      </c>
      <c r="E535" t="s">
        <v>952</v>
      </c>
      <c r="F535" s="3" t="s">
        <v>958</v>
      </c>
    </row>
    <row r="537" spans="1:13">
      <c r="A537" t="s">
        <v>959</v>
      </c>
      <c r="B537" s="421" t="s">
        <v>951</v>
      </c>
      <c r="C537" s="421"/>
    </row>
    <row r="538" spans="1:13">
      <c r="B538" t="s">
        <v>948</v>
      </c>
      <c r="C538">
        <v>2.65</v>
      </c>
      <c r="D538" t="s">
        <v>949</v>
      </c>
      <c r="E538" t="s">
        <v>952</v>
      </c>
      <c r="F538" s="3" t="s">
        <v>961</v>
      </c>
    </row>
    <row r="539" spans="1:13">
      <c r="B539" t="s">
        <v>950</v>
      </c>
      <c r="C539">
        <v>2.35</v>
      </c>
      <c r="D539" t="s">
        <v>949</v>
      </c>
      <c r="E539" t="s">
        <v>952</v>
      </c>
      <c r="F539" s="3" t="s">
        <v>961</v>
      </c>
    </row>
    <row r="541" spans="1:13">
      <c r="A541" t="s">
        <v>960</v>
      </c>
      <c r="B541" s="421" t="s">
        <v>951</v>
      </c>
      <c r="C541" s="421"/>
    </row>
    <row r="542" spans="1:13">
      <c r="B542" t="s">
        <v>948</v>
      </c>
      <c r="C542">
        <v>2.68</v>
      </c>
      <c r="D542" t="s">
        <v>949</v>
      </c>
      <c r="E542" t="s">
        <v>952</v>
      </c>
      <c r="F542" s="3" t="s">
        <v>962</v>
      </c>
    </row>
    <row r="543" spans="1:13">
      <c r="B543" t="s">
        <v>950</v>
      </c>
      <c r="C543">
        <v>2.31</v>
      </c>
      <c r="D543" t="s">
        <v>949</v>
      </c>
      <c r="E543" t="s">
        <v>952</v>
      </c>
      <c r="F543" s="3" t="s">
        <v>962</v>
      </c>
    </row>
    <row r="545" spans="1:6">
      <c r="A545" t="s">
        <v>963</v>
      </c>
      <c r="B545" s="421" t="s">
        <v>951</v>
      </c>
      <c r="C545" s="421"/>
    </row>
    <row r="546" spans="1:6">
      <c r="B546" t="s">
        <v>948</v>
      </c>
      <c r="C546">
        <v>2.65</v>
      </c>
      <c r="D546" t="s">
        <v>949</v>
      </c>
      <c r="E546" t="s">
        <v>952</v>
      </c>
      <c r="F546" s="3" t="s">
        <v>964</v>
      </c>
    </row>
    <row r="547" spans="1:6">
      <c r="B547" t="s">
        <v>950</v>
      </c>
      <c r="C547">
        <v>2.37</v>
      </c>
      <c r="D547" t="s">
        <v>949</v>
      </c>
      <c r="E547" t="s">
        <v>952</v>
      </c>
      <c r="F547" s="3" t="s">
        <v>964</v>
      </c>
    </row>
    <row r="549" spans="1:6">
      <c r="A549" t="s">
        <v>965</v>
      </c>
      <c r="B549" s="421" t="s">
        <v>951</v>
      </c>
      <c r="C549" s="421"/>
    </row>
    <row r="550" spans="1:6">
      <c r="B550" t="s">
        <v>948</v>
      </c>
      <c r="C550">
        <v>2.6391</v>
      </c>
      <c r="D550" t="s">
        <v>949</v>
      </c>
      <c r="E550" t="s">
        <v>952</v>
      </c>
      <c r="F550" s="3" t="s">
        <v>967</v>
      </c>
    </row>
    <row r="551" spans="1:6">
      <c r="B551" t="s">
        <v>950</v>
      </c>
      <c r="C551">
        <v>2.3035000000000001</v>
      </c>
      <c r="D551" t="s">
        <v>949</v>
      </c>
      <c r="E551" t="s">
        <v>952</v>
      </c>
      <c r="F551" s="3" t="s">
        <v>966</v>
      </c>
    </row>
    <row r="553" spans="1:6">
      <c r="A553" t="s">
        <v>968</v>
      </c>
      <c r="B553" s="421" t="s">
        <v>951</v>
      </c>
      <c r="C553" s="421"/>
    </row>
    <row r="554" spans="1:6">
      <c r="B554" t="s">
        <v>948</v>
      </c>
      <c r="C554">
        <v>2.68</v>
      </c>
      <c r="D554" t="s">
        <v>949</v>
      </c>
      <c r="E554" t="s">
        <v>952</v>
      </c>
      <c r="F554" s="3" t="s">
        <v>969</v>
      </c>
    </row>
    <row r="555" spans="1:6">
      <c r="B555" t="s">
        <v>950</v>
      </c>
      <c r="C555">
        <v>2.31</v>
      </c>
      <c r="D555" t="s">
        <v>949</v>
      </c>
      <c r="E555" t="s">
        <v>952</v>
      </c>
      <c r="F555" s="3" t="s">
        <v>969</v>
      </c>
    </row>
    <row r="558" spans="1:6">
      <c r="A558" t="s">
        <v>955</v>
      </c>
      <c r="B558" s="3" t="s">
        <v>954</v>
      </c>
    </row>
    <row r="560" spans="1:6">
      <c r="B560" s="3" t="s">
        <v>970</v>
      </c>
    </row>
    <row r="562" spans="1:2">
      <c r="A562" t="s">
        <v>972</v>
      </c>
      <c r="B562" s="3" t="s">
        <v>971</v>
      </c>
    </row>
    <row r="564" spans="1:2">
      <c r="B564" s="3" t="s">
        <v>973</v>
      </c>
    </row>
    <row r="566" spans="1:2">
      <c r="B566" s="3" t="s">
        <v>974</v>
      </c>
    </row>
  </sheetData>
  <mergeCells count="97">
    <mergeCell ref="B553:C553"/>
    <mergeCell ref="B529:C529"/>
    <mergeCell ref="B533:C533"/>
    <mergeCell ref="B537:C537"/>
    <mergeCell ref="B541:C541"/>
    <mergeCell ref="B545:C545"/>
    <mergeCell ref="B549:C549"/>
    <mergeCell ref="J355:K355"/>
    <mergeCell ref="C367:D367"/>
    <mergeCell ref="A296:I296"/>
    <mergeCell ref="A497:B497"/>
    <mergeCell ref="L367:W367"/>
    <mergeCell ref="A498:B498"/>
    <mergeCell ref="A440:K440"/>
    <mergeCell ref="A416:K416"/>
    <mergeCell ref="A388:K388"/>
    <mergeCell ref="A495:B495"/>
    <mergeCell ref="C495:D495"/>
    <mergeCell ref="E495:F495"/>
    <mergeCell ref="G495:H495"/>
    <mergeCell ref="J495:K495"/>
    <mergeCell ref="A490:K490"/>
    <mergeCell ref="A493:K493"/>
    <mergeCell ref="A494:B494"/>
    <mergeCell ref="C494:D494"/>
    <mergeCell ref="E494:F494"/>
    <mergeCell ref="G494:H494"/>
    <mergeCell ref="J186:K186"/>
    <mergeCell ref="N86:O86"/>
    <mergeCell ref="N104:O104"/>
    <mergeCell ref="A474:B474"/>
    <mergeCell ref="A475:B475"/>
    <mergeCell ref="J213:K213"/>
    <mergeCell ref="J472:K472"/>
    <mergeCell ref="A470:K470"/>
    <mergeCell ref="A472:B472"/>
    <mergeCell ref="C472:D472"/>
    <mergeCell ref="E472:F472"/>
    <mergeCell ref="G472:H472"/>
    <mergeCell ref="A471:B471"/>
    <mergeCell ref="C471:D471"/>
    <mergeCell ref="E471:F471"/>
    <mergeCell ref="G471:H471"/>
    <mergeCell ref="N59:O59"/>
    <mergeCell ref="N63:O63"/>
    <mergeCell ref="N82:O82"/>
    <mergeCell ref="N108:O108"/>
    <mergeCell ref="N124:O124"/>
    <mergeCell ref="N1:T1"/>
    <mergeCell ref="A9:G9"/>
    <mergeCell ref="K1:L1"/>
    <mergeCell ref="A8:L8"/>
    <mergeCell ref="C42:D42"/>
    <mergeCell ref="M228:S228"/>
    <mergeCell ref="A215:B215"/>
    <mergeCell ref="A211:L211"/>
    <mergeCell ref="A212:B212"/>
    <mergeCell ref="C212:D212"/>
    <mergeCell ref="E212:F212"/>
    <mergeCell ref="G212:H212"/>
    <mergeCell ref="A216:B216"/>
    <mergeCell ref="A213:B213"/>
    <mergeCell ref="C213:D213"/>
    <mergeCell ref="E213:F213"/>
    <mergeCell ref="G213:H213"/>
    <mergeCell ref="O202:P202"/>
    <mergeCell ref="U202:V202"/>
    <mergeCell ref="U206:V206"/>
    <mergeCell ref="A45:L45"/>
    <mergeCell ref="A71:L71"/>
    <mergeCell ref="A137:L137"/>
    <mergeCell ref="A184:L184"/>
    <mergeCell ref="N171:O171"/>
    <mergeCell ref="N175:O175"/>
    <mergeCell ref="N128:O128"/>
    <mergeCell ref="N151:O151"/>
    <mergeCell ref="N155:O155"/>
    <mergeCell ref="O186:P186"/>
    <mergeCell ref="O190:P190"/>
    <mergeCell ref="O198:P198"/>
    <mergeCell ref="O194:P194"/>
    <mergeCell ref="Z193:AA193"/>
    <mergeCell ref="Z197:AA197"/>
    <mergeCell ref="A353:I353"/>
    <mergeCell ref="A286:I286"/>
    <mergeCell ref="A251:I251"/>
    <mergeCell ref="A259:I259"/>
    <mergeCell ref="A267:I267"/>
    <mergeCell ref="A232:B232"/>
    <mergeCell ref="A262:B262"/>
    <mergeCell ref="A254:B254"/>
    <mergeCell ref="A229:I229"/>
    <mergeCell ref="A237:I237"/>
    <mergeCell ref="A243:I243"/>
    <mergeCell ref="O214:P214"/>
    <mergeCell ref="O218:P218"/>
    <mergeCell ref="O206:P206"/>
  </mergeCells>
  <hyperlinks>
    <hyperlink ref="N3" r:id="rId1" xr:uid="{5A58F04D-C582-4779-9AA1-5BD16061D3FA}"/>
    <hyperlink ref="N5" r:id="rId2" xr:uid="{110DD464-DD5F-4284-BB39-013E79F63995}"/>
    <hyperlink ref="N7" r:id="rId3" xr:uid="{D5B6FCC5-7EB6-436C-A0A7-74333553A26C}"/>
    <hyperlink ref="N9" r:id="rId4" xr:uid="{5AF34E7B-5528-4D9E-9D15-4527335C085C}"/>
    <hyperlink ref="N11" r:id="rId5" xr:uid="{77B700A9-00FC-4301-8E8C-63C5B713AC72}"/>
    <hyperlink ref="N13" r:id="rId6" xr:uid="{985F08F2-A5F7-4FD6-AA86-BA7E5566FCD1}"/>
    <hyperlink ref="N15" r:id="rId7" xr:uid="{84BA8435-3246-498C-8428-73799FBB204E}"/>
    <hyperlink ref="N17" r:id="rId8" xr:uid="{A5EA2511-ECF7-4391-AF9C-A3BF74BAB590}"/>
    <hyperlink ref="N19" r:id="rId9" xr:uid="{9EDD9BA4-6349-46C0-AEEA-03D2DDE8F46F}"/>
    <hyperlink ref="N21" r:id="rId10" location="/page/3" xr:uid="{716AB67B-82DD-4C87-94FA-AA57D657BE49}"/>
    <hyperlink ref="M230" r:id="rId11" xr:uid="{DD774B6D-5645-488B-AD22-4668C5446167}"/>
    <hyperlink ref="M232" r:id="rId12" xr:uid="{30EF0067-CAA5-4BFA-A778-F7A4A1AD959F}"/>
    <hyperlink ref="M234" r:id="rId13" xr:uid="{570575D6-17D3-44F1-BA4B-4BD7F2529840}"/>
    <hyperlink ref="M236" r:id="rId14" xr:uid="{9D46B2E3-FC5E-4486-A926-0F8B3865D0C0}"/>
    <hyperlink ref="M238" r:id="rId15" xr:uid="{7B0C797A-73B4-4000-A710-BB2A0F431AA2}"/>
    <hyperlink ref="M240" r:id="rId16" xr:uid="{13547985-33D4-4224-8039-5A783E55F02E}"/>
    <hyperlink ref="M242" r:id="rId17" location="austria" xr:uid="{A652102E-C0FB-462C-A366-2D9DB82DAAC5}"/>
    <hyperlink ref="M244" r:id="rId18" xr:uid="{1A35FF56-B22D-45A9-ACE1-70311F1702CC}"/>
    <hyperlink ref="M246" r:id="rId19" xr:uid="{9C882842-D5A5-481C-B738-5800F36ADF1D}"/>
    <hyperlink ref="M248" r:id="rId20" xr:uid="{29AC64C1-15A1-45E2-AE71-298B14C4D2E8}"/>
    <hyperlink ref="N23" r:id="rId21" xr:uid="{8E2887D2-3EE9-49E5-AC9A-F7B8922874DE}"/>
    <hyperlink ref="L389" r:id="rId22" xr:uid="{9E2D2922-DE60-4198-8C1B-25CC54216BEA}"/>
    <hyperlink ref="L390" r:id="rId23" xr:uid="{479ED44C-FFC7-44DF-AC61-EE1DA6B45D4A}"/>
    <hyperlink ref="L355" r:id="rId24" xr:uid="{90EC109B-2968-48DF-B083-98AA87FA1AF3}"/>
    <hyperlink ref="L357" r:id="rId25" xr:uid="{C013EEEA-3CCD-4F56-BD4B-BF3B8617E2F4}"/>
    <hyperlink ref="L359" r:id="rId26" xr:uid="{B7E4B4F2-D9C6-4290-8A8C-5998060621EB}"/>
    <hyperlink ref="L365" r:id="rId27" xr:uid="{9098A04D-CFB9-4EDC-BBA7-2638376C707C}"/>
    <hyperlink ref="L472" r:id="rId28" xr:uid="{1EE3D3E8-A6B2-46AA-A485-2E5E8866A885}"/>
    <hyperlink ref="L491" r:id="rId29" xr:uid="{53298ECE-149A-49B0-9F57-7A6C02569843}"/>
    <hyperlink ref="L494" r:id="rId30" xr:uid="{2B09020D-FBD1-45BA-BDC9-B5D28C2EA131}"/>
    <hyperlink ref="M442" r:id="rId31" xr:uid="{628F3640-A20F-485B-8996-CF63809E144B}"/>
    <hyperlink ref="E513" r:id="rId32" xr:uid="{BA8E0854-BBFE-4772-97C2-6565C7490B81}"/>
    <hyperlink ref="B558" r:id="rId33" xr:uid="{6E174A50-3DAF-4E32-BB6E-26EE44FBD37D}"/>
    <hyperlink ref="F531" r:id="rId34" xr:uid="{B6353C4F-9E87-4430-8D26-83F62FFD5C46}"/>
    <hyperlink ref="F530" r:id="rId35" xr:uid="{6B9D390B-1B6D-40C8-9F68-32750F97765E}"/>
    <hyperlink ref="F534" r:id="rId36" xr:uid="{EF51D68E-6EB2-452D-9EFA-8D61AE68161F}"/>
    <hyperlink ref="F535" r:id="rId37" xr:uid="{EBEB2940-5CE9-4048-B986-D06544FCA770}"/>
    <hyperlink ref="F538" r:id="rId38" xr:uid="{C46EC8C2-9F75-4442-8CD6-E346D639E006}"/>
    <hyperlink ref="F539" r:id="rId39" xr:uid="{59FF7276-5438-4B46-A42C-A70B193C26AE}"/>
    <hyperlink ref="F542" r:id="rId40" xr:uid="{54DDDC2F-97B4-496C-ACCC-D638A3BE7F71}"/>
    <hyperlink ref="F543" r:id="rId41" xr:uid="{7B7A3BFB-C650-44BA-8000-E32D310C6D88}"/>
    <hyperlink ref="F546" r:id="rId42" xr:uid="{237DB403-DBEB-41B2-9D5E-271F6E89D6E2}"/>
    <hyperlink ref="F547" r:id="rId43" xr:uid="{0F89F9D5-BF94-411A-A96B-D5A3AF2C3535}"/>
    <hyperlink ref="F551" r:id="rId44" xr:uid="{2D252EF6-FF3F-4ECD-A68D-EF4DFA4A6C33}"/>
    <hyperlink ref="F550" r:id="rId45" xr:uid="{0E457F6D-4A16-4A8D-8CCA-D7C9D1629215}"/>
    <hyperlink ref="F554" r:id="rId46" xr:uid="{D6EAE8B6-6C8E-4903-9EDE-05CF6DF7139F}"/>
    <hyperlink ref="F555" r:id="rId47" xr:uid="{34D70579-93E0-4FDB-9394-F044A4BC5255}"/>
    <hyperlink ref="F517" r:id="rId48" xr:uid="{64D6C245-2932-4E8A-B6E8-230FEECA58C2}"/>
    <hyperlink ref="B560" r:id="rId49" xr:uid="{C92814E2-7007-4CF1-8630-3E220F04D673}"/>
    <hyperlink ref="B562" r:id="rId50" xr:uid="{DB09E366-2A0E-417E-9400-2E68DFFDE50F}"/>
    <hyperlink ref="B564" r:id="rId51" xr:uid="{206D5B1D-2641-4F93-ABE4-4ACB0AC85767}"/>
    <hyperlink ref="B566" r:id="rId52" xr:uid="{AF106696-8375-4500-A536-AC73B071DFFD}"/>
  </hyperlinks>
  <pageMargins left="0.7" right="0.7" top="0.78740157499999996" bottom="0.78740157499999996" header="0.3" footer="0.3"/>
  <pageSetup paperSize="9" orientation="portrait" r:id="rId53"/>
  <drawing r:id="rId5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589-FCD8-4820-972C-7F780901ABBC}">
  <sheetPr codeName="Tabelle12"/>
  <dimension ref="A1:Y127"/>
  <sheetViews>
    <sheetView topLeftCell="A92" zoomScale="85" zoomScaleNormal="85" workbookViewId="0">
      <selection activeCell="AB93" sqref="AB93"/>
    </sheetView>
  </sheetViews>
  <sheetFormatPr baseColWidth="10" defaultColWidth="11.42578125" defaultRowHeight="15"/>
  <cols>
    <col min="13" max="13" width="19.140625" customWidth="1"/>
  </cols>
  <sheetData>
    <row r="1" spans="1:25" ht="28.5">
      <c r="A1" s="42" t="s">
        <v>295</v>
      </c>
      <c r="B1" s="12"/>
    </row>
    <row r="2" spans="1:25" ht="18.75">
      <c r="A2" s="40" t="s">
        <v>540</v>
      </c>
      <c r="B2" s="40"/>
      <c r="C2" s="41"/>
      <c r="D2" s="41"/>
      <c r="E2" s="41"/>
      <c r="F2" s="41"/>
      <c r="G2" s="41"/>
      <c r="H2" s="41"/>
      <c r="I2" s="41"/>
      <c r="M2" s="509" t="s">
        <v>541</v>
      </c>
      <c r="N2" s="509"/>
      <c r="O2" s="509"/>
      <c r="P2" s="509"/>
      <c r="Q2" s="509"/>
      <c r="R2" s="509"/>
      <c r="S2" s="509"/>
    </row>
    <row r="3" spans="1:25">
      <c r="A3" s="507" t="s">
        <v>212</v>
      </c>
      <c r="B3" s="403"/>
      <c r="C3" s="403"/>
      <c r="D3" s="403"/>
      <c r="E3" s="403"/>
      <c r="F3" s="403"/>
      <c r="G3" s="403"/>
      <c r="H3" s="403"/>
      <c r="I3" s="403"/>
      <c r="M3" t="s">
        <v>542</v>
      </c>
      <c r="Y3" t="s">
        <v>639</v>
      </c>
    </row>
    <row r="4" spans="1:25">
      <c r="A4" t="s">
        <v>299</v>
      </c>
      <c r="M4" s="3" t="s">
        <v>543</v>
      </c>
      <c r="Y4" s="3" t="s">
        <v>640</v>
      </c>
    </row>
    <row r="5" spans="1:25">
      <c r="C5" t="s">
        <v>301</v>
      </c>
      <c r="M5" t="s">
        <v>544</v>
      </c>
    </row>
    <row r="6" spans="1:25">
      <c r="A6" s="421" t="s">
        <v>304</v>
      </c>
      <c r="B6" s="421"/>
      <c r="C6">
        <v>7.4</v>
      </c>
      <c r="M6" s="3" t="s">
        <v>545</v>
      </c>
    </row>
    <row r="7" spans="1:25">
      <c r="A7" t="s">
        <v>306</v>
      </c>
      <c r="D7" t="s">
        <v>307</v>
      </c>
      <c r="M7" t="s">
        <v>546</v>
      </c>
    </row>
    <row r="8" spans="1:25">
      <c r="A8" t="s">
        <v>310</v>
      </c>
      <c r="C8">
        <v>22.8</v>
      </c>
      <c r="D8" s="43">
        <f>(C8+C9)/2</f>
        <v>26.1</v>
      </c>
      <c r="F8" t="s">
        <v>547</v>
      </c>
      <c r="M8" s="3" t="s">
        <v>548</v>
      </c>
    </row>
    <row r="9" spans="1:25">
      <c r="A9" t="s">
        <v>314</v>
      </c>
      <c r="C9">
        <v>29.4</v>
      </c>
      <c r="D9" s="1"/>
      <c r="F9" s="44">
        <f>D8+C6</f>
        <v>33.5</v>
      </c>
      <c r="G9" t="s">
        <v>16</v>
      </c>
      <c r="M9" t="s">
        <v>549</v>
      </c>
    </row>
    <row r="10" spans="1:25">
      <c r="M10" s="3" t="s">
        <v>550</v>
      </c>
    </row>
    <row r="11" spans="1:25">
      <c r="A11" s="507" t="s">
        <v>297</v>
      </c>
      <c r="B11" s="403"/>
      <c r="C11" s="403"/>
      <c r="D11" s="403"/>
      <c r="E11" s="403"/>
      <c r="F11" s="403"/>
      <c r="G11" s="403"/>
      <c r="H11" s="403"/>
      <c r="I11" s="403"/>
      <c r="M11" t="s">
        <v>551</v>
      </c>
    </row>
    <row r="12" spans="1:25">
      <c r="A12" t="s">
        <v>320</v>
      </c>
      <c r="M12" s="3" t="s">
        <v>552</v>
      </c>
    </row>
    <row r="13" spans="1:25">
      <c r="A13" t="s">
        <v>306</v>
      </c>
      <c r="D13" t="s">
        <v>307</v>
      </c>
      <c r="M13" t="s">
        <v>553</v>
      </c>
    </row>
    <row r="14" spans="1:25">
      <c r="A14" t="s">
        <v>310</v>
      </c>
      <c r="C14">
        <v>22.8</v>
      </c>
      <c r="D14" s="43">
        <f>(C14+C15)/2</f>
        <v>26.1</v>
      </c>
      <c r="F14" t="s">
        <v>547</v>
      </c>
      <c r="M14" s="3" t="s">
        <v>554</v>
      </c>
    </row>
    <row r="15" spans="1:25">
      <c r="A15" t="s">
        <v>314</v>
      </c>
      <c r="C15">
        <v>29.4</v>
      </c>
      <c r="D15" s="1"/>
      <c r="F15" s="44">
        <f>D14+C12</f>
        <v>26.1</v>
      </c>
      <c r="G15" t="s">
        <v>16</v>
      </c>
      <c r="M15" t="s">
        <v>555</v>
      </c>
    </row>
    <row r="16" spans="1:25">
      <c r="M16" s="3" t="s">
        <v>556</v>
      </c>
    </row>
    <row r="17" spans="1:20">
      <c r="A17" s="507" t="s">
        <v>102</v>
      </c>
      <c r="B17" s="403"/>
      <c r="C17" s="403"/>
      <c r="D17" s="403"/>
      <c r="E17" s="403"/>
      <c r="F17" s="403"/>
      <c r="G17" s="403"/>
      <c r="H17" s="403"/>
      <c r="I17" s="403"/>
      <c r="M17" t="s">
        <v>557</v>
      </c>
    </row>
    <row r="18" spans="1:20">
      <c r="A18" t="s">
        <v>336</v>
      </c>
      <c r="M18" s="3" t="s">
        <v>558</v>
      </c>
    </row>
    <row r="19" spans="1:20">
      <c r="C19" t="s">
        <v>301</v>
      </c>
      <c r="M19" t="s">
        <v>559</v>
      </c>
    </row>
    <row r="20" spans="1:20">
      <c r="A20" s="1" t="s">
        <v>338</v>
      </c>
      <c r="B20" s="1"/>
      <c r="C20">
        <v>180</v>
      </c>
      <c r="M20" s="3" t="s">
        <v>560</v>
      </c>
    </row>
    <row r="21" spans="1:20">
      <c r="A21" t="s">
        <v>306</v>
      </c>
      <c r="D21" t="s">
        <v>339</v>
      </c>
    </row>
    <row r="22" spans="1:20">
      <c r="A22" t="s">
        <v>310</v>
      </c>
      <c r="C22">
        <v>22.8</v>
      </c>
      <c r="D22" s="43">
        <f>(C22+C23)/2</f>
        <v>26.1</v>
      </c>
      <c r="F22" t="s">
        <v>547</v>
      </c>
      <c r="M22" s="3"/>
    </row>
    <row r="23" spans="1:20">
      <c r="A23" t="s">
        <v>314</v>
      </c>
      <c r="C23">
        <v>29.4</v>
      </c>
      <c r="D23" s="1"/>
      <c r="F23" s="44">
        <f>D22+C20</f>
        <v>206.1</v>
      </c>
      <c r="G23" t="s">
        <v>16</v>
      </c>
    </row>
    <row r="25" spans="1:20">
      <c r="A25" s="507" t="s">
        <v>343</v>
      </c>
      <c r="B25" s="403"/>
      <c r="C25" s="403"/>
      <c r="D25" s="403"/>
      <c r="E25" s="403"/>
      <c r="F25" s="403"/>
      <c r="G25" s="403"/>
      <c r="H25" s="403"/>
      <c r="I25" s="403"/>
    </row>
    <row r="26" spans="1:20">
      <c r="A26" t="s">
        <v>345</v>
      </c>
      <c r="L26" s="519" t="s">
        <v>367</v>
      </c>
      <c r="M26" s="512"/>
      <c r="N26" s="512"/>
      <c r="O26" s="512"/>
      <c r="P26" s="512"/>
      <c r="Q26" s="512"/>
      <c r="R26" s="512"/>
      <c r="S26" s="512"/>
      <c r="T26" s="512"/>
    </row>
    <row r="27" spans="1:20">
      <c r="C27" t="s">
        <v>301</v>
      </c>
      <c r="L27" t="s">
        <v>368</v>
      </c>
    </row>
    <row r="28" spans="1:20">
      <c r="A28" s="421" t="s">
        <v>346</v>
      </c>
      <c r="B28" s="421"/>
      <c r="C28">
        <v>284</v>
      </c>
      <c r="N28" t="s">
        <v>301</v>
      </c>
    </row>
    <row r="29" spans="1:20">
      <c r="A29" t="s">
        <v>306</v>
      </c>
      <c r="D29" t="s">
        <v>339</v>
      </c>
      <c r="L29" s="421" t="s">
        <v>369</v>
      </c>
      <c r="M29" s="421"/>
      <c r="N29" s="44">
        <v>235</v>
      </c>
    </row>
    <row r="30" spans="1:20">
      <c r="A30" t="s">
        <v>310</v>
      </c>
      <c r="C30">
        <v>22.8</v>
      </c>
      <c r="D30" s="43">
        <f>(C30+C31)/2</f>
        <v>26.1</v>
      </c>
      <c r="F30" t="s">
        <v>547</v>
      </c>
      <c r="L30" t="s">
        <v>306</v>
      </c>
      <c r="O30" t="s">
        <v>339</v>
      </c>
    </row>
    <row r="31" spans="1:20">
      <c r="A31" t="s">
        <v>314</v>
      </c>
      <c r="C31">
        <v>29.4</v>
      </c>
      <c r="D31" s="1"/>
      <c r="F31" s="44">
        <f>D30+C28</f>
        <v>310.10000000000002</v>
      </c>
      <c r="G31" t="s">
        <v>16</v>
      </c>
      <c r="L31" t="s">
        <v>310</v>
      </c>
      <c r="N31">
        <v>22.8</v>
      </c>
      <c r="O31" s="43">
        <f>(N31+N32)/2</f>
        <v>26.1</v>
      </c>
      <c r="Q31" t="s">
        <v>547</v>
      </c>
    </row>
    <row r="32" spans="1:20">
      <c r="L32" t="s">
        <v>314</v>
      </c>
      <c r="N32">
        <v>29.4</v>
      </c>
      <c r="O32" s="1"/>
      <c r="Q32" s="44">
        <f>O31+N29</f>
        <v>261.10000000000002</v>
      </c>
      <c r="R32" t="s">
        <v>16</v>
      </c>
    </row>
    <row r="33" spans="1:21">
      <c r="A33" s="507" t="s">
        <v>216</v>
      </c>
      <c r="B33" s="403"/>
      <c r="C33" s="403"/>
      <c r="D33" s="403"/>
      <c r="E33" s="403"/>
      <c r="F33" s="403"/>
      <c r="G33" s="403"/>
      <c r="H33" s="403"/>
      <c r="I33" s="403"/>
    </row>
    <row r="34" spans="1:21">
      <c r="A34" t="s">
        <v>348</v>
      </c>
      <c r="L34" s="519" t="s">
        <v>335</v>
      </c>
      <c r="M34" s="512"/>
      <c r="N34" s="512"/>
      <c r="O34" s="512"/>
      <c r="P34" s="512"/>
      <c r="Q34" s="512"/>
      <c r="R34" s="512"/>
      <c r="S34" s="512"/>
      <c r="T34" s="512"/>
      <c r="U34" s="3" t="s">
        <v>641</v>
      </c>
    </row>
    <row r="35" spans="1:21">
      <c r="C35" t="s">
        <v>301</v>
      </c>
      <c r="L35" t="s">
        <v>642</v>
      </c>
    </row>
    <row r="36" spans="1:21">
      <c r="A36" s="421" t="s">
        <v>349</v>
      </c>
      <c r="B36" s="421"/>
      <c r="C36">
        <v>181</v>
      </c>
      <c r="L36" t="s">
        <v>339</v>
      </c>
    </row>
    <row r="37" spans="1:21">
      <c r="A37" t="s">
        <v>306</v>
      </c>
      <c r="D37" t="s">
        <v>339</v>
      </c>
      <c r="L37">
        <v>26</v>
      </c>
      <c r="O37" t="s">
        <v>643</v>
      </c>
      <c r="P37">
        <f>2*L37</f>
        <v>52</v>
      </c>
    </row>
    <row r="38" spans="1:21" ht="15.75" thickBot="1">
      <c r="A38" t="s">
        <v>310</v>
      </c>
      <c r="C38">
        <v>22.8</v>
      </c>
      <c r="D38" s="43">
        <f>(C38+C39)/2</f>
        <v>26.1</v>
      </c>
      <c r="F38" t="s">
        <v>547</v>
      </c>
    </row>
    <row r="39" spans="1:21">
      <c r="A39" t="s">
        <v>314</v>
      </c>
      <c r="C39">
        <v>29.4</v>
      </c>
      <c r="D39" s="1"/>
      <c r="F39" s="44">
        <f>D38+C36</f>
        <v>207.1</v>
      </c>
      <c r="G39" t="s">
        <v>16</v>
      </c>
      <c r="L39" s="520" t="s">
        <v>373</v>
      </c>
      <c r="M39" s="521"/>
      <c r="N39" s="521"/>
      <c r="O39" s="521"/>
      <c r="P39" s="521"/>
      <c r="Q39" s="521"/>
      <c r="R39" s="521"/>
      <c r="S39" s="521"/>
      <c r="T39" s="522"/>
      <c r="U39" s="3" t="s">
        <v>644</v>
      </c>
    </row>
    <row r="40" spans="1:21">
      <c r="L40" s="54" t="s">
        <v>374</v>
      </c>
      <c r="T40" s="53"/>
    </row>
    <row r="41" spans="1:21">
      <c r="A41" s="507" t="s">
        <v>149</v>
      </c>
      <c r="B41" s="403"/>
      <c r="C41" s="403"/>
      <c r="D41" s="403"/>
      <c r="E41" s="403"/>
      <c r="F41" s="403"/>
      <c r="G41" s="403"/>
      <c r="H41" s="403"/>
      <c r="I41" s="403"/>
      <c r="L41" s="54"/>
      <c r="N41" t="s">
        <v>301</v>
      </c>
      <c r="T41" s="53"/>
    </row>
    <row r="42" spans="1:21">
      <c r="A42" s="41" t="s">
        <v>350</v>
      </c>
      <c r="B42" s="41"/>
      <c r="C42" s="41"/>
      <c r="D42" s="41"/>
      <c r="E42" s="41"/>
      <c r="F42" s="41"/>
      <c r="G42" s="41"/>
      <c r="H42" s="41"/>
      <c r="I42" s="41"/>
      <c r="L42" s="523" t="s">
        <v>375</v>
      </c>
      <c r="M42" s="421"/>
      <c r="N42" s="44">
        <v>35.200000000000003</v>
      </c>
      <c r="T42" s="53"/>
    </row>
    <row r="43" spans="1:21">
      <c r="A43" t="s">
        <v>351</v>
      </c>
      <c r="L43" s="54" t="s">
        <v>306</v>
      </c>
      <c r="O43" t="s">
        <v>339</v>
      </c>
      <c r="T43" s="53"/>
    </row>
    <row r="44" spans="1:21">
      <c r="C44" t="s">
        <v>301</v>
      </c>
      <c r="L44" s="54" t="s">
        <v>310</v>
      </c>
      <c r="N44">
        <v>22.8</v>
      </c>
      <c r="O44" s="43">
        <f>(N44+N45)/2</f>
        <v>26.1</v>
      </c>
      <c r="Q44" t="s">
        <v>547</v>
      </c>
      <c r="T44" s="53"/>
    </row>
    <row r="45" spans="1:21" ht="15.75" thickBot="1">
      <c r="A45" s="1" t="s">
        <v>352</v>
      </c>
      <c r="B45" s="1"/>
      <c r="C45">
        <v>117</v>
      </c>
      <c r="L45" s="63" t="s">
        <v>314</v>
      </c>
      <c r="M45" s="55"/>
      <c r="N45" s="55">
        <v>29.4</v>
      </c>
      <c r="O45" s="88"/>
      <c r="P45" s="55"/>
      <c r="Q45" s="89">
        <f>O44+N42</f>
        <v>61.300000000000004</v>
      </c>
      <c r="R45" s="55" t="s">
        <v>16</v>
      </c>
      <c r="S45" s="55"/>
      <c r="T45" s="56"/>
    </row>
    <row r="46" spans="1:21">
      <c r="A46" t="s">
        <v>306</v>
      </c>
      <c r="D46" t="s">
        <v>339</v>
      </c>
    </row>
    <row r="47" spans="1:21">
      <c r="A47" t="s">
        <v>310</v>
      </c>
      <c r="C47">
        <v>22.8</v>
      </c>
      <c r="D47" s="43">
        <f>(C47+C48)/2</f>
        <v>26.1</v>
      </c>
      <c r="F47" t="s">
        <v>547</v>
      </c>
    </row>
    <row r="48" spans="1:21">
      <c r="A48" t="s">
        <v>314</v>
      </c>
      <c r="C48">
        <v>29.4</v>
      </c>
      <c r="D48" s="1"/>
      <c r="F48" s="44">
        <f>D47+C45</f>
        <v>143.1</v>
      </c>
      <c r="G48" t="s">
        <v>16</v>
      </c>
    </row>
    <row r="50" spans="1:9">
      <c r="A50" s="41" t="s">
        <v>353</v>
      </c>
      <c r="B50" s="41"/>
      <c r="C50" s="41"/>
      <c r="D50" s="41"/>
      <c r="E50" s="41"/>
      <c r="F50" s="41"/>
      <c r="G50" s="41"/>
      <c r="H50" s="41"/>
      <c r="I50" s="41"/>
    </row>
    <row r="51" spans="1:9">
      <c r="A51" t="s">
        <v>354</v>
      </c>
    </row>
    <row r="52" spans="1:9">
      <c r="C52" t="s">
        <v>301</v>
      </c>
    </row>
    <row r="53" spans="1:9">
      <c r="A53" s="421" t="s">
        <v>355</v>
      </c>
      <c r="B53" s="421"/>
      <c r="C53" s="44">
        <v>707.2</v>
      </c>
    </row>
    <row r="54" spans="1:9">
      <c r="A54" t="s">
        <v>306</v>
      </c>
      <c r="D54" t="s">
        <v>339</v>
      </c>
    </row>
    <row r="55" spans="1:9">
      <c r="A55" t="s">
        <v>310</v>
      </c>
      <c r="C55">
        <v>22.8</v>
      </c>
      <c r="D55" s="43">
        <f>(C55+C56)/2</f>
        <v>26.1</v>
      </c>
      <c r="F55" t="s">
        <v>547</v>
      </c>
    </row>
    <row r="56" spans="1:9">
      <c r="A56" t="s">
        <v>314</v>
      </c>
      <c r="C56">
        <v>29.4</v>
      </c>
      <c r="D56" s="1"/>
      <c r="F56" s="44">
        <f>D55+C53</f>
        <v>733.30000000000007</v>
      </c>
      <c r="G56" t="s">
        <v>16</v>
      </c>
    </row>
    <row r="57" spans="1:9">
      <c r="A57" s="41" t="s">
        <v>645</v>
      </c>
      <c r="B57" s="41"/>
      <c r="C57" s="41"/>
      <c r="D57" s="41"/>
      <c r="E57" s="41"/>
      <c r="F57" s="41"/>
      <c r="G57" s="41"/>
      <c r="H57" s="41"/>
      <c r="I57" s="41"/>
    </row>
    <row r="58" spans="1:9">
      <c r="A58" t="s">
        <v>357</v>
      </c>
    </row>
    <row r="59" spans="1:9">
      <c r="C59" t="s">
        <v>301</v>
      </c>
    </row>
    <row r="60" spans="1:9">
      <c r="A60" s="421" t="s">
        <v>358</v>
      </c>
      <c r="B60" s="421"/>
      <c r="C60" s="44">
        <v>289</v>
      </c>
    </row>
    <row r="61" spans="1:9">
      <c r="A61" t="s">
        <v>306</v>
      </c>
      <c r="D61" t="s">
        <v>339</v>
      </c>
    </row>
    <row r="62" spans="1:9">
      <c r="A62" t="s">
        <v>310</v>
      </c>
      <c r="C62">
        <v>22.8</v>
      </c>
      <c r="D62" s="43">
        <f>(C62+C63)/2</f>
        <v>26.1</v>
      </c>
      <c r="F62" t="s">
        <v>547</v>
      </c>
    </row>
    <row r="63" spans="1:9">
      <c r="A63" t="s">
        <v>314</v>
      </c>
      <c r="C63">
        <v>29.4</v>
      </c>
      <c r="D63" s="1"/>
      <c r="F63" s="44">
        <f>D62+C60</f>
        <v>315.10000000000002</v>
      </c>
      <c r="G63" t="s">
        <v>16</v>
      </c>
    </row>
    <row r="64" spans="1:9">
      <c r="A64" s="519" t="s">
        <v>364</v>
      </c>
      <c r="B64" s="512"/>
      <c r="C64" s="512"/>
      <c r="D64" s="512"/>
      <c r="E64" s="512"/>
      <c r="F64" s="512"/>
      <c r="G64" s="512"/>
      <c r="H64" s="512"/>
      <c r="I64" s="512"/>
    </row>
    <row r="65" spans="1:9">
      <c r="A65" t="s">
        <v>365</v>
      </c>
    </row>
    <row r="66" spans="1:9">
      <c r="C66" t="s">
        <v>301</v>
      </c>
    </row>
    <row r="67" spans="1:9">
      <c r="A67" s="421" t="s">
        <v>366</v>
      </c>
      <c r="B67" s="421"/>
      <c r="C67" s="44">
        <v>496</v>
      </c>
    </row>
    <row r="68" spans="1:9">
      <c r="A68" t="s">
        <v>306</v>
      </c>
      <c r="D68" t="s">
        <v>339</v>
      </c>
    </row>
    <row r="69" spans="1:9">
      <c r="A69" t="s">
        <v>310</v>
      </c>
      <c r="C69">
        <v>22.8</v>
      </c>
      <c r="D69" s="43">
        <f>(C69+C70)/2</f>
        <v>26.1</v>
      </c>
      <c r="F69" t="s">
        <v>547</v>
      </c>
    </row>
    <row r="70" spans="1:9">
      <c r="A70" t="s">
        <v>314</v>
      </c>
      <c r="C70">
        <v>29.4</v>
      </c>
      <c r="D70" s="1"/>
      <c r="F70" s="44">
        <f>D69+C67</f>
        <v>522.1</v>
      </c>
      <c r="G70" t="s">
        <v>16</v>
      </c>
    </row>
    <row r="71" spans="1:9">
      <c r="A71" s="519" t="s">
        <v>228</v>
      </c>
      <c r="B71" s="512"/>
      <c r="C71" s="512"/>
      <c r="D71" s="512"/>
      <c r="E71" s="512"/>
      <c r="F71" s="512"/>
      <c r="G71" s="512"/>
      <c r="H71" s="512"/>
      <c r="I71" s="512"/>
    </row>
    <row r="72" spans="1:9">
      <c r="A72" t="s">
        <v>359</v>
      </c>
    </row>
    <row r="73" spans="1:9">
      <c r="C73" t="s">
        <v>301</v>
      </c>
    </row>
    <row r="74" spans="1:9">
      <c r="A74" s="421" t="s">
        <v>360</v>
      </c>
      <c r="B74" s="421"/>
      <c r="C74" s="44">
        <v>158</v>
      </c>
    </row>
    <row r="75" spans="1:9">
      <c r="A75" t="s">
        <v>306</v>
      </c>
      <c r="D75" t="s">
        <v>339</v>
      </c>
    </row>
    <row r="76" spans="1:9">
      <c r="A76" t="s">
        <v>310</v>
      </c>
      <c r="C76">
        <v>22.8</v>
      </c>
      <c r="D76" s="43">
        <f>(C76+C77)/2</f>
        <v>26.1</v>
      </c>
      <c r="F76" t="s">
        <v>547</v>
      </c>
    </row>
    <row r="77" spans="1:9">
      <c r="A77" t="s">
        <v>314</v>
      </c>
      <c r="C77">
        <v>29.4</v>
      </c>
      <c r="D77" s="1"/>
      <c r="F77" s="44">
        <f>D76+C74</f>
        <v>184.1</v>
      </c>
      <c r="G77" t="s">
        <v>16</v>
      </c>
    </row>
    <row r="78" spans="1:9">
      <c r="A78" s="519" t="s">
        <v>646</v>
      </c>
      <c r="B78" s="512"/>
      <c r="C78" s="512"/>
      <c r="D78" s="512"/>
      <c r="E78" s="512"/>
      <c r="F78" s="512"/>
      <c r="G78" s="512"/>
      <c r="H78" s="512"/>
      <c r="I78" s="512"/>
    </row>
    <row r="79" spans="1:9">
      <c r="A79" t="s">
        <v>362</v>
      </c>
    </row>
    <row r="80" spans="1:9">
      <c r="C80" t="s">
        <v>301</v>
      </c>
    </row>
    <row r="81" spans="1:9">
      <c r="A81" s="421" t="s">
        <v>363</v>
      </c>
      <c r="B81" s="421"/>
      <c r="C81" s="44">
        <v>181</v>
      </c>
    </row>
    <row r="82" spans="1:9">
      <c r="A82" t="s">
        <v>306</v>
      </c>
      <c r="D82" t="s">
        <v>339</v>
      </c>
    </row>
    <row r="83" spans="1:9">
      <c r="A83" t="s">
        <v>310</v>
      </c>
      <c r="C83">
        <v>22.8</v>
      </c>
      <c r="D83" s="43">
        <f>(C83+C84)/2</f>
        <v>26.1</v>
      </c>
      <c r="F83" t="s">
        <v>547</v>
      </c>
    </row>
    <row r="84" spans="1:9">
      <c r="A84" t="s">
        <v>314</v>
      </c>
      <c r="C84">
        <v>29.4</v>
      </c>
      <c r="D84" s="1"/>
      <c r="F84" s="44">
        <f>D83+C81</f>
        <v>207.1</v>
      </c>
      <c r="G84" t="s">
        <v>16</v>
      </c>
    </row>
    <row r="85" spans="1:9">
      <c r="A85" s="519" t="s">
        <v>370</v>
      </c>
      <c r="B85" s="512"/>
      <c r="C85" s="512"/>
      <c r="D85" s="512"/>
      <c r="E85" s="512"/>
      <c r="F85" s="512"/>
      <c r="G85" s="512"/>
      <c r="H85" s="512"/>
      <c r="I85" s="512"/>
    </row>
    <row r="86" spans="1:9">
      <c r="A86" t="s">
        <v>371</v>
      </c>
    </row>
    <row r="87" spans="1:9">
      <c r="C87" t="s">
        <v>301</v>
      </c>
    </row>
    <row r="88" spans="1:9">
      <c r="A88" s="421" t="s">
        <v>372</v>
      </c>
      <c r="B88" s="421"/>
      <c r="C88" s="44">
        <v>130</v>
      </c>
    </row>
    <row r="89" spans="1:9">
      <c r="A89" t="s">
        <v>306</v>
      </c>
      <c r="D89" t="s">
        <v>339</v>
      </c>
    </row>
    <row r="90" spans="1:9">
      <c r="A90" t="s">
        <v>310</v>
      </c>
      <c r="C90">
        <v>22.8</v>
      </c>
      <c r="D90" s="43">
        <f>(C90+C91)/2</f>
        <v>26.1</v>
      </c>
      <c r="F90" t="s">
        <v>547</v>
      </c>
    </row>
    <row r="91" spans="1:9">
      <c r="A91" t="s">
        <v>314</v>
      </c>
      <c r="C91">
        <v>29.4</v>
      </c>
      <c r="D91" s="1"/>
      <c r="F91" s="44">
        <f>D90+C88</f>
        <v>156.1</v>
      </c>
      <c r="G91" t="s">
        <v>16</v>
      </c>
    </row>
    <row r="98" spans="1:9" ht="18.75">
      <c r="A98" s="45" t="s">
        <v>563</v>
      </c>
      <c r="B98" s="45"/>
      <c r="C98" s="46"/>
      <c r="D98" s="46"/>
      <c r="E98" s="46"/>
      <c r="F98" s="46"/>
      <c r="G98" s="46"/>
      <c r="H98" s="46"/>
      <c r="I98" s="46"/>
    </row>
    <row r="99" spans="1:9">
      <c r="A99" s="505" t="s">
        <v>297</v>
      </c>
      <c r="B99" s="506"/>
      <c r="C99" s="506"/>
      <c r="D99" s="506"/>
      <c r="E99" s="506"/>
      <c r="F99" s="506"/>
      <c r="G99" s="506"/>
      <c r="H99" s="506"/>
      <c r="I99" s="506"/>
    </row>
    <row r="100" spans="1:9">
      <c r="A100" t="s">
        <v>298</v>
      </c>
    </row>
    <row r="101" spans="1:9">
      <c r="A101" s="2" t="s">
        <v>300</v>
      </c>
    </row>
    <row r="102" spans="1:9">
      <c r="A102" t="s">
        <v>302</v>
      </c>
    </row>
    <row r="103" spans="1:9">
      <c r="A103" s="2" t="s">
        <v>305</v>
      </c>
    </row>
    <row r="104" spans="1:9">
      <c r="A104" t="s">
        <v>308</v>
      </c>
      <c r="H104">
        <v>60</v>
      </c>
      <c r="I104" t="s">
        <v>309</v>
      </c>
    </row>
    <row r="105" spans="1:9">
      <c r="H105">
        <f>H104/3.6</f>
        <v>16.666666666666668</v>
      </c>
      <c r="I105" t="s">
        <v>312</v>
      </c>
    </row>
    <row r="106" spans="1:9">
      <c r="A106" t="s">
        <v>315</v>
      </c>
      <c r="B106">
        <v>5400</v>
      </c>
      <c r="C106" t="s">
        <v>316</v>
      </c>
    </row>
    <row r="108" spans="1:9">
      <c r="A108" s="47" t="s">
        <v>319</v>
      </c>
      <c r="B108" s="47"/>
      <c r="C108" s="47"/>
      <c r="D108" s="47">
        <f>(B106*H105)/10^3</f>
        <v>90</v>
      </c>
      <c r="E108" s="47" t="s">
        <v>16</v>
      </c>
    </row>
    <row r="109" spans="1:9">
      <c r="A109" s="84" t="s">
        <v>564</v>
      </c>
      <c r="B109" s="85"/>
      <c r="C109" s="85"/>
      <c r="D109" s="85"/>
      <c r="E109" s="85"/>
      <c r="F109" s="85"/>
      <c r="G109" s="85"/>
      <c r="H109" s="85"/>
      <c r="I109" s="85"/>
    </row>
    <row r="110" spans="1:9">
      <c r="A110" s="2" t="s">
        <v>323</v>
      </c>
      <c r="B110" s="2"/>
      <c r="C110" s="2"/>
      <c r="E110" t="s">
        <v>324</v>
      </c>
    </row>
    <row r="111" spans="1:9">
      <c r="A111">
        <v>200</v>
      </c>
      <c r="B111" t="s">
        <v>326</v>
      </c>
      <c r="E111">
        <v>35</v>
      </c>
      <c r="F111" t="s">
        <v>327</v>
      </c>
      <c r="H111">
        <f>E111/100</f>
        <v>0.35</v>
      </c>
      <c r="I111" t="s">
        <v>328</v>
      </c>
    </row>
    <row r="113" spans="1:9">
      <c r="A113" t="s">
        <v>331</v>
      </c>
    </row>
    <row r="114" spans="1:9">
      <c r="A114" s="47" t="s">
        <v>333</v>
      </c>
      <c r="B114" s="48">
        <f>A111/H111</f>
        <v>571.42857142857144</v>
      </c>
      <c r="C114" s="47" t="s">
        <v>16</v>
      </c>
      <c r="D114" t="s">
        <v>334</v>
      </c>
    </row>
    <row r="116" spans="1:9">
      <c r="A116" s="2" t="s">
        <v>337</v>
      </c>
      <c r="B116" s="2"/>
      <c r="C116" s="2"/>
      <c r="E116" t="s">
        <v>324</v>
      </c>
    </row>
    <row r="117" spans="1:9">
      <c r="A117">
        <v>1500</v>
      </c>
      <c r="B117" t="s">
        <v>326</v>
      </c>
      <c r="E117">
        <v>35</v>
      </c>
      <c r="F117" t="s">
        <v>327</v>
      </c>
      <c r="H117">
        <f>E117/100</f>
        <v>0.35</v>
      </c>
      <c r="I117" t="s">
        <v>328</v>
      </c>
    </row>
    <row r="119" spans="1:9">
      <c r="A119" t="s">
        <v>340</v>
      </c>
    </row>
    <row r="120" spans="1:9">
      <c r="A120" s="47" t="s">
        <v>333</v>
      </c>
      <c r="B120" s="48">
        <f>A117/H117</f>
        <v>4285.7142857142862</v>
      </c>
      <c r="C120" s="47" t="s">
        <v>16</v>
      </c>
      <c r="D120" t="s">
        <v>341</v>
      </c>
    </row>
    <row r="122" spans="1:9">
      <c r="A122" s="4" t="s">
        <v>344</v>
      </c>
      <c r="B122" s="5"/>
      <c r="C122" s="5"/>
      <c r="D122" s="5"/>
      <c r="E122" s="5"/>
      <c r="F122" s="5"/>
      <c r="G122" s="5"/>
      <c r="H122" s="5"/>
      <c r="I122" s="6"/>
    </row>
    <row r="123" spans="1:9">
      <c r="A123" s="65" t="s">
        <v>323</v>
      </c>
      <c r="B123" s="2"/>
      <c r="C123" s="2"/>
      <c r="E123" t="s">
        <v>324</v>
      </c>
      <c r="I123" s="8"/>
    </row>
    <row r="124" spans="1:9">
      <c r="A124" s="7">
        <v>365</v>
      </c>
      <c r="B124" t="s">
        <v>326</v>
      </c>
      <c r="E124">
        <v>35</v>
      </c>
      <c r="F124" t="s">
        <v>327</v>
      </c>
      <c r="H124">
        <f>E124/100</f>
        <v>0.35</v>
      </c>
      <c r="I124" s="8" t="s">
        <v>328</v>
      </c>
    </row>
    <row r="125" spans="1:9">
      <c r="A125" s="7"/>
      <c r="I125" s="8"/>
    </row>
    <row r="126" spans="1:9">
      <c r="A126" s="7" t="s">
        <v>347</v>
      </c>
      <c r="I126" s="8"/>
    </row>
    <row r="127" spans="1:9">
      <c r="A127" s="66" t="s">
        <v>333</v>
      </c>
      <c r="B127" s="67">
        <f>A124/H124</f>
        <v>1042.8571428571429</v>
      </c>
      <c r="C127" s="68" t="s">
        <v>16</v>
      </c>
      <c r="D127" s="10"/>
      <c r="E127" s="10"/>
      <c r="F127" s="10"/>
      <c r="G127" s="10"/>
      <c r="H127" s="10"/>
      <c r="I127" s="11"/>
    </row>
  </sheetData>
  <mergeCells count="26">
    <mergeCell ref="L26:T26"/>
    <mergeCell ref="L29:M29"/>
    <mergeCell ref="L34:T34"/>
    <mergeCell ref="A99:I99"/>
    <mergeCell ref="A53:B53"/>
    <mergeCell ref="A60:B60"/>
    <mergeCell ref="A64:I64"/>
    <mergeCell ref="A81:B81"/>
    <mergeCell ref="A85:I85"/>
    <mergeCell ref="A88:B88"/>
    <mergeCell ref="L39:T39"/>
    <mergeCell ref="L42:M42"/>
    <mergeCell ref="M2:S2"/>
    <mergeCell ref="A3:I3"/>
    <mergeCell ref="A6:B6"/>
    <mergeCell ref="A11:I11"/>
    <mergeCell ref="A17:I17"/>
    <mergeCell ref="A25:I25"/>
    <mergeCell ref="A67:B67"/>
    <mergeCell ref="A71:I71"/>
    <mergeCell ref="A74:B74"/>
    <mergeCell ref="A78:I78"/>
    <mergeCell ref="A28:B28"/>
    <mergeCell ref="A33:I33"/>
    <mergeCell ref="A36:B36"/>
    <mergeCell ref="A41:I41"/>
  </mergeCells>
  <hyperlinks>
    <hyperlink ref="M4" r:id="rId1" xr:uid="{9C6D86E8-AE28-4B59-B75E-552833DE495F}"/>
    <hyperlink ref="M6" r:id="rId2" xr:uid="{6ECFD59D-03BE-45BD-96C9-9073A210EADB}"/>
    <hyperlink ref="M8" r:id="rId3" xr:uid="{4FD7E2AE-2ACB-460E-83D3-20608C1E0D45}"/>
    <hyperlink ref="M10" r:id="rId4" xr:uid="{69ADECC4-0FEA-4DD7-AFED-D40FFEC1B0D9}"/>
    <hyperlink ref="M12" r:id="rId5" xr:uid="{44ADBBB4-1724-4985-8BFD-54E58AEDB4B3}"/>
    <hyperlink ref="M14" r:id="rId6" xr:uid="{3C888966-AF77-43DF-9453-236CEEE58A49}"/>
    <hyperlink ref="M16" r:id="rId7" location="austria" xr:uid="{41283061-682B-48AE-8A6D-0655A1EAA0D4}"/>
    <hyperlink ref="M18" r:id="rId8" xr:uid="{722BBDE9-8D0A-4FCD-AF60-55727DD48D2E}"/>
    <hyperlink ref="M20" r:id="rId9" xr:uid="{593BA587-8855-419C-BD2B-A7B485047359}"/>
    <hyperlink ref="Y4" r:id="rId10" xr:uid="{C918087C-EB9F-40B0-B431-0235CDB9B62B}"/>
    <hyperlink ref="U34" r:id="rId11" xr:uid="{55CC5E41-D6F4-4296-A387-5925085A5650}"/>
    <hyperlink ref="U39" r:id="rId12" xr:uid="{97721D7C-E2F4-4688-A1B3-DB791ECC7E75}"/>
  </hyperlinks>
  <pageMargins left="0.7" right="0.7" top="0.78740157499999996" bottom="0.78740157499999996" header="0.3" footer="0.3"/>
  <pageSetup paperSize="9" orientation="portrait" r:id="rId13"/>
  <drawing r:id="rId1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33AA-0713-4D0A-82CB-7B182BDCB925}">
  <sheetPr codeName="Tabelle13"/>
  <dimension ref="A1:Y307"/>
  <sheetViews>
    <sheetView zoomScale="85" zoomScaleNormal="85" workbookViewId="0">
      <selection activeCell="P29" sqref="P29"/>
    </sheetView>
  </sheetViews>
  <sheetFormatPr baseColWidth="10" defaultColWidth="11.42578125" defaultRowHeight="15"/>
  <cols>
    <col min="1" max="1" width="18.28515625" customWidth="1"/>
    <col min="9" max="9" width="12.28515625" bestFit="1" customWidth="1"/>
  </cols>
  <sheetData>
    <row r="1" spans="1:25">
      <c r="A1" s="509" t="s">
        <v>647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P1" s="509" t="s">
        <v>403</v>
      </c>
      <c r="Q1" s="509"/>
      <c r="R1" s="509"/>
      <c r="S1" s="509"/>
      <c r="T1" s="509"/>
      <c r="U1" s="509"/>
      <c r="V1" s="509"/>
      <c r="W1" s="509"/>
      <c r="X1" s="509"/>
      <c r="Y1" s="509"/>
    </row>
    <row r="2" spans="1:25">
      <c r="A2" t="s">
        <v>542</v>
      </c>
      <c r="P2" t="s">
        <v>406</v>
      </c>
    </row>
    <row r="3" spans="1:25">
      <c r="A3" s="3" t="s">
        <v>543</v>
      </c>
      <c r="P3" s="3" t="s">
        <v>408</v>
      </c>
    </row>
    <row r="4" spans="1:25">
      <c r="A4" t="s">
        <v>544</v>
      </c>
      <c r="P4" t="s">
        <v>410</v>
      </c>
    </row>
    <row r="5" spans="1:25">
      <c r="A5" s="3" t="s">
        <v>545</v>
      </c>
      <c r="P5" s="3" t="s">
        <v>412</v>
      </c>
    </row>
    <row r="6" spans="1:25">
      <c r="A6" t="s">
        <v>546</v>
      </c>
      <c r="P6" t="s">
        <v>414</v>
      </c>
    </row>
    <row r="7" spans="1:25">
      <c r="A7" s="3" t="s">
        <v>548</v>
      </c>
      <c r="P7" s="3" t="s">
        <v>415</v>
      </c>
    </row>
    <row r="8" spans="1:25">
      <c r="A8" t="s">
        <v>549</v>
      </c>
      <c r="P8" t="s">
        <v>417</v>
      </c>
    </row>
    <row r="9" spans="1:25">
      <c r="A9" s="3" t="s">
        <v>550</v>
      </c>
      <c r="P9" s="3" t="s">
        <v>419</v>
      </c>
    </row>
    <row r="10" spans="1:25">
      <c r="A10" t="s">
        <v>551</v>
      </c>
      <c r="P10" t="s">
        <v>420</v>
      </c>
    </row>
    <row r="11" spans="1:25">
      <c r="A11" s="3" t="s">
        <v>552</v>
      </c>
      <c r="P11" s="3" t="s">
        <v>422</v>
      </c>
    </row>
    <row r="12" spans="1:25">
      <c r="A12" t="s">
        <v>553</v>
      </c>
      <c r="P12" t="s">
        <v>428</v>
      </c>
    </row>
    <row r="13" spans="1:25">
      <c r="A13" s="3" t="s">
        <v>554</v>
      </c>
      <c r="P13" s="3" t="s">
        <v>431</v>
      </c>
    </row>
    <row r="14" spans="1:25">
      <c r="A14" t="s">
        <v>555</v>
      </c>
      <c r="P14" t="s">
        <v>434</v>
      </c>
    </row>
    <row r="15" spans="1:25">
      <c r="A15" s="3" t="s">
        <v>556</v>
      </c>
      <c r="P15" s="3" t="s">
        <v>439</v>
      </c>
    </row>
    <row r="16" spans="1:25">
      <c r="A16" t="s">
        <v>557</v>
      </c>
      <c r="P16" t="s">
        <v>440</v>
      </c>
    </row>
    <row r="17" spans="1:21">
      <c r="A17" s="3" t="s">
        <v>558</v>
      </c>
      <c r="P17" s="3" t="s">
        <v>442</v>
      </c>
    </row>
    <row r="18" spans="1:21">
      <c r="A18" t="s">
        <v>559</v>
      </c>
      <c r="P18" t="s">
        <v>445</v>
      </c>
    </row>
    <row r="19" spans="1:21">
      <c r="A19" s="3" t="s">
        <v>560</v>
      </c>
      <c r="P19" s="3" t="s">
        <v>448</v>
      </c>
    </row>
    <row r="20" spans="1:21">
      <c r="A20" t="s">
        <v>561</v>
      </c>
      <c r="P20" t="s">
        <v>453</v>
      </c>
    </row>
    <row r="21" spans="1:21">
      <c r="A21" s="3" t="s">
        <v>562</v>
      </c>
      <c r="P21" s="3" t="s">
        <v>456</v>
      </c>
    </row>
    <row r="22" spans="1:21">
      <c r="P22" t="s">
        <v>459</v>
      </c>
    </row>
    <row r="23" spans="1:21">
      <c r="A23" s="2"/>
      <c r="P23" s="3" t="s">
        <v>461</v>
      </c>
      <c r="U23" t="s">
        <v>462</v>
      </c>
    </row>
    <row r="25" spans="1:21">
      <c r="A25" s="509" t="s">
        <v>648</v>
      </c>
      <c r="B25" s="509"/>
      <c r="C25" s="509"/>
      <c r="D25" s="509"/>
      <c r="E25" s="509"/>
      <c r="F25" s="509"/>
      <c r="G25" s="509"/>
      <c r="H25" s="509"/>
      <c r="I25" s="509"/>
      <c r="J25" s="509"/>
      <c r="K25" s="509"/>
      <c r="L25" s="509"/>
    </row>
    <row r="26" spans="1:21">
      <c r="A26" s="2" t="s">
        <v>649</v>
      </c>
      <c r="D26" s="1"/>
    </row>
    <row r="27" spans="1:21">
      <c r="A27" t="s">
        <v>650</v>
      </c>
    </row>
    <row r="28" spans="1:21">
      <c r="A28" s="50" t="s">
        <v>600</v>
      </c>
      <c r="P28" t="s">
        <v>651</v>
      </c>
    </row>
    <row r="29" spans="1:21">
      <c r="A29" t="s">
        <v>652</v>
      </c>
      <c r="F29" s="1"/>
      <c r="P29" s="3" t="s">
        <v>653</v>
      </c>
    </row>
    <row r="30" spans="1:21">
      <c r="A30" s="50" t="s">
        <v>602</v>
      </c>
      <c r="D30" s="1"/>
    </row>
    <row r="31" spans="1:21">
      <c r="A31" s="2"/>
    </row>
    <row r="33" spans="1:12">
      <c r="A33" t="s">
        <v>654</v>
      </c>
      <c r="F33" s="1"/>
    </row>
    <row r="34" spans="1:12">
      <c r="A34" s="3" t="s">
        <v>655</v>
      </c>
      <c r="D34" s="1"/>
    </row>
    <row r="35" spans="1:12" ht="14.25" customHeight="1">
      <c r="A35" s="51"/>
      <c r="B35" s="51"/>
      <c r="C35" s="51"/>
      <c r="D35" s="51"/>
      <c r="E35" s="51"/>
      <c r="F35" s="51"/>
    </row>
    <row r="36" spans="1:12">
      <c r="A36" s="2"/>
      <c r="G36" s="32"/>
    </row>
    <row r="37" spans="1:12">
      <c r="G37" s="32"/>
    </row>
    <row r="38" spans="1:12">
      <c r="A38" s="39"/>
      <c r="C38" s="31"/>
      <c r="D38" s="31"/>
    </row>
    <row r="39" spans="1:12">
      <c r="D39" s="1"/>
      <c r="F39" s="1"/>
    </row>
    <row r="40" spans="1:12">
      <c r="A40" s="2"/>
    </row>
    <row r="42" spans="1:12">
      <c r="C42" s="502"/>
      <c r="D42" s="502"/>
    </row>
    <row r="43" spans="1:12">
      <c r="A43" s="2"/>
    </row>
    <row r="44" spans="1:12">
      <c r="F44" s="1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</row>
    <row r="54" spans="1:23">
      <c r="A54" s="1"/>
      <c r="B54" s="1"/>
    </row>
    <row r="55" spans="1:23">
      <c r="A55" s="1"/>
      <c r="B55" s="1"/>
    </row>
    <row r="56" spans="1:23">
      <c r="A56" s="49"/>
      <c r="B56" s="49"/>
      <c r="C56" s="39"/>
      <c r="D56" s="39"/>
    </row>
    <row r="57" spans="1:23">
      <c r="A57" s="1"/>
      <c r="B57" s="1"/>
      <c r="L57" s="2"/>
      <c r="Q57" s="32"/>
    </row>
    <row r="58" spans="1:23">
      <c r="R58" s="32"/>
      <c r="S58" s="32"/>
      <c r="T58" s="32"/>
      <c r="U58" s="32"/>
      <c r="V58" s="32"/>
      <c r="W58" s="32"/>
    </row>
    <row r="59" spans="1:23">
      <c r="L59" s="39"/>
      <c r="N59" s="502"/>
      <c r="O59" s="502"/>
      <c r="Q59" s="1"/>
      <c r="R59" s="32"/>
    </row>
    <row r="60" spans="1:23">
      <c r="A60" s="1"/>
      <c r="B60" s="1"/>
      <c r="O60" s="1"/>
    </row>
    <row r="61" spans="1:23">
      <c r="A61" s="1"/>
      <c r="B61" s="1"/>
      <c r="L61" s="2"/>
    </row>
    <row r="62" spans="1:23">
      <c r="A62" s="1"/>
      <c r="B62" s="1"/>
    </row>
    <row r="63" spans="1:23">
      <c r="A63" s="1"/>
      <c r="B63" s="1"/>
      <c r="N63" s="502"/>
      <c r="O63" s="502"/>
    </row>
    <row r="65" spans="1:18">
      <c r="L65" s="2"/>
    </row>
    <row r="66" spans="1:18">
      <c r="A66" s="1"/>
      <c r="B66" s="1"/>
      <c r="E66" s="1"/>
    </row>
    <row r="67" spans="1:18">
      <c r="A67" s="1"/>
      <c r="B67" s="1"/>
      <c r="G67" s="1"/>
    </row>
    <row r="68" spans="1:18">
      <c r="A68" s="1"/>
      <c r="B68" s="1"/>
      <c r="G68" s="1"/>
    </row>
    <row r="69" spans="1:18">
      <c r="A69" s="1"/>
      <c r="B69" s="1"/>
      <c r="G69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</row>
    <row r="77" spans="1:18">
      <c r="A77" s="1"/>
    </row>
    <row r="78" spans="1:18">
      <c r="A78" s="1"/>
    </row>
    <row r="80" spans="1:18">
      <c r="A80" s="1"/>
      <c r="B80" s="1"/>
      <c r="L80" s="2"/>
      <c r="R80" s="32"/>
    </row>
    <row r="81" spans="1:15">
      <c r="A81" s="1"/>
      <c r="B81" s="1"/>
      <c r="C81" s="21"/>
    </row>
    <row r="82" spans="1:15">
      <c r="A82" s="1"/>
      <c r="B82" s="1"/>
      <c r="C82" s="21"/>
      <c r="L82" s="39"/>
      <c r="N82" s="502"/>
      <c r="O82" s="502"/>
    </row>
    <row r="83" spans="1:15">
      <c r="A83" s="1"/>
      <c r="B83" s="1"/>
      <c r="C83" s="21"/>
      <c r="O83" s="1"/>
    </row>
    <row r="84" spans="1:15">
      <c r="L84" s="2"/>
    </row>
    <row r="86" spans="1:15">
      <c r="A86" s="1"/>
      <c r="B86" s="1"/>
      <c r="N86" s="502"/>
      <c r="O86" s="502"/>
    </row>
    <row r="87" spans="1:15">
      <c r="A87" s="1"/>
      <c r="B87" s="1"/>
    </row>
    <row r="88" spans="1:15">
      <c r="A88" s="1"/>
      <c r="B88" s="1"/>
      <c r="L88" s="2"/>
    </row>
    <row r="89" spans="1:15">
      <c r="A89" s="1"/>
      <c r="B89" s="1"/>
    </row>
    <row r="92" spans="1:15">
      <c r="A92" s="1"/>
      <c r="B92" s="1"/>
      <c r="E92" s="1"/>
    </row>
    <row r="93" spans="1:15">
      <c r="A93" s="1"/>
      <c r="B93" s="1"/>
      <c r="G93" s="1"/>
    </row>
    <row r="94" spans="1:15">
      <c r="A94" s="1"/>
      <c r="B94" s="1"/>
      <c r="G94" s="1"/>
    </row>
    <row r="95" spans="1:15">
      <c r="A95" s="1"/>
      <c r="B95" s="1"/>
      <c r="G95" s="1"/>
    </row>
    <row r="98" spans="1:18">
      <c r="A98" s="1"/>
    </row>
    <row r="100" spans="1:18">
      <c r="A100" s="1"/>
      <c r="B100" s="1"/>
    </row>
    <row r="101" spans="1:18">
      <c r="A101" s="1"/>
      <c r="B101" s="1"/>
      <c r="C101" s="21"/>
    </row>
    <row r="102" spans="1:18">
      <c r="A102" s="1"/>
      <c r="B102" s="1"/>
      <c r="C102" s="21"/>
      <c r="L102" s="2"/>
      <c r="R102" s="32"/>
    </row>
    <row r="103" spans="1:18">
      <c r="A103" s="1"/>
      <c r="B103" s="1"/>
      <c r="C103" s="21"/>
      <c r="R103" s="32"/>
    </row>
    <row r="104" spans="1:18">
      <c r="L104" s="39"/>
      <c r="N104" s="502"/>
      <c r="O104" s="502"/>
    </row>
    <row r="105" spans="1:18">
      <c r="O105" s="1"/>
    </row>
    <row r="106" spans="1:18">
      <c r="A106" s="1"/>
      <c r="B106" s="1"/>
      <c r="L106" s="2"/>
    </row>
    <row r="107" spans="1:18">
      <c r="A107" s="1"/>
      <c r="B107" s="1"/>
    </row>
    <row r="108" spans="1:18">
      <c r="A108" s="1"/>
      <c r="B108" s="1"/>
      <c r="N108" s="502"/>
      <c r="O108" s="502"/>
    </row>
    <row r="109" spans="1:18">
      <c r="A109" s="1"/>
      <c r="B109" s="1"/>
    </row>
    <row r="110" spans="1:18">
      <c r="L110" s="2"/>
    </row>
    <row r="112" spans="1:18">
      <c r="A112" s="1"/>
      <c r="B112" s="1"/>
      <c r="E112" s="1"/>
    </row>
    <row r="113" spans="1:18">
      <c r="A113" s="1"/>
      <c r="B113" s="1"/>
      <c r="G113" s="1"/>
    </row>
    <row r="114" spans="1:18">
      <c r="A114" s="1"/>
      <c r="B114" s="1"/>
      <c r="G114" s="1"/>
    </row>
    <row r="115" spans="1:18">
      <c r="A115" s="1"/>
      <c r="B115" s="1"/>
      <c r="G115" s="1"/>
    </row>
    <row r="118" spans="1:18">
      <c r="A118" s="1"/>
    </row>
    <row r="120" spans="1:18">
      <c r="A120" s="1"/>
      <c r="B120" s="1"/>
    </row>
    <row r="121" spans="1:18">
      <c r="A121" s="1"/>
      <c r="B121" s="1"/>
      <c r="C121" s="21"/>
    </row>
    <row r="122" spans="1:18">
      <c r="A122" s="1"/>
      <c r="B122" s="1"/>
      <c r="C122" s="21"/>
      <c r="L122" s="2"/>
      <c r="R122" s="32"/>
    </row>
    <row r="123" spans="1:18">
      <c r="A123" s="1"/>
      <c r="B123" s="1"/>
      <c r="C123" s="21"/>
      <c r="R123" s="32"/>
    </row>
    <row r="124" spans="1:18">
      <c r="L124" s="39"/>
      <c r="N124" s="502"/>
      <c r="O124" s="502"/>
    </row>
    <row r="125" spans="1:18">
      <c r="O125" s="1"/>
    </row>
    <row r="126" spans="1:18">
      <c r="A126" s="1"/>
      <c r="B126" s="1"/>
      <c r="L126" s="2"/>
    </row>
    <row r="127" spans="1:18">
      <c r="A127" s="1"/>
      <c r="B127" s="1"/>
    </row>
    <row r="128" spans="1:18">
      <c r="A128" s="1"/>
      <c r="B128" s="1"/>
      <c r="N128" s="502"/>
      <c r="O128" s="502"/>
    </row>
    <row r="129" spans="1:12">
      <c r="A129" s="1"/>
      <c r="B129" s="1"/>
    </row>
    <row r="130" spans="1:12">
      <c r="L130" s="2"/>
    </row>
    <row r="132" spans="1:12">
      <c r="A132" s="1"/>
      <c r="B132" s="1"/>
      <c r="E132" s="1"/>
    </row>
    <row r="133" spans="1:12">
      <c r="A133" s="1"/>
      <c r="B133" s="1"/>
      <c r="G133" s="1"/>
    </row>
    <row r="134" spans="1:12">
      <c r="A134" s="1"/>
      <c r="B134" s="1"/>
      <c r="G134" s="1"/>
    </row>
    <row r="135" spans="1:12">
      <c r="A135" s="1"/>
      <c r="B135" s="1"/>
      <c r="G135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4" spans="1:12">
      <c r="A144" s="1"/>
    </row>
    <row r="145" spans="1:18">
      <c r="A145" s="1"/>
    </row>
    <row r="147" spans="1:18">
      <c r="A147" s="1"/>
      <c r="B147" s="1"/>
    </row>
    <row r="148" spans="1:18">
      <c r="A148" s="1"/>
      <c r="B148" s="1"/>
      <c r="C148" s="21"/>
    </row>
    <row r="149" spans="1:18">
      <c r="A149" s="1"/>
      <c r="B149" s="1"/>
      <c r="C149" s="21"/>
      <c r="L149" s="2"/>
      <c r="R149" s="32"/>
    </row>
    <row r="150" spans="1:18">
      <c r="A150" s="1"/>
      <c r="B150" s="1"/>
      <c r="C150" s="21"/>
      <c r="R150" s="32"/>
    </row>
    <row r="151" spans="1:18">
      <c r="L151" s="39"/>
      <c r="N151" s="502"/>
      <c r="O151" s="502"/>
    </row>
    <row r="152" spans="1:18">
      <c r="O152" s="1"/>
    </row>
    <row r="153" spans="1:18">
      <c r="A153" s="1"/>
      <c r="B153" s="1"/>
      <c r="L153" s="2"/>
    </row>
    <row r="154" spans="1:18">
      <c r="A154" s="1"/>
      <c r="B154" s="1"/>
    </row>
    <row r="155" spans="1:18">
      <c r="A155" s="1"/>
      <c r="B155" s="1"/>
      <c r="N155" s="502"/>
      <c r="O155" s="502"/>
    </row>
    <row r="156" spans="1:18">
      <c r="A156" s="1"/>
      <c r="B156" s="1"/>
    </row>
    <row r="157" spans="1:18">
      <c r="L157" s="2"/>
    </row>
    <row r="159" spans="1:18">
      <c r="A159" s="1"/>
      <c r="B159" s="1"/>
      <c r="E159" s="1"/>
    </row>
    <row r="160" spans="1:18">
      <c r="A160" s="1"/>
      <c r="B160" s="1"/>
      <c r="G160" s="1"/>
    </row>
    <row r="161" spans="1:18">
      <c r="A161" s="1"/>
      <c r="B161" s="1"/>
      <c r="G161" s="1"/>
    </row>
    <row r="162" spans="1:18">
      <c r="A162" s="1"/>
      <c r="B162" s="1"/>
      <c r="G162" s="1"/>
    </row>
    <row r="164" spans="1:18">
      <c r="A164" s="1"/>
    </row>
    <row r="165" spans="1:18">
      <c r="A165" s="1"/>
    </row>
    <row r="167" spans="1:18">
      <c r="A167" s="1"/>
      <c r="B167" s="1"/>
    </row>
    <row r="168" spans="1:18">
      <c r="A168" s="1"/>
      <c r="B168" s="1"/>
      <c r="C168" s="21"/>
    </row>
    <row r="169" spans="1:18">
      <c r="A169" s="1"/>
      <c r="B169" s="1"/>
      <c r="C169" s="21"/>
      <c r="L169" s="2"/>
      <c r="R169" s="32"/>
    </row>
    <row r="170" spans="1:18">
      <c r="A170" s="1"/>
      <c r="B170" s="1"/>
      <c r="C170" s="21"/>
      <c r="R170" s="32"/>
    </row>
    <row r="171" spans="1:18">
      <c r="L171" s="39"/>
      <c r="N171" s="502"/>
      <c r="O171" s="502"/>
    </row>
    <row r="172" spans="1:18">
      <c r="O172" s="1"/>
    </row>
    <row r="173" spans="1:18">
      <c r="A173" s="1"/>
      <c r="B173" s="1"/>
      <c r="L173" s="2"/>
    </row>
    <row r="174" spans="1:18">
      <c r="A174" s="1"/>
      <c r="B174" s="1"/>
    </row>
    <row r="175" spans="1:18">
      <c r="A175" s="1"/>
      <c r="B175" s="1"/>
      <c r="N175" s="502"/>
      <c r="O175" s="502"/>
    </row>
    <row r="176" spans="1:18">
      <c r="A176" s="1"/>
      <c r="B176" s="1"/>
    </row>
    <row r="177" spans="1:18">
      <c r="L177" s="2"/>
    </row>
    <row r="179" spans="1:18">
      <c r="A179" s="1"/>
      <c r="B179" s="1"/>
      <c r="E179" s="1"/>
    </row>
    <row r="180" spans="1:18">
      <c r="A180" s="1"/>
      <c r="B180" s="1"/>
      <c r="G180" s="1"/>
    </row>
    <row r="181" spans="1:18">
      <c r="A181" s="1"/>
      <c r="B181" s="1"/>
      <c r="G181" s="1"/>
    </row>
    <row r="182" spans="1:18">
      <c r="A182" s="1"/>
      <c r="B182" s="1"/>
      <c r="G182" s="1"/>
    </row>
    <row r="184" spans="1:18">
      <c r="M184" s="2"/>
      <c r="R184" s="32"/>
    </row>
    <row r="185" spans="1:18">
      <c r="A185" s="1"/>
      <c r="B185" s="1"/>
      <c r="C185" s="1"/>
      <c r="D185" s="1"/>
      <c r="E185" s="1"/>
      <c r="F185" s="1"/>
      <c r="G185" s="1"/>
      <c r="H185" s="1"/>
      <c r="R185" s="32"/>
    </row>
    <row r="186" spans="1:18">
      <c r="A186" s="1"/>
      <c r="B186" s="1"/>
      <c r="C186" s="1"/>
      <c r="D186" s="1"/>
      <c r="E186" s="1"/>
      <c r="F186" s="1"/>
      <c r="G186" s="1"/>
      <c r="H186" s="1"/>
      <c r="J186" s="421"/>
      <c r="K186" s="421"/>
      <c r="M186" s="39"/>
      <c r="O186" s="502"/>
      <c r="P186" s="502"/>
      <c r="R186" s="32"/>
    </row>
    <row r="187" spans="1:18">
      <c r="P187" s="1"/>
      <c r="R187" s="32"/>
    </row>
    <row r="188" spans="1:18">
      <c r="A188" s="1"/>
      <c r="B188" s="1"/>
      <c r="M188" s="2"/>
      <c r="R188" s="32"/>
    </row>
    <row r="189" spans="1:18">
      <c r="A189" s="1"/>
      <c r="B189" s="1"/>
      <c r="G189" s="1"/>
      <c r="R189" s="32"/>
    </row>
    <row r="190" spans="1:18">
      <c r="O190" s="502"/>
      <c r="P190" s="502"/>
      <c r="R190" s="32"/>
    </row>
    <row r="191" spans="1:18">
      <c r="R191" s="32"/>
    </row>
    <row r="192" spans="1:18">
      <c r="A192" s="1"/>
      <c r="M192" s="2"/>
    </row>
    <row r="194" spans="1:22">
      <c r="A194" s="21"/>
      <c r="M194" s="39"/>
      <c r="O194" s="502"/>
      <c r="P194" s="502"/>
    </row>
    <row r="195" spans="1:22">
      <c r="P195" s="1"/>
    </row>
    <row r="196" spans="1:22">
      <c r="M196" s="2"/>
    </row>
    <row r="197" spans="1:22">
      <c r="A197" s="1"/>
    </row>
    <row r="198" spans="1:22">
      <c r="O198" s="502"/>
      <c r="P198" s="502"/>
    </row>
    <row r="199" spans="1:22">
      <c r="A199" s="21"/>
    </row>
    <row r="200" spans="1:22">
      <c r="M200" s="2"/>
      <c r="S200" s="2"/>
    </row>
    <row r="201" spans="1:22">
      <c r="B201" s="50"/>
    </row>
    <row r="202" spans="1:22">
      <c r="A202" s="1"/>
      <c r="M202" s="39"/>
      <c r="O202" s="502"/>
      <c r="P202" s="502"/>
      <c r="S202" s="39"/>
      <c r="U202" s="502"/>
      <c r="V202" s="502"/>
    </row>
    <row r="203" spans="1:22">
      <c r="P203" s="1"/>
      <c r="V203" s="1"/>
    </row>
    <row r="204" spans="1:22">
      <c r="A204" s="21"/>
      <c r="M204" s="2"/>
      <c r="S204" s="2"/>
    </row>
    <row r="206" spans="1:22">
      <c r="B206" s="50"/>
      <c r="O206" s="502"/>
      <c r="P206" s="502"/>
      <c r="U206" s="502"/>
      <c r="V206" s="502"/>
    </row>
    <row r="207" spans="1:22">
      <c r="A207" s="1"/>
    </row>
    <row r="209" spans="1:18">
      <c r="A209" s="21"/>
    </row>
    <row r="212" spans="1:18">
      <c r="M212" s="2"/>
      <c r="R212" s="32"/>
    </row>
    <row r="213" spans="1:18">
      <c r="R213" s="32"/>
    </row>
    <row r="214" spans="1:18">
      <c r="M214" s="39"/>
      <c r="O214" s="502"/>
      <c r="P214" s="502"/>
    </row>
    <row r="215" spans="1:18">
      <c r="P215" s="1"/>
    </row>
    <row r="216" spans="1:18">
      <c r="G216" s="1"/>
      <c r="M216" s="2"/>
    </row>
    <row r="218" spans="1:18">
      <c r="A218" s="1"/>
      <c r="O218" s="502"/>
      <c r="P218" s="502"/>
    </row>
    <row r="220" spans="1:18">
      <c r="A220" s="21"/>
    </row>
    <row r="227" spans="1:6" ht="28.5">
      <c r="A227" s="42"/>
      <c r="B227" s="12"/>
    </row>
    <row r="228" spans="1:6" ht="18.75">
      <c r="A228" s="12"/>
      <c r="B228" s="12"/>
    </row>
    <row r="229" spans="1:6">
      <c r="A229" s="2"/>
    </row>
    <row r="232" spans="1:6">
      <c r="A232" s="421"/>
      <c r="B232" s="421"/>
    </row>
    <row r="234" spans="1:6">
      <c r="D234" s="43"/>
    </row>
    <row r="235" spans="1:6">
      <c r="D235" s="1"/>
      <c r="F235" s="44"/>
    </row>
    <row r="237" spans="1:6">
      <c r="A237" s="2"/>
    </row>
    <row r="240" spans="1:6">
      <c r="D240" s="43"/>
    </row>
    <row r="241" spans="1:6">
      <c r="D241" s="1"/>
      <c r="F241" s="44"/>
    </row>
    <row r="243" spans="1:6">
      <c r="A243" s="2"/>
    </row>
    <row r="246" spans="1:6">
      <c r="A246" s="1"/>
      <c r="B246" s="1"/>
    </row>
    <row r="248" spans="1:6">
      <c r="D248" s="43"/>
    </row>
    <row r="249" spans="1:6">
      <c r="D249" s="1"/>
      <c r="F249" s="44"/>
    </row>
    <row r="251" spans="1:6">
      <c r="A251" s="2"/>
    </row>
    <row r="254" spans="1:6">
      <c r="A254" s="421"/>
      <c r="B254" s="421"/>
    </row>
    <row r="256" spans="1:6">
      <c r="D256" s="43"/>
    </row>
    <row r="257" spans="1:6">
      <c r="D257" s="1"/>
      <c r="F257" s="44"/>
    </row>
    <row r="259" spans="1:6">
      <c r="A259" s="2"/>
    </row>
    <row r="262" spans="1:6">
      <c r="A262" s="421"/>
      <c r="B262" s="421"/>
    </row>
    <row r="264" spans="1:6">
      <c r="D264" s="43"/>
    </row>
    <row r="265" spans="1:6">
      <c r="D265" s="1"/>
      <c r="F265" s="44"/>
    </row>
    <row r="267" spans="1:6">
      <c r="A267" s="2"/>
    </row>
    <row r="271" spans="1:6">
      <c r="A271" s="1"/>
      <c r="B271" s="1"/>
    </row>
    <row r="273" spans="1:6">
      <c r="D273" s="43"/>
    </row>
    <row r="274" spans="1:6">
      <c r="D274" s="1"/>
      <c r="F274" s="44"/>
    </row>
    <row r="279" spans="1:6">
      <c r="A279" s="1"/>
      <c r="B279" s="1"/>
      <c r="C279" s="44"/>
    </row>
    <row r="281" spans="1:6">
      <c r="D281" s="43"/>
    </row>
    <row r="282" spans="1:6">
      <c r="D282" s="1"/>
      <c r="F282" s="44"/>
    </row>
    <row r="285" spans="1:6" ht="18.75">
      <c r="A285" s="12"/>
      <c r="B285" s="12"/>
    </row>
    <row r="286" spans="1:6">
      <c r="A286" s="2"/>
    </row>
    <row r="288" spans="1:6">
      <c r="A288" s="2"/>
    </row>
    <row r="290" spans="1:3">
      <c r="A290" s="2"/>
    </row>
    <row r="296" spans="1:3">
      <c r="A296" s="2"/>
    </row>
    <row r="297" spans="1:3">
      <c r="A297" s="2"/>
      <c r="B297" s="2"/>
      <c r="C297" s="2"/>
    </row>
    <row r="301" spans="1:3">
      <c r="B301" s="44"/>
    </row>
    <row r="303" spans="1:3">
      <c r="A303" s="2"/>
      <c r="B303" s="2"/>
      <c r="C303" s="2"/>
    </row>
    <row r="307" spans="2:2">
      <c r="B307" s="44"/>
    </row>
  </sheetData>
  <mergeCells count="30">
    <mergeCell ref="A262:B262"/>
    <mergeCell ref="A1:L1"/>
    <mergeCell ref="P1:Y1"/>
    <mergeCell ref="A232:B232"/>
    <mergeCell ref="A254:B254"/>
    <mergeCell ref="O214:P214"/>
    <mergeCell ref="O218:P218"/>
    <mergeCell ref="O194:P194"/>
    <mergeCell ref="O198:P198"/>
    <mergeCell ref="O202:P202"/>
    <mergeCell ref="U202:V202"/>
    <mergeCell ref="O206:P206"/>
    <mergeCell ref="U206:V206"/>
    <mergeCell ref="N171:O171"/>
    <mergeCell ref="N175:O175"/>
    <mergeCell ref="J186:K186"/>
    <mergeCell ref="N86:O86"/>
    <mergeCell ref="N104:O104"/>
    <mergeCell ref="O186:P186"/>
    <mergeCell ref="O190:P190"/>
    <mergeCell ref="N108:O108"/>
    <mergeCell ref="N124:O124"/>
    <mergeCell ref="N128:O128"/>
    <mergeCell ref="N151:O151"/>
    <mergeCell ref="N155:O155"/>
    <mergeCell ref="A25:L25"/>
    <mergeCell ref="C42:D42"/>
    <mergeCell ref="N59:O59"/>
    <mergeCell ref="N63:O63"/>
    <mergeCell ref="N82:O82"/>
  </mergeCells>
  <hyperlinks>
    <hyperlink ref="P3" r:id="rId1" xr:uid="{EEA698B1-2AC7-45E8-A47A-78A111E46225}"/>
    <hyperlink ref="P5" r:id="rId2" xr:uid="{94F42C0D-0EE5-44F8-A1F5-80A1B317A571}"/>
    <hyperlink ref="P7" r:id="rId3" xr:uid="{08752524-9EF0-48E5-B2B2-FC73122FFA99}"/>
    <hyperlink ref="P9" r:id="rId4" xr:uid="{643F7D3F-E49D-4395-A9DB-F4C67FB96BEC}"/>
    <hyperlink ref="P11" r:id="rId5" xr:uid="{3CB94148-9F94-457B-B2A8-CB2881393615}"/>
    <hyperlink ref="P13" r:id="rId6" xr:uid="{BB95B4DE-055A-4DC6-8728-5D1B818B3A24}"/>
    <hyperlink ref="P15" r:id="rId7" xr:uid="{014D4AAE-AEE8-49CE-8983-91A77F17F7A3}"/>
    <hyperlink ref="P17" r:id="rId8" xr:uid="{4A2860D0-2638-4274-AB54-C6BD560343D5}"/>
    <hyperlink ref="P19" r:id="rId9" xr:uid="{4D345FCD-87D6-41A8-A4BD-53B42FCE5DB7}"/>
    <hyperlink ref="P21" r:id="rId10" location="/page/3" xr:uid="{EE14DA3F-19DB-4D2B-867C-2D7130E5EBA0}"/>
    <hyperlink ref="A3" r:id="rId11" xr:uid="{92653990-0831-48D1-8E73-82813F558B1A}"/>
    <hyperlink ref="A5" r:id="rId12" xr:uid="{54B3CFFA-818F-4261-B586-5005ED3D6F78}"/>
    <hyperlink ref="A7" r:id="rId13" xr:uid="{4B0AE8DD-8CEB-4FE9-A28C-8ABF591CA444}"/>
    <hyperlink ref="A9" r:id="rId14" xr:uid="{D6F86ED5-47C0-4DC9-963A-EDC0904A69B8}"/>
    <hyperlink ref="A11" r:id="rId15" xr:uid="{D0E4A04C-E4EA-487D-884E-4474D8006E40}"/>
    <hyperlink ref="A13" r:id="rId16" xr:uid="{AB6AA975-A021-4230-8454-22C4017A84D5}"/>
    <hyperlink ref="A15" r:id="rId17" location="austria" xr:uid="{E84C437D-2653-4F6E-A99C-A5B0429B78DE}"/>
    <hyperlink ref="A17" r:id="rId18" xr:uid="{E367A086-1610-455F-A7BB-19A32E32488F}"/>
    <hyperlink ref="A19" r:id="rId19" xr:uid="{EF28054B-60B4-44E9-A8C7-6B64CEC5A6CC}"/>
    <hyperlink ref="A21" r:id="rId20" xr:uid="{B13E8BC7-CFF5-480D-A407-DB016AD6E914}"/>
    <hyperlink ref="P23" r:id="rId21" xr:uid="{674AE784-AA7D-49DA-9074-FF88234B7D81}"/>
    <hyperlink ref="A28" r:id="rId22" xr:uid="{2D25EDA9-3891-4D7F-B433-5155A4162CAB}"/>
    <hyperlink ref="A30" r:id="rId23" xr:uid="{27CE065A-F460-4A0B-B5B2-6AF0FB4ADE78}"/>
    <hyperlink ref="P29" r:id="rId24" xr:uid="{BF3CB461-B835-46ED-852E-C9739123DB84}"/>
    <hyperlink ref="A34" r:id="rId25" xr:uid="{63459045-C3E5-4D85-AF48-387AB59980F6}"/>
  </hyperlinks>
  <pageMargins left="0.7" right="0.7" top="0.78740157499999996" bottom="0.78740157499999996" header="0.3" footer="0.3"/>
  <pageSetup paperSize="9"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94A74CEE54EB3D63F48CF02E3AB" ma:contentTypeVersion="4" ma:contentTypeDescription="Create a new document." ma:contentTypeScope="" ma:versionID="9f8a8a7d4c89a33381f81e556bca85c1">
  <xsd:schema xmlns:xsd="http://www.w3.org/2001/XMLSchema" xmlns:xs="http://www.w3.org/2001/XMLSchema" xmlns:p="http://schemas.microsoft.com/office/2006/metadata/properties" xmlns:ns2="e85a4432-f253-48c5-9cc3-35e8124a7258" xmlns:ns3="80235651-96b6-493f-9b63-e2b4c3610fb3" targetNamespace="http://schemas.microsoft.com/office/2006/metadata/properties" ma:root="true" ma:fieldsID="ff17ffa175bbebf616be7d0ee423fcdf" ns2:_="" ns3:_="">
    <xsd:import namespace="e85a4432-f253-48c5-9cc3-35e8124a7258"/>
    <xsd:import namespace="80235651-96b6-493f-9b63-e2b4c3610f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a4432-f253-48c5-9cc3-35e8124a7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35651-96b6-493f-9b63-e2b4c3610f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0.xml>��
</file>

<file path=customXml/itemProps1.xml><?xml version="1.0" encoding="utf-8"?>
<ds:datastoreItem xmlns:ds="http://schemas.openxmlformats.org/officeDocument/2006/customXml" ds:itemID="{50754454-B9E6-4718-AC4E-B219A5CF055E}">
  <ds:schemaRefs>
    <ds:schemaRef ds:uri="http://gemini/pivotcustomization/ShowImplicitMeasures"/>
  </ds:schemaRefs>
</ds:datastoreItem>
</file>

<file path=customXml/itemProps2.xml><?xml version="1.0" encoding="utf-8"?>
<ds:datastoreItem xmlns:ds="http://schemas.openxmlformats.org/officeDocument/2006/customXml" ds:itemID="{9FFC99C4-FD67-4114-B9FC-36DB2433F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C5E571-8691-4D1B-953A-D20BFD4C72B0}">
  <ds:schemaRefs>
    <ds:schemaRef ds:uri="e85a4432-f253-48c5-9cc3-35e8124a7258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80235651-96b6-493f-9b63-e2b4c3610fb3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46798E8A-D70C-47B4-A16E-8AD6DEF6522B}">
  <ds:schemaRefs>
    <ds:schemaRef ds:uri="http://gemini/pivotcustomization/FormulaBarState"/>
  </ds:schemaRefs>
</ds:datastoreItem>
</file>

<file path=customXml/itemProps5.xml><?xml version="1.0" encoding="utf-8"?>
<ds:datastoreItem xmlns:ds="http://schemas.openxmlformats.org/officeDocument/2006/customXml" ds:itemID="{5B3B1DB7-C475-4744-862E-2C7119B5B3FC}">
  <ds:schemaRefs>
    <ds:schemaRef ds:uri="http://gemini/pivotcustomization/TableOrder"/>
  </ds:schemaRefs>
</ds:datastoreItem>
</file>

<file path=customXml/itemProps6.xml><?xml version="1.0" encoding="utf-8"?>
<ds:datastoreItem xmlns:ds="http://schemas.openxmlformats.org/officeDocument/2006/customXml" ds:itemID="{185BDB79-871B-4084-9833-4AD15F7D8755}">
  <ds:schemaRefs>
    <ds:schemaRef ds:uri="http://gemini/pivotcustomization/ManualCalcMode"/>
  </ds:schemaRefs>
</ds:datastoreItem>
</file>

<file path=customXml/itemProps7.xml><?xml version="1.0" encoding="utf-8"?>
<ds:datastoreItem xmlns:ds="http://schemas.openxmlformats.org/officeDocument/2006/customXml" ds:itemID="{987E164D-67F0-4F75-880E-93D642889192}">
  <ds:schemaRefs>
    <ds:schemaRef ds:uri="http://gemini/pivotcustomization/RelationshipAutoDetectionEnabled"/>
  </ds:schemaRefs>
</ds:datastoreItem>
</file>

<file path=customXml/itemProps8.xml><?xml version="1.0" encoding="utf-8"?>
<ds:datastoreItem xmlns:ds="http://schemas.openxmlformats.org/officeDocument/2006/customXml" ds:itemID="{ED2C5828-C04E-4B90-9CE7-7E7BAB8439E1}">
  <ds:schemaRefs>
    <ds:schemaRef ds:uri="http://gemini/pivotcustomization/SandboxNonEmpty"/>
  </ds:schemaRefs>
</ds:datastoreItem>
</file>

<file path=customXml/itemProps9.xml><?xml version="1.0" encoding="utf-8"?>
<ds:datastoreItem xmlns:ds="http://schemas.openxmlformats.org/officeDocument/2006/customXml" ds:itemID="{42F1AB8F-469D-4388-9BA4-942FD72432E5}">
  <ds:schemaRefs>
    <ds:schemaRef ds:uri="http://gemini/pivotcustomization/Diagrams"/>
  </ds:schemaRefs>
</ds:datastoreItem>
</file>

<file path=customXml/itemProps10.xml><?xml version="1.0" encoding="utf-8"?>
<ds:datastoreItem xmlns:ds="http://schemas.openxmlformats.org/officeDocument/2006/customXml" ds:itemID="{72F27F68-1B4C-43B4-B33A-74F24E035300}">
  <ds:schemaRefs>
    <ds:schemaRef ds:uri="http://gemini/pivotcustomization/TableWidget"/>
  </ds:schemaRefs>
</ds:datastoreItem>
</file>

<file path=customXml/itemProps11.xml><?xml version="1.0" encoding="utf-8"?>
<ds:datastoreItem xmlns:ds="http://schemas.openxmlformats.org/officeDocument/2006/customXml" ds:itemID="{2B2D4D0E-0A3F-4E28-93E0-49F3CDACD669}">
  <ds:schemaRefs>
    <ds:schemaRef ds:uri="http://gemini/pivotcustomization/TableXML_Tabelle4"/>
  </ds:schemaRefs>
</ds:datastoreItem>
</file>

<file path=customXml/itemProps12.xml><?xml version="1.0" encoding="utf-8"?>
<ds:datastoreItem xmlns:ds="http://schemas.openxmlformats.org/officeDocument/2006/customXml" ds:itemID="{5C13FCC9-5BC3-4CD7-AE45-A0AD2449D836}">
  <ds:schemaRefs>
    <ds:schemaRef ds:uri="http://gemini/pivotcustomization/ClientWindowXML"/>
  </ds:schemaRefs>
</ds:datastoreItem>
</file>

<file path=customXml/itemProps13.xml><?xml version="1.0" encoding="utf-8"?>
<ds:datastoreItem xmlns:ds="http://schemas.openxmlformats.org/officeDocument/2006/customXml" ds:itemID="{4E4DE715-5DAD-4BA4-A6EF-40A716C94FBF}">
  <ds:schemaRefs>
    <ds:schemaRef ds:uri="http://gemini/pivotcustomization/IsSandboxEmbedded"/>
  </ds:schemaRefs>
</ds:datastoreItem>
</file>

<file path=customXml/itemProps14.xml><?xml version="1.0" encoding="utf-8"?>
<ds:datastoreItem xmlns:ds="http://schemas.openxmlformats.org/officeDocument/2006/customXml" ds:itemID="{F979CBB4-6739-4059-9672-6E29390D7F91}">
  <ds:schemaRefs>
    <ds:schemaRef ds:uri="http://gemini/pivotcustomization/PowerPivotVersion"/>
  </ds:schemaRefs>
</ds:datastoreItem>
</file>

<file path=customXml/itemProps15.xml><?xml version="1.0" encoding="utf-8"?>
<ds:datastoreItem xmlns:ds="http://schemas.openxmlformats.org/officeDocument/2006/customXml" ds:itemID="{FA0BE42A-70C0-47EE-AF3B-09235A48B48E}">
  <ds:schemaRefs>
    <ds:schemaRef ds:uri="http://gemini/pivotcustomization/ErrorCache"/>
  </ds:schemaRefs>
</ds:datastoreItem>
</file>

<file path=customXml/itemProps16.xml><?xml version="1.0" encoding="utf-8"?>
<ds:datastoreItem xmlns:ds="http://schemas.openxmlformats.org/officeDocument/2006/customXml" ds:itemID="{62D5B03E-7E29-4D47-B32A-72D072BC425F}">
  <ds:schemaRefs>
    <ds:schemaRef ds:uri="http://gemini/pivotcustomization/MeasureGridState"/>
  </ds:schemaRefs>
</ds:datastoreItem>
</file>

<file path=customXml/itemProps17.xml><?xml version="1.0" encoding="utf-8"?>
<ds:datastoreItem xmlns:ds="http://schemas.openxmlformats.org/officeDocument/2006/customXml" ds:itemID="{93A50D0D-9534-488A-85C1-73A141131EDA}">
  <ds:schemaRefs>
    <ds:schemaRef ds:uri="http://gemini/pivotcustomization/ShowHidden"/>
  </ds:schemaRefs>
</ds:datastoreItem>
</file>

<file path=customXml/itemProps18.xml><?xml version="1.0" encoding="utf-8"?>
<ds:datastoreItem xmlns:ds="http://schemas.openxmlformats.org/officeDocument/2006/customXml" ds:itemID="{895A0BB0-5468-454A-813C-442D3CD083C8}">
  <ds:schemaRefs>
    <ds:schemaRef ds:uri="http://gemini/pivotcustomization/LinkedTableUpdateMode"/>
  </ds:schemaRefs>
</ds:datastoreItem>
</file>

<file path=customXml/itemProps19.xml><?xml version="1.0" encoding="utf-8"?>
<ds:datastoreItem xmlns:ds="http://schemas.openxmlformats.org/officeDocument/2006/customXml" ds:itemID="{C7D01236-D4EA-4559-AD6C-2789EE542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a4432-f253-48c5-9cc3-35e8124a7258"/>
    <ds:schemaRef ds:uri="80235651-96b6-493f-9b63-e2b4c3610f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0.xml><?xml version="1.0" encoding="utf-8"?>
<ds:datastoreItem xmlns:ds="http://schemas.openxmlformats.org/officeDocument/2006/customXml" ds:itemID="{2644A819-08A9-4AFF-9FC9-B083BB7DB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23</vt:i4>
      </vt:variant>
      <vt:variant>
        <vt:lpstr>Benannte Bereiche</vt:lpstr>
      </vt:variant>
      <vt:variant>
        <vt:i4>3</vt:i4>
      </vt:variant>
    </vt:vector>
  </HeadingPairs>
  <TitlesOfParts>
    <vt:vector size="26" baseType="lpstr">
      <vt:lpstr>Gesamtauswertung</vt:lpstr>
      <vt:lpstr>Grafiken</vt:lpstr>
      <vt:lpstr>R.O.S.E</vt:lpstr>
      <vt:lpstr>BauGrube</vt:lpstr>
      <vt:lpstr>Materialien ex Beton und Fenste</vt:lpstr>
      <vt:lpstr>Beton-Vergleich</vt:lpstr>
      <vt:lpstr>Beton Zusammensetzung</vt:lpstr>
      <vt:lpstr>Fensterberechnungen </vt:lpstr>
      <vt:lpstr>Abbruch-Entsorgung</vt:lpstr>
      <vt:lpstr>Rückbau</vt:lpstr>
      <vt:lpstr>Container-Dorf</vt:lpstr>
      <vt:lpstr>Container-Dorf Infos</vt:lpstr>
      <vt:lpstr>Energieverbrauch_Sedlak</vt:lpstr>
      <vt:lpstr>Energieverbauch anhand BGF</vt:lpstr>
      <vt:lpstr>Begriffserklärungen </vt:lpstr>
      <vt:lpstr>Lebenszyklus Info</vt:lpstr>
      <vt:lpstr>Transport Kennzahlen</vt:lpstr>
      <vt:lpstr>Abbruch-Recherche</vt:lpstr>
      <vt:lpstr>Benchmarks</vt:lpstr>
      <vt:lpstr>DateienEinlese</vt:lpstr>
      <vt:lpstr>Ausarbeitung Details</vt:lpstr>
      <vt:lpstr>Weitere Ausarbeitung Benchmarks</vt:lpstr>
      <vt:lpstr>Quellen</vt:lpstr>
      <vt:lpstr>DateienEinlese!ExterneDaten_1</vt:lpstr>
      <vt:lpstr>RoseEins</vt:lpstr>
      <vt:lpstr>RoseOne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Bukic</dc:creator>
  <cp:keywords/>
  <dc:description/>
  <cp:lastModifiedBy>Maciej Marynowski</cp:lastModifiedBy>
  <cp:revision/>
  <dcterms:created xsi:type="dcterms:W3CDTF">2022-08-16T10:00:53Z</dcterms:created>
  <dcterms:modified xsi:type="dcterms:W3CDTF">2025-02-10T11:23:58Z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0x010100BA3F894A74CEE54EB3D63F48CF02E3AB</vt:lpwstr>
  </property>
</Properties>
</file>