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Weight Distribution Studies\"/>
    </mc:Choice>
  </mc:AlternateContent>
  <xr:revisionPtr revIDLastSave="0" documentId="13_ncr:1_{7A1BA87A-C9E9-4EC6-9A20-6E65E593DA12}" xr6:coauthVersionLast="47" xr6:coauthVersionMax="47" xr10:uidLastSave="{00000000-0000-0000-0000-000000000000}"/>
  <bookViews>
    <workbookView xWindow="-120" yWindow="-120" windowWidth="29040" windowHeight="15720" xr2:uid="{4C72C6BC-DB0C-4B88-81C1-E1798EAB4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F25" i="1" s="1"/>
  <c r="E25" i="1"/>
  <c r="B41" i="1"/>
  <c r="B46" i="1"/>
  <c r="B45" i="1"/>
  <c r="B44" i="1"/>
  <c r="B43" i="1"/>
  <c r="E40" i="1"/>
  <c r="B40" i="1"/>
  <c r="K39" i="1"/>
  <c r="H39" i="1"/>
  <c r="B39" i="1"/>
  <c r="H37" i="1"/>
  <c r="B37" i="1"/>
  <c r="K36" i="1"/>
  <c r="B36" i="1"/>
  <c r="B35" i="1"/>
  <c r="N35" i="1" s="1"/>
  <c r="B27" i="1"/>
  <c r="K40" i="1" s="1"/>
  <c r="B25" i="1"/>
  <c r="B24" i="1"/>
  <c r="B23" i="1"/>
  <c r="H22" i="1"/>
  <c r="B22" i="1"/>
  <c r="B20" i="1"/>
  <c r="E19" i="1"/>
  <c r="E22" i="1" s="1"/>
  <c r="B12" i="1"/>
  <c r="B11" i="1"/>
  <c r="B9" i="1"/>
  <c r="K41" i="1" s="1"/>
  <c r="B7" i="1"/>
  <c r="B5" i="1"/>
  <c r="B2" i="1"/>
  <c r="K35" i="1" s="1"/>
  <c r="J19" i="1" l="1"/>
  <c r="K37" i="1"/>
  <c r="J21" i="1"/>
  <c r="K38" i="1"/>
  <c r="H38" i="1"/>
  <c r="H35" i="1"/>
  <c r="B47" i="1"/>
  <c r="B49" i="1" s="1"/>
  <c r="E35" i="1" s="1"/>
  <c r="E37" i="1" s="1"/>
  <c r="H36" i="1"/>
  <c r="B28" i="1"/>
  <c r="B30" i="1" s="1"/>
  <c r="E39" i="1" l="1"/>
  <c r="K42" i="1" s="1"/>
  <c r="E41" i="1" l="1"/>
  <c r="N36" i="1"/>
  <c r="E27" i="1"/>
  <c r="E28" i="1" s="1"/>
</calcChain>
</file>

<file path=xl/sharedStrings.xml><?xml version="1.0" encoding="utf-8"?>
<sst xmlns="http://schemas.openxmlformats.org/spreadsheetml/2006/main" count="108" uniqueCount="85">
  <si>
    <t>kg</t>
  </si>
  <si>
    <t>Walls and Floor</t>
  </si>
  <si>
    <t>Lid</t>
  </si>
  <si>
    <t>PE floor (fans)</t>
  </si>
  <si>
    <t>Internal Walls</t>
  </si>
  <si>
    <t xml:space="preserve">Mounts </t>
  </si>
  <si>
    <t>Maintenance Plugs</t>
  </si>
  <si>
    <t>Middle Maint. Plug dividers</t>
  </si>
  <si>
    <t>small Maint. plug dividers</t>
  </si>
  <si>
    <t xml:space="preserve">Fuse </t>
  </si>
  <si>
    <t>E-meter</t>
  </si>
  <si>
    <t>AIRs</t>
  </si>
  <si>
    <t>IMD Board</t>
  </si>
  <si>
    <t>PEI BMS Board</t>
  </si>
  <si>
    <t>Current Sensor</t>
  </si>
  <si>
    <t xml:space="preserve">HV Indicator </t>
  </si>
  <si>
    <t>IMD Base</t>
  </si>
  <si>
    <t>Precharge Base</t>
  </si>
  <si>
    <t>Volume of FE12</t>
  </si>
  <si>
    <t>Volume of FE11</t>
  </si>
  <si>
    <t>ratio</t>
  </si>
  <si>
    <t>volume goal</t>
  </si>
  <si>
    <t>PEI BMS Enclosure</t>
  </si>
  <si>
    <t xml:space="preserve">Width </t>
  </si>
  <si>
    <t>Width</t>
  </si>
  <si>
    <t>PEI BMS board cover</t>
  </si>
  <si>
    <t>Length</t>
  </si>
  <si>
    <t>difference</t>
  </si>
  <si>
    <t>HV Indicator Enclosure</t>
  </si>
  <si>
    <t>Height</t>
  </si>
  <si>
    <t>AIR bottom enclosure</t>
  </si>
  <si>
    <t>AIR lid</t>
  </si>
  <si>
    <t>Ratio</t>
  </si>
  <si>
    <t>Fuse Holder</t>
  </si>
  <si>
    <t>Total FE11 Actual Weight</t>
  </si>
  <si>
    <t>mass goal</t>
  </si>
  <si>
    <t>HV Cables</t>
  </si>
  <si>
    <t>Total FE12 Estimated weight</t>
  </si>
  <si>
    <t>Busbars</t>
  </si>
  <si>
    <t>Difference</t>
  </si>
  <si>
    <t>Fans</t>
  </si>
  <si>
    <t>Total without Fasteners</t>
  </si>
  <si>
    <t>lbs</t>
  </si>
  <si>
    <t>Fasteners and miscellaneous</t>
  </si>
  <si>
    <t>estimate</t>
  </si>
  <si>
    <t>Grand Total</t>
  </si>
  <si>
    <t>52 kg rounded up with air ducts</t>
  </si>
  <si>
    <t>Subpack</t>
  </si>
  <si>
    <t>Subpack Weight Comparison</t>
  </si>
  <si>
    <t>Pack</t>
  </si>
  <si>
    <t>Cells vs Rest of the Weight</t>
  </si>
  <si>
    <t xml:space="preserve">Cells </t>
  </si>
  <si>
    <t>FE12 Subpack projected weight</t>
  </si>
  <si>
    <t>Cells</t>
  </si>
  <si>
    <t>Structural Components</t>
  </si>
  <si>
    <t>Walls</t>
  </si>
  <si>
    <t>FE11 Subpack weight</t>
  </si>
  <si>
    <t>Structrual Components</t>
  </si>
  <si>
    <t>Mounts</t>
  </si>
  <si>
    <t>Remaining Weight</t>
  </si>
  <si>
    <t>Mounting blocks</t>
  </si>
  <si>
    <t>Electronics</t>
  </si>
  <si>
    <t>Subpack Floor</t>
  </si>
  <si>
    <t>Total Comparison</t>
  </si>
  <si>
    <t>Busbars/Collector Plates</t>
  </si>
  <si>
    <t>Covers, Bases, Enclosures</t>
  </si>
  <si>
    <t>Negative Tab Panels</t>
  </si>
  <si>
    <t>FE12 Total Subpack weight</t>
  </si>
  <si>
    <t>Miscellaneous</t>
  </si>
  <si>
    <t>Busbars/Connections</t>
  </si>
  <si>
    <t xml:space="preserve">Cell Holders </t>
  </si>
  <si>
    <t>FE11 Total Subpack weight</t>
  </si>
  <si>
    <t>Surlock Receptacles</t>
  </si>
  <si>
    <t>Miscellaenous</t>
  </si>
  <si>
    <t>Collector board</t>
  </si>
  <si>
    <t>Subpacks</t>
  </si>
  <si>
    <t>BMS board</t>
  </si>
  <si>
    <t>Short Busbars</t>
  </si>
  <si>
    <t>Long Busbars</t>
  </si>
  <si>
    <t>Terminal Busbars</t>
  </si>
  <si>
    <t>scaled down FE11 a bit</t>
  </si>
  <si>
    <t>CAD 6.34 kg (without collector board,fasteners)</t>
  </si>
  <si>
    <t>6.569 with??</t>
  </si>
  <si>
    <t>FE12 Container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</si>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</sst>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quotePrefix="1" applyBorder="1"/>
    <xf numFmtId="2" fontId="0" fillId="0" borderId="1" xfId="0" applyNumberFormat="1" applyBorder="1"/>
    <xf numFmtId="0" fontId="0" fillId="0" borderId="2" xfId="0" applyBorder="1"/>
    <xf numFmtId="0" fontId="1" fillId="0" borderId="0" xfId="0" applyFont="1"/>
    <xf numFmtId="0" fontId="0" fillId="5" borderId="0" xfId="0" applyFill="1"/>
    <xf numFmtId="0" fontId="2" fillId="5" borderId="0" xfId="0" applyFont="1" applyFill="1"/>
    <xf numFmtId="0" fontId="2" fillId="0" borderId="1" xfId="0" applyFont="1" applyFill="1" applyBorder="1"/>
    <xf numFmtId="9" fontId="2" fillId="0" borderId="1" xfId="0" applyNumberFormat="1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01C7-3C92-498B-BF39-B024E83C01B5}">
  <dimension ref="A1:N52"/>
  <sheetViews>
    <sheetView tabSelected="1" topLeftCell="A17" workbookViewId="0">
      <selection activeCell="E19" sqref="E19"/>
    </sheetView>
  </sheetViews>
  <sheetFormatPr defaultRowHeight="15" x14ac:dyDescent="0.25"/>
  <cols>
    <col min="1" max="1" width="44.42578125" bestFit="1" customWidth="1"/>
    <col min="2" max="2" width="9" bestFit="1" customWidth="1"/>
    <col min="3" max="3" width="14.140625" customWidth="1"/>
    <col min="4" max="4" width="28.42578125" bestFit="1" customWidth="1"/>
    <col min="5" max="5" width="28.85546875" bestFit="1" customWidth="1"/>
    <col min="6" max="6" width="14.5703125" customWidth="1"/>
    <col min="7" max="7" width="23.140625" bestFit="1" customWidth="1"/>
    <col min="10" max="10" width="24.28515625" bestFit="1" customWidth="1"/>
    <col min="11" max="11" width="11.7109375" bestFit="1" customWidth="1"/>
    <col min="13" max="13" width="23.85546875" bestFit="1" customWidth="1"/>
  </cols>
  <sheetData>
    <row r="1" spans="1:2" x14ac:dyDescent="0.25">
      <c r="A1" s="2" t="s">
        <v>83</v>
      </c>
      <c r="B1" s="1" t="s">
        <v>0</v>
      </c>
    </row>
    <row r="2" spans="1:2" x14ac:dyDescent="0.25">
      <c r="A2" s="1" t="s">
        <v>1</v>
      </c>
      <c r="B2" s="1">
        <f>8.13-B5</f>
        <v>5.2150000000000007</v>
      </c>
    </row>
    <row r="3" spans="1:2" x14ac:dyDescent="0.25">
      <c r="A3" s="1" t="s">
        <v>2</v>
      </c>
      <c r="B3" s="1">
        <v>2.4193199999999999</v>
      </c>
    </row>
    <row r="4" spans="1:2" x14ac:dyDescent="0.25">
      <c r="A4" s="1" t="s">
        <v>3</v>
      </c>
      <c r="B4" s="1">
        <v>1.5376000000000001</v>
      </c>
    </row>
    <row r="5" spans="1:2" x14ac:dyDescent="0.25">
      <c r="A5" s="1" t="s">
        <v>4</v>
      </c>
      <c r="B5" s="1">
        <f>0.583*5</f>
        <v>2.915</v>
      </c>
    </row>
    <row r="6" spans="1:2" x14ac:dyDescent="0.25">
      <c r="A6" s="1" t="s">
        <v>5</v>
      </c>
      <c r="B6" s="1">
        <v>0.2</v>
      </c>
    </row>
    <row r="7" spans="1:2" x14ac:dyDescent="0.25">
      <c r="A7" s="1" t="s">
        <v>6</v>
      </c>
      <c r="B7" s="1">
        <f>0.03*10</f>
        <v>0.3</v>
      </c>
    </row>
    <row r="8" spans="1:2" x14ac:dyDescent="0.25">
      <c r="A8" s="1" t="s">
        <v>7</v>
      </c>
      <c r="B8" s="1">
        <v>0.04</v>
      </c>
    </row>
    <row r="9" spans="1:2" x14ac:dyDescent="0.25">
      <c r="A9" s="1" t="s">
        <v>8</v>
      </c>
      <c r="B9" s="1">
        <f>0.01*8</f>
        <v>0.08</v>
      </c>
    </row>
    <row r="10" spans="1:2" x14ac:dyDescent="0.25">
      <c r="A10" s="1" t="s">
        <v>9</v>
      </c>
      <c r="B10" s="1">
        <v>0.03</v>
      </c>
    </row>
    <row r="11" spans="1:2" x14ac:dyDescent="0.25">
      <c r="A11" s="1" t="s">
        <v>10</v>
      </c>
      <c r="B11" s="1">
        <f>0.059</f>
        <v>5.8999999999999997E-2</v>
      </c>
    </row>
    <row r="12" spans="1:2" x14ac:dyDescent="0.25">
      <c r="A12" s="1" t="s">
        <v>11</v>
      </c>
      <c r="B12" s="1">
        <f>2*0.19</f>
        <v>0.38</v>
      </c>
    </row>
    <row r="13" spans="1:2" x14ac:dyDescent="0.25">
      <c r="A13" s="1" t="s">
        <v>12</v>
      </c>
      <c r="B13" s="1">
        <v>0.02</v>
      </c>
    </row>
    <row r="14" spans="1:2" x14ac:dyDescent="0.25">
      <c r="A14" s="1" t="s">
        <v>13</v>
      </c>
      <c r="B14" s="1">
        <v>0.1</v>
      </c>
    </row>
    <row r="15" spans="1:2" x14ac:dyDescent="0.25">
      <c r="A15" s="1" t="s">
        <v>14</v>
      </c>
      <c r="B15" s="1">
        <v>0.01</v>
      </c>
    </row>
    <row r="16" spans="1:2" x14ac:dyDescent="0.25">
      <c r="A16" s="1" t="s">
        <v>15</v>
      </c>
      <c r="B16" s="1">
        <v>0.02</v>
      </c>
    </row>
    <row r="17" spans="1:11" x14ac:dyDescent="0.25">
      <c r="A17" s="1" t="s">
        <v>16</v>
      </c>
      <c r="B17" s="1">
        <v>0.08</v>
      </c>
    </row>
    <row r="18" spans="1:11" x14ac:dyDescent="0.25">
      <c r="A18" s="1" t="s">
        <v>17</v>
      </c>
      <c r="B18" s="1">
        <v>0.02</v>
      </c>
      <c r="D18" s="2" t="s">
        <v>18</v>
      </c>
      <c r="E18" s="2" t="s">
        <v>84</v>
      </c>
      <c r="G18" s="2" t="s">
        <v>19</v>
      </c>
      <c r="H18" s="2" t="s">
        <v>84</v>
      </c>
      <c r="J18" s="14" t="s">
        <v>20</v>
      </c>
      <c r="K18" s="12" t="s">
        <v>21</v>
      </c>
    </row>
    <row r="19" spans="1:11" x14ac:dyDescent="0.25">
      <c r="A19" s="1" t="s">
        <v>22</v>
      </c>
      <c r="B19" s="1">
        <v>0.16</v>
      </c>
      <c r="D19" s="1" t="s">
        <v>23</v>
      </c>
      <c r="E19" s="1">
        <f>22</f>
        <v>22</v>
      </c>
      <c r="G19" s="1" t="s">
        <v>24</v>
      </c>
      <c r="H19" s="1">
        <v>27.6</v>
      </c>
      <c r="J19" s="12">
        <f>E22/H22</f>
        <v>0.53289270405496503</v>
      </c>
      <c r="K19" s="13">
        <v>0.75</v>
      </c>
    </row>
    <row r="20" spans="1:11" x14ac:dyDescent="0.25">
      <c r="A20" s="1" t="s">
        <v>25</v>
      </c>
      <c r="B20" s="1">
        <f>0.03</f>
        <v>0.03</v>
      </c>
      <c r="D20" s="1" t="s">
        <v>26</v>
      </c>
      <c r="E20" s="1">
        <v>14.514272</v>
      </c>
      <c r="G20" s="1" t="s">
        <v>26</v>
      </c>
      <c r="H20" s="1">
        <v>21</v>
      </c>
      <c r="J20" s="14" t="s">
        <v>27</v>
      </c>
      <c r="K20" s="12"/>
    </row>
    <row r="21" spans="1:11" x14ac:dyDescent="0.25">
      <c r="A21" s="1" t="s">
        <v>28</v>
      </c>
      <c r="B21" s="1">
        <v>0.01</v>
      </c>
      <c r="D21" s="1" t="s">
        <v>29</v>
      </c>
      <c r="E21" s="1">
        <v>8.7054799999999997</v>
      </c>
      <c r="G21" s="1" t="s">
        <v>29</v>
      </c>
      <c r="H21" s="1">
        <v>9</v>
      </c>
      <c r="J21" s="12">
        <f>H22-E22</f>
        <v>2436.6184985676805</v>
      </c>
      <c r="K21" s="12"/>
    </row>
    <row r="22" spans="1:11" x14ac:dyDescent="0.25">
      <c r="A22" s="1" t="s">
        <v>30</v>
      </c>
      <c r="B22" s="1">
        <f>2*(0.01)</f>
        <v>0.02</v>
      </c>
      <c r="D22" s="1" t="s">
        <v>18</v>
      </c>
      <c r="E22" s="1">
        <f>E19*E20*E21</f>
        <v>2779.7815014323201</v>
      </c>
      <c r="G22" s="1" t="s">
        <v>19</v>
      </c>
      <c r="H22" s="1">
        <f>H19*H20*H21</f>
        <v>5216.4000000000005</v>
      </c>
    </row>
    <row r="23" spans="1:11" x14ac:dyDescent="0.25">
      <c r="A23" s="1" t="s">
        <v>31</v>
      </c>
      <c r="B23" s="1">
        <f>2*0.01</f>
        <v>0.02</v>
      </c>
      <c r="E23" t="s">
        <v>0</v>
      </c>
      <c r="F23" t="s">
        <v>32</v>
      </c>
    </row>
    <row r="24" spans="1:11" x14ac:dyDescent="0.25">
      <c r="A24" s="1" t="s">
        <v>33</v>
      </c>
      <c r="B24" s="1">
        <f>0.027+0.06</f>
        <v>8.6999999999999994E-2</v>
      </c>
      <c r="D24" t="s">
        <v>34</v>
      </c>
      <c r="E24">
        <f>67.9</f>
        <v>67.900000000000006</v>
      </c>
      <c r="G24" t="s">
        <v>35</v>
      </c>
    </row>
    <row r="25" spans="1:11" x14ac:dyDescent="0.25">
      <c r="A25" s="1" t="s">
        <v>36</v>
      </c>
      <c r="B25" s="1">
        <f>0.03+0.01</f>
        <v>0.04</v>
      </c>
      <c r="D25" t="s">
        <v>37</v>
      </c>
      <c r="E25" s="10">
        <f>B30+E39</f>
        <v>49.867394999999995</v>
      </c>
      <c r="F25" s="10">
        <f>E25/E24</f>
        <v>0.73442407952871858</v>
      </c>
      <c r="G25" s="3">
        <v>0.8</v>
      </c>
    </row>
    <row r="26" spans="1:11" x14ac:dyDescent="0.25">
      <c r="A26" s="1" t="s">
        <v>38</v>
      </c>
      <c r="B26" s="1">
        <v>0.31</v>
      </c>
      <c r="E26" t="s">
        <v>39</v>
      </c>
    </row>
    <row r="27" spans="1:11" x14ac:dyDescent="0.25">
      <c r="A27" s="1" t="s">
        <v>40</v>
      </c>
      <c r="B27" s="1">
        <f>0.159*15</f>
        <v>2.3850000000000002</v>
      </c>
      <c r="E27" s="11">
        <f>E24-E25</f>
        <v>18.032605000000011</v>
      </c>
      <c r="F27" t="s">
        <v>0</v>
      </c>
    </row>
    <row r="28" spans="1:11" x14ac:dyDescent="0.25">
      <c r="A28" s="4" t="s">
        <v>41</v>
      </c>
      <c r="B28" s="4">
        <f>SUM(B2:B27)</f>
        <v>16.487919999999995</v>
      </c>
      <c r="E28">
        <f>E27*2.205</f>
        <v>39.761894025000025</v>
      </c>
      <c r="F28" t="s">
        <v>42</v>
      </c>
    </row>
    <row r="29" spans="1:11" x14ac:dyDescent="0.25">
      <c r="A29" s="4" t="s">
        <v>43</v>
      </c>
      <c r="B29" s="4">
        <v>1</v>
      </c>
      <c r="C29" t="s">
        <v>44</v>
      </c>
    </row>
    <row r="30" spans="1:11" x14ac:dyDescent="0.25">
      <c r="A30" s="5" t="s">
        <v>45</v>
      </c>
      <c r="B30" s="5">
        <f>B28+B29</f>
        <v>17.487919999999995</v>
      </c>
      <c r="E30" t="s">
        <v>46</v>
      </c>
    </row>
    <row r="34" spans="1:14" x14ac:dyDescent="0.25">
      <c r="A34" s="2" t="s">
        <v>47</v>
      </c>
      <c r="B34" s="2" t="s">
        <v>0</v>
      </c>
      <c r="D34" s="2" t="s">
        <v>48</v>
      </c>
      <c r="E34" s="2" t="s">
        <v>0</v>
      </c>
      <c r="G34" s="2" t="s">
        <v>47</v>
      </c>
      <c r="H34" s="2" t="s">
        <v>0</v>
      </c>
      <c r="J34" s="2" t="s">
        <v>49</v>
      </c>
      <c r="K34" s="2" t="s">
        <v>0</v>
      </c>
      <c r="M34" s="2" t="s">
        <v>50</v>
      </c>
      <c r="N34" s="2" t="s">
        <v>0</v>
      </c>
    </row>
    <row r="35" spans="1:14" x14ac:dyDescent="0.25">
      <c r="A35" s="1" t="s">
        <v>51</v>
      </c>
      <c r="B35" s="1">
        <f>64.95*72/1000</f>
        <v>4.6764000000000001</v>
      </c>
      <c r="D35" s="1" t="s">
        <v>52</v>
      </c>
      <c r="E35" s="1">
        <f>B49</f>
        <v>6.4758950000000004</v>
      </c>
      <c r="G35" s="1" t="s">
        <v>53</v>
      </c>
      <c r="H35" s="1">
        <f>B35</f>
        <v>4.6764000000000001</v>
      </c>
      <c r="J35" s="1" t="s">
        <v>54</v>
      </c>
      <c r="K35" s="1">
        <f>SUM(B2:B5)</f>
        <v>12.086919999999999</v>
      </c>
      <c r="M35" s="1" t="s">
        <v>51</v>
      </c>
      <c r="N35" s="1">
        <f>B35*5</f>
        <v>23.382000000000001</v>
      </c>
    </row>
    <row r="36" spans="1:14" x14ac:dyDescent="0.25">
      <c r="A36" s="6" t="s">
        <v>55</v>
      </c>
      <c r="B36" s="1">
        <f>33.25/1000*2+49.15/1000*2</f>
        <v>0.1648</v>
      </c>
      <c r="D36" s="1" t="s">
        <v>56</v>
      </c>
      <c r="E36" s="1">
        <v>4.71</v>
      </c>
      <c r="G36" s="1" t="s">
        <v>57</v>
      </c>
      <c r="H36" s="1">
        <f>B36+B37+B38+B39+B40</f>
        <v>1.2855699999999999</v>
      </c>
      <c r="J36" s="1" t="s">
        <v>58</v>
      </c>
      <c r="K36" s="7">
        <f>B6</f>
        <v>0.2</v>
      </c>
      <c r="M36" s="1" t="s">
        <v>59</v>
      </c>
      <c r="N36" s="1">
        <f>E25-N35</f>
        <v>26.485394999999993</v>
      </c>
    </row>
    <row r="37" spans="1:14" x14ac:dyDescent="0.25">
      <c r="A37" s="1" t="s">
        <v>60</v>
      </c>
      <c r="B37" s="1">
        <f>0.03505*4</f>
        <v>0.14019999999999999</v>
      </c>
      <c r="D37" s="1" t="s">
        <v>20</v>
      </c>
      <c r="E37" s="1">
        <f>E35/E36</f>
        <v>1.3749246284501062</v>
      </c>
      <c r="G37" s="1" t="s">
        <v>61</v>
      </c>
      <c r="H37" s="1">
        <f>B42+B43</f>
        <v>2.2695E-2</v>
      </c>
      <c r="J37" s="1" t="s">
        <v>61</v>
      </c>
      <c r="K37" s="1">
        <f>SUM(B10:B16)+B7</f>
        <v>0.91900000000000004</v>
      </c>
    </row>
    <row r="38" spans="1:14" x14ac:dyDescent="0.25">
      <c r="A38" s="1" t="s">
        <v>62</v>
      </c>
      <c r="B38" s="1">
        <v>0.1</v>
      </c>
      <c r="D38" s="2" t="s">
        <v>63</v>
      </c>
      <c r="E38" s="2" t="s">
        <v>0</v>
      </c>
      <c r="G38" s="1" t="s">
        <v>64</v>
      </c>
      <c r="H38" s="1">
        <f>B46+B45+B44</f>
        <v>0.10983</v>
      </c>
      <c r="J38" s="1" t="s">
        <v>65</v>
      </c>
      <c r="K38" s="1">
        <f>SUM(B17:B24)</f>
        <v>0.42700000000000005</v>
      </c>
    </row>
    <row r="39" spans="1:14" x14ac:dyDescent="0.25">
      <c r="A39" s="1" t="s">
        <v>66</v>
      </c>
      <c r="B39" s="1">
        <f xml:space="preserve"> 0.20346*2</f>
        <v>0.40692</v>
      </c>
      <c r="D39" s="1" t="s">
        <v>67</v>
      </c>
      <c r="E39" s="1">
        <f>E35*5</f>
        <v>32.379474999999999</v>
      </c>
      <c r="G39" s="1" t="s">
        <v>68</v>
      </c>
      <c r="H39" s="1">
        <f>B48</f>
        <v>0.2</v>
      </c>
      <c r="J39" s="1" t="s">
        <v>69</v>
      </c>
      <c r="K39" s="1">
        <f>SUM(B25:B26)</f>
        <v>0.35</v>
      </c>
    </row>
    <row r="40" spans="1:14" x14ac:dyDescent="0.25">
      <c r="A40" s="1" t="s">
        <v>70</v>
      </c>
      <c r="B40" s="1">
        <f>0.236825*2</f>
        <v>0.47365000000000002</v>
      </c>
      <c r="D40" s="1" t="s">
        <v>71</v>
      </c>
      <c r="E40" s="1">
        <f>E36*10</f>
        <v>47.1</v>
      </c>
      <c r="J40" s="1" t="s">
        <v>40</v>
      </c>
      <c r="K40" s="1">
        <f>B27</f>
        <v>2.3850000000000002</v>
      </c>
    </row>
    <row r="41" spans="1:14" x14ac:dyDescent="0.25">
      <c r="A41" s="1" t="s">
        <v>72</v>
      </c>
      <c r="B41" s="1">
        <f>0.0907*2</f>
        <v>0.18140000000000001</v>
      </c>
      <c r="C41" t="s">
        <v>44</v>
      </c>
      <c r="D41" s="1" t="s">
        <v>20</v>
      </c>
      <c r="E41" s="1">
        <f>E39/E40</f>
        <v>0.687462314225053</v>
      </c>
      <c r="J41" s="1" t="s">
        <v>73</v>
      </c>
      <c r="K41" s="1">
        <f>B29+B8+B9</f>
        <v>1.1200000000000001</v>
      </c>
    </row>
    <row r="42" spans="1:14" x14ac:dyDescent="0.25">
      <c r="A42" s="1" t="s">
        <v>74</v>
      </c>
      <c r="B42" s="1">
        <v>1.9E-2</v>
      </c>
      <c r="J42" s="8" t="s">
        <v>75</v>
      </c>
      <c r="K42">
        <f>E39</f>
        <v>32.379474999999999</v>
      </c>
    </row>
    <row r="43" spans="1:14" x14ac:dyDescent="0.25">
      <c r="A43" s="1" t="s">
        <v>76</v>
      </c>
      <c r="B43" s="1">
        <f>3.695/1000</f>
        <v>3.6949999999999999E-3</v>
      </c>
    </row>
    <row r="44" spans="1:14" x14ac:dyDescent="0.25">
      <c r="A44" s="1" t="s">
        <v>77</v>
      </c>
      <c r="B44" s="1">
        <f>0.003628*20</f>
        <v>7.2559999999999999E-2</v>
      </c>
    </row>
    <row r="45" spans="1:14" x14ac:dyDescent="0.25">
      <c r="A45" s="1" t="s">
        <v>78</v>
      </c>
      <c r="B45" s="1">
        <f>7.27/1000 * 3</f>
        <v>2.181E-2</v>
      </c>
    </row>
    <row r="46" spans="1:14" x14ac:dyDescent="0.25">
      <c r="A46" s="1" t="s">
        <v>79</v>
      </c>
      <c r="B46" s="1">
        <f>7.73/1000*2</f>
        <v>1.5460000000000002E-2</v>
      </c>
    </row>
    <row r="47" spans="1:14" x14ac:dyDescent="0.25">
      <c r="A47" s="4" t="s">
        <v>41</v>
      </c>
      <c r="B47" s="4">
        <f>SUM(B34:B46)</f>
        <v>6.2758950000000002</v>
      </c>
    </row>
    <row r="48" spans="1:14" x14ac:dyDescent="0.25">
      <c r="A48" s="4" t="s">
        <v>43</v>
      </c>
      <c r="B48" s="4">
        <v>0.2</v>
      </c>
      <c r="C48" t="s">
        <v>80</v>
      </c>
    </row>
    <row r="49" spans="1:2" x14ac:dyDescent="0.25">
      <c r="A49" s="5" t="s">
        <v>45</v>
      </c>
      <c r="B49" s="5">
        <f>B47+B48</f>
        <v>6.4758950000000004</v>
      </c>
    </row>
    <row r="50" spans="1:2" x14ac:dyDescent="0.25">
      <c r="A50" s="9" t="s">
        <v>81</v>
      </c>
      <c r="B50" s="9"/>
    </row>
    <row r="51" spans="1:2" x14ac:dyDescent="0.25">
      <c r="A51" s="9" t="s">
        <v>82</v>
      </c>
      <c r="B51" s="9"/>
    </row>
    <row r="52" spans="1:2" x14ac:dyDescent="0.25">
      <c r="B52">
        <v>6.569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2024-10-12T10:20:39Z</dcterms:created>
  <dcterms:modified xsi:type="dcterms:W3CDTF">2024-10-12T10:25:15Z</dcterms:modified>
</cp:coreProperties>
</file>