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ptop\OneDrive - University of California, Davis\Documents\GitHub\FE12-Accumulator\FE12\Weight Distribution Studies\"/>
    </mc:Choice>
  </mc:AlternateContent>
  <xr:revisionPtr revIDLastSave="0" documentId="13_ncr:1_{13BD9EDF-DBDB-4034-AF5E-36552FCC20EC}" xr6:coauthVersionLast="47" xr6:coauthVersionMax="47" xr10:uidLastSave="{00000000-0000-0000-0000-000000000000}"/>
  <bookViews>
    <workbookView xWindow="-120" yWindow="-120" windowWidth="29040" windowHeight="15720" xr2:uid="{879E6154-3167-41E1-8BFC-E61D3D520C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0" i="1" l="1"/>
  <c r="J62" i="1"/>
  <c r="E68" i="1"/>
  <c r="F66" i="1"/>
  <c r="E65" i="1"/>
  <c r="E66" i="1"/>
  <c r="B24" i="1"/>
  <c r="B27" i="1" s="1"/>
  <c r="B28" i="1" s="1"/>
  <c r="E8" i="1"/>
  <c r="N4" i="1" s="1"/>
  <c r="E63" i="1"/>
  <c r="E60" i="1"/>
  <c r="H63" i="1"/>
  <c r="B31" i="1"/>
  <c r="B30" i="1"/>
  <c r="E10" i="1"/>
  <c r="B66" i="1"/>
  <c r="B65" i="1"/>
  <c r="B64" i="1"/>
  <c r="B63" i="1"/>
  <c r="B61" i="1"/>
  <c r="B53" i="1"/>
  <c r="B52" i="1"/>
  <c r="B50" i="1"/>
  <c r="B48" i="1"/>
  <c r="E11" i="1"/>
  <c r="B47" i="1"/>
  <c r="B45" i="1"/>
  <c r="B42" i="1" s="1"/>
  <c r="B68" i="1" s="1"/>
  <c r="B70" i="1" s="1"/>
  <c r="E7" i="1"/>
  <c r="L9" i="1"/>
  <c r="L10" i="1" s="1"/>
  <c r="O9" i="1" s="1"/>
  <c r="O10" i="1" s="1"/>
  <c r="N9" i="1"/>
  <c r="B18" i="1"/>
  <c r="B17" i="1"/>
  <c r="K5" i="1" s="1"/>
  <c r="K7" i="1"/>
  <c r="E28" i="1"/>
  <c r="E27" i="1"/>
  <c r="E26" i="1"/>
  <c r="E24" i="1"/>
  <c r="E16" i="1"/>
  <c r="E15" i="1"/>
  <c r="N5" i="1" s="1"/>
  <c r="E29" i="1"/>
  <c r="E6" i="1"/>
  <c r="N3" i="1" s="1"/>
  <c r="E12" i="1"/>
  <c r="E13" i="1"/>
  <c r="B15" i="1"/>
  <c r="B19" i="1"/>
  <c r="B11" i="1"/>
  <c r="B10" i="1"/>
  <c r="B9" i="1"/>
  <c r="B3" i="1"/>
  <c r="K3" i="1" s="1"/>
  <c r="B6" i="1"/>
  <c r="B25" i="1" l="1"/>
  <c r="Q3" i="1"/>
  <c r="N6" i="1"/>
  <c r="K4" i="1"/>
  <c r="K6" i="1"/>
  <c r="N7" i="1"/>
  <c r="E31" i="1"/>
  <c r="E32" i="1" s="1"/>
  <c r="B20" i="1"/>
  <c r="B21" i="1" s="1"/>
  <c r="K8" i="1" s="1"/>
  <c r="K9" i="1" s="1"/>
  <c r="K10" i="1" s="1"/>
  <c r="E33" i="1" l="1"/>
  <c r="N8" i="1"/>
  <c r="N10" i="1" s="1"/>
  <c r="G3" i="1" l="1"/>
  <c r="Q4" i="1" s="1"/>
  <c r="E42" i="1"/>
  <c r="H8" i="1" l="1"/>
  <c r="H9" i="1"/>
</calcChain>
</file>

<file path=xl/sharedStrings.xml><?xml version="1.0" encoding="utf-8"?>
<sst xmlns="http://schemas.openxmlformats.org/spreadsheetml/2006/main" count="145" uniqueCount="98">
  <si>
    <t>Subpack</t>
  </si>
  <si>
    <t xml:space="preserve">Cells </t>
  </si>
  <si>
    <t>Mass in kg</t>
  </si>
  <si>
    <t>Heat sink</t>
  </si>
  <si>
    <t>Surlock Receptacles</t>
  </si>
  <si>
    <t>Walls</t>
  </si>
  <si>
    <t>Top</t>
  </si>
  <si>
    <t>Cell Holders (wirebond side)</t>
  </si>
  <si>
    <t>Cell Holders (heatsink side)</t>
  </si>
  <si>
    <t xml:space="preserve">Floor </t>
  </si>
  <si>
    <t>Subpack Ceiling</t>
  </si>
  <si>
    <t>Cell length spacers</t>
  </si>
  <si>
    <t>Protection Wall</t>
  </si>
  <si>
    <t>Collector board</t>
  </si>
  <si>
    <t>Measured total</t>
  </si>
  <si>
    <t>Accumulator Container</t>
  </si>
  <si>
    <t>Walls and Floor</t>
  </si>
  <si>
    <t>Lid</t>
  </si>
  <si>
    <t>Insulating Sheet</t>
  </si>
  <si>
    <t>Maintenance Plugs</t>
  </si>
  <si>
    <t>HV Cables</t>
  </si>
  <si>
    <t>IMD Board</t>
  </si>
  <si>
    <t>Fuse Holder</t>
  </si>
  <si>
    <t>IMD Base</t>
  </si>
  <si>
    <t>Precharge Base</t>
  </si>
  <si>
    <t>PEI BMS Enclosure</t>
  </si>
  <si>
    <t>PEI BMS Board</t>
  </si>
  <si>
    <t>Busbars</t>
  </si>
  <si>
    <t>PE floor</t>
  </si>
  <si>
    <t>HV Indicator Enclosure</t>
  </si>
  <si>
    <t>AIR bottom enclosure</t>
  </si>
  <si>
    <t>AIR lid</t>
  </si>
  <si>
    <t>AIRs</t>
  </si>
  <si>
    <t>Surlock Receptacle</t>
  </si>
  <si>
    <t>Current Sensor</t>
  </si>
  <si>
    <t>Center Wall</t>
  </si>
  <si>
    <t>Internal Walls</t>
  </si>
  <si>
    <t xml:space="preserve">Fuse </t>
  </si>
  <si>
    <t xml:space="preserve">HV Indicator </t>
  </si>
  <si>
    <t>small Maint. plug dividers</t>
  </si>
  <si>
    <t>Middle Maint. Plug dividers</t>
  </si>
  <si>
    <t>Terminal Busbars</t>
  </si>
  <si>
    <t>Collector Plates</t>
  </si>
  <si>
    <t>Top corner pieces</t>
  </si>
  <si>
    <t>Bottom corner pieces</t>
  </si>
  <si>
    <t>Fasteners and miscellaneous</t>
  </si>
  <si>
    <t>Cells</t>
  </si>
  <si>
    <t>Structrual Components</t>
  </si>
  <si>
    <t>Electronics</t>
  </si>
  <si>
    <t>BMS board</t>
  </si>
  <si>
    <t>Busbars/Collector Plates</t>
  </si>
  <si>
    <t>PEI BMS board cover</t>
  </si>
  <si>
    <t>Grand Total</t>
  </si>
  <si>
    <t>Total without Fasteners</t>
  </si>
  <si>
    <t>kg</t>
  </si>
  <si>
    <t>Pack</t>
  </si>
  <si>
    <t>Structural Components</t>
  </si>
  <si>
    <t>E-meter</t>
  </si>
  <si>
    <t>Mounts</t>
  </si>
  <si>
    <t>Busbars/Connections</t>
  </si>
  <si>
    <t>Covers, Bases, Enclosures</t>
  </si>
  <si>
    <t>Miscellaneous</t>
  </si>
  <si>
    <t>Cells vs Rest of the Weight</t>
  </si>
  <si>
    <t>Remaining Weight</t>
  </si>
  <si>
    <t>Total CAD Weight (kg)</t>
  </si>
  <si>
    <t>Actual total Weight (kg)</t>
  </si>
  <si>
    <t>difference from actual weight (kg)</t>
  </si>
  <si>
    <t>difference from CAD weight (kg)</t>
  </si>
  <si>
    <t>Subpacks</t>
  </si>
  <si>
    <t xml:space="preserve">FE12 </t>
  </si>
  <si>
    <t>FE12</t>
  </si>
  <si>
    <t>PE floor (fans)</t>
  </si>
  <si>
    <t>smaller for FE12, estimate for now</t>
  </si>
  <si>
    <t>Maintenance Receptacle</t>
  </si>
  <si>
    <t xml:space="preserve">Mounts </t>
  </si>
  <si>
    <t>FE12 % of weight</t>
  </si>
  <si>
    <t>FE12 Subpack weight</t>
  </si>
  <si>
    <t xml:space="preserve">Ratio </t>
  </si>
  <si>
    <t>Sum of Subpack weight</t>
  </si>
  <si>
    <t>Mass of Fans</t>
  </si>
  <si>
    <t>Total Mass of Fans</t>
  </si>
  <si>
    <t>Total FE12 Estimated weight</t>
  </si>
  <si>
    <t>Difference</t>
  </si>
  <si>
    <t>Volume of FE12</t>
  </si>
  <si>
    <t>Length</t>
  </si>
  <si>
    <t xml:space="preserve">Width </t>
  </si>
  <si>
    <t>Height</t>
  </si>
  <si>
    <t>Volume of FE11</t>
  </si>
  <si>
    <t>Width</t>
  </si>
  <si>
    <t>ratio</t>
  </si>
  <si>
    <t>difference</t>
  </si>
  <si>
    <t>in2</t>
  </si>
  <si>
    <t>with first draft cutouts</t>
  </si>
  <si>
    <t>add air duct weight</t>
  </si>
  <si>
    <t>Ratio</t>
  </si>
  <si>
    <t>Total FE11 Actual Weight</t>
  </si>
  <si>
    <t>volume goal</t>
  </si>
  <si>
    <t>mass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</si>
</sst>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2" borderId="1" xfId="0" applyFill="1" applyBorder="1"/>
    <xf numFmtId="2" fontId="0" fillId="0" borderId="1" xfId="0" applyNumberFormat="1" applyBorder="1"/>
    <xf numFmtId="0" fontId="0" fillId="0" borderId="1" xfId="0" quotePrefix="1" applyBorder="1"/>
    <xf numFmtId="0" fontId="0" fillId="2" borderId="2" xfId="0" applyFill="1" applyBorder="1"/>
    <xf numFmtId="2" fontId="2" fillId="0" borderId="1" xfId="0" applyNumberFormat="1" applyFont="1" applyBorder="1"/>
    <xf numFmtId="0" fontId="0" fillId="0" borderId="1" xfId="0" applyFill="1" applyBorder="1"/>
    <xf numFmtId="0" fontId="0" fillId="2" borderId="0" xfId="0" applyFill="1"/>
    <xf numFmtId="9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FE11</a:t>
            </a:r>
            <a:r>
              <a:rPr lang="en-US" baseline="0"/>
              <a:t> Subpack Weight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34-4356-BF94-B551961B9F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0-4474-A350-BC09FEA4CC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0-4474-A350-BC09FEA4CC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0-4474-A350-BC09FEA4CC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FF0-4474-A350-BC09FEA4CC9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FF0-4474-A350-BC09FEA4CC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Sheet1!$J$3:$J$8</c:f>
              <c:strCache>
                <c:ptCount val="6"/>
                <c:pt idx="0">
                  <c:v>Cells</c:v>
                </c:pt>
                <c:pt idx="1">
                  <c:v>Structrual Components</c:v>
                </c:pt>
                <c:pt idx="2">
                  <c:v>Electronics</c:v>
                </c:pt>
                <c:pt idx="3">
                  <c:v>Busbars/Collector Plates</c:v>
                </c:pt>
                <c:pt idx="4">
                  <c:v>Heat sink</c:v>
                </c:pt>
                <c:pt idx="5">
                  <c:v>Miscellaneous</c:v>
                </c:pt>
              </c:strCache>
            </c:strRef>
          </c:cat>
          <c:val>
            <c:numRef>
              <c:f>Sheet1!$K$3:$K$8</c:f>
              <c:numCache>
                <c:formatCode>General</c:formatCode>
                <c:ptCount val="6"/>
                <c:pt idx="0">
                  <c:v>3.1176000000000004</c:v>
                </c:pt>
                <c:pt idx="1">
                  <c:v>0.82000000000000006</c:v>
                </c:pt>
                <c:pt idx="2">
                  <c:v>3.9E-2</c:v>
                </c:pt>
                <c:pt idx="3">
                  <c:v>8.4680000000000005E-2</c:v>
                </c:pt>
                <c:pt idx="4">
                  <c:v>0.33</c:v>
                </c:pt>
                <c:pt idx="5">
                  <c:v>0.31872000000000167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4-4356-BF94-B551961B9F0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FE11 Accumulator</a:t>
            </a:r>
            <a:r>
              <a:rPr lang="en-US" baseline="0"/>
              <a:t> Container and Power Electronics Weight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3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B4-4FBE-98D2-42A70753D9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80-4971-B071-5A3BA01F5E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80-4971-B071-5A3BA01F5E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80-4971-B071-5A3BA01F5E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C80-4971-B071-5A3BA01F5E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C80-4971-B071-5A3BA01F5E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Sheet1!$M$3:$M$8</c:f>
              <c:strCache>
                <c:ptCount val="6"/>
                <c:pt idx="0">
                  <c:v>Structural Components</c:v>
                </c:pt>
                <c:pt idx="1">
                  <c:v>Mounts</c:v>
                </c:pt>
                <c:pt idx="2">
                  <c:v>Electronics</c:v>
                </c:pt>
                <c:pt idx="3">
                  <c:v>Covers, Bases, Enclosures</c:v>
                </c:pt>
                <c:pt idx="4">
                  <c:v>Busbars/Connections</c:v>
                </c:pt>
                <c:pt idx="5">
                  <c:v>Miscellaneous</c:v>
                </c:pt>
              </c:strCache>
            </c:strRef>
          </c:cat>
          <c:val>
            <c:numRef>
              <c:f>Sheet1!$N$3:$N$8</c:f>
              <c:numCache>
                <c:formatCode>0.00</c:formatCode>
                <c:ptCount val="6"/>
                <c:pt idx="0" formatCode="General">
                  <c:v>15.339072</c:v>
                </c:pt>
                <c:pt idx="1">
                  <c:v>0.24907199999999999</c:v>
                </c:pt>
                <c:pt idx="2" formatCode="General">
                  <c:v>0.69899999999999995</c:v>
                </c:pt>
                <c:pt idx="3" formatCode="General">
                  <c:v>0.42700000000000005</c:v>
                </c:pt>
                <c:pt idx="4" formatCode="General">
                  <c:v>2.0914000000000001</c:v>
                </c:pt>
                <c:pt idx="5" formatCode="General">
                  <c:v>1.933527999999999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4-4FBE-98D2-42A70753D91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FE11 Accumulator</a:t>
            </a:r>
            <a:r>
              <a:rPr lang="en-US" baseline="0"/>
              <a:t> Total Cell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A4-4142-8C70-D1FBF3DAD0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A4-4142-8C70-D1FBF3DAD0D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Sheet1!$P$3:$P$4</c:f>
              <c:strCache>
                <c:ptCount val="2"/>
                <c:pt idx="0">
                  <c:v>Cells </c:v>
                </c:pt>
                <c:pt idx="1">
                  <c:v>Remaining Weight</c:v>
                </c:pt>
              </c:strCache>
            </c:strRef>
          </c:cat>
          <c:val>
            <c:numRef>
              <c:f>Sheet1!$Q$3:$Q$4</c:f>
              <c:numCache>
                <c:formatCode>General</c:formatCode>
                <c:ptCount val="2"/>
                <c:pt idx="0">
                  <c:v>31.176000000000002</c:v>
                </c:pt>
                <c:pt idx="1">
                  <c:v>36.334000000000003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A-4731-9450-FF98E85D8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FE11 Accumulator Weight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2D6-4D78-A9DF-832BFB2ADE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EC-47C2-8987-07B6153A17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D6-4D78-A9DF-832BFB2ADE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EC-47C2-8987-07B6153A17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EC-47C2-8987-07B6153A17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EC-47C2-8987-07B6153A179D}"/>
              </c:ext>
            </c:extLst>
          </c:dPt>
          <c:dPt>
            <c:idx val="6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D6-4D78-A9DF-832BFB2ADE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Sheet1!$M$3:$M$9</c:f>
              <c:strCache>
                <c:ptCount val="7"/>
                <c:pt idx="0">
                  <c:v>Structural Components</c:v>
                </c:pt>
                <c:pt idx="1">
                  <c:v>Mounts</c:v>
                </c:pt>
                <c:pt idx="2">
                  <c:v>Electronics</c:v>
                </c:pt>
                <c:pt idx="3">
                  <c:v>Covers, Bases, Enclosures</c:v>
                </c:pt>
                <c:pt idx="4">
                  <c:v>Busbars/Connections</c:v>
                </c:pt>
                <c:pt idx="5">
                  <c:v>Miscellaneous</c:v>
                </c:pt>
                <c:pt idx="6">
                  <c:v>Subpacks</c:v>
                </c:pt>
              </c:strCache>
            </c:strRef>
          </c:cat>
          <c:val>
            <c:numRef>
              <c:f>Sheet1!$N$3:$N$9</c:f>
              <c:numCache>
                <c:formatCode>0.00</c:formatCode>
                <c:ptCount val="7"/>
                <c:pt idx="0" formatCode="General">
                  <c:v>15.339072</c:v>
                </c:pt>
                <c:pt idx="1">
                  <c:v>0.24907199999999999</c:v>
                </c:pt>
                <c:pt idx="2" formatCode="General">
                  <c:v>0.69899999999999995</c:v>
                </c:pt>
                <c:pt idx="3" formatCode="General">
                  <c:v>0.42700000000000005</c:v>
                </c:pt>
                <c:pt idx="4" formatCode="General">
                  <c:v>2.0914000000000001</c:v>
                </c:pt>
                <c:pt idx="5" formatCode="General">
                  <c:v>1.933527999999999</c:v>
                </c:pt>
                <c:pt idx="6" formatCode="General">
                  <c:v>47.1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6-4D78-A9DF-832BFB2ADE8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561974</xdr:colOff>
      <xdr:row>13</xdr:row>
      <xdr:rowOff>56029</xdr:rowOff>
    </xdr:from>
    <xdr:to>
      <xdr:col>10</xdr:col>
      <xdr:colOff>380999</xdr:colOff>
      <xdr:row>28</xdr:row>
      <xdr:rowOff>123265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458031-BED9-3452-47E4-972DA201C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237565</xdr:colOff>
      <xdr:row>13</xdr:row>
      <xdr:rowOff>134470</xdr:rowOff>
    </xdr:from>
    <xdr:to>
      <xdr:col>15</xdr:col>
      <xdr:colOff>1176617</xdr:colOff>
      <xdr:row>28</xdr:row>
      <xdr:rowOff>164565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28ACCA-A2ED-76FD-415A-69A852AC5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579100</xdr:colOff>
      <xdr:row>29</xdr:row>
      <xdr:rowOff>145676</xdr:rowOff>
    </xdr:from>
    <xdr:to>
      <xdr:col>10</xdr:col>
      <xdr:colOff>392205</xdr:colOff>
      <xdr:row>46</xdr:row>
      <xdr:rowOff>44823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6AFA82-D3C2-D096-4F53-4F29FF462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248209</xdr:colOff>
      <xdr:row>30</xdr:row>
      <xdr:rowOff>56030</xdr:rowOff>
    </xdr:from>
    <xdr:to>
      <xdr:col>16</xdr:col>
      <xdr:colOff>168088</xdr:colOff>
      <xdr:row>46</xdr:row>
      <xdr:rowOff>78441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E4BC2-A41F-E45F-8930-7A47560D4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21477-A8EC-4562-AE62-81692505D30C}">
  <dimension ref="A1:Q70"/>
  <sheetViews>
    <sheetView tabSelected="1" topLeftCell="A44" zoomScaleNormal="100" workbookViewId="0">
      <selection activeCell="E52" sqref="E52"/>
    </sheetView>
  </sheetViews>
  <sheetFormatPr defaultRowHeight="15" x14ac:dyDescent="0.25"/>
  <cols>
    <col min="1" max="1" width="27.42578125" bestFit="1" customWidth="1"/>
    <col min="4" max="4" width="27" bestFit="1" customWidth="1"/>
    <col min="7" max="7" width="31" bestFit="1" customWidth="1"/>
    <col min="10" max="10" width="23.140625" bestFit="1" customWidth="1"/>
    <col min="13" max="13" width="24.28515625" bestFit="1" customWidth="1"/>
    <col min="16" max="16" width="23.85546875" bestFit="1" customWidth="1"/>
  </cols>
  <sheetData>
    <row r="1" spans="1:17" x14ac:dyDescent="0.25">
      <c r="A1" t="s">
        <v>2</v>
      </c>
    </row>
    <row r="2" spans="1:17" x14ac:dyDescent="0.25">
      <c r="A2" s="5" t="s">
        <v>0</v>
      </c>
      <c r="B2" s="5" t="s">
        <v>54</v>
      </c>
      <c r="D2" s="5" t="s">
        <v>15</v>
      </c>
      <c r="E2" s="5" t="s">
        <v>54</v>
      </c>
      <c r="G2" s="2" t="s">
        <v>64</v>
      </c>
      <c r="J2" s="5" t="s">
        <v>0</v>
      </c>
      <c r="K2" s="5" t="s">
        <v>54</v>
      </c>
      <c r="L2" t="s">
        <v>69</v>
      </c>
      <c r="M2" s="5" t="s">
        <v>55</v>
      </c>
      <c r="N2" s="5" t="s">
        <v>54</v>
      </c>
      <c r="O2" s="8" t="s">
        <v>70</v>
      </c>
      <c r="P2" s="5" t="s">
        <v>62</v>
      </c>
      <c r="Q2" s="5" t="s">
        <v>54</v>
      </c>
    </row>
    <row r="3" spans="1:17" x14ac:dyDescent="0.25">
      <c r="A3" s="1" t="s">
        <v>1</v>
      </c>
      <c r="B3" s="1">
        <f>64.95*48/1000</f>
        <v>3.1176000000000004</v>
      </c>
      <c r="D3" s="1" t="s">
        <v>16</v>
      </c>
      <c r="E3" s="1">
        <v>6.74</v>
      </c>
      <c r="G3" s="2">
        <f>B22*10+E33</f>
        <v>67.510000000000005</v>
      </c>
      <c r="J3" s="1" t="s">
        <v>46</v>
      </c>
      <c r="K3" s="1">
        <f>B3</f>
        <v>3.1176000000000004</v>
      </c>
      <c r="L3">
        <v>5.04</v>
      </c>
      <c r="M3" s="1" t="s">
        <v>56</v>
      </c>
      <c r="N3" s="1">
        <f>SUM(E3:E8)</f>
        <v>15.339072</v>
      </c>
      <c r="O3">
        <v>8</v>
      </c>
      <c r="P3" s="1" t="s">
        <v>1</v>
      </c>
      <c r="Q3" s="1">
        <f>B3*10</f>
        <v>31.176000000000002</v>
      </c>
    </row>
    <row r="4" spans="1:17" x14ac:dyDescent="0.25">
      <c r="A4" s="1" t="s">
        <v>3</v>
      </c>
      <c r="B4" s="1">
        <v>0.33</v>
      </c>
      <c r="D4" s="1" t="s">
        <v>17</v>
      </c>
      <c r="E4" s="1">
        <v>3.63</v>
      </c>
      <c r="J4" s="1" t="s">
        <v>47</v>
      </c>
      <c r="K4" s="1">
        <f>SUM(B5:B15)</f>
        <v>0.82000000000000006</v>
      </c>
      <c r="L4">
        <v>1.5</v>
      </c>
      <c r="M4" s="1" t="s">
        <v>58</v>
      </c>
      <c r="N4" s="6">
        <f>E8</f>
        <v>0.24907199999999999</v>
      </c>
      <c r="O4">
        <v>1.36</v>
      </c>
      <c r="P4" s="1" t="s">
        <v>63</v>
      </c>
      <c r="Q4" s="1">
        <f>G3-Q3</f>
        <v>36.334000000000003</v>
      </c>
    </row>
    <row r="5" spans="1:17" x14ac:dyDescent="0.25">
      <c r="A5" s="1" t="s">
        <v>9</v>
      </c>
      <c r="B5" s="1">
        <v>0.05</v>
      </c>
      <c r="D5" s="1" t="s">
        <v>28</v>
      </c>
      <c r="E5" s="1">
        <v>1.95</v>
      </c>
      <c r="G5" s="2" t="s">
        <v>65</v>
      </c>
      <c r="J5" s="1" t="s">
        <v>48</v>
      </c>
      <c r="K5" s="1">
        <f>SUM(B16:B17)</f>
        <v>3.9E-2</v>
      </c>
      <c r="L5">
        <v>3.9E-2</v>
      </c>
      <c r="M5" s="1" t="s">
        <v>48</v>
      </c>
      <c r="N5" s="1">
        <f>SUM(E14:E21)</f>
        <v>0.69899999999999995</v>
      </c>
      <c r="O5">
        <v>0.69899999999999995</v>
      </c>
    </row>
    <row r="6" spans="1:17" x14ac:dyDescent="0.25">
      <c r="A6" s="7" t="s">
        <v>5</v>
      </c>
      <c r="B6" s="1">
        <f>2*0.03</f>
        <v>0.06</v>
      </c>
      <c r="D6" s="1" t="s">
        <v>36</v>
      </c>
      <c r="E6" s="1">
        <f>0.58*4</f>
        <v>2.3199999999999998</v>
      </c>
      <c r="G6" s="2">
        <v>67.900000000000006</v>
      </c>
      <c r="J6" s="1" t="s">
        <v>50</v>
      </c>
      <c r="K6" s="1">
        <f>SUM(B18:B19)</f>
        <v>8.4680000000000005E-2</v>
      </c>
      <c r="L6">
        <v>0.1</v>
      </c>
      <c r="M6" s="1" t="s">
        <v>60</v>
      </c>
      <c r="N6" s="1">
        <f>SUM(E21:E28)</f>
        <v>0.42700000000000005</v>
      </c>
      <c r="O6">
        <v>0.42699999999999999</v>
      </c>
    </row>
    <row r="7" spans="1:17" x14ac:dyDescent="0.25">
      <c r="A7" s="1" t="s">
        <v>6</v>
      </c>
      <c r="B7" s="1">
        <v>0.05</v>
      </c>
      <c r="D7" s="1" t="s">
        <v>35</v>
      </c>
      <c r="E7" s="1">
        <f>0.45</f>
        <v>0.45</v>
      </c>
      <c r="J7" s="1" t="s">
        <v>3</v>
      </c>
      <c r="K7" s="1">
        <f>B4</f>
        <v>0.33</v>
      </c>
      <c r="L7">
        <v>0.13</v>
      </c>
      <c r="M7" s="1" t="s">
        <v>59</v>
      </c>
      <c r="N7" s="1">
        <f>SUM(E9:E13)+SUM(E29:E30)</f>
        <v>2.0914000000000001</v>
      </c>
      <c r="O7">
        <v>1.5</v>
      </c>
    </row>
    <row r="8" spans="1:17" x14ac:dyDescent="0.25">
      <c r="A8" s="1" t="s">
        <v>10</v>
      </c>
      <c r="B8" s="1">
        <v>0.05</v>
      </c>
      <c r="D8" s="10" t="s">
        <v>74</v>
      </c>
      <c r="E8" s="9">
        <f>4*0.02278+4*0.023676+2*0.031624</f>
        <v>0.24907199999999999</v>
      </c>
      <c r="G8" s="2" t="s">
        <v>66</v>
      </c>
      <c r="H8" s="2">
        <f>G3-67.9</f>
        <v>-0.39000000000000057</v>
      </c>
      <c r="J8" s="1" t="s">
        <v>61</v>
      </c>
      <c r="K8" s="1">
        <f>B21</f>
        <v>0.31872000000000167</v>
      </c>
      <c r="L8">
        <v>0.35</v>
      </c>
      <c r="M8" s="1" t="s">
        <v>61</v>
      </c>
      <c r="N8" s="1">
        <f>E32</f>
        <v>1.933527999999999</v>
      </c>
      <c r="O8">
        <v>0.6</v>
      </c>
    </row>
    <row r="9" spans="1:17" x14ac:dyDescent="0.25">
      <c r="A9" s="1" t="s">
        <v>11</v>
      </c>
      <c r="B9" s="1">
        <f>8*0.01</f>
        <v>0.08</v>
      </c>
      <c r="D9" s="1" t="s">
        <v>18</v>
      </c>
      <c r="E9" s="1">
        <v>0.79</v>
      </c>
      <c r="G9" s="2" t="s">
        <v>67</v>
      </c>
      <c r="H9" s="2">
        <f>G3-67.51</f>
        <v>0</v>
      </c>
      <c r="K9">
        <f>SUM(K3:K8)</f>
        <v>4.7100000000000026</v>
      </c>
      <c r="L9">
        <f>SUM(L3:L8)</f>
        <v>7.1589999999999989</v>
      </c>
      <c r="M9" s="1" t="s">
        <v>68</v>
      </c>
      <c r="N9" s="1">
        <f>4.71*10</f>
        <v>47.1</v>
      </c>
      <c r="O9">
        <f>L10</f>
        <v>35.794999999999995</v>
      </c>
    </row>
    <row r="10" spans="1:17" x14ac:dyDescent="0.25">
      <c r="A10" s="1" t="s">
        <v>44</v>
      </c>
      <c r="B10" s="1">
        <f>2*0.02</f>
        <v>0.04</v>
      </c>
      <c r="D10" s="1" t="s">
        <v>19</v>
      </c>
      <c r="E10" s="1">
        <f>0.03*20</f>
        <v>0.6</v>
      </c>
      <c r="K10">
        <f>K9*10</f>
        <v>47.100000000000023</v>
      </c>
      <c r="L10">
        <f>L9*5</f>
        <v>35.794999999999995</v>
      </c>
      <c r="N10">
        <f>SUM(N3:N9)</f>
        <v>67.839072000000002</v>
      </c>
      <c r="O10">
        <f>SUM(O3:O9)</f>
        <v>48.380999999999993</v>
      </c>
    </row>
    <row r="11" spans="1:17" x14ac:dyDescent="0.25">
      <c r="A11" s="1" t="s">
        <v>43</v>
      </c>
      <c r="B11" s="1">
        <f>2*0.03</f>
        <v>0.06</v>
      </c>
      <c r="D11" s="1" t="s">
        <v>33</v>
      </c>
      <c r="E11" s="1">
        <f>0.00907*20</f>
        <v>0.18140000000000001</v>
      </c>
    </row>
    <row r="12" spans="1:17" x14ac:dyDescent="0.25">
      <c r="A12" s="1" t="s">
        <v>12</v>
      </c>
      <c r="B12" s="1">
        <v>7.0000000000000007E-2</v>
      </c>
      <c r="D12" s="1" t="s">
        <v>40</v>
      </c>
      <c r="E12" s="1">
        <f>0.04*3</f>
        <v>0.12</v>
      </c>
    </row>
    <row r="13" spans="1:17" x14ac:dyDescent="0.25">
      <c r="A13" s="1" t="s">
        <v>7</v>
      </c>
      <c r="B13" s="1">
        <v>0.16</v>
      </c>
      <c r="D13" s="1" t="s">
        <v>39</v>
      </c>
      <c r="E13" s="1">
        <f>0.01*5</f>
        <v>0.05</v>
      </c>
    </row>
    <row r="14" spans="1:17" x14ac:dyDescent="0.25">
      <c r="A14" s="1" t="s">
        <v>8</v>
      </c>
      <c r="B14" s="1">
        <v>0.18</v>
      </c>
      <c r="D14" s="1" t="s">
        <v>37</v>
      </c>
      <c r="E14" s="1">
        <v>0.03</v>
      </c>
    </row>
    <row r="15" spans="1:17" x14ac:dyDescent="0.25">
      <c r="A15" s="1" t="s">
        <v>4</v>
      </c>
      <c r="B15" s="1">
        <f>2*(0.01)</f>
        <v>0.02</v>
      </c>
      <c r="D15" s="1" t="s">
        <v>57</v>
      </c>
      <c r="E15" s="1">
        <f>0.059</f>
        <v>5.8999999999999997E-2</v>
      </c>
    </row>
    <row r="16" spans="1:17" x14ac:dyDescent="0.25">
      <c r="A16" s="1" t="s">
        <v>13</v>
      </c>
      <c r="B16" s="1">
        <v>1.9E-2</v>
      </c>
      <c r="D16" s="1" t="s">
        <v>32</v>
      </c>
      <c r="E16" s="1">
        <f>2*0.19</f>
        <v>0.38</v>
      </c>
    </row>
    <row r="17" spans="1:5" x14ac:dyDescent="0.25">
      <c r="A17" s="1" t="s">
        <v>49</v>
      </c>
      <c r="B17" s="1">
        <f>0.02</f>
        <v>0.02</v>
      </c>
      <c r="D17" s="1" t="s">
        <v>21</v>
      </c>
      <c r="E17" s="1">
        <v>0.02</v>
      </c>
    </row>
    <row r="18" spans="1:5" x14ac:dyDescent="0.25">
      <c r="A18" s="1" t="s">
        <v>42</v>
      </c>
      <c r="B18" s="1">
        <f>5.88/1000*11</f>
        <v>6.4680000000000001E-2</v>
      </c>
      <c r="D18" s="1" t="s">
        <v>26</v>
      </c>
      <c r="E18" s="1">
        <v>0.1</v>
      </c>
    </row>
    <row r="19" spans="1:5" x14ac:dyDescent="0.25">
      <c r="A19" s="1" t="s">
        <v>41</v>
      </c>
      <c r="B19" s="1">
        <f>2*0.01</f>
        <v>0.02</v>
      </c>
      <c r="D19" s="1" t="s">
        <v>34</v>
      </c>
      <c r="E19" s="1">
        <v>0.01</v>
      </c>
    </row>
    <row r="20" spans="1:5" x14ac:dyDescent="0.25">
      <c r="A20" s="4" t="s">
        <v>53</v>
      </c>
      <c r="B20" s="4">
        <f>SUM(B3:B19)</f>
        <v>4.3912799999999983</v>
      </c>
      <c r="D20" s="1" t="s">
        <v>38</v>
      </c>
      <c r="E20" s="1">
        <v>0.02</v>
      </c>
    </row>
    <row r="21" spans="1:5" x14ac:dyDescent="0.25">
      <c r="A21" s="4" t="s">
        <v>45</v>
      </c>
      <c r="B21" s="4">
        <f>B22-B20</f>
        <v>0.31872000000000167</v>
      </c>
      <c r="D21" s="1" t="s">
        <v>23</v>
      </c>
      <c r="E21" s="1">
        <v>0.08</v>
      </c>
    </row>
    <row r="22" spans="1:5" x14ac:dyDescent="0.25">
      <c r="A22" s="3" t="s">
        <v>14</v>
      </c>
      <c r="B22" s="3">
        <v>4.71</v>
      </c>
      <c r="D22" s="1" t="s">
        <v>24</v>
      </c>
      <c r="E22" s="1">
        <v>0.02</v>
      </c>
    </row>
    <row r="23" spans="1:5" x14ac:dyDescent="0.25">
      <c r="D23" s="1" t="s">
        <v>25</v>
      </c>
      <c r="E23" s="1">
        <v>0.16</v>
      </c>
    </row>
    <row r="24" spans="1:5" x14ac:dyDescent="0.25">
      <c r="A24" t="s">
        <v>76</v>
      </c>
      <c r="B24">
        <f>6.65+B30+B21</f>
        <v>7.1277200000000018</v>
      </c>
      <c r="D24" s="1" t="s">
        <v>51</v>
      </c>
      <c r="E24" s="1">
        <f>0.03</f>
        <v>0.03</v>
      </c>
    </row>
    <row r="25" spans="1:5" x14ac:dyDescent="0.25">
      <c r="A25" t="s">
        <v>77</v>
      </c>
      <c r="B25">
        <f>B24/B22</f>
        <v>1.5133163481953296</v>
      </c>
      <c r="D25" s="1" t="s">
        <v>29</v>
      </c>
      <c r="E25" s="1">
        <v>0.01</v>
      </c>
    </row>
    <row r="26" spans="1:5" x14ac:dyDescent="0.25">
      <c r="D26" s="1" t="s">
        <v>30</v>
      </c>
      <c r="E26" s="1">
        <f>2*(0.01)</f>
        <v>0.02</v>
      </c>
    </row>
    <row r="27" spans="1:5" x14ac:dyDescent="0.25">
      <c r="A27" t="s">
        <v>78</v>
      </c>
      <c r="B27">
        <f>B24*5</f>
        <v>35.638600000000011</v>
      </c>
      <c r="D27" s="1" t="s">
        <v>31</v>
      </c>
      <c r="E27" s="1">
        <f>2*0.01</f>
        <v>0.02</v>
      </c>
    </row>
    <row r="28" spans="1:5" x14ac:dyDescent="0.25">
      <c r="A28" t="s">
        <v>77</v>
      </c>
      <c r="B28">
        <f>B27/47.1</f>
        <v>0.75665817409766478</v>
      </c>
      <c r="D28" s="1" t="s">
        <v>22</v>
      </c>
      <c r="E28" s="1">
        <f>0.027+0.06</f>
        <v>8.6999999999999994E-2</v>
      </c>
    </row>
    <row r="29" spans="1:5" x14ac:dyDescent="0.25">
      <c r="D29" s="1" t="s">
        <v>20</v>
      </c>
      <c r="E29" s="1">
        <f>0.03+0.01</f>
        <v>0.04</v>
      </c>
    </row>
    <row r="30" spans="1:5" x14ac:dyDescent="0.25">
      <c r="A30" t="s">
        <v>79</v>
      </c>
      <c r="B30">
        <f>0.053*3</f>
        <v>0.159</v>
      </c>
      <c r="D30" s="1" t="s">
        <v>27</v>
      </c>
      <c r="E30" s="1">
        <v>0.31</v>
      </c>
    </row>
    <row r="31" spans="1:5" x14ac:dyDescent="0.25">
      <c r="A31" t="s">
        <v>80</v>
      </c>
      <c r="B31">
        <f>B30*5</f>
        <v>0.79500000000000004</v>
      </c>
      <c r="D31" s="4" t="s">
        <v>53</v>
      </c>
      <c r="E31" s="4">
        <f>SUM(E2:E30)</f>
        <v>18.476472000000005</v>
      </c>
    </row>
    <row r="32" spans="1:5" x14ac:dyDescent="0.25">
      <c r="D32" s="4" t="s">
        <v>45</v>
      </c>
      <c r="E32" s="4">
        <f>67.51-B22*10-E31</f>
        <v>1.933527999999999</v>
      </c>
    </row>
    <row r="33" spans="1:5" x14ac:dyDescent="0.25">
      <c r="D33" s="3" t="s">
        <v>52</v>
      </c>
      <c r="E33" s="3">
        <f>E31+E32</f>
        <v>20.410000000000004</v>
      </c>
    </row>
    <row r="40" spans="1:5" x14ac:dyDescent="0.25">
      <c r="A40" s="11" t="s">
        <v>93</v>
      </c>
    </row>
    <row r="41" spans="1:5" x14ac:dyDescent="0.25">
      <c r="A41" t="s">
        <v>69</v>
      </c>
      <c r="B41" t="s">
        <v>54</v>
      </c>
      <c r="E41" t="s">
        <v>75</v>
      </c>
    </row>
    <row r="42" spans="1:5" x14ac:dyDescent="0.25">
      <c r="A42" s="1" t="s">
        <v>16</v>
      </c>
      <c r="B42" s="1">
        <f>8.13-B45</f>
        <v>5.2150000000000007</v>
      </c>
      <c r="E42">
        <f>B70/E33</f>
        <v>0.74442038216560469</v>
      </c>
    </row>
    <row r="43" spans="1:5" x14ac:dyDescent="0.25">
      <c r="A43" s="10" t="s">
        <v>17</v>
      </c>
      <c r="B43" s="1">
        <v>2.4193199999999999</v>
      </c>
    </row>
    <row r="44" spans="1:5" x14ac:dyDescent="0.25">
      <c r="A44" s="1" t="s">
        <v>71</v>
      </c>
      <c r="B44" s="1">
        <v>1.5376000000000001</v>
      </c>
      <c r="C44" t="s">
        <v>92</v>
      </c>
    </row>
    <row r="45" spans="1:5" x14ac:dyDescent="0.25">
      <c r="A45" s="1" t="s">
        <v>36</v>
      </c>
      <c r="B45" s="1">
        <f>0.583*5</f>
        <v>2.915</v>
      </c>
    </row>
    <row r="46" spans="1:5" x14ac:dyDescent="0.25">
      <c r="A46" s="10" t="s">
        <v>74</v>
      </c>
      <c r="B46" s="1">
        <v>0.2</v>
      </c>
    </row>
    <row r="47" spans="1:5" x14ac:dyDescent="0.25">
      <c r="A47" s="1" t="s">
        <v>19</v>
      </c>
      <c r="B47" s="1">
        <f>0.03*10</f>
        <v>0.3</v>
      </c>
      <c r="C47" t="s">
        <v>72</v>
      </c>
    </row>
    <row r="48" spans="1:5" x14ac:dyDescent="0.25">
      <c r="A48" s="1" t="s">
        <v>73</v>
      </c>
      <c r="B48" s="1">
        <f>0.00907*10</f>
        <v>9.0700000000000003E-2</v>
      </c>
    </row>
    <row r="49" spans="1:11" x14ac:dyDescent="0.25">
      <c r="A49" s="1" t="s">
        <v>40</v>
      </c>
      <c r="B49" s="1">
        <v>0.04</v>
      </c>
    </row>
    <row r="50" spans="1:11" x14ac:dyDescent="0.25">
      <c r="A50" s="1" t="s">
        <v>39</v>
      </c>
      <c r="B50" s="1">
        <f>0.01*8</f>
        <v>0.08</v>
      </c>
    </row>
    <row r="51" spans="1:11" x14ac:dyDescent="0.25">
      <c r="A51" s="1" t="s">
        <v>37</v>
      </c>
      <c r="B51" s="1">
        <v>0.03</v>
      </c>
    </row>
    <row r="52" spans="1:11" x14ac:dyDescent="0.25">
      <c r="A52" s="1" t="s">
        <v>57</v>
      </c>
      <c r="B52" s="1">
        <f>0.059</f>
        <v>5.8999999999999997E-2</v>
      </c>
    </row>
    <row r="53" spans="1:11" x14ac:dyDescent="0.25">
      <c r="A53" s="1" t="s">
        <v>32</v>
      </c>
      <c r="B53" s="1">
        <f>2*0.19</f>
        <v>0.38</v>
      </c>
    </row>
    <row r="54" spans="1:11" x14ac:dyDescent="0.25">
      <c r="A54" s="1" t="s">
        <v>21</v>
      </c>
      <c r="B54" s="1">
        <v>0.02</v>
      </c>
    </row>
    <row r="55" spans="1:11" x14ac:dyDescent="0.25">
      <c r="A55" s="1" t="s">
        <v>26</v>
      </c>
      <c r="B55" s="1">
        <v>0.1</v>
      </c>
    </row>
    <row r="56" spans="1:11" x14ac:dyDescent="0.25">
      <c r="A56" s="1" t="s">
        <v>34</v>
      </c>
      <c r="B56" s="1">
        <v>0.01</v>
      </c>
    </row>
    <row r="57" spans="1:11" x14ac:dyDescent="0.25">
      <c r="A57" s="1" t="s">
        <v>38</v>
      </c>
      <c r="B57" s="1">
        <v>0.02</v>
      </c>
    </row>
    <row r="58" spans="1:11" x14ac:dyDescent="0.25">
      <c r="A58" s="1" t="s">
        <v>23</v>
      </c>
      <c r="B58" s="1">
        <v>0.08</v>
      </c>
    </row>
    <row r="59" spans="1:11" x14ac:dyDescent="0.25">
      <c r="A59" s="1" t="s">
        <v>24</v>
      </c>
      <c r="B59" s="1">
        <v>0.02</v>
      </c>
      <c r="D59" s="1" t="s">
        <v>83</v>
      </c>
      <c r="E59" s="1" t="s">
        <v>91</v>
      </c>
      <c r="G59" s="1" t="s">
        <v>87</v>
      </c>
      <c r="H59" s="1" t="s">
        <v>91</v>
      </c>
      <c r="J59" t="s">
        <v>89</v>
      </c>
      <c r="K59" t="s">
        <v>96</v>
      </c>
    </row>
    <row r="60" spans="1:11" x14ac:dyDescent="0.25">
      <c r="A60" s="1" t="s">
        <v>25</v>
      </c>
      <c r="B60" s="1">
        <v>0.16</v>
      </c>
      <c r="D60" s="1" t="s">
        <v>85</v>
      </c>
      <c r="E60" s="1">
        <f>22</f>
        <v>22</v>
      </c>
      <c r="G60" s="1" t="s">
        <v>88</v>
      </c>
      <c r="H60" s="1">
        <v>27.6</v>
      </c>
      <c r="J60">
        <f>E63/H63</f>
        <v>0.53289270405496503</v>
      </c>
      <c r="K60" s="12">
        <v>0.75</v>
      </c>
    </row>
    <row r="61" spans="1:11" x14ac:dyDescent="0.25">
      <c r="A61" s="1" t="s">
        <v>51</v>
      </c>
      <c r="B61" s="1">
        <f>0.03</f>
        <v>0.03</v>
      </c>
      <c r="D61" s="1" t="s">
        <v>84</v>
      </c>
      <c r="E61" s="1">
        <v>14.514272</v>
      </c>
      <c r="G61" s="1" t="s">
        <v>84</v>
      </c>
      <c r="H61" s="1">
        <v>21</v>
      </c>
      <c r="J61" t="s">
        <v>90</v>
      </c>
    </row>
    <row r="62" spans="1:11" x14ac:dyDescent="0.25">
      <c r="A62" s="1" t="s">
        <v>29</v>
      </c>
      <c r="B62" s="1">
        <v>0.01</v>
      </c>
      <c r="D62" s="1" t="s">
        <v>86</v>
      </c>
      <c r="E62" s="1">
        <v>8.7054799999999997</v>
      </c>
      <c r="G62" s="1" t="s">
        <v>86</v>
      </c>
      <c r="H62" s="1">
        <v>9</v>
      </c>
      <c r="J62">
        <f>H63-E63</f>
        <v>2436.6184985676805</v>
      </c>
    </row>
    <row r="63" spans="1:11" x14ac:dyDescent="0.25">
      <c r="A63" s="1" t="s">
        <v>30</v>
      </c>
      <c r="B63" s="1">
        <f>2*(0.01)</f>
        <v>0.02</v>
      </c>
      <c r="D63" s="1" t="s">
        <v>83</v>
      </c>
      <c r="E63" s="1">
        <f>E60*E61*E62</f>
        <v>2779.7815014323201</v>
      </c>
      <c r="G63" s="1" t="s">
        <v>87</v>
      </c>
      <c r="H63" s="1">
        <f>H60*H61*H62</f>
        <v>5216.4000000000005</v>
      </c>
    </row>
    <row r="64" spans="1:11" x14ac:dyDescent="0.25">
      <c r="A64" s="1" t="s">
        <v>31</v>
      </c>
      <c r="B64" s="1">
        <f>2*0.01</f>
        <v>0.02</v>
      </c>
      <c r="F64" t="s">
        <v>94</v>
      </c>
    </row>
    <row r="65" spans="1:7" x14ac:dyDescent="0.25">
      <c r="A65" s="1" t="s">
        <v>22</v>
      </c>
      <c r="B65" s="1">
        <f>0.027+0.06</f>
        <v>8.6999999999999994E-2</v>
      </c>
      <c r="D65" t="s">
        <v>95</v>
      </c>
      <c r="E65" s="13">
        <f>G6</f>
        <v>67.900000000000006</v>
      </c>
      <c r="F65" s="13"/>
      <c r="G65" t="s">
        <v>97</v>
      </c>
    </row>
    <row r="66" spans="1:7" x14ac:dyDescent="0.25">
      <c r="A66" s="1" t="s">
        <v>20</v>
      </c>
      <c r="B66" s="1">
        <f>0.03+0.01</f>
        <v>0.04</v>
      </c>
      <c r="D66" t="s">
        <v>81</v>
      </c>
      <c r="E66" s="11">
        <f>B70+B27</f>
        <v>50.832220000000007</v>
      </c>
      <c r="F66" s="11">
        <f>E66/E65</f>
        <v>0.74863357879234171</v>
      </c>
      <c r="G66" s="12">
        <v>0.8</v>
      </c>
    </row>
    <row r="67" spans="1:7" x14ac:dyDescent="0.25">
      <c r="A67" s="1" t="s">
        <v>27</v>
      </c>
      <c r="B67" s="1">
        <v>0.31</v>
      </c>
      <c r="E67" t="s">
        <v>82</v>
      </c>
    </row>
    <row r="68" spans="1:7" x14ac:dyDescent="0.25">
      <c r="A68" s="4" t="s">
        <v>53</v>
      </c>
      <c r="B68" s="4">
        <f>SUM(B42:B67)</f>
        <v>14.193619999999994</v>
      </c>
      <c r="E68" s="11">
        <f>E65-E66</f>
        <v>17.067779999999999</v>
      </c>
      <c r="F68" t="s">
        <v>54</v>
      </c>
    </row>
    <row r="69" spans="1:7" x14ac:dyDescent="0.25">
      <c r="A69" s="4" t="s">
        <v>45</v>
      </c>
      <c r="B69" s="4">
        <v>1</v>
      </c>
    </row>
    <row r="70" spans="1:7" x14ac:dyDescent="0.25">
      <c r="A70" s="3" t="s">
        <v>52</v>
      </c>
      <c r="B70" s="3">
        <f>B68+B69</f>
        <v>15.193619999999994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Mach Le</dc:creator>
  <cp:lastModifiedBy>Kyle Mach Le</cp:lastModifiedBy>
  <dcterms:created xsi:type="dcterms:W3CDTF">2024-08-23T19:29:24Z</dcterms:created>
  <dcterms:modified xsi:type="dcterms:W3CDTF">2024-09-14T03:51:23Z</dcterms:modified>
</cp:coreProperties>
</file>