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unforrrestruN/Desktop/data_bootcamp_UNC/Excel/"/>
    </mc:Choice>
  </mc:AlternateContent>
  <xr:revisionPtr revIDLastSave="0" documentId="13_ncr:1_{990C4D68-9F49-3749-81C8-4E33D29EA9FE}" xr6:coauthVersionLast="40" xr6:coauthVersionMax="40" xr10:uidLastSave="{00000000-0000-0000-0000-000000000000}"/>
  <bookViews>
    <workbookView xWindow="0" yWindow="0" windowWidth="25600" windowHeight="16000" activeTab="2" xr2:uid="{00000000-000D-0000-FFFF-FFFF00000000}"/>
  </bookViews>
  <sheets>
    <sheet name="RawData" sheetId="1" r:id="rId1"/>
    <sheet name="outcomes_by_category" sheetId="4" r:id="rId2"/>
    <sheet name="percent_by_category" sheetId="10" r:id="rId3"/>
    <sheet name="average_donation_by_category" sheetId="14" r:id="rId4"/>
    <sheet name="outcomes_by_subcategory" sheetId="5" r:id="rId5"/>
    <sheet name="percent_by_subcategory" sheetId="11" r:id="rId6"/>
    <sheet name="average_donation_by_subcategory" sheetId="15" r:id="rId7"/>
    <sheet name="outcomes_by_month" sheetId="7" r:id="rId8"/>
    <sheet name="percent_by_month" sheetId="13" r:id="rId9"/>
    <sheet name="outcomes_by_goal" sheetId="8" r:id="rId10"/>
    <sheet name="outcomes_by_goal_technology" sheetId="16" r:id="rId11"/>
  </sheets>
  <calcPr calcId="191029"/>
  <pivotCaches>
    <pivotCache cacheId="15" r:id="rId12"/>
    <pivotCache cacheId="16" r:id="rId13"/>
    <pivotCache cacheId="36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E10" i="16" l="1"/>
  <c r="G10" i="16" s="1"/>
  <c r="E6" i="16"/>
  <c r="E2" i="16"/>
  <c r="G2" i="16" s="1"/>
  <c r="G6" i="16"/>
  <c r="H6" i="16"/>
  <c r="H9" i="16"/>
  <c r="E5" i="16"/>
  <c r="G5" i="16" s="1"/>
  <c r="F6" i="16"/>
  <c r="E9" i="16"/>
  <c r="G9" i="16" s="1"/>
  <c r="F10" i="16"/>
  <c r="E13" i="16"/>
  <c r="H13" i="16" s="1"/>
  <c r="E4" i="16"/>
  <c r="G4" i="16" s="1"/>
  <c r="E8" i="16"/>
  <c r="G8" i="16" s="1"/>
  <c r="E12" i="16"/>
  <c r="H12" i="16" s="1"/>
  <c r="E3" i="16"/>
  <c r="G3" i="16" s="1"/>
  <c r="E7" i="16"/>
  <c r="G7" i="16" s="1"/>
  <c r="E11" i="16"/>
  <c r="H11" i="16" s="1"/>
  <c r="G2" i="8"/>
  <c r="H2" i="8"/>
  <c r="G3" i="8"/>
  <c r="H3" i="8"/>
  <c r="G4" i="8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G13" i="8"/>
  <c r="H13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8" i="8"/>
  <c r="D13" i="8"/>
  <c r="D12" i="8"/>
  <c r="D11" i="8"/>
  <c r="D10" i="8"/>
  <c r="D9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10" i="16" l="1"/>
  <c r="F9" i="16"/>
  <c r="F2" i="16"/>
  <c r="G12" i="16"/>
  <c r="F8" i="16"/>
  <c r="H2" i="16"/>
  <c r="F11" i="16"/>
  <c r="G11" i="16"/>
  <c r="F7" i="16"/>
  <c r="H4" i="16"/>
  <c r="F4" i="16"/>
  <c r="F5" i="16"/>
  <c r="H5" i="16"/>
  <c r="G13" i="16"/>
  <c r="H3" i="16"/>
  <c r="H8" i="16"/>
  <c r="F12" i="16"/>
  <c r="F13" i="16"/>
  <c r="H7" i="16"/>
  <c r="F3" i="1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<sst xmlns="http://schemas.openxmlformats.org/spreadsheetml/2006/main" count="24890" uniqueCount="8369">
  <si>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</si>
  <si>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</si>
  <si>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</si>
  <si>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</si>
  <si>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</si>
  <si>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</si>
  <si>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</si>
  <si>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</si>
  <si>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</si>
  <si>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</si>
  <si>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</si>
  <si>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</si>
  <si>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</si>
  <si>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</si>
  <si>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</si>
  <si>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</si>
  <si>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</si>
  <si>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</si>
  <si>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</si>
  <si>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</si>
  <si>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</si>
  <si>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</si>
  <si>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</si>
  <si>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</si>
  <si>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</si>
  <si>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</si>
  <si>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</si>
  <si>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</si>
  <si>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</si>
  <si>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</si>
  <si>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</si>
  <si>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</si>
  <si>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</si>
  <si>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</si>
  <si>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</si>
  <si>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</si>
  <si>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</si>
  <si>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</si>
  <si>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</si>
  <si>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</si>
  <si>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</si>
  <si>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</si>
  <si>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</si>
  <si>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</si>
  <si>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</si>
  <si>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</si>
  <si>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</si>
  <si>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</si>
  <si>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</si>
  <si>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</si>
  <si>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</si>
  <si>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</si>
  <si>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</si>
  <si>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</si>
  <si>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</si>
  <si>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</si>
  <si>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</si>
  <si>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</si>
  <si>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</si>
  <si>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</si>
  <si>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</si>
  <si>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</si>
  <si>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</si>
  <si>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</si>
  <si>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</si>
  <si>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</si>
  <si>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</si>
  <si>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</si>
  <si>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</si>
  <si>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</si>
  <si>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</si>
  <si>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</si>
  <si>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</si>
  <si>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</si>
  <si>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</si>
  <si>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</si>
  <si>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</si>
  <si>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</si>
  <si>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</si>
  <si>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</si>
  <si>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</si>
  <si>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</si>
  <si>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</si>
  <si>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</si>
  <si>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</si>
  <si>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</si>
  <si>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</si>
  <si>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</si>
  <si>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</si>
  <si>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</si>
  <si>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</si>
  <si>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</si>
  <si>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</si>
  <si>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</si>
  <si>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</si>
  <si>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</si>
  <si>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</si>
  <si>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</si>
  <si>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</si>
  <si>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</si>
  <si>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</si>
  <si>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</si>
  <si>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</si>
  <si>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</si>
  <si>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</si>
  <si>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</si>
  <si>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</si>
  <si>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</si>
  <si>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</si>
  <si>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</si>
  <si>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</si>
  <si>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</si>
  <si>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</si>
  <si>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</si>
  <si>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</si>
  <si>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</si>
  <si>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</si>
  <si>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</si>
  <si>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</si>
  <si>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</si>
  <si>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</si>
  <si>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</si>
  <si>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</si>
  <si>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</si>
  <si>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</si>
  <si>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</si>
  <si>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</si>
  <si>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</si>
  <si>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</si>
  <si>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</si>
  <si>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</si>
  <si>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</si>
  <si>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</si>
  <si>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</si>
  <si>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</si>
  <si>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</si>
  <si>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</si>
  <si>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</si>
  <si>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</si>
  <si>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</si>
  <si>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</si>
  <si>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</si>
  <si>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</si>
  <si>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</si>
  <si>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</si>
  <si>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</si>
  <si>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</si>
  <si>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</si>
  <si>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</si>
  <si>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</si>
  <si>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</si>
  <si>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</si>
  <si>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</si>
  <si>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</si>
  <si>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</si>
  <si>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</si>
  <si>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</si>
  <si>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</si>
  <si>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</si>
  <si>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</si>
  <si>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</si>
  <si>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</si>
  <si>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</si>
  <si>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</si>
  <si>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</si>
  <si>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</si>
  <si>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</si>
  <si>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</si>
  <si>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</si>
  <si>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</si>
  <si>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</si>
  <si>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</si>
  <si>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</si>
  <si>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</si>
  <si>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</si>
  <si>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</si>
  <si>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</si>
  <si>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</si>
  <si>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</si>
  <si>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</si>
  <si>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</si>
  <si>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</si>
  <si>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</si>
  <si>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</si>
  <si>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</si>
  <si>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</si>
  <si>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</si>
  <si>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</si>
  <si>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</si>
  <si>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</si>
  <si>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</si>
  <si>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</si>
  <si>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</si>
  <si>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</si>
  <si>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</si>
  <si>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</si>
  <si>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</si>
  <si>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</si>
  <si>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</si>
  <si>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</si>
  <si>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</si>
  <si>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</si>
  <si>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</si>
  <si>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</si>
  <si>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</si>
  <si>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</si>
  <si>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</si>
  <si>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</si>
  <si>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</si>
  <si>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</si>
  <si>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</si>
  <si>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</si>
  <si>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</si>
  <si>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</si>
  <si>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</si>
  <si>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</si>
  <si>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</si>
  <si>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</si>
  <si>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</si>
  <si>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</si>
  <si>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</si>
  <si>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</si>
  <si>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</si>
  <si>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</si>
  <si>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</si>
  <si>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</si>
  <si>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</si>
  <si>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</si>
  <si>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</si>
  <si>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</si>
  <si>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</si>
  <si>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</si>
  <si>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</si>
  <si>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</si>
  <si>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</si>
  <si>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</si>
  <si>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</si>
  <si>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</si>
  <si>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</si>
  <si>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</si>
  <si>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</si>
  <si>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</si>
  <si>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</si>
  <si>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</si>
  <si>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</si>
  <si>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</si>
  <si>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</si>
  <si>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</si>
  <si>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</si>
  <si>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</si>
  <si>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</si>
  <si>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</si>
  <si>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</si>
  <si>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</si>
  <si>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</si>
  <si>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</si>
  <si>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</si>
  <si>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</si>
  <si>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</si>
  <si>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</si>
  <si>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</si>
  <si>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</si>
  <si>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</si>
  <si>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</si>
  <si>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</si>
  <si>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</si>
  <si>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</si>
  <si>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</si>
  <si>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</si>
  <si>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</si>
  <si>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</si>
  <si>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</si>
  <si>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</si>
  <si>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</si>
  <si>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</si>
  <si>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</si>
  <si>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</si>
  <si>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</si>
  <si>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</si>
  <si>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</si>
  <si>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</si>
  <si>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</si>
  <si>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</si>
  <si>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</si>
  <si>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</si>
  <si>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</si>
  <si>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</si>
  <si>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</si>
  <si>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</si>
  <si>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</si>
  <si>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</si>
  <si>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</si>
  <si>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</si>
  <si>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</si>
  <si>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</si>
  <si>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</si>
  <si>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</si>
  <si>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</si>
  <si>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</si>
  <si>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</si>
  <si>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</si>
  <si>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</si>
  <si>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</si>
  <si>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</si>
  <si>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</si>
  <si>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</si>
  <si>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</si>
  <si>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</si>
  <si>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</si>
  <si>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</si>
  <si>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</si>
  <si>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</si>
  <si>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</si>
  <si>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</si>
  <si>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</si>
  <si>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</si>
  <si>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</si>
  <si>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</si>
  <si>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</si>
  <si>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</si>
  <si>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</si>
  <si>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</si>
  <si>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</si>
  <si>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</si>
  <si>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</si>
  <si>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</si>
  <si>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</si>
  <si>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</si>
  <si>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</si>
  <si>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</si>
  <si>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</si>
  <si>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</si>
  <si>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</si>
  <si>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</si>
  <si>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</si>
  <si>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</si>
  <si>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</si>
  <si>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</si>
  <si>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</si>
  <si>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</si>
  <si>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</si>
  <si>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</si>
  <si>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</si>
  <si>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</si>
  <si>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</si>
  <si>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</si>
  <si>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</si>
  <si>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</si>
  <si>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</si>
  <si>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</si>
  <si>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</si>
  <si>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</si>
  <si>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</si>
  <si>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</si>
  <si>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</si>
  <si>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</si>
  <si>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</si>
  <si>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</si>
  <si>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</si>
  <si>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</si>
  <si>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</si>
  <si>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</si>
  <si>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</si>
  <si>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</si>
  <si>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</si>
  <si>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</si>
  <si>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</si>
  <si>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</si>
  <si>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</si>
  <si>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</si>
  <si>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</si>
  <si>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</si>
  <si>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</si>
  <si>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</si>
  <si>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</si>
  <si>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</si>
  <si>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</si>
  <si>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</si>
  <si>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</si>
  <si>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</si>
  <si>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</si>
  <si>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</si>
  <si>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</si>
  <si>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</si>
  <si>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</si>
  <si>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</si>
  <si>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</si>
  <si>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</si>
  <si>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</si>
  <si>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</si>
  <si>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</si>
  <si>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</si>
  <si>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</si>
  <si>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</si>
  <si>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</si>
  <si>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</si>
  <si>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</si>
  <si>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</si>
  <si>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</si>
  <si>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</si>
  <si>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</si>
  <si>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</si>
  <si>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</si>
  <si>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</si>
  <si>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</si>
  <si>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</si>
  <si>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</si>
  <si>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</si>
  <si>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</si>
  <si>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</si>
  <si>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</si>
  <si>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</si>
  <si>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</si>
  <si>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</si>
  <si>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</si>
  <si>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</si>
  <si>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</si>
  <si>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</si>
  <si>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</si>
  <si>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</si>
  <si>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</si>
  <si>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</si>
  <si>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</si>
  <si>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</si>
  <si>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</si>
  <si>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</si>
  <si>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</si>
  <si>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</si>
  <si>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</si>
  <si>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</si>
  <si>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</si>
  <si>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</si>
  <si>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</si>
  <si>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</si>
  <si>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</si>
  <si>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</si>
  <si>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</si>
  <si>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</si>
  <si>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</si>
  <si>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</si>
  <si>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</si>
  <si>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</si>
  <si>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</si>
  <si>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</si>
  <si>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</si>
  <si>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</si>
  <si>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</si>
  <si>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</si>
  <si>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</si>
  <si>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</si>
  <si>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</si>
  <si>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</si>
  <si>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</si>
  <si>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</si>
  <si>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</si>
  <si>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</si>
  <si>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</si>
  <si>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</si>
  <si>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</si>
  <si>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</si>
  <si>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</si>
  <si>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</si>
  <si>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</si>
  <si>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</si>
  <si>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</si>
  <si>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</si>
  <si>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</si>
  <si>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</si>
  <si>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</si>
  <si>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</si>
  <si>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</si>
  <si>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</si>
  <si>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</si>
  <si>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</si>
  <si>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</si>
  <si>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</si>
  <si>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</si>
  <si>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</si>
  <si>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</si>
  <si>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</si>
  <si>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</si>
  <si>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</si>
  <si>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</si>
  <si>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</si>
  <si>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</si>
  <si>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</si>
  <si>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</si>
  <si>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</si>
  <si>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</si>
  <si>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</si>
  <si>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</si>
  <si>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</si>
  <si>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</si>
  <si>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</si>
  <si>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</si>
  <si>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</si>
  <si>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</si>
  <si>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</si>
  <si>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</si>
  <si>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</si>
  <si>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</si>
  <si>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</si>
  <si>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</si>
  <si>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</si>
  <si>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</si>
  <si>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</si>
  <si>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</si>
  <si>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</si>
  <si>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</si>
  <si>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</si>
  <si>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</si>
  <si>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</si>
  <si>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</si>
  <si>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</si>
  <si>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</si>
  <si>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</si>
  <si>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</si>
  <si>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</si>
  <si>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</si>
  <si>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</si>
  <si>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</si>
  <si>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</si>
  <si>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</si>
  <si>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</si>
  <si>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</si>
  <si>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</si>
  <si>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</si>
  <si>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</si>
  <si>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</si>
  <si>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</si>
  <si>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</si>
  <si>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</si>
  <si>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</si>
  <si>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</si>
  <si>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</si>
  <si>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</si>
  <si>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</si>
  <si>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</si>
  <si>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</si>
  <si>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</si>
  <si>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</si>
  <si>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</si>
  <si>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</si>
  <si>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</si>
  <si>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</si>
  <si>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</si>
  <si>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</si>
  <si>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</si>
  <si>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</si>
  <si>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</si>
  <si>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</si>
  <si>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</si>
  <si>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</si>
  <si>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</si>
  <si>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</si>
  <si>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</si>
  <si>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</si>
  <si>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</si>
  <si>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</si>
  <si>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</si>
  <si>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</si>
  <si>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</si>
  <si>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</si>
  <si>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</si>
  <si>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</si>
  <si>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</si>
  <si>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</si>
  <si>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</si>
  <si>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</si>
  <si>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</si>
  <si>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</si>
  <si>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</si>
  <si>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</si>
  <si>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</si>
  <si>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</si>
  <si>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</si>
  <si>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</si>
  <si>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</si>
  <si>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</si>
  <si>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</si>
  <si>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</si>
  <si>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</si>
  <si>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</si>
  <si>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</si>
  <si>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</si>
  <si>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</si>
  <si>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</si>
  <si>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</si>
  <si>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</si>
  <si>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</si>
  <si>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</si>
  <si>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</si>
  <si>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</si>
  <si>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</si>
  <si>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</si>
  <si>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</si>
  <si>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</si>
  <si>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</si>
  <si>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</si>
  <si>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</si>
  <si>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</si>
  <si>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</si>
  <si>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</si>
  <si>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</si>
  <si>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</si>
  <si>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</si>
  <si>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</si>
  <si>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</si>
  <si>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</si>
  <si>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</si>
  <si>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</si>
  <si>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</si>
  <si>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</si>
  <si>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</si>
  <si>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</si>
  <si>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</si>
  <si>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</si>
  <si>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</si>
  <si>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</si>
  <si>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</si>
  <si>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</si>
  <si>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</si>
  <si>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</si>
  <si>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</si>
  <si>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</si>
  <si>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</si>
  <si>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</si>
  <si>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</si>
  <si>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</si>
  <si>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</si>
  <si>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</si>
  <si>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</si>
  <si>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</si>
  <si>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</si>
  <si>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</si>
  <si>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</si>
  <si>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</si>
  <si>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</si>
  <si>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</si>
  <si>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</si>
  <si>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</si>
  <si>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</si>
  <si>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</si>
  <si>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</si>
  <si>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</si>
  <si>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</si>
  <si>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</si>
  <si>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</si>
  <si>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</si>
  <si>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</si>
  <si>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</si>
  <si>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</si>
  <si>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</si>
  <si>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</si>
  <si>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</si>
  <si>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</si>
  <si>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</si>
  <si>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</si>
  <si>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</si>
  <si>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</si>
  <si>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</si>
  <si>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</si>
  <si>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</si>
  <si>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</si>
  <si>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</si>
  <si>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</si>
  <si>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</si>
  <si>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</si>
  <si>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</si>
  <si>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</si>
  <si>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</si>
  <si>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</si>
  <si>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</si>
  <si>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</si>
  <si>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</si>
  <si>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</si>
  <si>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</si>
  <si>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</si>
  <si>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</si>
  <si>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</si>
  <si>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</si>
  <si>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</si>
  <si>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</si>
  <si>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</si>
  <si>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</si>
  <si>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</si>
  <si>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</si>
  <si>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</si>
  <si>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</si>
  <si>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</si>
  <si>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</si>
  <si>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</si>
  <si>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</si>
  <si>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</si>
  <si>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</si>
  <si>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</si>
  <si>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</si>
  <si>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</si>
  <si>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</si>
  <si>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</si>
  <si>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</si>
  <si>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</si>
  <si>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</si>
  <si>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</si>
  <si>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</si>
  <si>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</si>
  <si>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</si>
  <si>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</si>
  <si>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</si>
  <si>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</si>
  <si>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</si>
  <si>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</si>
  <si>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</si>
  <si>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</si>
  <si>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</si>
  <si>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</si>
  <si>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</si>
  <si>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</si>
  <si>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</si>
  <si>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</si>
  <si>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</si>
  <si>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</si>
  <si>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</si>
  <si>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</si>
  <si>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</si>
  <si>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</si>
  <si>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</si>
  <si>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</si>
  <si>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</si>
  <si>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</si>
  <si>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</si>
  <si>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</si>
  <si>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</si>
  <si>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</si>
  <si>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</si>
  <si>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</si>
  <si>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</si>
  <si>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</si>
  <si>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</si>
  <si>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</si>
  <si>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</si>
  <si>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</si>
  <si>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</si>
  <si>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</si>
  <si>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</si>
  <si>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</si>
  <si>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</si>
  <si>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</si>
  <si>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</si>
  <si>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</si>
  <si>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</si>
  <si>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</si>
  <si>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</si>
  <si>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</si>
  <si>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</si>
  <si>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</si>
  <si>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</si>
  <si>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</si>
  <si>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</si>
  <si>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</si>
  <si>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</si>
  <si>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</si>
  <si>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</si>
  <si>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</si>
  <si>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</si>
  <si>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</si>
  <si>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</si>
  <si>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</si>
  <si>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</si>
  <si>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</si>
  <si>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</si>
  <si>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</si>
  <si>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</si>
  <si>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</si>
  <si>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</si>
  <si>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</si>
  <si>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</si>
  <si>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</si>
  <si>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</si>
  <si>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</si>
  <si>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</si>
  <si>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</si>
  <si>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</si>
  <si>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</si>
  <si>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</si>
  <si>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</si>
  <si>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</si>
  <si>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</si>
  <si>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</si>
  <si>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</si>
  <si>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</si>
  <si>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</si>
  <si>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</si>
  <si>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</si>
  <si>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</si>
  <si>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</si>
  <si>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</si>
  <si>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</si>
  <si>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</si>
  <si>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</si>
  <si>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</si>
  <si>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</si>
  <si>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</si>
  <si>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</si>
  <si>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</si>
  <si>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</si>
  <si>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</si>
  <si>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</si>
  <si>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</si>
  <si>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</si>
  <si>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</si>
  <si>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</si>
  <si>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</si>
  <si>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</si>
  <si>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</si>
  <si>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</si>
  <si>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</si>
  <si>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</si>
  <si>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</si>
  <si>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</si>
  <si>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</si>
  <si>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</si>
  <si>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</si>
  <si>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</si>
  <si>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</si>
  <si>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</si>
  <si>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</si>
  <si>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</si>
  <si>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</si>
  <si>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</si>
  <si>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</si>
  <si>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</si>
  <si>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</si>
  <si>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</si>
  <si>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</si>
  <si>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</si>
  <si>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</si>
  <si>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</si>
  <si>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</si>
  <si>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</si>
  <si>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</si>
  <si>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</si>
  <si>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</si>
  <si>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</si>
  <si>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</si>
  <si>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</si>
  <si>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</si>
  <si>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</si>
  <si>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</si>
  <si>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</si>
  <si>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</si>
  <si>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</si>
  <si>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</si>
  <si>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</si>
  <si>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</si>
  <si>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</si>
  <si>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</si>
  <si>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</si>
  <si>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</si>
  <si>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</si>
  <si>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</si>
  <si>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</si>
  <si>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</si>
  <si>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</si>
  <si>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</si>
  <si>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</si>
  <si>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</si>
  <si>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</si>
  <si>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</si>
  <si>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</si>
  <si>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</si>
  <si>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</si>
  <si>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</si>
  <si>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</si>
  <si>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</si>
  <si>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</si>
  <si>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</si>
  <si>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</si>
  <si>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</si>
  <si>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</si>
  <si>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</si>
  <si>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</si>
  <si>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</si>
  <si>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</si>
  <si>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</si>
  <si>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</si>
  <si>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</si>
  <si>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</si>
  <si>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</si>
  <si>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</si>
  <si>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</si>
  <si>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</si>
  <si>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</si>
  <si>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</si>
  <si>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</si>
  <si>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</si>
  <si>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</si>
  <si>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</si>
  <si>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</si>
  <si>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</si>
  <si>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</si>
  <si>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</si>
  <si>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</si>
  <si>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</si>
  <si>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</si>
  <si>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</si>
  <si>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</si>
  <si>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</si>
  <si>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</si>
  <si>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</si>
  <si>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</si>
  <si>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</si>
  <si>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</si>
  <si>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</si>
  <si>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</si>
  <si>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</si>
  <si>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</si>
  <si>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</si>
  <si>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</si>
  <si>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</si>
  <si>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</si>
  <si>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</si>
  <si>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</si>
  <si>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</si>
  <si>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</si>
  <si>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</si>
  <si>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</si>
  <si>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</si>
  <si>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</si>
  <si>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</si>
  <si>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</si>
  <si>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</si>
  <si>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</si>
  <si>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</si>
  <si>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</si>
  <si>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</si>
  <si>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</si>
  <si>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</si>
  <si>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</si>
  <si>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</si>
  <si>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</si>
  <si>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</si>
  <si>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</si>
  <si>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</si>
  <si>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</si>
  <si>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</si>
  <si>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</si>
  <si>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</si>
  <si>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</si>
  <si>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</si>
  <si>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</si>
  <si>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</si>
  <si>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</si>
  <si>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</si>
  <si>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</si>
  <si>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</si>
  <si>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</si>
  <si>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</si>
  <si>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</si>
  <si>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</si>
  <si>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</si>
  <si>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</si>
  <si>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</si>
  <si>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</si>
  <si>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</si>
  <si>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</si>
  <si>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</si>
  <si>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</si>
  <si>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</si>
  <si>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</si>
  <si>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</si>
  <si>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</si>
  <si>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</si>
  <si>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</si>
  <si>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</si>
  <si>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</si>
  <si>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</si>
  <si>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</si>
  <si>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</si>
  <si>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</si>
  <si>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</si>
  <si>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</si>
  <si>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</si>
  <si>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</si>
  <si>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</si>
  <si>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</si>
  <si>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</si>
  <si>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</si>
  <si>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</si>
  <si>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</si>
  <si>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</si>
  <si>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</si>
  <si>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</si>
  <si>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</si>
  <si>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</si>
  <si>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</si>
  <si>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</si>
  <si>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</si>
  <si>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</si>
  <si>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</si>
  <si>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</si>
  <si>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</si>
  <si>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</si>
  <si>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</si>
  <si>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</si>
  <si>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</si>
  <si>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</si>
  <si>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</si>
  <si>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</si>
  <si>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</si>
  <si>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</si>
  <si>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</si>
  <si>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</si>
  <si>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</si>
  <si>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</si>
  <si>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</si>
  <si>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</si>
  <si>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</si>
  <si>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</si>
  <si>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</si>
  <si>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</si>
  <si>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</si>
  <si>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</si>
  <si>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</si>
  <si>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</si>
  <si>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</si>
  <si>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</si>
  <si>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</si>
  <si>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</si>
  <si>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</si>
  <si>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</si>
  <si>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</si>
  <si>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</si>
  <si>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</si>
  <si>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</si>
  <si>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</si>
  <si>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</si>
  <si>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</si>
  <si>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</si>
  <si>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</si>
  <si>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</si>
  <si>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</si>
  <si>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</si>
  <si>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</si>
  <si>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</si>
  <si>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</si>
  <si>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</si>
  <si>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</si>
  <si>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</si>
  <si>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</si>
  <si>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</si>
  <si>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</si>
  <si>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</si>
  <si>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</si>
  <si>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</si>
  <si>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</si>
  <si>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</si>
  <si>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</si>
  <si>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</si>
  <si>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</si>
  <si>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</si>
  <si>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</si>
  <si>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</si>
  <si>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</si>
  <si>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</si>
  <si>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</si>
  <si>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</si>
  <si>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</si>
  <si>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</si>
  <si>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</si>
  <si>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</si>
  <si>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</si>
  <si>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</si>
  <si>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</si>
  <si>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</si>
  <si>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</si>
  <si>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</si>
  <si>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</si>
  <si>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</si>
  <si>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</si>
  <si>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</si>
  <si>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</si>
  <si>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</si>
  <si>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</si>
  <si>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</si>
  <si>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</si>
  <si>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</si>
  <si>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</si>
  <si>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</si>
  <si>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</si>
  <si>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</si>
  <si>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</si>
  <si>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</si>
  <si>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</si>
  <si>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</si>
  <si>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</si>
  <si>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</si>
  <si>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</si>
  <si>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</si>
  <si>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</si>
  <si>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</si>
  <si>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</si>
  <si>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</si>
  <si>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</si>
  <si>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</si>
  <si>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</si>
  <si>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</si>
  <si>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</si>
  <si>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</si>
  <si>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</si>
  <si>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</si>
  <si>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</si>
  <si>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</si>
  <si>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</si>
  <si>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</si>
  <si>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</si>
  <si>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</si>
  <si>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</si>
  <si>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</si>
  <si>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</si>
  <si>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</si>
  <si>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</si>
  <si>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</si>
  <si>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</si>
  <si>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</si>
  <si>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</si>
  <si>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</si>
  <si>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</si>
  <si>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</si>
  <si>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</si>
  <si>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</si>
  <si>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</si>
  <si>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</si>
  <si>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</si>
  <si>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</si>
  <si>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</si>
  <si>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</si>
  <si>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</si>
  <si>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</si>
  <si>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</si>
  <si>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</si>
  <si>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</si>
  <si>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</si>
  <si>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</si>
  <si>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</si>
  <si>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</si>
  <si>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</si>
  <si>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</si>
  <si>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</si>
  <si>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</si>
  <si>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</si>
  <si>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</si>
  <si>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</si>
  <si>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</si>
  <si>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</si>
  <si>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</si>
  <si>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</si>
  <si>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</si>
  <si>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</si>
  <si>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</si>
  <si>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</si>
  <si>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</si>
  <si>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</si>
  <si>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</si>
  <si>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</si>
  <si>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</si>
  <si>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</si>
  <si>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</si>
  <si>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</si>
  <si>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</si>
  <si>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</si>
  <si>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</si>
  <si>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</si>
  <si>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</si>
  <si>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</si>
  <si>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</si>
  <si>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</si>
  <si>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</si>
  <si>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</si>
  <si>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</si>
  <si>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</si>
  <si>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</si>
  <si>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</si>
  <si>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</si>
  <si>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</si>
  <si>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</si>
  <si>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</si>
  <si>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</si>
  <si>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</si>
  <si>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</si>
  <si>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</si>
  <si>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</si>
  <si>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</si>
  <si>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</si>
  <si>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</si>
  <si>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</si>
  <si>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</si>
  <si>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</si>
  <si>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</si>
  <si>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</si>
  <si>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</si>
  <si>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</si>
  <si>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</si>
  <si>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</si>
  <si>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</si>
  <si>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</si>
  <si>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</si>
  <si>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</si>
  <si>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</si>
  <si>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</si>
  <si>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</si>
  <si>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</si>
  <si>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</si>
  <si>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</si>
  <si>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</si>
  <si>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</si>
  <si>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</si>
  <si>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</si>
  <si>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</si>
  <si>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</si>
  <si>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</si>
  <si>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</si>
  <si>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</si>
  <si>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</si>
  <si>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</si>
  <si>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</si>
  <si>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</si>
  <si>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</si>
  <si>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</si>
  <si>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</si>
  <si>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</si>
  <si>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</si>
  <si>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</si>
  <si>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</si>
  <si>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</si>
  <si>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</si>
  <si>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</si>
  <si>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</si>
  <si>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</si>
  <si>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</si>
  <si>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</si>
  <si>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</si>
  <si>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</si>
  <si>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</si>
  <si>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</si>
  <si>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</si>
  <si>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</si>
  <si>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</si>
  <si>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</si>
  <si>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</si>
  <si>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</si>
  <si>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</si>
  <si>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</si>
  <si>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</si>
  <si>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</si>
  <si>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</si>
  <si>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</si>
  <si>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</si>
  <si>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</si>
  <si>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</si>
  <si>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</si>
  <si>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</si>
  <si>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</si>
  <si>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</si>
  <si>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</si>
  <si>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</si>
  <si>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</si>
  <si>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</si>
  <si>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</si>
  <si>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</si>
  <si>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</si>
  <si>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</si>
  <si>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</si>
  <si>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</si>
  <si>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</si>
  <si>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</si>
  <si>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</si>
  <si>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</si>
  <si>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</si>
  <si>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</si>
  <si>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</si>
  <si>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</si>
  <si>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</si>
  <si>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</si>
  <si>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</si>
  <si>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</si>
  <si>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</si>
  <si>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</si>
  <si>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</si>
  <si>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</si>
  <si>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</si>
  <si>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</si>
  <si>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</si>
  <si>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</si>
  <si>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</si>
  <si>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</si>
  <si>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</si>
  <si>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</si>
  <si>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</si>
  <si>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</si>
  <si>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</si>
  <si>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</si>
  <si>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</si>
  <si>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</si>
  <si>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</si>
  <si>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</si>
  <si>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</si>
  <si>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</si>
  <si>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</si>
  <si>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</si>
  <si>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</si>
  <si>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</si>
  <si>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</si>
  <si>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</si>
  <si>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</si>
  <si>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</si>
  <si>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</si>
  <si>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</si>
  <si>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</si>
  <si>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</si>
  <si>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</si>
  <si>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</si>
  <si>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</si>
  <si>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</si>
  <si>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</si>
  <si>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</si>
  <si>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</si>
  <si>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</si>
  <si>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</si>
  <si>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</si>
  <si>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</si>
  <si>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</si>
  <si>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</si>
  <si>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</si>
  <si>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</si>
  <si>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</si>
  <si>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</si>
  <si>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</si>
  <si>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</si>
  <si>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</si>
  <si>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</si>
  <si>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</si>
  <si>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</si>
  <si>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</si>
  <si>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</si>
  <si>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</si>
  <si>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</si>
  <si>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</si>
  <si>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</si>
  <si>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</si>
  <si>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</si>
  <si>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</si>
  <si>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</si>
  <si>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</si>
  <si>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</si>
  <si>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</si>
  <si>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</si>
  <si>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</si>
  <si>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</si>
  <si>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</si>
  <si>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</si>
  <si>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</si>
  <si>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</si>
  <si>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</si>
  <si>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</si>
  <si>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</si>
  <si>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</si>
  <si>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</si>
  <si>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</si>
  <si>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</si>
  <si>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</si>
  <si>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</si>
  <si>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</si>
  <si>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</si>
  <si>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</si>
  <si>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</si>
  <si>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</si>
  <si>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</si>
  <si>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</si>
  <si>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</si>
  <si>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</si>
  <si>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</si>
  <si>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</si>
  <si>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</si>
  <si>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</si>
  <si>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</si>
  <si>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</si>
  <si>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</si>
  <si>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</si>
  <si>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</si>
  <si>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</si>
  <si>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</si>
  <si>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</si>
  <si>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</si>
  <si>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</si>
  <si>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</si>
  <si>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</si>
  <si>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</si>
  <si>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</si>
  <si>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</si>
  <si>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</si>
  <si>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</si>
  <si>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</si>
  <si>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</si>
  <si>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</si>
  <si>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</si>
  <si>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</si>
  <si>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</si>
  <si>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</si>
  <si>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</si>
  <si>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</si>
  <si>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</si>
  <si>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</si>
  <si>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</si>
  <si>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</si>
  <si>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</si>
  <si>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</si>
  <si>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</si>
  <si>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</si>
  <si>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</si>
  <si>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</si>
  <si>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</si>
  <si>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</si>
  <si>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</si>
  <si>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</si>
  <si>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</si>
  <si>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</si>
  <si>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</si>
  <si>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</si>
  <si>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</si>
  <si>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</si>
  <si>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</si>
  <si>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</si>
  <si>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</si>
  <si>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</si>
  <si>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</si>
  <si>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</si>
  <si>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</si>
  <si>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</si>
  <si>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</si>
  <si>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</si>
  <si>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</si>
  <si>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</si>
  <si>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</si>
  <si>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</si>
  <si>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</si>
  <si>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</si>
  <si>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</si>
  <si>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</si>
  <si>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</si>
  <si>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</si>
  <si>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</si>
  <si>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</si>
  <si>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</si>
  <si>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</si>
  <si>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</si>
  <si>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</si>
  <si>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</si>
  <si>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</si>
  <si>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</si>
  <si>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</si>
  <si>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</si>
  <si>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</si>
  <si>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</si>
  <si>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</si>
  <si>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</si>
  <si>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</si>
  <si>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</si>
  <si>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</si>
  <si>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</si>
  <si>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</si>
  <si>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</si>
  <si>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</si>
  <si>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</si>
  <si>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</si>
  <si>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</si>
  <si>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</si>
  <si>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</si>
  <si>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</si>
  <si>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</si>
  <si>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</si>
  <si>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</si>
  <si>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</si>
  <si>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</si>
  <si>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</si>
  <si>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</si>
  <si>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</si>
  <si>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</si>
  <si>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</si>
  <si>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</si>
  <si>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</si>
  <si>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</si>
  <si>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</si>
  <si>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</si>
  <si>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</si>
  <si>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</si>
  <si>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</si>
  <si>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</si>
  <si>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</si>
  <si>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</si>
  <si>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</si>
  <si>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</si>
  <si>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</si>
  <si>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</si>
  <si>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</si>
  <si>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</si>
  <si>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</si>
  <si>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</si>
  <si>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</si>
  <si>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</si>
  <si>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</si>
  <si>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</si>
  <si>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</si>
  <si>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</si>
  <si>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</si>
  <si>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</si>
  <si>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</si>
  <si>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</si>
  <si>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</si>
  <si>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</si>
  <si>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</si>
  <si>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</si>
  <si>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</si>
  <si>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</si>
  <si>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</si>
  <si>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</si>
  <si>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</si>
  <si>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</si>
  <si>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</si>
  <si>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</si>
  <si>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</si>
  <si>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</si>
  <si>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</si>
  <si>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</si>
  <si>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</si>
  <si>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</si>
  <si>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</si>
  <si>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</si>
  <si>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</si>
  <si>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</si>
  <si>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</si>
  <si>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</si>
  <si>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</si>
  <si>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</si>
  <si>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</si>
  <si>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</si>
  <si>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</si>
  <si>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</si>
  <si>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</si>
  <si>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</si>
  <si>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</si>
  <si>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</si>
  <si>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</si>
  <si>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</si>
  <si>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</si>
  <si>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</si>
  <si>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</si>
  <si>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</si>
  <si>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</si>
  <si>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</si>
  <si>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</si>
  <si>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</si>
  <si>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</si>
  <si>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</si>
  <si>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</si>
  <si>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</si>
  <si>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</si>
  <si>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</si>
  <si>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</si>
  <si>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</si>
  <si>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</si>
  <si>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</si>
  <si>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</si>
  <si>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</si>
  <si>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</si>
  <si>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</si>
  <si>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</si>
  <si>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</si>
  <si>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</si>
  <si>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</si>
  <si>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</si>
  <si>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</si>
  <si>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</si>
  <si>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</si>
  <si>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</si>
  <si>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</si>
  <si>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</si>
  <si>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</si>
  <si>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</si>
  <si>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</si>
  <si>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</si>
  <si>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</si>
  <si>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</si>
  <si>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</si>
  <si>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</si>
  <si>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</si>
  <si>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</si>
  <si>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</si>
  <si>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</si>
  <si>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</si>
  <si>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</si>
  <si>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</si>
  <si>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</si>
  <si>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</si>
  <si>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</si>
  <si>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</si>
  <si>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</si>
  <si>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</si>
  <si>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</si>
  <si>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</si>
  <si>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</si>
  <si>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</si>
  <si>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</si>
  <si>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</si>
  <si>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</si>
  <si>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</si>
  <si>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</si>
  <si>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</si>
  <si>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</si>
  <si>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</si>
  <si>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</si>
  <si>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</si>
  <si>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</si>
  <si>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</si>
  <si>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</si>
  <si>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</si>
  <si>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</si>
  <si>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</si>
  <si>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</si>
  <si>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</si>
  <si>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</si>
  <si>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</si>
  <si>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</si>
  <si>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</si>
  <si>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</si>
  <si>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</si>
  <si>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</si>
  <si>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</si>
  <si>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</si>
  <si>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</si>
  <si>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</si>
  <si>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</si>
  <si>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</si>
  <si>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</si>
  <si>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</si>
  <si>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</si>
  <si>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</si>
  <si>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</si>
  <si>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</si>
  <si>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</si>
  <si>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</si>
  <si>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</si>
  <si>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</si>
  <si>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</si>
  <si>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</si>
  <si>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</si>
  <si>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</si>
  <si>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</si>
  <si>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</si>
  <si>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</si>
  <si>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</si>
  <si>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</si>
  <si>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</si>
  <si>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</si>
  <si>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</si>
  <si>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</si>
  <si>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</si>
  <si>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</si>
  <si>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</si>
  <si>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</si>
  <si>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</si>
  <si>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</si>
  <si>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</si>
  <si>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</si>
  <si>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</si>
  <si>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</si>
  <si>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</si>
  <si>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</si>
  <si>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</si>
  <si>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</si>
  <si>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</si>
  <si>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</si>
  <si>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</si>
  <si>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</si>
  <si>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</si>
  <si>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</si>
  <si>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</si>
  <si>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</si>
  <si>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</si>
  <si>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</si>
  <si>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</si>
  <si>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</si>
  <si>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</si>
  <si>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</si>
  <si>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</si>
  <si>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</si>
  <si>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</si>
  <si>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</si>
  <si>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</si>
  <si>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</si>
  <si>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</si>
  <si>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</si>
  <si>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</si>
  <si>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</si>
  <si>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</si>
  <si>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</si>
  <si>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</si>
  <si>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</si>
  <si>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</si>
  <si>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</si>
  <si>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</si>
  <si>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</si>
  <si>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</si>
  <si>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</si>
  <si>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</si>
  <si>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</si>
  <si>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</si>
  <si>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</si>
  <si>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</si>
  <si>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</si>
  <si>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</si>
  <si>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</si>
  <si>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</si>
  <si>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</si>
  <si>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</si>
  <si>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</si>
  <si>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</si>
  <si>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</si>
  <si>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</si>
  <si>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</si>
  <si>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</si>
  <si>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</si>
  <si>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</si>
  <si>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</si>
  <si>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</si>
  <si>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</si>
  <si>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</si>
  <si>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</si>
  <si>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</si>
  <si>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</si>
  <si>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</si>
  <si>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</si>
  <si>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</si>
  <si>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</si>
  <si>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</si>
  <si>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</si>
  <si>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</si>
  <si>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</si>
  <si>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</si>
  <si>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</si>
  <si>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</si>
  <si>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</si>
  <si>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</si>
  <si>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</si>
  <si>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</si>
  <si>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</si>
  <si>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</si>
  <si>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</si>
  <si>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</si>
  <si>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</si>
  <si>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</si>
  <si>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</si>
  <si>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</si>
  <si>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</si>
  <si>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</si>
  <si>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</si>
  <si>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</si>
  <si>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</si>
  <si>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</si>
  <si>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</si>
  <si>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</si>
  <si>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</si>
  <si>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</si>
  <si>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</si>
  <si>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</si>
  <si>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</si>
  <si>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</si>
  <si>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</si>
  <si>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</si>
  <si>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</si>
  <si>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</si>
  <si>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</si>
  <si>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</si>
  <si>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</si>
  <si>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</si>
  <si>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</si>
  <si>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</si>
  <si>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</si>
  <si>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</si>
  <si>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</si>
  <si>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</si>
  <si>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</si>
  <si>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</si>
  <si>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</si>
  <si>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</si>
  <si>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</si>
  <si>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</si>
  <si>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</si>
  <si>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</si>
  <si>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</si>
  <si>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</si>
  <si>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</si>
  <si>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</si>
  <si>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</si>
  <si>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</si>
  <si>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</si>
  <si>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</si>
  <si>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</si>
  <si>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</si>
  <si>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</si>
  <si>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</si>
  <si>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</si>
  <si>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</si>
  <si>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</si>
  <si>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</si>
  <si>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</si>
  <si>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</si>
  <si>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</si>
  <si>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</si>
  <si>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</si>
  <si>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</si>
  <si>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</si>
  <si>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</si>
  <si>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</si>
  <si>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</si>
  <si>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</si>
  <si>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</si>
  <si>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</si>
  <si>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</si>
  <si>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</si>
  <si>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</si>
  <si>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</si>
  <si>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</si>
  <si>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</si>
  <si>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</si>
  <si>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</si>
  <si>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</si>
  <si>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</si>
  <si>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</si>
  <si>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</si>
  <si>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</si>
  <si>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</si>
  <si>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</si>
  <si>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</si>
  <si>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</si>
  <si>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</si>
  <si>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</si>
  <si>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</si>
  <si>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</si>
  <si>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</si>
  <si>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</si>
  <si>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</si>
  <si>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</si>
  <si>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</si>
  <si>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</si>
  <si>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</si>
  <si>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</si>
  <si>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</si>
  <si>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</si>
  <si>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</si>
  <si>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</si>
  <si>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</si>
  <si>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</si>
  <si>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</si>
  <si>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</si>
  <si>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</si>
  <si>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</si>
  <si>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</si>
  <si>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</si>
  <si>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</si>
  <si>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</si>
  <si>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</si>
  <si>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</si>
  <si>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</si>
  <si>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</si>
  <si>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</si>
  <si>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</si>
  <si>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</si>
  <si>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</si>
  <si>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</si>
  <si>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</si>
  <si>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</si>
  <si>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</si>
  <si>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</si>
  <si>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</si>
  <si>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</si>
  <si>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</si>
  <si>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</si>
  <si>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</si>
  <si>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</si>
  <si>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</si>
  <si>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</si>
  <si>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</si>
  <si>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</si>
  <si>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</si>
  <si>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</si>
  <si>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</si>
  <si>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</si>
  <si>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</si>
  <si>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</si>
  <si>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</si>
  <si>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</si>
  <si>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</si>
  <si>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</si>
  <si>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</si>
  <si>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</si>
  <si>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</si>
  <si>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</si>
  <si>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</si>
  <si>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</si>
  <si>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</si>
  <si>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</si>
  <si>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</si>
  <si>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</si>
  <si>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</si>
  <si>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</si>
  <si>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</si>
  <si>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</si>
  <si>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</si>
  <si>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</si>
  <si>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</si>
  <si>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</si>
  <si>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</si>
  <si>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</si>
  <si>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</si>
  <si>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</si>
  <si>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</si>
  <si>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</si>
  <si>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</si>
  <si>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</si>
  <si>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</si>
  <si>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</si>
  <si>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</si>
  <si>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</si>
  <si>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</si>
  <si>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</si>
  <si>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</si>
  <si>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</si>
  <si>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</si>
  <si>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</si>
  <si>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</si>
  <si>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</si>
  <si>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</si>
  <si>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</si>
  <si>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</si>
  <si>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</si>
  <si>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</si>
  <si>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</si>
  <si>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</si>
  <si>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</si>
  <si>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</si>
  <si>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</si>
  <si>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</si>
  <si>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</si>
  <si>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</si>
  <si>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</si>
  <si>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</si>
  <si>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</si>
  <si>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</si>
  <si>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</si>
  <si>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</si>
  <si>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</si>
  <si>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</si>
  <si>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</si>
  <si>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</si>
  <si>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</si>
  <si>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</si>
  <si>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</si>
  <si>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</si>
  <si>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</si>
  <si>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</si>
  <si>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</si>
  <si>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</si>
  <si>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</si>
  <si>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</si>
  <si>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</si>
  <si>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</si>
  <si>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</si>
  <si>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</si>
  <si>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</si>
  <si>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</si>
  <si>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</si>
  <si>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</si>
  <si>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</si>
  <si>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</si>
  <si>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</si>
  <si>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</si>
  <si>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</si>
  <si>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</si>
  <si>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</si>
  <si>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</si>
  <si>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</si>
  <si>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</si>
  <si>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</si>
  <si>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</si>
  <si>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</si>
  <si>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</si>
  <si>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</si>
  <si>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</si>
  <si>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</si>
  <si>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</si>
  <si>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</si>
  <si>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</si>
  <si>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</si>
  <si>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</si>
  <si>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</si>
  <si>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</si>
  <si>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</si>
  <si>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</si>
  <si>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</si>
  <si>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</si>
  <si>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</si>
  <si>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</si>
  <si>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</si>
  <si>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</si>
  <si>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</si>
  <si>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</si>
  <si>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</si>
  <si>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</si>
  <si>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</si>
  <si>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</si>
  <si>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</si>
  <si>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</si>
  <si>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</si>
  <si>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</si>
  <si>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</si>
  <si>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</si>
  <si>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</si>
  <si>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</si>
  <si>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</si>
  <si>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</si>
  <si>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</si>
  <si>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</si>
  <si>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</si>
  <si>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</si>
  <si>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</si>
  <si>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</si>
  <si>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</si>
  <si>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</si>
  <si>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</si>
  <si>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</si>
  <si>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</si>
  <si>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</si>
  <si>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</si>
  <si>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</si>
  <si>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</si>
  <si>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</si>
  <si>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</si>
  <si>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</si>
  <si>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</si>
  <si>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</si>
  <si>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</si>
  <si>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</si>
  <si>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</si>
  <si>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</si>
  <si>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</si>
  <si>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</si>
  <si>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</si>
  <si>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</si>
  <si>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</si>
  <si>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</si>
  <si>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</si>
  <si>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</si>
  <si>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</si>
  <si>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</si>
  <si>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</si>
  <si>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</si>
  <si>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</si>
  <si>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</si>
  <si>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</si>
  <si>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</si>
  <si>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</si>
  <si>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</si>
  <si>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</si>
  <si>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</si>
  <si>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</si>
  <si>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</si>
  <si>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</si>
  <si>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</si>
  <si>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</si>
  <si>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</si>
  <si>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</si>
  <si>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</si>
  <si>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</si>
  <si>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</si>
  <si>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</si>
  <si>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</si>
  <si>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</si>
  <si>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</si>
  <si>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</si>
  <si>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</si>
  <si>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</si>
  <si>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</si>
  <si>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</si>
  <si>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</si>
  <si>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</si>
  <si>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</si>
  <si>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</si>
  <si>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</si>
  <si>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</si>
  <si>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</si>
  <si>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</si>
  <si>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</si>
  <si>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</si>
  <si>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</si>
  <si>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</si>
  <si>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</si>
  <si>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</si>
  <si>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</si>
  <si>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</si>
  <si>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</si>
  <si>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</si>
  <si>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</si>
  <si>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</si>
  <si>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</si>
  <si>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</si>
  <si>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</si>
  <si>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</si>
  <si>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</si>
  <si>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</si>
  <si>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</si>
  <si>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</si>
  <si>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</si>
  <si>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</si>
  <si>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</si>
  <si>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</si>
  <si>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</si>
  <si>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</si>
  <si>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</si>
  <si>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</si>
  <si>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</si>
  <si>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</si>
  <si>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</si>
  <si>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</si>
  <si>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</si>
  <si>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</si>
  <si>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</si>
  <si>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</si>
  <si>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</si>
  <si>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</si>
  <si>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</si>
  <si>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</si>
  <si>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</si>
  <si>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</si>
  <si>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</si>
  <si>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</si>
  <si>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</si>
  <si>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</si>
  <si>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</si>
  <si>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</si>
  <si>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</si>
  <si>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</si>
  <si>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</si>
  <si>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</si>
  <si>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</si>
  <si>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</si>
  <si>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</si>
  <si>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</si>
  <si>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</si>
  <si>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</si>
  <si>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</si>
  <si>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</si>
  <si>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</si>
  <si>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</si>
  <si>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</si>
  <si>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</si>
  <si>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</si>
  <si>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</si>
  <si>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</si>
  <si>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</si>
  <si>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</si>
  <si>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</si>
  <si>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</si>
  <si>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</si>
  <si>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</si>
  <si>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</si>
  <si>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</si>
  <si>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</si>
  <si>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</si>
  <si>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</si>
  <si>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</si>
  <si>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</si>
  <si>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</si>
  <si>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</si>
  <si>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</si>
  <si>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</si>
  <si>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</si>
  <si>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</si>
  <si>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</si>
  <si>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</si>
  <si>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</si>
  <si>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</si>
  <si>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</si>
  <si>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</si>
  <si>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</si>
  <si>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</si>
  <si>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</si>
  <si>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</si>
  <si>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</si>
  <si>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</si>
  <si>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</si>
  <si>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</si>
  <si>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</si>
  <si>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</si>
  <si>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</si>
  <si>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</si>
  <si>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</si>
  <si>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</si>
  <si>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</si>
  <si>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</si>
  <si>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</si>
  <si>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</si>
  <si>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</si>
  <si>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</si>
  <si>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</si>
  <si>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</si>
  <si>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</si>
  <si>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</si>
  <si>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</si>
  <si>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</si>
  <si>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</si>
  <si>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</si>
  <si>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</si>
  <si>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</si>
  <si>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</si>
  <si>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</si>
  <si>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</si>
  <si>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</si>
  <si>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</si>
  <si>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</si>
  <si>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</si>
  <si>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</si>
  <si>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</si>
  <si>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</si>
  <si>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</si>
  <si>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</si>
  <si>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</si>
  <si>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</si>
  <si>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</si>
  <si>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</si>
  <si>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</si>
  <si>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</si>
  <si>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</si>
  <si>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</si>
  <si>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</si>
  <si>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</si>
  <si>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</si>
  <si>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</si>
  <si>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</si>
  <si>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</si>
  <si>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</si>
  <si>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</si>
  <si>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</si>
  <si>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</si>
  <si>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</si>
  <si>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</si>
  <si>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</si>
  <si>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</si>
  <si>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</si>
  <si>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</si>
  <si>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</si>
  <si>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</si>
  <si>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</si>
  <si>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</si>
  <si>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</si>
  <si>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</si>
  <si>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</si>
  <si>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</si>
  <si>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</si>
  <si>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</si>
  <si>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</si>
  <si>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</si>
  <si>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</si>
  <si>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</si>
  <si>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</si>
  <si>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</si>
  <si>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</si>
  <si>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</si>
  <si>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</si>
  <si>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</si>
  <si>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</si>
  <si>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</si>
  <si>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</si>
  <si>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</si>
  <si>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</si>
  <si>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</si>
  <si>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</si>
  <si>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</si>
  <si>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</si>
  <si>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</si>
  <si>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</si>
  <si>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</si>
  <si>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</si>
  <si>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</si>
  <si>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</si>
  <si>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</si>
  <si>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</si>
  <si>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</si>
  <si>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</si>
  <si>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</si>
  <si>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</si>
  <si>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</si>
  <si>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</si>
  <si>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</si>
  <si>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</si>
  <si>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</si>
  <si>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</si>
  <si>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</si>
  <si>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</si>
  <si>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</si>
  <si>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</si>
  <si>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</si>
  <si>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</si>
  <si>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</si>
  <si>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</si>
  <si>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</si>
  <si>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</si>
  <si>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</si>
  <si>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</si>
  <si>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</si>
  <si>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</si>
  <si>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</si>
  <si>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</si>
  <si>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</si>
  <si>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</si>
  <si>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</si>
  <si>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</si>
  <si>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</si>
  <si>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</si>
  <si>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</si>
  <si>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</si>
  <si>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</si>
  <si>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</si>
  <si>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</si>
  <si>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</si>
  <si>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</si>
  <si>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</si>
  <si>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</si>
  <si>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</si>
  <si>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</si>
  <si>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</si>
  <si>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</si>
  <si>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</si>
  <si>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</si>
  <si>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</si>
  <si>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</si>
  <si>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</si>
  <si>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</si>
  <si>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</si>
  <si>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</si>
  <si>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</si>
  <si>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</si>
  <si>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</si>
  <si>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</si>
  <si>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</si>
  <si>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</si>
  <si>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</si>
  <si>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</si>
  <si>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</si>
  <si>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</si>
  <si>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</si>
  <si>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</si>
  <si>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</si>
  <si>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</si>
  <si>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</si>
  <si>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</si>
  <si>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</si>
  <si>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</si>
  <si>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</si>
  <si>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</si>
  <si>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</si>
  <si>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</si>
  <si>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</si>
  <si>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</si>
  <si>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</si>
  <si>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</si>
  <si>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</si>
  <si>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</si>
  <si>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</si>
  <si>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</si>
  <si>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</si>
  <si>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</si>
  <si>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</si>
  <si>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</si>
  <si>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</si>
  <si>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</si>
  <si>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</si>
  <si>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</si>
  <si>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</si>
  <si>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</si>
  <si>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</si>
  <si>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</si>
  <si>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</si>
  <si>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</si>
  <si>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</si>
  <si>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</si>
  <si>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</si>
  <si>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</si>
  <si>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</si>
  <si>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</si>
  <si>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</si>
  <si>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</si>
  <si>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</si>
  <si>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</si>
  <si>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</si>
  <si>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</si>
  <si>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</si>
  <si>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</si>
  <si>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</si>
  <si>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</si>
  <si>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</si>
  <si>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</si>
  <si>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</si>
  <si>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</si>
  <si>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</si>
  <si>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</si>
  <si>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</si>
  <si>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</si>
  <si>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</si>
  <si>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</si>
  <si>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</si>
  <si>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</si>
  <si>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</si>
  <si>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</si>
  <si>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</si>
  <si>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</si>
  <si>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</si>
  <si>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</si>
  <si>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</si>
  <si>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</si>
  <si>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</si>
  <si>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</si>
  <si>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</si>
  <si>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</si>
  <si>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</si>
  <si>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</si>
  <si>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</si>
  <si>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</si>
  <si>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</si>
  <si>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</si>
  <si>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</si>
  <si>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</si>
  <si>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</si>
  <si>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</si>
  <si>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</si>
  <si>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</si>
  <si>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</si>
  <si>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</si>
  <si>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</si>
  <si>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</si>
  <si>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</si>
  <si>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</si>
  <si>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</si>
  <si>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</si>
  <si>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</si>
  <si>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</si>
  <si>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</si>
  <si>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</si>
  <si>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</si>
  <si>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</si>
  <si>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</si>
  <si>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</si>
  <si>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</si>
  <si>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</si>
  <si>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</si>
  <si>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</si>
  <si>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</si>
  <si>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</si>
  <si>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</si>
  <si>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</si>
  <si>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</si>
  <si>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</si>
  <si>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</si>
  <si>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</si>
  <si>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</si>
  <si>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</si>
  <si>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</si>
  <si>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</si>
  <si>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</si>
  <si>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</si>
  <si>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</si>
  <si>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</si>
  <si>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</si>
  <si>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</si>
  <si>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</si>
  <si>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</si>
  <si>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</si>
  <si>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</si>
  <si>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</si>
  <si>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</si>
  <si>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</si>
  <si>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</si>
  <si>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</si>
  <si>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</si>
  <si>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</si>
  <si>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</si>
  <si>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</si>
  <si>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</si>
  <si>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</si>
  <si>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</si>
  <si>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</si>
  <si>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</si>
  <si>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</si>
  <si>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</si>
  <si>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</si>
  <si>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</si>
  <si>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</si>
  <si>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</si>
  <si>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</si>
  <si>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</si>
  <si>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</si>
  <si>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</si>
  <si>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</si>
  <si>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</si>
  <si>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</si>
  <si>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</si>
  <si>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</si>
  <si>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</si>
  <si>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</si>
  <si>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</si>
  <si>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</si>
  <si>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</si>
  <si>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</si>
  <si>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</si>
  <si>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</si>
  <si>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</si>
  <si>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</si>
  <si>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</si>
  <si>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</si>
  <si>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</si>
  <si>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</si>
  <si>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</si>
  <si>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</si>
  <si>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</si>
  <si>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</si>
  <si>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</si>
  <si>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</si>
  <si>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</si>
  <si>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</si>
  <si>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</si>
  <si>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</si>
  <si>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</si>
  <si>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</si>
  <si>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</si>
  <si>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</si>
  <si>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</si>
  <si>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</si>
  <si>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</si>
  <si>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</si>
  <si>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</si>
  <si>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</si>
  <si>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</si>
  <si>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</si>
  <si>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</si>
  <si>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</si>
  <si>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</si>
  <si>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</si>
  <si>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</si>
  <si>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</si>
  <si>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</si>
  <si>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</si>
  <si>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</si>
  <si>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</si>
  <si>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</si>
  <si>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</si>
  <si>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</si>
  <si>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</si>
  <si>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</si>
  <si>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</si>
  <si>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</si>
  <si>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</si>
  <si>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</si>
  <si>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</si>
  <si>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</si>
  <si>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</si>
  <si>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</si>
  <si>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</si>
  <si>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</si>
  <si>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</si>
  <si>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</si>
  <si>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</si>
  <si>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</si>
  <si>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</si>
  <si>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</si>
  <si>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</si>
  <si>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</si>
  <si>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</si>
  <si>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</si>
  <si>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</si>
  <si>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</si>
  <si>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</si>
  <si>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</si>
  <si>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</si>
  <si>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</si>
  <si>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</si>
  <si>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</si>
  <si>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</si>
  <si>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</si>
  <si>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</si>
  <si>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</si>
  <si>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</si>
  <si>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</si>
  <si>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</si>
  <si>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</si>
  <si>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</si>
  <si>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</si>
  <si>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</si>
  <si>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</si>
  <si>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</si>
  <si>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</si>
  <si>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</si>
  <si>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</si>
  <si>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</si>
  <si>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</si>
  <si>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</si>
  <si>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</si>
  <si>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</si>
  <si>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</si>
  <si>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</si>
  <si>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</si>
  <si>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</si>
  <si>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</si>
  <si>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</si>
  <si>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</si>
  <si>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</si>
  <si>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</si>
  <si>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</si>
  <si>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</si>
  <si>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</si>
  <si>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</si>
  <si>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</si>
  <si>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</si>
  <si>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</si>
  <si>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</si>
  <si>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</si>
  <si>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</si>
  <si>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</si>
  <si>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</si>
  <si>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</si>
  <si>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</si>
  <si>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</si>
  <si>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</si>
  <si>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</si>
  <si>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</si>
  <si>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</si>
  <si>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</si>
  <si>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</si>
  <si>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</si>
  <si>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</si>
  <si>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</si>
  <si>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</si>
  <si>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</si>
  <si>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</si>
  <si>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</si>
  <si>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</si>
  <si>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</si>
  <si>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</si>
  <si>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</si>
  <si>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</si>
  <si>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</si>
  <si>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</si>
  <si>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</si>
  <si>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</si>
  <si>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</si>
  <si>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</si>
  <si>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</si>
  <si>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</si>
  <si>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</si>
  <si>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</si>
  <si>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</si>
  <si>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</si>
  <si>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</si>
  <si>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</si>
  <si>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</si>
  <si>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</si>
  <si>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</si>
  <si>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</si>
  <si>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</si>
  <si>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</si>
  <si>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</si>
  <si>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</si>
  <si>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</si>
  <si>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</si>
  <si>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</si>
  <si>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</si>
  <si>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</si>
  <si>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</si>
  <si>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</si>
  <si>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</si>
  <si>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</si>
  <si>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</si>
  <si>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</si>
  <si>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</si>
  <si>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</si>
  <si>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</si>
  <si>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</si>
  <si>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</si>
  <si>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</si>
  <si>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</si>
  <si>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</si>
  <si>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</si>
  <si>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</si>
  <si>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</si>
  <si>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</si>
  <si>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</si>
  <si>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</si>
  <si>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</si>
  <si>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</si>
  <si>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</si>
  <si>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</si>
  <si>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</si>
  <si>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</si>
  <si>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</si>
  <si>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</si>
  <si>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</si>
  <si>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</si>
  <si>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</si>
  <si>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</si>
  <si>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</si>
  <si>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</si>
  <si>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</si>
  <si>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</si>
  <si>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</si>
  <si>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</si>
  <si>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</si>
  <si>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</si>
  <si>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</si>
  <si>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</si>
  <si>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</si>
  <si>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</si>
  <si>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</si>
  <si>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</si>
  <si>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</si>
  <si>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</si>
  <si>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</si>
  <si>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</si>
  <si>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</si>
  <si>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</si>
  <si>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</si>
  <si>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</si>
  <si>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</si>
  <si>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</si>
  <si>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</si>
  <si>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</si>
  <si>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</si>
  <si>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</si>
  <si>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</si>
  <si>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</si>
  <si>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</si>
  <si>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</si>
  <si>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</si>
  <si>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</si>
  <si>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</si>
  <si>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</si>
  <si>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</si>
  <si>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</si>
  <si>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</si>
  <si>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</si>
  <si>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</si>
  <si>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</si>
  <si>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</si>
  <si>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</si>
  <si>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</si>
  <si>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</si>
  <si>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</si>
  <si>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</si>
  <si>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</si>
  <si>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</si>
  <si>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</si>
  <si>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</si>
  <si>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</si>
  <si>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</si>
  <si>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</si>
  <si>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</si>
  <si>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</si>
  <si>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</si>
  <si>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</si>
  <si>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</si>
  <si>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</si>
  <si>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</si>
  <si>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</si>
  <si>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</si>
  <si>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</si>
  <si>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</si>
  <si>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</si>
  <si>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</si>
  <si>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</si>
  <si>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</si>
  <si>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</si>
  <si>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</si>
  <si>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</si>
  <si>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</si>
  <si>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</si>
  <si>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</si>
  <si>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</si>
  <si>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</si>
  <si>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</si>
  <si>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</si>
  <si>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</si>
  <si>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</si>
  <si>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</si>
  <si>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</si>
  <si>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</si>
  <si>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</si>
  <si>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</si>
  <si>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</si>
  <si>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</si>
  <si>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</si>
  <si>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</si>
  <si>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</si>
  <si>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</si>
  <si>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</si>
  <si>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</si>
  <si>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</si>
  <si>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</si>
  <si>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</si>
  <si>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</si>
  <si>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</si>
  <si>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</si>
  <si>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</si>
  <si>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</si>
  <si>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</si>
  <si>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</si>
  <si>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</si>
  <si>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</si>
  <si>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</si>
  <si>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</si>
  <si>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</si>
  <si>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</si>
  <si>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</si>
  <si>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</si>
  <si>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</si>
  <si>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</si>
  <si>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</si>
  <si>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</si>
  <si>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</si>
  <si>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</si>
  <si>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</si>
  <si>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</si>
  <si>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</si>
  <si>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</si>
  <si>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</si>
  <si>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</si>
  <si>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</si>
  <si>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</si>
  <si>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</si>
  <si>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</si>
  <si>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</si>
  <si>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</si>
  <si>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</si>
  <si>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</si>
  <si>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</si>
  <si>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</si>
  <si>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</si>
  <si>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</si>
  <si>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</si>
  <si>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</si>
  <si>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</si>
  <si>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</si>
  <si>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</si>
  <si>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</si>
  <si>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</si>
  <si>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</si>
  <si>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</si>
  <si>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</si>
  <si>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</si>
  <si>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</si>
  <si>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</si>
  <si>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</si>
  <si>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</si>
  <si>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</si>
  <si>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</si>
  <si>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</si>
  <si>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</si>
  <si>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</si>
  <si>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</si>
  <si>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</si>
  <si>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</si>
  <si>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</si>
  <si>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</si>
  <si>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</si>
  <si>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</si>
  <si>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</si>
  <si>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</si>
  <si>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</si>
  <si>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</si>
  <si>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</si>
  <si>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</si>
  <si>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</si>
  <si>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</si>
  <si>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</si>
  <si>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</si>
  <si>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</si>
  <si>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</si>
  <si>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</si>
  <si>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</si>
  <si>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</si>
  <si>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</si>
  <si>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</si>
  <si>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</si>
  <si>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</si>
  <si>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</si>
  <si>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</si>
  <si>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</si>
  <si>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</si>
  <si>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</si>
  <si>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</si>
  <si>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</si>
  <si>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</si>
  <si>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</si>
  <si>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</si>
  <si>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</si>
  <si>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</si>
  <si>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</si>
  <si>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</si>
  <si>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</si>
  <si>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</si>
  <si>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</si>
  <si>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</si>
  <si>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</si>
  <si>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</si>
  <si>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</si>
  <si>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</si>
  <si>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</si>
  <si>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</si>
  <si>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</si>
  <si>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</si>
  <si>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</si>
  <si>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</si>
  <si>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</si>
  <si>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</si>
  <si>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</si>
  <si>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</si>
  <si>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</si>
  <si>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</si>
  <si>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</si>
  <si>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</si>
  <si>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</si>
  <si>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</si>
  <si>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</si>
  <si>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</si>
  <si>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</si>
  <si>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</si>
  <si>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</si>
  <si>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</si>
  <si>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</si>
  <si>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</si>
  <si>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</si>
  <si>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</si>
  <si>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</si>
  <si>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</si>
  <si>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</si>
  <si>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</si>
  <si>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</si>
  <si>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</si>
  <si>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</si>
  <si>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</si>
  <si>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</si>
  <si>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</si>
  <si>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</si>
  <si>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</si>
  <si>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</si>
  <si>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</si>
  <si>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</si>
  <si>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</si>
  <si>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</si>
  <si>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</si>
  <si>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</si>
  <si>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</si>
  <si>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</si>
  <si>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</si>
  <si>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</si>
  <si>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</si>
  <si>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</si>
  <si>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</si>
  <si>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</si>
  <si>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</si>
  <si>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</si>
  <si>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</si>
  <si>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</si>
  <si>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</si>
  <si>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</si>
  <si>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</si>
  <si>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</si>
  <si>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</si>
  <si>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</si>
  <si>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</si>
  <si>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</si>
  <si>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</si>
  <si>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</si>
  <si>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</si>
  <si>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</si>
  <si>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</si>
  <si>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</si>
  <si>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</si>
  <si>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</si>
  <si>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</si>
  <si>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</si>
  <si>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</si>
  <si>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</si>
  <si>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</si>
  <si>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</si>
  <si>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</si>
  <si>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</si>
  <si>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</si>
  <si>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</si>
  <si>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</si>
  <si>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</si>
  <si>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</si>
  <si>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</si>
  <si>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</si>
  <si>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</si>
  <si>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</si>
  <si>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</si>
  <si>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</si>
  <si>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</si>
  <si>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</si>
  <si>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</si>
  <si>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</si>
  <si>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</si>
  <si>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</si>
  <si>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</si>
  <si>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</si>
  <si>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</si>
  <si>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</si>
  <si>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</si>
  <si>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</si>
  <si>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</si>
  <si>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</si>
  <si>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</si>
  <si>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</si>
  <si>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</si>
  <si>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</si>
  <si>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</si>
  <si>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</si>
  <si>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</si>
  <si>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</si>
  <si>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</si>
  <si>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</si>
  <si>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</si>
  <si>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</si>
  <si>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</si>
  <si>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</si>
  <si>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</si>
  <si>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</si>
  <si>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</si>
  <si>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</si>
  <si>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</si>
  <si>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</si>
  <si>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</si>
  <si>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</si>
  <si>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</si>
  <si>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</si>
  <si>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</si>
  <si>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</si>
  <si>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</si>
  <si>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</si>
  <si>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</si>
  <si>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</si>
  <si>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</si>
  <si>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</si>
  <si>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</si>
  <si>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</si>
  <si>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</si>
  <si>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</si>
  <si>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</si>
  <si>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</si>
  <si>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</si>
  <si>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</si>
  <si>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</si>
  <si>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</si>
  <si>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</si>
  <si>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</si>
  <si>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</si>
  <si>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</si>
  <si>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</si>
  <si>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</si>
  <si>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</si>
  <si>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</si>
  <si>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</si>
  <si>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</si>
  <si>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</si>
  <si>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</si>
  <si>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</si>
  <si>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</si>
  <si>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</si>
  <si>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</si>
  <si>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</si>
  <si>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</si>
  <si>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</si>
  <si>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</si>
  <si>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</si>
  <si>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</si>
  <si>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</si>
  <si>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</si>
  <si>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</si>
  <si>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</si>
  <si>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</si>
  <si>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</si>
  <si>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</si>
  <si>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</si>
  <si>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</si>
  <si>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</si>
  <si>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</si>
  <si>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</si>
  <si>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</si>
  <si>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</si>
  <si>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</si>
  <si>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</si>
  <si>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</si>
  <si>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</si>
  <si>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</si>
  <si>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</si>
  <si>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</si>
  <si>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</si>
  <si>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</si>
  <si>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</si>
  <si>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</si>
  <si>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</si>
  <si>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</si>
  <si>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</si>
  <si>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</si>
  <si>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</si>
  <si>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</si>
  <si>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</si>
  <si>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</si>
  <si>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</si>
  <si>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</si>
  <si>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</si>
  <si>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</si>
  <si>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</si>
  <si>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</si>
  <si>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</si>
  <si>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</si>
  <si>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</si>
  <si>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</si>
  <si>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</si>
  <si>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</si>
  <si>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</si>
  <si>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</si>
  <si>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</si>
  <si>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</si>
  <si>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</si>
  <si>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</si>
  <si>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</si>
  <si>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</si>
  <si>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</si>
  <si>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</si>
  <si>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</si>
  <si>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</si>
  <si>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</si>
  <si>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</si>
  <si>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</si>
  <si>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</si>
  <si>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</si>
  <si>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</si>
  <si>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</si>
  <si>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</si>
  <si>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</si>
  <si>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</si>
  <si>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</si>
  <si>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</si>
  <si>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</si>
  <si>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</si>
  <si>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</si>
  <si>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</si>
  <si>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</si>
  <si>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</si>
  <si>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</si>
  <si>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</si>
  <si>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</si>
  <si>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</si>
  <si>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</si>
  <si>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</si>
  <si>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</si>
  <si>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</si>
  <si>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</si>
  <si>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</si>
  <si>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</si>
  <si>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</si>
  <si>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</si>
  <si>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</si>
  <si>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</si>
  <si>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</si>
  <si>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</si>
  <si>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</si>
  <si>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</si>
  <si>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</si>
  <si>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</si>
  <si>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</si>
  <si>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</si>
  <si>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</si>
  <si>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</si>
  <si>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</si>
  <si>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</si>
  <si>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</si>
  <si>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</si>
  <si>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</si>
  <si>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</si>
  <si>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</si>
  <si>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</si>
  <si>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</si>
  <si>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</si>
  <si>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</si>
  <si>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</si>
  <si>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</si>
  <si>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</si>
  <si>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</si>
  <si>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</si>
  <si>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</si>
  <si>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</si>
  <si>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</si>
  <si>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</si>
  <si>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</si>
  <si>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</si>
  <si>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</si>
  <si>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</si>
  <si>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</si>
  <si>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</si>
  <si>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</si>
  <si>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</si>
  <si>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</si>
  <si>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</si>
  <si>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</si>
  <si>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</si>
  <si>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</si>
  <si>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</si>
  <si>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</si>
  <si>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</si>
  <si>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</si>
  <si>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</si>
  <si>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</si>
  <si>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</si>
  <si>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</si>
  <si>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</si>
  <si>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</si>
  <si>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</si>
  <si>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</si>
  <si>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</si>
  <si>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</si>
  <si>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</si>
  <si>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</si>
  <si>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</si>
  <si>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</si>
  <si>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</si>
  <si>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</si>
  <si>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</si>
  <si>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</si>
  <si>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</si>
  <si>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</si>
  <si>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</si>
  <si>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</si>
  <si>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</si>
  <si>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</si>
  <si>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</si>
  <si>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</si>
  <si>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</si>
  <si>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</si>
  <si>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</si>
  <si>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</si>
  <si>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</si>
  <si>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</si>
  <si>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</si>
  <si>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</si>
  <si>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</si>
  <si>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</si>
  <si>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</si>
  <si>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</si>
  <si>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</si>
  <si>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</si>
  <si>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</si>
  <si>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</si>
  <si>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</si>
  <si>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</si>
  <si>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</si>
  <si>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</si>
  <si>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</si>
  <si>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</si>
  <si>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</si>
  <si>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</si>
  <si>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</si>
  <si>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</si>
  <si>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</si>
  <si>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</si>
  <si>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</si>
  <si>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</si>
  <si>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</si>
  <si>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</si>
  <si>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</si>
  <si>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</si>
  <si>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</si>
  <si>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</si>
  <si>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</si>
  <si>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</si>
  <si>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</si>
  <si>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</si>
  <si>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</si>
  <si>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</si>
  <si>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</si>
  <si>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</si>
  <si>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</si>
  <si>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</si>
  <si>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</si>
  <si>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</si>
  <si>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</si>
  <si>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</si>
  <si>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</si>
  <si>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</si>
  <si>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</si>
  <si>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</si>
  <si>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</si>
  <si>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</si>
  <si>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</si>
  <si>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</si>
  <si>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</si>
  <si>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</si>
  <si>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</si>
  <si>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</si>
  <si>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</si>
  <si>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</si>
  <si>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</si>
  <si>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</si>
  <si>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</si>
  <si>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</si>
  <si>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</si>
  <si>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</si>
  <si>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</si>
  <si>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</si>
  <si>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</si>
  <si>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</si>
  <si>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</si>
  <si>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</si>
  <si>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</si>
  <si>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</si>
  <si>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</si>
  <si>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</si>
  <si>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</si>
  <si>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</si>
  <si>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</si>
  <si>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</si>
  <si>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</si>
  <si>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</si>
  <si>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</si>
  <si>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</si>
  <si>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</si>
  <si>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</si>
  <si>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</si>
  <si>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</si>
  <si>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</si>
  <si>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</si>
  <si>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</si>
  <si>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</si>
  <si>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</si>
  <si>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</si>
  <si>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</si>
  <si>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</si>
  <si>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</si>
  <si>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</si>
  <si>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</si>
  <si>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</si>
  <si>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</si>
  <si>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</si>
  <si>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</si>
  <si>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</si>
  <si>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</si>
  <si>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</si>
  <si>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</si>
  <si>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</si>
  <si>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</si>
  <si>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</si>
  <si>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</si>
  <si>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</si>
  <si>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</si>
  <si>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</si>
  <si>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</si>
  <si>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</si>
  <si>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</si>
  <si>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</si>
  <si>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</si>
  <si>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</si>
  <si>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</si>
  <si>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</si>
  <si>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</si>
  <si>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</si>
  <si>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</si>
  <si>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</si>
  <si>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</si>
  <si>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</si>
  <si>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</si>
  <si>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</si>
  <si>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</si>
  <si>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</si>
  <si>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</si>
  <si>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</si>
  <si>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</si>
  <si>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</si>
  <si>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</si>
  <si>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</si>
  <si>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</si>
  <si>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</si>
  <si>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</si>
  <si>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</si>
  <si>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</si>
  <si>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</si>
  <si>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</si>
  <si>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</si>
  <si>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</si>
  <si>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</si>
  <si>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</si>
  <si>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</si>
  <si>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</si>
  <si>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</si>
  <si>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</si>
  <si>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</si>
  <si>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</si>
  <si>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</si>
  <si>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</si>
  <si>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</si>
  <si>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</si>
  <si>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</si>
  <si>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</si>
  <si>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</si>
  <si>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</si>
  <si>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</si>
  <si>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</si>
  <si>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</si>
  <si>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</si>
  <si>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</si>
  <si>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</si>
  <si>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</si>
  <si>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</si>
  <si>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</si>
  <si>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</si>
  <si>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</si>
  <si>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</si>
  <si>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</si>
  <si>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</si>
  <si>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</si>
  <si>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</si>
  <si>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</si>
  <si>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</si>
  <si>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</si>
  <si>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</si>
  <si>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</si>
  <si>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</si>
  <si>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</si>
  <si>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</si>
  <si>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</si>
  <si>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</si>
  <si>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</si>
  <si>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</si>
  <si>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</si>
  <si>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</si>
  <si>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</si>
  <si>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</si>
  <si>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</si>
  <si>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</si>
  <si>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</si>
  <si>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</si>
  <si>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</si>
  <si>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</si>
  <si>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</si>
  <si>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</si>
  <si>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</si>
  <si>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</si>
  <si>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</si>
  <si>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</si>
  <si>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</si>
  <si>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</si>
  <si>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</si>
  <si>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</si>
  <si>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</si>
  <si>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</si>
  <si>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</si>
  <si>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</si>
  <si>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</si>
  <si>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</si>
  <si>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</si>
  <si>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</si>
  <si>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</si>
  <si>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</si>
  <si>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</si>
  <si>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</si>
  <si>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</si>
  <si>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</si>
  <si>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</si>
  <si>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</si>
  <si>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</si>
  <si>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</si>
  <si>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</si>
  <si>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</si>
  <si>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</si>
  <si>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</si>
  <si>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</si>
  <si>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</si>
  <si>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</si>
  <si>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</si>
  <si>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</si>
  <si>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</si>
  <si>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</si>
  <si>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</si>
  <si>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</si>
  <si>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</si>
  <si>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</si>
  <si>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</si>
  <si>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</si>
  <si>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</si>
  <si>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</si>
  <si>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</si>
  <si>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</si>
  <si>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</si>
  <si>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</si>
  <si>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</si>
  <si>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</si>
  <si>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</si>
  <si>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</si>
  <si>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</si>
  <si>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</si>
  <si>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</si>
  <si>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</si>
  <si>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</si>
  <si>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</si>
  <si>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</si>
  <si>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</si>
  <si>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</si>
  <si>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</si>
  <si>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</si>
  <si>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</si>
  <si>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</si>
  <si>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</si>
  <si>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</si>
  <si>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</si>
  <si>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</si>
  <si>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</si>
  <si>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</si>
  <si>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</si>
  <si>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</si>
  <si>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</si>
  <si>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</si>
  <si>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</si>
  <si>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</si>
  <si>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</si>
  <si>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</si>
  <si>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</si>
  <si>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</si>
  <si>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</si>
  <si>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</si>
  <si>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</si>
  <si>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</si>
  <si>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</si>
  <si>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</si>
  <si>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</si>
  <si>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</si>
  <si>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</si>
  <si>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</si>
  <si>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</si>
  <si>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</si>
  <si>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</si>
  <si>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</si>
  <si>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</si>
  <si>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</si>
  <si>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</si>
  <si>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</si>
  <si>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</si>
  <si>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</si>
  <si>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</si>
  <si>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</si>
  <si>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</si>
  <si>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</si>
  <si>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</si>
  <si>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</si>
  <si>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</si>
  <si>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</si>
  <si>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</si>
  <si>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</si>
  <si>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</si>
  <si>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</si>
  <si>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</si>
  <si>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</si>
  <si>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</si>
  <si>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</si>
  <si>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</si>
  <si>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</si>
  <si>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</si>
  <si>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</si>
  <si>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</si>
  <si>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</si>
  <si>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</si>
  <si>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</si>
  <si>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</si>
  <si>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</si>
  <si>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</si>
  <si>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</si>
  <si>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</si>
  <si>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</si>
  <si>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</si>
  <si>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</si>
  <si>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</si>
  <si>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</si>
  <si>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</si>
  <si>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</si>
  <si>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</si>
  <si>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</si>
  <si>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</si>
  <si>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</si>
  <si>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</si>
  <si>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</si>
  <si>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</si>
  <si>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</si>
  <si>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</si>
  <si>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</si>
  <si>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</si>
  <si>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</si>
  <si>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</si>
  <si>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</si>
  <si>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</si>
  <si>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</si>
  <si>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</si>
  <si>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</si>
  <si>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</si>
  <si>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</si>
  <si>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</si>
  <si>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</si>
  <si>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</si>
  <si>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</si>
  <si>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</si>
  <si>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</si>
  <si>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</si>
  <si>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</si>
  <si>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</si>
  <si>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</si>
  <si>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</si>
  <si>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</si>
  <si>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</si>
  <si>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</si>
  <si>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</si>
  <si>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</si>
  <si>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</si>
  <si>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</si>
  <si>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</si>
  <si>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</si>
  <si>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</si>
  <si>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</si>
  <si>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</si>
  <si>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</si>
  <si>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</si>
  <si>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</si>
  <si>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</si>
  <si>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</si>
  <si>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</si>
  <si>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</si>
  <si>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</si>
  <si>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</si>
  <si>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</si>
  <si>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</si>
  <si>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</si>
  <si>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</si>
  <si>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</si>
  <si>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</si>
  <si>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</si>
  <si>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</si>
  <si>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</si>
  <si>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</si>
  <si>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</si>
  <si>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</si>
  <si>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</si>
  <si>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</si>
  <si>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</si>
  <si>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</si>
  <si>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</si>
  <si>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</si>
  <si>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</si>
  <si>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</si>
  <si>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</si>
  <si>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</si>
  <si>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</si>
  <si>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</si>
  <si>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</si>
  <si>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</si>
  <si>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</si>
  <si>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</si>
  <si>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</si>
  <si>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</si>
  <si>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</si>
  <si>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</si>
  <si>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</si>
  <si>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</si>
  <si>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</si>
  <si>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</si>
  <si>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</si>
  <si>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</si>
  <si>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</si>
  <si>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</si>
  <si>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</si>
  <si>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</si>
  <si>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</si>
  <si>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</si>
  <si>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</si>
  <si>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</si>
  <si>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</si>
  <si>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</si>
  <si>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</si>
  <si>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</si>
  <si>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</si>
  <si>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</si>
  <si>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</si>
  <si>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</si>
  <si>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</si>
  <si>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</si>
  <si>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</si>
  <si>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</si>
  <si>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</si>
  <si>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</si>
  <si>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</si>
  <si>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</si>
  <si>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</si>
  <si>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</si>
  <si>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</si>
  <si>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</si>
  <si>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</si>
  <si>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</si>
  <si>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</si>
  <si>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</si>
  <si>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</si>
  <si>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</si>
  <si>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</si>
  <si>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</si>
  <si>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</si>
  <si>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</si>
  <si>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</si>
  <si>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</si>
  <si>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</si>
  <si>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</si>
  <si>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</si>
  <si>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</si>
  <si>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</si>
  <si>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</si>
  <si>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</si>
  <si>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</si>
  <si>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</si>
  <si>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</si>
  <si>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</si>
  <si>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</si>
  <si>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</si>
  <si>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</si>
  <si>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</si>
  <si>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</si>
  <si>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</si>
  <si>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</si>
  <si>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</si>
  <si>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</si>
  <si>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</si>
  <si>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</si>
  <si>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</si>
  <si>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</si>
  <si>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</si>
  <si>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</si>
  <si>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</si>
  <si>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</si>
  <si>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</si>
  <si>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</si>
  <si>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</si>
  <si>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</si>
  <si>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</si>
  <si>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</si>
  <si>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</si>
  <si>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</si>
  <si>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</si>
  <si>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</si>
  <si>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</si>
  <si>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</si>
  <si>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</si>
  <si>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</si>
  <si>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</si>
  <si>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</si>
  <si>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</si>
  <si>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</si>
  <si>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</si>
  <si>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</si>
  <si>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</si>
  <si>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</si>
  <si>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</si>
  <si>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</si>
  <si>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</si>
  <si>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</si>
  <si>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</si>
  <si>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</si>
  <si>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</si>
  <si>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</si>
  <si>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</si>
  <si>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</si>
  <si>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</si>
  <si>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</si>
  <si>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</si>
  <si>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</si>
  <si>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</si>
  <si>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</si>
  <si>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</si>
  <si>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</si>
  <si>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</si>
  <si>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</si>
  <si>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</si>
  <si>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</si>
  <si>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</si>
  <si>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</si>
  <si>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</si>
  <si>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</si>
  <si>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</si>
  <si>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</si>
  <si>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</si>
  <si>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</si>
  <si>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</si>
  <si>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</si>
  <si>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</si>
  <si>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</si>
  <si>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</si>
  <si>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</si>
  <si>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</si>
  <si>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</si>
  <si>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</si>
  <si>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</si>
  <si>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</si>
  <si>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</si>
  <si>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</si>
  <si>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</si>
  <si>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</si>
  <si>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</si>
  <si>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</si>
  <si>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</si>
  <si>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</si>
  <si>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</si>
  <si>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</si>
  <si>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</si>
  <si>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</si>
  <si>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</si>
  <si>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</si>
  <si>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</si>
  <si>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</si>
  <si>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</si>
  <si>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</si>
  <si>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</si>
  <si>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</si>
  <si>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</si>
  <si>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</si>
  <si>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</si>
  <si>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</si>
  <si>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</si>
  <si>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</si>
  <si>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</si>
  <si>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</si>
  <si>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</si>
  <si>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</si>
  <si>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</si>
  <si>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</si>
  <si>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</si>
  <si>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</si>
  <si>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</si>
  <si>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</si>
  <si>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</si>
  <si>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</si>
  <si>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</si>
  <si>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</si>
  <si>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</si>
  <si>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</si>
  <si>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</si>
  <si>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</si>
  <si>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</si>
  <si>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</si>
  <si>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</si>
  <si>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</si>
  <si>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</si>
  <si>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</si>
  <si>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</si>
  <si>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</si>
  <si>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</si>
  <si>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</si>
  <si>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</si>
  <si>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</si>
  <si>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</si>
  <si>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</si>
  <si>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</si>
  <si>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</si>
  <si>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</si>
  <si>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</si>
  <si>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</si>
  <si>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</si>
  <si>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</si>
  <si>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</si>
  <si>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</si>
  <si>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</si>
  <si>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</si>
  <si>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</si>
  <si>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</si>
  <si>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</si>
  <si>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</si>
  <si>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</si>
  <si>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</si>
  <si>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</si>
  <si>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</si>
  <si>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</si>
  <si>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</si>
  <si>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</si>
  <si>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</si>
  <si>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</si>
  <si>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</si>
  <si>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</si>
  <si>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</si>
  <si>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</si>
  <si>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</si>
  <si>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</si>
  <si>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</si>
  <si>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</si>
  <si>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</si>
  <si>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</si>
  <si>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</si>
  <si>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</si>
  <si>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</si>
  <si>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</si>
  <si>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</si>
  <si>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</si>
  <si>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</si>
  <si>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</si>
  <si>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</si>
  <si>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</si>
  <si>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</si>
  <si>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</si>
  <si>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</si>
  <si>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</si>
  <si>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</si>
  <si>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</si>
  <si>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</si>
  <si>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</si>
  <si>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</si>
  <si>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</si>
  <si>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</si>
  <si>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</si>
  <si>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</si>
  <si>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</si>
  <si>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</si>
  <si>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</si>
  <si>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</si>
  <si>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</si>
  <si>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</si>
  <si>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</si>
  <si>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</si>
  <si>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</si>
  <si>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</si>
  <si>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</si>
  <si>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</si>
  <si>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</si>
  <si>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</si>
  <si>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</si>
  <si>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</si>
  <si>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</si>
  <si>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</si>
  <si>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</si>
  <si>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</si>
  <si>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</si>
  <si>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</si>
  <si>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</si>
  <si>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</si>
  <si>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</si>
  <si>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</si>
  <si>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</si>
  <si>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</si>
  <si>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</si>
  <si>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</si>
  <si>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</si>
  <si>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</si>
  <si>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</si>
  <si>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</si>
  <si>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</si>
  <si>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</si>
  <si>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</si>
  <si>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</si>
  <si>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</si>
  <si>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</si>
  <si>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</si>
  <si>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</si>
  <si>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</si>
  <si>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</si>
  <si>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</si>
  <si>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</si>
  <si>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</si>
  <si>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</si>
  <si>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</si>
  <si>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</si>
  <si>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</si>
  <si>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</si>
  <si>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</si>
  <si>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</si>
  <si>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</si>
  <si>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</si>
  <si>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</si>
  <si>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</si>
  <si>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</si>
  <si>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</si>
  <si>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</si>
  <si>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</si>
  <si>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</si>
  <si>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</si>
  <si>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</si>
  <si>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</si>
  <si>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</si>
  <si>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</si>
  <si>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</si>
  <si>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</si>
  <si>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</si>
  <si>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</si>
  <si>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</si>
  <si>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</si>
  <si>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</si>
  <si>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</si>
  <si>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</si>
  <si>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</si>
  <si>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</si>
  <si>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</si>
  <si>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</si>
  <si>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</si>
  <si>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</si>
  <si>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</si>
  <si>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</si>
  <si>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</si>
  <si>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</si>
  <si>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</si>
  <si>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</si>
  <si>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</si>
  <si>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</si>
  <si>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</si>
  <si>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</si>
  <si>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</si>
  <si>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</si>
  <si>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</si>
  <si>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</si>
  <si>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</si>
  <si>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</si>
  <si>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</si>
  <si>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</si>
  <si>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</si>
  <si>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</si>
  <si>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</si>
  <si>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</si>
  <si>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</si>
  <si>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</si>
  <si>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</si>
  <si>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</si>
  <si>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</si>
  <si>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</si>
  <si>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</si>
  <si>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</si>
  <si>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</si>
  <si>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</si>
  <si>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</si>
  <si>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</si>
  <si>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</si>
  <si>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</si>
  <si>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</si>
  <si>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</si>
  <si>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</si>
  <si>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</si>
  <si>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</si>
  <si>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</si>
  <si>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</si>
  <si>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</si>
  <si>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</si>
  <si>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</si>
  <si>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</si>
  <si>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</si>
  <si>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</si>
  <si>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</si>
  <si>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</si>
  <si>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</si>
  <si>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</si>
  <si>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</si>
  <si>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</si>
  <si>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</si>
  <si>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</si>
  <si>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</si>
  <si>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</si>
  <si>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</si>
  <si>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</si>
  <si>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</si>
  <si>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</si>
  <si>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</si>
  <si>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</si>
  <si>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</si>
  <si>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</si>
  <si>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</si>
  <si>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</si>
  <si>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</si>
  <si>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</si>
  <si>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</si>
  <si>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</si>
  <si>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</si>
  <si>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</si>
  <si>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</si>
  <si>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</si>
  <si>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</si>
  <si>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</si>
  <si>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</si>
  <si>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</si>
  <si>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</si>
  <si>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</si>
  <si>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</si>
  <si>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</si>
  <si>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</si>
  <si>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</si>
  <si>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</si>
  <si>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</si>
  <si>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</si>
  <si>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</si>
  <si>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</si>
  <si>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</si>
  <si>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</si>
  <si>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</si>
  <si>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</si>
  <si>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</si>
  <si>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</si>
  <si>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</si>
  <si>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</si>
  <si>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</si>
  <si>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</si>
  <si>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</si>
  <si>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</si>
  <si>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</si>
  <si>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</si>
  <si>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</si>
  <si>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</si>
  <si>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</si>
  <si>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</si>
  <si>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</si>
  <si>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</si>
  <si>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</si>
  <si>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</si>
  <si>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</si>
  <si>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</si>
  <si>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</si>
  <si>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</si>
  <si>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</si>
  <si>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</si>
  <si>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</si>
  <si>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</si>
  <si>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</si>
  <si>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</si>
  <si>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</si>
  <si>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</si>
  <si>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</si>
  <si>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</si>
  <si>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</si>
  <si>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</si>
  <si>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</si>
  <si>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</si>
  <si>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</si>
  <si>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</si>
  <si>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</si>
  <si>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</si>
  <si>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</si>
  <si>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</si>
  <si>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</si>
  <si>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</si>
  <si>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</si>
  <si>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</si>
  <si>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</si>
  <si>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</si>
  <si>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</si>
  <si>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</si>
  <si>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</si>
  <si>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</si>
  <si>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</si>
  <si>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</si>
  <si>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</si>
  <si>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</si>
  <si>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</si>
  <si>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</si>
  <si>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</si>
  <si>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</si>
  <si>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</si>
  <si>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</si>
  <si>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</si>
  <si>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</si>
  <si>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</si>
  <si>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</si>
  <si>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</si>
  <si>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</si>
  <si>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</si>
  <si>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</si>
  <si>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</si>
  <si>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</si>
  <si>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</si>
  <si>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</si>
  <si>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</si>
  <si>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</si>
  <si>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</si>
  <si>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</si>
  <si>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</si>
  <si>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</si>
  <si>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</si>
  <si>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</si>
  <si>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</si>
  <si>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</si>
  <si>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</si>
  <si>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</si>
  <si>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</si>
  <si>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</si>
  <si>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</si>
  <si>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</si>
  <si>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</si>
  <si>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</si>
  <si>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</si>
  <si>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</si>
  <si>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</si>
  <si>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</si>
  <si>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</si>
  <si>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</si>
  <si>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</si>
  <si>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</si>
  <si>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</si>
  <si>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</si>
  <si>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</si>
  <si>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</si>
  <si>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</si>
  <si>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</si>
  <si>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</si>
  <si>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</si>
  <si>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</si>
  <si>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</si>
  <si>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</si>
  <si>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</si>
  <si>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</si>
  <si>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</si>
  <si>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</si>
  <si>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</si>
  <si>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</si>
  <si>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</si>
  <si>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</si>
  <si>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</si>
  <si>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</si>
  <si>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</si>
  <si>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</si>
  <si>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</si>
  <si>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</si>
  <si>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</si>
  <si>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</si>
  <si>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</si>
  <si>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</si>
  <si>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</si>
  <si>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</si>
  <si>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</si>
  <si>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</si>
  <si>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</si>
  <si>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</si>
  <si>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</si>
  <si>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</si>
  <si>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</si>
  <si>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</si>
  <si>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</si>
  <si>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</si>
  <si>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</si>
  <si>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</si>
  <si>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</si>
  <si>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</si>
  <si>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</si>
  <si>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</si>
  <si>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</si>
  <si>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</si>
  <si>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</si>
  <si>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</si>
  <si>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</si>
  <si>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</si>
  <si>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</si>
  <si>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</si>
  <si>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</si>
  <si>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</si>
  <si>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</si>
  <si>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</si>
  <si>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</si>
  <si>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</si>
  <si>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</si>
  <si>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</si>
  <si>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</si>
  <si>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</si>
  <si>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</si>
  <si>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</si>
  <si>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</si>
  <si>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</si>
  <si>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</si>
  <si>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</si>
  <si>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</si>
  <si>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</si>
  <si>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</si>
  <si>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</si>
  <si>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</si>
  <si>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</si>
  <si>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</si>
  <si>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</si>
  <si>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</si>
  <si>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</si>
  <si>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</si>
  <si>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</si>
  <si>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</si>
  <si>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</si>
  <si>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</si>
  <si>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</si>
  <si>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</si>
  <si>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</si>
  <si>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</si>
  <si>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</si>
  <si>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</si>
  <si>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</si>
  <si>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</si>
  <si>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</si>
  <si>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</si>
  <si>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</si>
  <si>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</si>
  <si>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</si>
  <si>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</si>
  <si>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</si>
  <si>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</si>
  <si>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</si>
  <si>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</si>
  <si>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</si>
  <si>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</si>
  <si>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</si>
  <si>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</si>
  <si>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</si>
  <si>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</si>
  <si>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</si>
  <si>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</si>
  <si>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</si>
  <si>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</si>
  <si>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</si>
  <si>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</si>
  <si>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</si>
  <si>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</si>
  <si>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</si>
  <si>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</si>
  <si>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</si>
  <si>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</si>
  <si>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</si>
  <si>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</si>
  <si>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</si>
  <si>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</si>
  <si>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</si>
  <si>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</si>
  <si>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</si>
  <si>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</si>
  <si>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</si>
  <si>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</si>
  <si>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</si>
  <si>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</si>
  <si>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</si>
  <si>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</si>
  <si>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</si>
  <si>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</si>
  <si>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</si>
  <si>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</si>
  <si>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</si>
  <si>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</si>
  <si>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</si>
  <si>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</si>
  <si>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</si>
  <si>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</si>
  <si>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</si>
  <si>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</si>
  <si>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</si>
  <si>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</si>
  <si>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</si>
  <si>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</si>
  <si>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</si>
  <si>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</si>
  <si>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</si>
  <si>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</si>
  <si>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</si>
  <si>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</si>
  <si>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</si>
  <si>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</si>
  <si>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</si>
  <si>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</si>
  <si>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</si>
  <si>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</si>
  <si>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</si>
  <si>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</si>
  <si>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</si>
  <si>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</si>
  <si>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</si>
  <si>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</si>
  <si>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</si>
  <si>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</si>
  <si>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</si>
  <si>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</si>
  <si>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</si>
  <si>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</si>
  <si>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</si>
  <si>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</si>
  <si>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</si>
  <si>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</si>
  <si>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</si>
  <si>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</si>
  <si>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</si>
  <si>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</si>
  <si>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</si>
  <si>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</si>
  <si>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</si>
  <si>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</si>
  <si>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</si>
  <si>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</si>
  <si>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</si>
  <si>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</si>
  <si>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</si>
  <si>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</si>
  <si>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</si>
  <si>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</si>
  <si>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</si>
  <si>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</si>
  <si>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</si>
  <si>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</si>
  <si>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</si>
  <si>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</si>
  <si>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</si>
  <si>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</si>
  <si>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</si>
  <si>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</si>
  <si>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</si>
  <si>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</si>
  <si>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</si>
  <si>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</si>
  <si>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</si>
  <si>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</si>
  <si>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</si>
  <si>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</si>
  <si>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</si>
  <si>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</si>
  <si>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</si>
  <si>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</si>
  <si>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</si>
  <si>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</si>
  <si>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</si>
  <si>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</si>
  <si>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</si>
  <si>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</si>
  <si>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</si>
  <si>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</si>
  <si>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</si>
  <si>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</si>
  <si>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</si>
  <si>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</si>
  <si>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</si>
  <si>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</si>
  <si>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</si>
  <si>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</si>
  <si>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</si>
  <si>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</si>
  <si>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</si>
  <si>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</si>
  <si>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</si>
  <si>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</si>
  <si>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</si>
  <si>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</si>
  <si>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</si>
  <si>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</si>
  <si>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</si>
  <si>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</si>
  <si>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</si>
  <si>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</si>
  <si>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</si>
  <si>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</si>
  <si>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</si>
  <si>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</si>
  <si>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</si>
  <si>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</si>
  <si>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</si>
  <si>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</si>
  <si>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</si>
  <si>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</si>
  <si>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</si>
  <si>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</si>
  <si>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</si>
  <si>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</si>
  <si>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</si>
  <si>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</si>
  <si>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</si>
  <si>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</si>
  <si>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</si>
  <si>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</si>
  <si>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</si>
  <si>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</si>
  <si>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</si>
  <si>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</si>
  <si>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</si>
  <si>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</si>
  <si>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</si>
  <si>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</si>
  <si>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</si>
  <si>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</si>
  <si>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</si>
  <si>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</si>
  <si>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</si>
  <si>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</si>
  <si>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</si>
  <si>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</si>
  <si>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</si>
  <si>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</si>
  <si>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</si>
  <si>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</si>
  <si>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</si>
  <si>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</si>
  <si>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</si>
  <si>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</si>
  <si>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</si>
  <si>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</si>
  <si>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</si>
  <si>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</si>
  <si>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</si>
  <si>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</si>
  <si>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</si>
  <si>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</si>
  <si>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</si>
  <si>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</si>
  <si>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</si>
  <si>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</si>
  <si>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</si>
  <si>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</si>
  <si>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</si>
  <si>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</si>
  <si>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</si>
  <si>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</si>
  <si>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</si>
  <si>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</si>
  <si>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</si>
  <si>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</si>
  <si>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</si>
  <si>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</si>
  <si>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</si>
  <si>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</si>
  <si>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</si>
  <si>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</si>
  <si>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</si>
  <si>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</si>
  <si>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</si>
  <si>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</si>
  <si>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</si>
  <si>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</si>
  <si>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</si>
  <si>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</si>
  <si>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</si>
  <si>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</si>
  <si>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</si>
  <si>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</si>
  <si>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</si>
  <si>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</si>
  <si>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</si>
  <si>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</si>
  <si>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</si>
  <si>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</si>
  <si>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</si>
  <si>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</si>
  <si>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</si>
  <si>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</si>
  <si>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</si>
  <si>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</si>
  <si>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</si>
  <si>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</si>
  <si>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</si>
  <si>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</si>
  <si>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</si>
  <si>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</si>
  <si>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</si>
  <si>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</si>
  <si>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</si>
  <si>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</si>
  <si>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</si>
  <si>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</si>
  <si>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</si>
  <si>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</si>
  <si>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</si>
  <si>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</si>
  <si>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</si>
  <si>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</si>
  <si>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</si>
  <si>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</si>
  <si>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</si>
  <si>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</si>
  <si>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</si>
  <si>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</si>
  <si>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</si>
  <si>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</si>
  <si>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</si>
  <si>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</si>
  <si>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</si>
  <si>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</si>
  <si>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</si>
  <si>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</si>
  <si>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</si>
  <si>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</si>
  <si>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</si>
  <si>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</si>
  <si>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</si>
  <si>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</si>
  <si>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</si>
  <si>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</si>
  <si>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</si>
  <si>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</si>
  <si>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</si>
  <si>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</si>
  <si>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</si>
  <si>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</si>
  <si>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</si>
  <si>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</si>
  <si>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</si>
  <si>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</si>
  <si>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</si>
  <si>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</si>
  <si>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</si>
  <si>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</si>
  <si>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</si>
  <si>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</si>
  <si>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</si>
  <si>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</si>
  <si>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</si>
  <si>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</si>
  <si>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</si>
  <si>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</si>
  <si>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</si>
  <si>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</si>
  <si>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</si>
  <si>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</si>
  <si>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</si>
  <si>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</si>
  <si>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</si>
  <si>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</si>
  <si>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</si>
  <si>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</si>
  <si>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</si>
  <si>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</si>
  <si>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</si>
  <si>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</si>
  <si>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</si>
  <si>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</si>
  <si>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</si>
  <si>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</si>
  <si>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</si>
  <si>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</si>
  <si>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</si>
  <si>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</si>
  <si>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</si>
  <si>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</si>
  <si>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</si>
  <si>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</si>
  <si>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</si>
  <si>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</si>
  <si>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</si>
  <si>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</si>
  <si>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</si>
  <si>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</si>
  <si>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</si>
  <si>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</si>
  <si>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</si>
  <si>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</si>
  <si>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</si>
  <si>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</si>
  <si>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</si>
  <si>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</si>
  <si>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</si>
  <si>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</si>
  <si>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</si>
  <si>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</si>
  <si>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</si>
  <si>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</si>
  <si>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</si>
  <si>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</si>
  <si>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</si>
  <si>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</si>
  <si>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</si>
  <si>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</si>
  <si>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</si>
  <si>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</si>
  <si>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</si>
  <si>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</si>
  <si>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</si>
  <si>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</si>
  <si>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</si>
  <si>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</si>
  <si>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</si>
  <si>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</si>
  <si>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</si>
  <si>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</si>
  <si>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</si>
  <si>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</si>
  <si>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</si>
  <si>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</si>
  <si>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</si>
  <si>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</si>
  <si>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</si>
  <si>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</si>
  <si>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</si>
  <si>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</si>
  <si>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</si>
  <si>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</si>
  <si>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</si>
  <si>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</si>
  <si>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</si>
  <si>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</si>
  <si>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</si>
  <si>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</si>
  <si>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</si>
  <si>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</si>
  <si>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</si>
  <si>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</si>
  <si>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</si>
  <si>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</si>
  <si>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</si>
  <si>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</si>
  <si>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</si>
  <si>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</si>
  <si>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</si>
  <si>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</si>
  <si>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</si>
  <si>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</si>
  <si>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</si>
  <si>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</si>
  <si>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</si>
  <si>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</si>
  <si>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</si>
  <si>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</si>
  <si>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</si>
  <si>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</si>
  <si>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</si>
  <si>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</si>
  <si>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</si>
  <si>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</si>
  <si>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</si>
  <si>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</si>
  <si>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</si>
  <si>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</si>
  <si>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</si>
  <si>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</si>
  <si>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</si>
  <si>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</si>
  <si>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</si>
  <si>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</si>
  <si>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</si>
  <si>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</si>
  <si>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</si>
  <si>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</si>
  <si>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</si>
  <si>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</si>
  <si>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</si>
  <si>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</si>
  <si>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</si>
  <si>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</si>
  <si>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</si>
  <si>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</si>
  <si>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</si>
  <si>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</si>
  <si>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</si>
  <si>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</si>
  <si>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</si>
  <si>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</si>
  <si>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</si>
  <si>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</si>
  <si>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</si>
  <si>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</si>
  <si>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</si>
  <si>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</si>
  <si>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</si>
  <si>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</si>
  <si>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</si>
  <si>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</si>
  <si>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</si>
  <si>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</si>
  <si>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</si>
  <si>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</si>
  <si>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</si>
  <si>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</si>
  <si>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</si>
  <si>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</si>
  <si>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</si>
  <si>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</si>
  <si>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</si>
  <si>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</si>
  <si>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</si>
  <si>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</si>
  <si>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</si>
  <si>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</si>
  <si>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</si>
  <si>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</si>
  <si>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</si>
  <si>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</si>
  <si>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</si>
  <si>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</si>
  <si>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</si>
  <si>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</si>
  <si>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</si>
  <si>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</si>
  <si>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</si>
  <si>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</si>
  <si>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</si>
  <si>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</si>
  <si>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</si>
  <si>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</si>
  <si>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</si>
  <si>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</si>
  <si>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</si>
  <si>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</si>
  <si>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</si>
  <si>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</si>
  <si>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</si>
  <si>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</si>
  <si>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</si>
  <si>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</si>
  <si>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</si>
  <si>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</si>
  <si>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</si>
  <si>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</si>
  <si>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</si>
  <si>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</si>
  <si>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</si>
  <si>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</si>
  <si>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</si>
  <si>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</si>
  <si>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</si>
  <si>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</si>
  <si>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</si>
  <si>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</si>
  <si>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</si>
  <si>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</si>
  <si>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</si>
  <si>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</si>
  <si>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</si>
  <si>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</si>
  <si>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</si>
  <si>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</si>
  <si>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</si>
  <si>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</si>
  <si>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</si>
  <si>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</si>
  <si>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</si>
  <si>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</si>
  <si>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</si>
  <si>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</si>
  <si>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</si>
  <si>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</si>
  <si>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</si>
  <si>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</si>
  <si>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</si>
  <si>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</si>
  <si>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</si>
  <si>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</si>
  <si>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</si>
  <si>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</si>
  <si>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</si>
  <si>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</si>
  <si>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</si>
  <si>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</si>
  <si>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</si>
  <si>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</si>
  <si>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</si>
  <si>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</si>
  <si>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</si>
  <si>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</si>
  <si>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</si>
  <si>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</si>
  <si>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</si>
  <si>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</si>
  <si>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</si>
  <si>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</si>
  <si>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</si>
  <si>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</si>
  <si>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</si>
  <si>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</si>
  <si>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</si>
  <si>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</si>
  <si>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</si>
  <si>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</si>
  <si>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</si>
  <si>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</si>
  <si>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</si>
  <si>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</si>
  <si>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</si>
  <si>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</si>
  <si>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</si>
  <si>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</si>
  <si>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</si>
  <si>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</si>
  <si>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</si>
  <si>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</si>
  <si>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</si>
  <si>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</si>
  <si>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</si>
  <si>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</si>
  <si>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</si>
  <si>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</si>
  <si>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</si>
  <si>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</si>
  <si>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</si>
  <si>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</si>
  <si>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</si>
  <si>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</si>
  <si>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</si>
  <si>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</si>
  <si>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</si>
  <si>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</si>
  <si>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</si>
  <si>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</si>
  <si>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</si>
  <si>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</si>
  <si>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</si>
  <si>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</si>
  <si>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</si>
  <si>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</si>
  <si>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</si>
  <si>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</si>
  <si>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</si>
  <si>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</si>
  <si>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</si>
  <si>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</si>
  <si>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</si>
  <si>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</si>
  <si>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</si>
  <si>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</si>
  <si>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</si>
  <si>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</si>
  <si>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</si>
  <si>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</si>
  <si>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</si>
  <si>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</si>
  <si>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</si>
  <si>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</si>
  <si>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</si>
  <si>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</si>
  <si>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</si>
  <si>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</si>
  <si>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</si>
  <si>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</si>
  <si>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</si>
  <si>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</si>
  <si>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</si>
  <si>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</si>
  <si>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</si>
  <si>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</si>
  <si>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</si>
  <si>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</si>
  <si>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</si>
  <si>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</si>
  <si>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</si>
  <si>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</si>
  <si>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</si>
  <si>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</si>
  <si>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</si>
  <si>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</si>
  <si>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</si>
  <si>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</si>
  <si>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</si>
  <si>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</si>
  <si>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</si>
  <si>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</si>
  <si>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</si>
  <si>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</si>
  <si>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</si>
  <si>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</si>
  <si>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</si>
  <si>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</si>
  <si>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</si>
  <si>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</si>
  <si>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</si>
  <si>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</si>
  <si>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</si>
  <si>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</si>
  <si>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</si>
  <si>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</si>
  <si>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</si>
  <si>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</si>
  <si>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</si>
  <si>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</si>
  <si>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</si>
  <si>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</si>
  <si>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</si>
  <si>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</si>
  <si>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</si>
  <si>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</si>
  <si>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</si>
  <si>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</si>
  <si>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</si>
  <si>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</si>
  <si>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</si>
  <si>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</si>
  <si>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</si>
  <si>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</si>
  <si>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</si>
  <si>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</si>
  <si>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</si>
  <si>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</si>
  <si>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</si>
  <si>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</si>
  <si>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</si>
  <si>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</si>
  <si>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</si>
  <si>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</si>
  <si>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</si>
  <si>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</si>
  <si>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</si>
  <si>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</si>
  <si>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</si>
  <si>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</si>
  <si>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</si>
  <si>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</si>
  <si>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</si>
  <si>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</si>
  <si>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</si>
  <si>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</si>
  <si>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</si>
  <si>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</si>
  <si>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</si>
  <si>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</si>
  <si>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</si>
  <si>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</si>
  <si>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</si>
  <si>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</si>
  <si>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</si>
  <si>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</si>
  <si>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</si>
  <si>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</si>
  <si>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</si>
  <si>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</si>
  <si>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</si>
  <si>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</si>
  <si>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</si>
  <si>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</si>
  <si>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</si>
  <si>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</si>
  <si>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</si>
  <si>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</si>
  <si>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</si>
  <si>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</si>
  <si>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</si>
  <si>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</si>
  <si>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</si>
  <si>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</si>
  <si>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</si>
  <si>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</si>
  <si>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</si>
  <si>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</si>
  <si>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</si>
  <si>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</si>
  <si>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</si>
  <si>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</si>
  <si>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</si>
  <si>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</si>
  <si>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</si>
  <si>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</si>
  <si>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</si>
  <si>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</si>
  <si>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</si>
  <si>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</si>
  <si>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</si>
  <si>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</si>
  <si>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</si>
  <si>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</si>
  <si>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</si>
  <si>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</si>
  <si>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</si>
  <si>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</si>
  <si>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</si>
  <si>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</si>
  <si>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</si>
  <si>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</si>
  <si>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</si>
  <si>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</si>
  <si>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</si>
  <si>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</si>
  <si>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</si>
  <si>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</si>
  <si>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</si>
  <si>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</si>
  <si>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</si>
  <si>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</si>
  <si>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</si>
  <si>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</si>
  <si>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</si>
  <si>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</si>
  <si>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</si>
  <si>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</si>
  <si>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</si>
  <si>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</si>
  <si>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</si>
  <si>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</si>
  <si>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</si>
  <si>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</si>
  <si>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</si>
  <si>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</si>
  <si>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</si>
  <si>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</si>
  <si>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</si>
  <si>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</si>
  <si>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</si>
  <si>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</si>
  <si>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</si>
  <si>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</si>
  <si>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</si>
  <si>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</si>
  <si>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</si>
  <si>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</si>
  <si>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</si>
  <si>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</si>
  <si>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</si>
  <si>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</si>
  <si>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</si>
  <si>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</si>
  <si>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</si>
  <si>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</si>
  <si>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</si>
  <si>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</si>
  <si>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</si>
  <si>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</si>
  <si>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</si>
  <si>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</si>
  <si>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</si>
  <si>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</si>
  <si>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</si>
  <si>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</si>
  <si>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</si>
  <si>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</si>
  <si>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</si>
  <si>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</si>
  <si>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</si>
  <si>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</si>
  <si>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</si>
  <si>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</si>
  <si>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</si>
  <si>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</si>
  <si>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</si>
  <si>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</si>
  <si>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</si>
  <si>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</si>
  <si>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</si>
  <si>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</si>
  <si>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</si>
  <si>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</si>
  <si>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</si>
  <si>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</si>
  <si>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</si>
  <si>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</si>
  <si>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</si>
  <si>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</si>
  <si>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</si>
  <si>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</si>
  <si>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</si>
  <si>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</si>
  <si>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</si>
  <si>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</si>
  <si>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</si>
  <si>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</si>
  <si>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</si>
  <si>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</si>
  <si>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</si>
  <si>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</si>
  <si>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</si>
  <si>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</si>
  <si>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</si>
  <si>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</si>
  <si>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</si>
  <si>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</si>
  <si>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</si>
  <si>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</si>
  <si>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</si>
  <si>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</si>
  <si>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</si>
  <si>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</si>
  <si>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</si>
  <si>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</si>
  <si>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</si>
  <si>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</si>
  <si>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</si>
  <si>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</si>
  <si>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</si>
  <si>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</si>
  <si>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</si>
  <si>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</si>
  <si>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</si>
  <si>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</si>
  <si>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</si>
  <si>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</si>
  <si>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</si>
  <si>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</si>
  <si>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</si>
  <si>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</si>
  <si>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</si>
  <si>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</si>
  <si>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</si>
  <si>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</si>
  <si>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</si>
  <si>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</si>
  <si>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</si>
  <si>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</si>
  <si>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</si>
  <si>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</si>
  <si>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</si>
  <si>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</si>
  <si>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</si>
  <si>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</si>
  <si>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</si>
  <si>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</si>
  <si>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</si>
  <si>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</si>
  <si>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</si>
  <si>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</si>
  <si>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</si>
  <si>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</si>
  <si>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</si>
  <si>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</si>
  <si>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</si>
  <si>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</si>
  <si>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</si>
  <si>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</si>
  <si>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</si>
  <si>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</si>
  <si>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</si>
  <si>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</si>
  <si>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</si>
  <si>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</si>
  <si>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</si>
  <si>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</si>
  <si>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</si>
  <si>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</si>
  <si>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</si>
  <si>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</si>
  <si>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</si>
  <si>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</si>
  <si>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</si>
  <si>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</si>
  <si>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</si>
  <si>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</si>
  <si>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</si>
  <si>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</si>
  <si>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</si>
  <si>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</si>
  <si>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</si>
  <si>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</si>
  <si>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</si>
  <si>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</si>
  <si>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</si>
  <si>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</si>
  <si>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</si>
  <si>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</si>
  <si>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</si>
  <si>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</si>
  <si>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</si>
  <si>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</si>
  <si>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</si>
  <si>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</si>
  <si>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</si>
  <si>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</si>
  <si>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</si>
  <si>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</si>
  <si>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</si>
  <si>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</si>
  <si>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</si>
  <si>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</si>
  <si>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</si>
  <si>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</si>
  <si>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</si>
  <si>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</si>
  <si>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</si>
  <si>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</si>
  <si>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</si>
  <si>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</si>
  <si>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</si>
  <si>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</si>
  <si>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</si>
  <si>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</si>
  <si>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</si>
  <si>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</si>
  <si>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</si>
  <si>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</si>
  <si>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</si>
  <si>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</si>
  <si>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</si>
  <si>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</si>
  <si>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</si>
  <si>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</si>
  <si>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</si>
  <si>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</si>
  <si>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</si>
  <si>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</si>
  <si>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</si>
  <si>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</si>
  <si>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</si>
  <si>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</si>
  <si>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</si>
  <si>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</si>
  <si>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</si>
  <si>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</si>
  <si>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</si>
  <si>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</si>
  <si>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</si>
  <si>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</si>
  <si>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</si>
  <si>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</si>
  <si>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</si>
  <si>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</si>
  <si>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</si>
  <si>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</si>
  <si>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</si>
  <si>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</si>
  <si>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</si>
  <si>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</si>
  <si>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</si>
  <si>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</si>
  <si>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</si>
  <si>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</si>
  <si>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</si>
  <si>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</si>
  <si>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</si>
  <si>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</si>
  <si>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</si>
  <si>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</si>
  <si>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</si>
  <si>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</si>
  <si>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</si>
  <si>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</si>
  <si>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</si>
  <si>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</si>
  <si>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</si>
  <si>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</si>
  <si>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</si>
  <si>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</si>
  <si>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</si>
  <si>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</si>
  <si>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</si>
  <si>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</si>
  <si>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</si>
  <si>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</si>
  <si>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</si>
  <si>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</si>
  <si>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</si>
  <si>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</si>
  <si>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</si>
  <si>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</si>
  <si>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</si>
  <si>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</si>
  <si>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</si>
  <si>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</si>
  <si>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</si>
  <si>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</si>
  <si>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</si>
  <si>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</si>
  <si>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</si>
  <si>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</si>
  <si>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</si>
  <si>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</si>
  <si>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</si>
  <si>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</si>
  <si>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</si>
  <si>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</si>
  <si>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</si>
  <si>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</si>
  <si>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</si>
  <si>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</si>
  <si>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</si>
  <si>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</si>
  <si>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</si>
  <si>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</si>
  <si>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</si>
  <si>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</si>
  <si>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</si>
  <si>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</si>
  <si>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</si>
  <si>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</si>
  <si>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</si>
  <si>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</si>
  <si>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</si>
  <si>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</si>
  <si>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</si>
  <si>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</si>
  <si>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</si>
  <si>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</si>
  <si>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</si>
  <si>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</si>
  <si>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</si>
  <si>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</si>
  <si>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</si>
  <si>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</si>
  <si>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</si>
  <si>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</si>
  <si>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</si>
  <si>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</si>
  <si>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</si>
  <si>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</si>
  <si>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</si>
  <si>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</si>
  <si>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</si>
  <si>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</si>
  <si>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</si>
  <si>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</si>
  <si>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</si>
  <si>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</si>
  <si>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</si>
  <si>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</si>
  <si>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</si>
  <si>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</si>
  <si>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</si>
  <si>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</si>
  <si>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</si>
  <si>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</si>
  <si>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</si>
  <si>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</si>
  <si>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</si>
  <si>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</si>
  <si>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</si>
  <si>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</si>
  <si>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</si>
  <si>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</si>
  <si>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</si>
  <si>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</si>
  <si>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</si>
  <si>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</si>
  <si>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</si>
  <si>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</si>
  <si>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</si>
  <si>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</si>
  <si>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</si>
  <si>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</si>
  <si>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</si>
  <si>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</si>
  <si>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</si>
  <si>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</si>
  <si>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</si>
  <si>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</si>
  <si>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</si>
  <si>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</si>
  <si>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</si>
  <si>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</si>
  <si>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</si>
  <si>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</si>
  <si>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</si>
  <si>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</si>
  <si>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</si>
  <si>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</si>
  <si>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</si>
  <si>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</si>
  <si>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</si>
  <si>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</si>
  <si>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</si>
  <si>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</si>
  <si>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</si>
  <si>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</si>
  <si>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</si>
  <si>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</si>
  <si>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</si>
  <si>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</si>
  <si>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</si>
  <si>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</si>
  <si>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</si>
  <si>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</si>
  <si>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</si>
  <si>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</si>
  <si>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</si>
  <si>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</si>
  <si>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</si>
  <si>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</si>
  <si>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</si>
  <si>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</si>
  <si>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</si>
  <si>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</si>
  <si>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</si>
  <si>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</si>
  <si>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</si>
  <si>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</si>
  <si>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</si>
  <si>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</si>
  <si>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</si>
  <si>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</si>
  <si>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</si>
  <si>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</si>
  <si>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</si>
  <si>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</si>
  <si>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</si>
  <si>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</si>
  <si>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</si>
  <si>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</si>
  <si>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</si>
  <si>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</si>
  <si>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</si>
  <si>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</si>
  <si>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</si>
  <si>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</si>
  <si>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</si>
  <si>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</si>
  <si>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</si>
  <si>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</si>
  <si>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</si>
  <si>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</si>
  <si>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</si>
  <si>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</si>
  <si>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</si>
  <si>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</si>
  <si>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</si>
  <si>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</si>
  <si>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</si>
  <si>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</si>
  <si>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</si>
  <si>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</si>
  <si>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</si>
  <si>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</si>
  <si>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</si>
  <si>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</si>
  <si>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</si>
  <si>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</si>
  <si>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</si>
  <si>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</si>
  <si>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</si>
  <si>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</si>
  <si>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</si>
  <si>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</si>
  <si>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</si>
  <si>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</si>
  <si>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</si>
  <si>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</si>
  <si>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</si>
  <si>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</si>
  <si>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</si>
  <si>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</si>
  <si>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</si>
  <si>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</si>
  <si>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</si>
  <si>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</si>
  <si>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</si>
  <si>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</si>
  <si>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</si>
  <si>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</si>
  <si>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</si>
  <si>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</si>
  <si>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</si>
  <si>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</si>
  <si>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</si>
  <si>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</si>
  <si>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</si>
  <si>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</si>
  <si>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</si>
  <si>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</si>
  <si>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</si>
  <si>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</si>
  <si>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</si>
  <si>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</si>
  <si>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</si>
  <si>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</si>
  <si>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</si>
  <si>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</si>
  <si>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</si>
  <si>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</si>
  <si>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</si>
  <si>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</si>
  <si>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</si>
  <si>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</si>
  <si>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</si>
  <si>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</si>
  <si>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</si>
  <si>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</si>
  <si>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</si>
  <si>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</si>
  <si>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</si>
  <si>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</si>
  <si>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</si>
  <si>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</si>
  <si>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</si>
  <si>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</si>
  <si>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</si>
  <si>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</si>
  <si>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</si>
  <si>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</si>
  <si>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</si>
  <si>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</si>
  <si>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</si>
  <si>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</si>
  <si>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</si>
  <si>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</si>
  <si>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</si>
  <si>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</si>
  <si>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</si>
  <si>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</si>
  <si>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</si>
  <si>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</si>
  <si>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</si>
  <si>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</si>
  <si>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</si>
  <si>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</si>
  <si>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</si>
  <si>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</si>
  <si>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</si>
  <si>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</si>
  <si>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</si>
  <si>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</si>
  <si>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</si>
  <si>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</si>
  <si>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</si>
  <si>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</si>
  <si>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</si>
  <si>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</si>
  <si>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</si>
  <si>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</si>
  <si>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</si>
  <si>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</si>
  <si>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</si>
  <si>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</si>
  <si>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</si>
  <si>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</si>
  <si>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</si>
  <si>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</si>
  <si>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</si>
  <si>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</si>
  <si>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</si>
  <si>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</si>
  <si>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</si>
  <si>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</si>
  <si>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</si>
  <si>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</si>
  <si>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</si>
  <si>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</si>
  <si>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</si>
  <si>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</si>
  <si>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</si>
  <si>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</si>
  <si>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</si>
  <si>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</si>
  <si>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</si>
  <si>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</si>
  <si>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</si>
  <si>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</si>
  <si>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</si>
  <si>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</si>
  <si>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</si>
  <si>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</si>
  <si>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</si>
  <si>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</si>
  <si>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</si>
  <si>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</si>
  <si>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</si>
  <si>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</si>
  <si>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</si>
  <si>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</si>
  <si>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</si>
  <si>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</si>
  <si>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</si>
  <si>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</si>
  <si>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</si>
  <si>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</si>
  <si>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</si>
  <si>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</si>
  <si>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</si>
  <si>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</si>
  <si>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</si>
  <si>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</si>
  <si>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</si>
  <si>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</si>
  <si>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</si>
  <si>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</si>
  <si>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</si>
  <si>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</si>
  <si>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</si>
  <si>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</si>
  <si>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</si>
  <si>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</si>
  <si>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</si>
  <si>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</si>
  <si>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</si>
  <si>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</si>
  <si>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</si>
  <si>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</si>
  <si>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</si>
  <si>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</si>
  <si>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</si>
  <si>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</si>
  <si>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</si>
  <si>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</si>
  <si>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</si>
  <si>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</si>
  <si>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</si>
  <si>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</si>
  <si>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</si>
  <si>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</si>
  <si>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</si>
  <si>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</si>
  <si>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</si>
  <si>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</si>
  <si>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</si>
  <si>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</si>
  <si>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</si>
  <si>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</si>
  <si>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</si>
  <si>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</si>
  <si>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</si>
  <si>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</si>
  <si>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</si>
  <si>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</si>
  <si>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</si>
  <si>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</si>
  <si>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</si>
  <si>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</si>
  <si>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</si>
  <si>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</si>
  <si>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</si>
  <si>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</si>
  <si>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</si>
  <si>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</si>
  <si>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</si>
  <si>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</si>
  <si>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</si>
  <si>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</si>
  <si>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</si>
  <si>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</si>
  <si>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</si>
  <si>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</si>
  <si>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</si>
  <si>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</si>
  <si>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</si>
  <si>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</si>
  <si>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</si>
  <si>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</si>
  <si>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</si>
  <si>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</si>
  <si>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</si>
  <si>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</si>
  <si>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</si>
  <si>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</si>
  <si>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</si>
  <si>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</si>
  <si>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</si>
  <si>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</si>
  <si>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</si>
  <si>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</si>
  <si>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</si>
  <si>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</si>
  <si>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</si>
  <si>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</si>
  <si>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</si>
  <si>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</si>
  <si>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</si>
  <si>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</si>
  <si>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</si>
  <si>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</si>
  <si>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</si>
  <si>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</si>
  <si>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</si>
  <si>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</si>
  <si>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</si>
  <si>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</si>
  <si>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</si>
  <si>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</si>
  <si>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</si>
  <si>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</si>
  <si>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</si>
  <si>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</si>
  <si>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</si>
  <si>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</si>
  <si>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</si>
  <si>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</si>
  <si>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</si>
  <si>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</si>
  <si>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</si>
  <si>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</si>
  <si>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</si>
  <si>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</si>
  <si>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</si>
  <si>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</si>
  <si>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</si>
  <si>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</si>
  <si>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</si>
  <si>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</si>
  <si>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</si>
  <si>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</si>
  <si>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</si>
  <si>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</si>
  <si>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</si>
  <si>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</si>
  <si>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</si>
  <si>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</si>
  <si>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</si>
  <si>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</si>
  <si>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</si>
  <si>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</si>
  <si>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</si>
  <si>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</si>
  <si>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</si>
  <si>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</si>
  <si>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</si>
  <si>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</si>
  <si>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</si>
  <si>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</si>
  <si>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</si>
  <si>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</si>
  <si>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</si>
  <si>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</si>
  <si>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</si>
  <si>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</si>
  <si>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</si>
  <si>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</si>
  <si>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</si>
  <si>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</si>
  <si>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</si>
  <si>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</si>
  <si>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</si>
  <si>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</si>
  <si>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</si>
  <si>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</si>
  <si>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</si>
  <si>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</si>
  <si>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</si>
  <si>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</si>
  <si>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</si>
  <si>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</si>
  <si>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</si>
  <si>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</si>
  <si>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</si>
  <si>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</si>
  <si>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</si>
  <si>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</si>
  <si>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</si>
  <si>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</si>
  <si>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</si>
  <si>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</si>
  <si>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</si>
  <si>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</si>
  <si>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</si>
  <si>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</si>
  <si>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</si>
  <si>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</si>
  <si>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</si>
  <si>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</si>
  <si>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</si>
  <si>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</si>
  <si>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</si>
  <si>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</si>
  <si>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</si>
  <si>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</si>
  <si>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</si>
  <si>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</si>
  <si>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</si>
  <si>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</si>
  <si>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</si>
  <si>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</si>
  <si>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</si>
  <si>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</si>
  <si>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</si>
  <si>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</si>
  <si>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</si>
  <si>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</si>
  <si>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</si>
  <si>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</si>
  <si>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</si>
  <si>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</si>
  <si>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</si>
  <si>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</si>
  <si>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</si>
  <si>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</si>
  <si>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</si>
  <si>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</si>
  <si>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</si>
  <si>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</si>
  <si>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</si>
  <si>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</si>
  <si>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</si>
  <si>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</si>
  <si>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</si>
  <si>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</si>
  <si>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</si>
  <si>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</si>
  <si>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</si>
  <si>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</si>
  <si>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</si>
  <si>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</si>
  <si>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</si>
  <si>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</si>
  <si>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</si>
  <si>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</si>
  <si>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</si>
  <si>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</si>
  <si>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</si>
  <si>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</si>
  <si>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</si>
  <si>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</si>
  <si>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</si>
  <si>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</si>
  <si>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</si>
  <si>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</si>
  <si>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</si>
  <si>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</si>
  <si>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</si>
  <si>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</si>
  <si>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</si>
  <si>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</si>
  <si>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</si>
  <si>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</si>
  <si>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</si>
  <si>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</si>
  <si>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</si>
  <si>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</si>
  <si>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</si>
  <si>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</si>
  <si>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</si>
  <si>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</si>
  <si>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</si>
  <si>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</si>
  <si>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</si>
  <si>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</si>
  <si>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</si>
  <si>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</si>
  <si>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</si>
  <si>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</si>
  <si>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</si>
  <si>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</si>
  <si>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</si>
  <si>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</si>
  <si>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</si>
  <si>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</si>
  <si>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</si>
  <si>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</si>
  <si>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</si>
  <si>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</si>
  <si>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</si>
  <si>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</si>
  <si>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</si>
  <si>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</si>
  <si>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</si>
  <si>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</si>
  <si>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</si>
  <si>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</si>
  <si>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</si>
  <si>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</si>
  <si>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</si>
  <si>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</si>
  <si>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</si>
  <si>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</si>
  <si>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</si>
  <si>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</si>
  <si>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</si>
  <si>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</si>
  <si>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</si>
  <si>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</si>
  <si>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</si>
  <si>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</si>
  <si>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</si>
  <si>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</si>
  <si>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</si>
  <si>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</si>
  <si>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</si>
  <si>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</si>
  <si>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</si>
  <si>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</si>
  <si>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</si>
  <si>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</si>
  <si>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</si>
  <si>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</si>
  <si>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</si>
  <si>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</si>
  <si>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</si>
  <si>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</si>
  <si>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</si>
  <si>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</si>
  <si>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</si>
  <si>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</si>
  <si>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</si>
  <si>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</si>
  <si>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</si>
  <si>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</si>
  <si>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</si>
  <si>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</si>
  <si>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</si>
  <si>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</si>
  <si>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</si>
  <si>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</si>
  <si>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</si>
  <si>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</si>
  <si>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</si>
  <si>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</si>
  <si>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</si>
  <si>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</si>
  <si>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</si>
  <si>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</si>
  <si>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</si>
  <si>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</si>
  <si>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</si>
  <si>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</si>
  <si>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</si>
  <si>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</si>
  <si>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</si>
  <si>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</si>
  <si>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</si>
  <si>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</si>
  <si>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</si>
  <si>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</si>
  <si>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</si>
  <si>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</si>
  <si>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</si>
  <si>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</si>
  <si>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</si>
  <si>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</si>
  <si>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</si>
  <si>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</si>
  <si>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</si>
  <si>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</si>
  <si>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</si>
  <si>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</si>
  <si>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</si>
  <si>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</si>
  <si>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</si>
  <si>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</si>
  <si>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</si>
  <si>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</si>
  <si>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</si>
  <si>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</si>
  <si>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</si>
  <si>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</si>
  <si>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</si>
  <si>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</si>
  <si>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</si>
  <si>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</si>
  <si>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</si>
  <si>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</si>
  <si>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</si>
  <si>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</si>
  <si>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</si>
  <si>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</si>
  <si>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</si>
  <si>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</si>
  <si>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</si>
  <si>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</si>
  <si>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</si>
  <si>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</si>
  <si>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</si>
  <si>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</si>
  <si>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</si>
  <si>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</si>
  <si>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</si>
  <si>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</si>
  <si>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</si>
  <si>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</si>
  <si>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</si>
  <si>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</si>
  <si>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</si>
  <si>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</si>
  <si>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</si>
  <si>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</si>
  <si>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</si>
  <si>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</si>
  <si>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</si>
  <si>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</si>
  <si>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</si>
  <si>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</si>
  <si>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</si>
  <si>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</si>
  <si>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</si>
  <si>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</si>
  <si>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</si>
  <si>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</si>
  <si>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</si>
  <si>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</si>
  <si>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</si>
  <si>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</si>
  <si>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</si>
  <si>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</si>
  <si>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</si>
  <si>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</si>
  <si>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</si>
  <si>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</si>
  <si>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</si>
  <si>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</si>
  <si>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</si>
  <si>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</si>
  <si>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</si>
  <si>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</si>
  <si>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</si>
  <si>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</si>
  <si>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</si>
  <si>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</si>
  <si>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</si>
  <si>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</si>
  <si>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</si>
  <si>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</si>
  <si>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</si>
  <si>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</si>
  <si>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</si>
  <si>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</si>
  <si>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</si>
  <si>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</si>
  <si>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</si>
  <si>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</si>
  <si>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</si>
  <si>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</si>
  <si>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</si>
  <si>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</si>
  <si>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</si>
  <si>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</si>
  <si>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</si>
  <si>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</si>
  <si>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</si>
  <si>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</si>
  <si>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</si>
  <si>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</si>
  <si>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</si>
  <si>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</si>
  <si>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</si>
  <si>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</si>
  <si>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</si>
  <si>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</si>
  <si>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</si>
  <si>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</si>
  <si>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</si>
  <si>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</si>
  <si>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</si>
  <si>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</si>
  <si>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</si>
  <si>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</si>
  <si>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</si>
  <si>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</si>
  <si>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</si>
  <si>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</si>
  <si>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</si>
  <si>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</si>
  <si>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</si>
  <si>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</si>
  <si>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</si>
  <si>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</si>
  <si>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</si>
  <si>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</si>
  <si>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</si>
  <si>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</si>
  <si>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</si>
  <si>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</si>
  <si>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</si>
  <si>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</si>
  <si>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</si>
  <si>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</si>
  <si>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</si>
  <si>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</si>
  <si>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</si>
  <si>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</si>
  <si>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</si>
  <si>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</si>
  <si>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</si>
  <si>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</si>
  <si>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</si>
  <si>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</si>
  <si>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</si>
  <si>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</si>
  <si>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</si>
  <si>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</si>
  <si>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</si>
  <si>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</si>
  <si>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</si>
  <si>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</si>
  <si>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</si>
  <si>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</si>
  <si>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</si>
  <si>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</si>
  <si>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</si>
  <si>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</si>
  <si>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</si>
  <si>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</si>
  <si>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</si>
  <si>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</si>
  <si>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</si>
  <si>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</si>
  <si>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</si>
  <si>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</si>
  <si>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</si>
  <si>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</si>
  <si>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</si>
  <si>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</si>
  <si>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</si>
  <si>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</si>
  <si>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</si>
  <si>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</si>
  <si>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</si>
  <si>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</si>
  <si>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</si>
  <si>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</si>
  <si>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</si>
  <si>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</si>
  <si>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</si>
  <si>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</si>
  <si>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</si>
  <si>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</si>
  <si>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</si>
  <si>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</si>
  <si>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</si>
  <si>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</si>
  <si>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</si>
  <si>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</si>
  <si>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</si>
  <si>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</si>
  <si>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</si>
  <si>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</si>
  <si>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</si>
  <si>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</si>
  <si>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</si>
  <si>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</si>
  <si>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</si>
  <si>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</si>
  <si>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</si>
  <si>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</si>
  <si>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</si>
  <si>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</si>
  <si>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</si>
  <si>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</si>
  <si>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</si>
  <si>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</si>
  <si>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</si>
  <si>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</si>
  <si>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</si>
  <si>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</si>
  <si>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</si>
  <si>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</si>
  <si>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</si>
  <si>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</si>
  <si>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</si>
  <si>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</si>
  <si>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</si>
  <si>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</si>
  <si>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</si>
  <si>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</si>
  <si>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</si>
  <si>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</si>
  <si>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</si>
  <si>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</si>
  <si>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</si>
  <si>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</si>
  <si>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</si>
  <si>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</si>
  <si>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</si>
  <si>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</si>
  <si>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</si>
  <si>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</si>
  <si>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</si>
  <si>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</si>
  <si>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</si>
  <si>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</si>
  <si>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</si>
  <si>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</si>
  <si>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</si>
  <si>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</si>
  <si>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</si>
  <si>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</si>
  <si>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</si>
  <si>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</si>
  <si>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</si>
  <si>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</si>
  <si>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</si>
  <si>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</si>
  <si>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</si>
  <si>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</si>
  <si>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</si>
  <si>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</si>
  <si>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</si>
  <si>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</si>
  <si>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</si>
  <si>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</si>
  <si>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</si>
  <si>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</si>
  <si>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</si>
  <si>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</si>
  <si>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</si>
  <si>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</si>
  <si>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</si>
  <si>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</si>
  <si>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</si>
  <si>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</si>
  <si>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</si>
  <si>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</si>
  <si>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</si>
  <si>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</si>
  <si>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</si>
  <si>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</si>
  <si>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</si>
  <si>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</si>
  <si>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</si>
  <si>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</si>
  <si>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</si>
  <si>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</si>
  <si>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</si>
  <si>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</si>
  <si>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</si>
  <si>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</si>
  <si>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</si>
  <si>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</si>
  <si>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</si>
  <si>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</si>
  <si>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</si>
  <si>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</si>
  <si>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</si>
  <si>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</si>
  <si>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</si>
  <si>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</si>
  <si>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</si>
  <si>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</si>
  <si>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</si>
  <si>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</si>
  <si>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</si>
  <si>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</si>
  <si>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</si>
  <si>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</si>
  <si>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</si>
  <si>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</si>
  <si>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</si>
  <si>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</si>
  <si>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</si>
  <si>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</si>
  <si>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</si>
  <si>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</si>
  <si>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</si>
  <si>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</si>
  <si>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</si>
  <si>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</si>
  <si>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</si>
  <si>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</si>
  <si>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</si>
  <si>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</si>
  <si>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</si>
  <si>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</si>
  <si>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</si>
  <si>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</si>
  <si>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</si>
  <si>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</si>
  <si>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</si>
  <si>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</si>
  <si>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</si>
  <si>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</si>
  <si>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</si>
  <si>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</si>
  <si>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</si>
  <si>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</si>
  <si>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</si>
  <si>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</si>
  <si>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</si>
  <si>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</si>
  <si>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</si>
  <si>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</si>
  <si>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</si>
  <si>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</si>
  <si>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</si>
  <si>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</si>
  <si>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</si>
  <si>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</si>
  <si>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</si>
  <si>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</si>
  <si>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</si>
  <si>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</si>
  <si>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</si>
  <si>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</si>
  <si>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</si>
  <si>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</si>
  <si>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</si>
  <si>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</si>
  <si>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</si>
  <si>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</si>
  <si>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</si>
  <si>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</si>
  <si>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</si>
  <si>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</si>
  <si>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</si>
  <si>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</si>
  <si>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</si>
  <si>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</si>
  <si>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</si>
  <si>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</si>
  <si>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</si>
  <si>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</si>
  <si>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</si>
  <si>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</si>
  <si>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</si>
  <si>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</si>
  <si>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</si>
  <si>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</si>
  <si>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</si>
  <si>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</si>
  <si>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</si>
  <si>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</si>
  <si>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</si>
  <si>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</si>
  <si>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</si>
  <si>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</si>
  <si>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</si>
  <si>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</si>
  <si>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</si>
  <si>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</si>
  <si>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</si>
  <si>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</si>
  <si>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</si>
  <si>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</si>
  <si>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</si>
  <si>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</si>
  <si>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</si>
  <si>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</si>
  <si>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</si>
  <si>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</si>
  <si>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</si>
  <si>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</si>
  <si>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</si>
  <si>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</si>
  <si>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</si>
  <si>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</si>
  <si>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</si>
  <si>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</si>
  <si>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</si>
  <si>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</si>
  <si>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</si>
  <si>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</si>
  <si>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</si>
  <si>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</si>
  <si>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</si>
  <si>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</si>
  <si>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</si>
  <si>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</si>
  <si>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</si>
  <si>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</si>
  <si>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</si>
  <si>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</si>
  <si>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</si>
  <si>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</si>
  <si>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</si>
  <si>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</si>
  <si>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</si>
  <si>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</si>
  <si>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</si>
  <si>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</si>
  <si>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</si>
  <si>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</si>
  <si>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</si>
  <si>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</si>
  <si>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</si>
  <si>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</si>
  <si>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</si>
  <si>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</si>
  <si>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</si>
  <si>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</si>
  <si>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</si>
  <si>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</si>
  <si>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</si>
  <si>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</si>
  <si>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</si>
  <si>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</si>
  <si>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</si>
  <si>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</si>
  <si>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</si>
  <si>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</si>
  <si>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</si>
  <si>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</si>
  <si>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</si>
  <si>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</si>
  <si>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</si>
  <si>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</si>
  <si>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</si>
  <si>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</si>
  <si>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</si>
  <si>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</si>
  <si>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</si>
  <si>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</si>
  <si>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</si>
  <si>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</si>
  <si>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</si>
  <si>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</si>
  <si>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</si>
  <si>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</si>
  <si>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</si>
  <si>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</si>
  <si>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</si>
  <si>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</si>
  <si>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</si>
  <si>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</si>
  <si>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</si>
  <si>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</si>
  <si>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</si>
  <si>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</si>
  <si>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</si>
  <si>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</si>
  <si>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</si>
  <si>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</si>
  <si>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</si>
  <si>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</si>
  <si>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</si>
  <si>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</si>
  <si>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</si>
  <si>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</si>
  <si>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</si>
  <si>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</si>
  <si>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</si>
  <si>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</si>
  <si>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</si>
  <si>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</si>
  <si>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</si>
  <si>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</si>
  <si>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</si>
  <si>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</si>
  <si>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</si>
  <si>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</si>
  <si>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</si>
  <si>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</si>
  <si>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</si>
  <si>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</si>
  <si>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</si>
  <si>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</si>
  <si>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</si>
  <si>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</si>
  <si>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</si>
  <si>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</si>
  <si>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</si>
  <si>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</si>
  <si>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</si>
  <si>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</si>
  <si>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</si>
  <si>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</si>
  <si>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</si>
  <si>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</si>
  <si>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</si>
  <si>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</si>
  <si>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</si>
  <si>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</si>
  <si>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</si>
  <si>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</si>
  <si>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</si>
  <si>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</si>
  <si>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</si>
  <si>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</si>
  <si>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</si>
  <si>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</si>
  <si>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</si>
  <si>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</si>
  <si>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</si>
  <si>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</si>
  <si>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</si>
  <si>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</si>
  <si>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</si>
  <si>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</si>
  <si>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</si>
  <si>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</si>
  <si>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</si>
  <si>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</si>
  <si>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</si>
  <si>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</si>
  <si>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</si>
  <si>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</si>
  <si>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</si>
  <si>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</si>
  <si>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</si>
  <si>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</si>
  <si>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</si>
  <si>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</si>
  <si>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</si>
  <si>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</si>
  <si>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</si>
  <si>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</si>
  <si>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</si>
  <si>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</si>
  <si>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</si>
  <si>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</si>
  <si>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</si>
  <si>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</si>
  <si>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</si>
  <si>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</si>
  <si>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</si>
  <si>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</si>
  <si>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</si>
  <si>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</si>
  <si>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</si>
  <si>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</si>
  <si>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</si>
  <si>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</si>
  <si>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</si>
  <si>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</si>
  <si>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</si>
  <si>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</si>
  <si>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</si>
  <si>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</si>
  <si>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</si>
  <si>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</si>
  <si>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</si>
  <si>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</si>
  <si>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</si>
  <si>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</si>
  <si>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</si>
  <si>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</si>
  <si>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</si>
  <si>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</si>
  <si>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</si>
  <si>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</si>
  <si>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</si>
  <si>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</si>
  <si>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</si>
  <si>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</si>
  <si>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</si>
  <si>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</si>
  <si>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</si>
  <si>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</si>
  <si>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</si>
  <si>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</si>
  <si>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</si>
  <si>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</si>
  <si>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</si>
  <si>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</si>
  <si>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</si>
  <si>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</si>
  <si>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</si>
  <si>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</si>
  <si>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</si>
  <si>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</si>
  <si>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</si>
  <si>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</si>
  <si>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</si>
  <si>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</si>
  <si>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</si>
  <si>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</si>
  <si>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</si>
  <si>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</si>
  <si>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</si>
  <si>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</si>
  <si>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</si>
  <si>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</si>
  <si>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</si>
  <si>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</si>
  <si>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</si>
  <si>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</si>
  <si>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</si>
  <si>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</si>
  <si>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</si>
  <si>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</si>
  <si>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</si>
  <si>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</si>
  <si>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</si>
  <si>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</si>
  <si>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</si>
  <si>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</si>
  <si>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</si>
  <si>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</si>
  <si>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</si>
  <si>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</si>
  <si>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</si>
  <si>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</si>
  <si>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</si>
  <si>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</si>
  <si>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</si>
  <si>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</si>
  <si>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</si>
  <si>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</si>
  <si>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</si>
  <si>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</si>
  <si>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</si>
  <si>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</si>
  <si>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</si>
  <si>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</si>
  <si>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</si>
  <si>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</si>
  <si>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</si>
  <si>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</si>
  <si>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</si>
  <si>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</si>
  <si>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</si>
  <si>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</si>
  <si>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</si>
  <si>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</si>
  <si>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</si>
  <si>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</si>
  <si>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</si>
  <si>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</si>
  <si>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</si>
  <si>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</si>
  <si>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</si>
  <si>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</si>
  <si>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</si>
  <si>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</si>
  <si>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</si>
  <si>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</si>
  <si>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</si>
  <si>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</si>
  <si>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</si>
  <si>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</si>
  <si>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</si>
  <si>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</si>
  <si>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</si>
  <si>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</si>
  <si>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</si>
  <si>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</si>
  <si>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</si>
  <si>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</si>
  <si>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</si>
  <si>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</si>
  <si>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</si>
  <si>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</si>
  <si>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</si>
  <si>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</si>
  <si>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</si>
  <si>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</si>
  <si>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</si>
  <si>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</si>
  <si>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</si>
  <si>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</si>
  <si>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</si>
  <si>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</si>
  <si>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</si>
  <si>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</si>
  <si>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</si>
  <si>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</si>
  <si>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</si>
  <si>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</si>
  <si>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</si>
  <si>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</si>
  <si>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</si>
  <si>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</si>
  <si>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</si>
  <si>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</si>
  <si>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</si>
  <si>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</si>
  <si>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</si>
  <si>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</si>
  <si>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</si>
  <si>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</si>
  <si>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</si>
  <si>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</si>
  <si>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</si>
  <si>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</si>
  <si>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</si>
  <si>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</si>
  <si>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</si>
  <si>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</si>
  <si>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</si>
  <si>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</si>
  <si>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</si>
  <si>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</si>
  <si>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</si>
  <si>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</si>
  <si>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</si>
  <si>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</si>
  <si>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</si>
  <si>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</si>
  <si>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</si>
  <si>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</si>
  <si>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</si>
  <si>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</si>
  <si>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</si>
  <si>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</si>
  <si>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</si>
  <si>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</si>
  <si>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</si>
  <si>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</si>
  <si>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</si>
  <si>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</si>
  <si>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</si>
  <si>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</si>
  <si>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</si>
  <si>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</si>
  <si>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</si>
  <si>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</si>
  <si>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</si>
  <si>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</si>
  <si>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</si>
  <si>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</si>
  <si>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</si>
  <si>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</si>
  <si>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</si>
  <si>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</si>
  <si>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</si>
  <si>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</si>
  <si>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</si>
  <si>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</si>
  <si>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</si>
  <si>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</si>
  <si>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</si>
  <si>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</si>
  <si>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</si>
  <si>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</si>
  <si>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</si>
  <si>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</si>
  <si>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</si>
  <si>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</si>
  <si>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</si>
  <si>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</si>
  <si>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</si>
  <si>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</si>
  <si>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</si>
  <si>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</si>
  <si>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</si>
  <si>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</si>
  <si>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</si>
  <si>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</si>
  <si>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</si>
  <si>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</si>
  <si>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</si>
  <si>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</si>
  <si>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</si>
  <si>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</si>
  <si>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</si>
  <si>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</si>
  <si>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</si>
  <si>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</si>
  <si>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</si>
  <si>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</si>
  <si>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</si>
  <si>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</si>
  <si>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</si>
  <si>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</si>
  <si>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</si>
  <si>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</si>
  <si>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</si>
  <si>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</si>
  <si>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</si>
  <si>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</si>
  <si>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</si>
  <si>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</si>
  <si>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</si>
  <si>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</si>
  <si>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</si>
  <si>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</si>
  <si>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</si>
  <si>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</si>
  <si>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</si>
  <si>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</si>
  <si>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</si>
  <si>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</si>
  <si>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</si>
  <si>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</si>
  <si>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</si>
  <si>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</si>
  <si>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</si>
  <si>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</si>
  <si>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</si>
  <si>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</si>
  <si>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</si>
  <si>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</si>
  <si>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</si>
  <si>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</si>
  <si>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</si>
  <si>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</si>
  <si>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</si>
  <si>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</si>
  <si>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</si>
  <si>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</si>
  <si>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</si>
  <si>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</si>
  <si>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</si>
  <si>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</si>
  <si>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</si>
  <si>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</si>
  <si>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</si>
  <si>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</si>
  <si>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</si>
  <si>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</si>
  <si>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</si>
  <si>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</si>
  <si>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</si>
  <si>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</si>
  <si>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</si>
  <si>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</si>
  <si>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</si>
  <si>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</si>
  <si>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</si>
  <si>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</si>
  <si>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</si>
  <si>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</si>
  <si>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</si>
  <si>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</si>
  <si>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</si>
  <si>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</si>
  <si>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</si>
  <si>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</si>
  <si>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</si>
  <si>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</si>
  <si>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</si>
  <si>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</si>
  <si>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</si>
  <si>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</si>
  <si>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</si>
  <si>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</si>
  <si>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</si>
  <si>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</si>
  <si>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</si>
  <si>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</si>
  <si>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</si>
  <si>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</si>
  <si>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</si>
  <si>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</si>
  <si>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</si>
  <si>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</si>
  <si>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</si>
  <si>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</si>
  <si>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</si>
  <si>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</si>
  <si>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</si>
  <si>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</si>
  <si>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</si>
  <si>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</si>
  <si>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</si>
  <si>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</si>
  <si>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</si>
  <si>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</si>
  <si>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</si>
  <si>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</si>
  <si>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</si>
  <si>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</si>
  <si>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</si>
  <si>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</si>
  <si>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</si>
  <si>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</si>
  <si>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</si>
  <si>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</si>
  <si>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</si>
  <si>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</si>
  <si>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</si>
  <si>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</si>
  <si>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</si>
  <si>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</si>
  <si>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</si>
  <si>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</si>
  <si>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</si>
  <si>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</si>
  <si>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</si>
  <si>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</si>
  <si>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</si>
  <si>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</si>
  <si>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</si>
  <si>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</si>
  <si>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</si>
  <si>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</si>
  <si>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</si>
  <si>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</si>
  <si>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</si>
  <si>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</si>
  <si>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</si>
  <si>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</si>
  <si>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</si>
  <si>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</si>
  <si>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</si>
  <si>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</si>
  <si>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</si>
  <si>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</si>
  <si>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</si>
  <si>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</si>
  <si>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</si>
  <si>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</si>
  <si>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</si>
  <si>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</si>
  <si>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</si>
  <si>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</si>
  <si>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</si>
  <si>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</si>
  <si>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</si>
  <si>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</si>
  <si>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</si>
  <si>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</si>
  <si>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</si>
  <si>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</si>
  <si>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</si>
  <si>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</si>
  <si>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</si>
  <si>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</si>
  <si>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</si>
  <si>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</si>
  <si>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</si>
  <si>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</si>
  <si>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</si>
  <si>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</si>
  <si>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</si>
  <si>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</si>
  <si>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</si>
  <si>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</si>
  <si>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</si>
  <si>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</si>
  <si>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</si>
  <si>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</si>
  <si>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</si>
  <si>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</si>
  <si>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</si>
  <si>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</si>
  <si>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</si>
  <si>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</si>
  <si>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</si>
  <si>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</si>
  <si>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</si>
  <si>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</si>
  <si>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</si>
  <si>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</si>
  <si>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</si>
  <si>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</si>
  <si>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</si>
  <si>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</si>
  <si>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</si>
  <si>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</si>
  <si>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</si>
  <si>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</si>
  <si>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</si>
  <si>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</si>
  <si>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</si>
  <si>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</si>
  <si>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</si>
  <si>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</si>
  <si>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</si>
  <si>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</si>
  <si>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</si>
  <si>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</si>
  <si>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</si>
  <si>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</si>
  <si>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</si>
  <si>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</si>
  <si>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</si>
  <si>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</si>
  <si>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</si>
  <si>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</si>
  <si>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</si>
  <si>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</si>
  <si>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</si>
  <si>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</si>
  <si>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</si>
  <si>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</si>
  <si>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</si>
  <si>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</si>
  <si>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</si>
  <si>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</si>
  <si>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</si>
  <si>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</si>
  <si>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</si>
  <si>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</si>
  <si>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</si>
  <si>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</si>
  <si>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</si>
  <si>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</si>
  <si>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</si>
  <si>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</si>
  <si>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</si>
  <si>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</si>
  <si>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</si>
  <si>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</si>
  <si>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</si>
  <si>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</si>
  <si>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</si>
  <si>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</si>
  <si>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</si>
  <si>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</si>
  <si>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</si>
  <si>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</si>
  <si>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</si>
  <si>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</si>
  <si>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</si>
  <si>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</si>
  <si>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</si>
  <si>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</si>
  <si>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</si>
  <si>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</si>
  <si>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</si>
  <si>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</si>
  <si>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</si>
  <si>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</si>
  <si>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</si>
  <si>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</si>
  <si>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</si>
  <si>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</si>
  <si>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</si>
  <si>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</si>
  <si>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</si>
  <si>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</si>
  <si>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</si>
  <si>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</si>
  <si>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</si>
  <si>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</si>
  <si>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</si>
  <si>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</si>
  <si>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</si>
  <si>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</si>
  <si>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</si>
  <si>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</si>
  <si>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</si>
  <si>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</si>
  <si>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</si>
  <si>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</si>
  <si>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</si>
  <si>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</si>
  <si>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</si>
  <si>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</si>
  <si>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</si>
  <si>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</si>
  <si>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</si>
  <si>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</si>
  <si>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</si>
  <si>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</si>
  <si>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</si>
  <si>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</si>
  <si>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</si>
  <si>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</si>
  <si>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</si>
  <si>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</si>
  <si>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</si>
  <si>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</si>
  <si>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</si>
  <si>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</si>
  <si>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</si>
  <si>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</si>
  <si>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</si>
  <si>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</si>
  <si>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</si>
  <si>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</si>
  <si>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</si>
  <si>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</si>
  <si>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</si>
  <si>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</si>
  <si>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</si>
  <si>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</si>
  <si>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</si>
  <si>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</si>
  <si>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</si>
  <si>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</si>
  <si>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</si>
  <si>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</si>
  <si>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</si>
  <si>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</si>
  <si>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</si>
  <si>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</si>
  <si>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</si>
  <si>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</si>
  <si>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</si>
  <si>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</si>
  <si>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</si>
  <si>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</si>
  <si>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</si>
  <si>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</si>
  <si>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</si>
  <si>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</si>
  <si>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</si>
  <si>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</si>
  <si>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</si>
  <si>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</si>
  <si>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</si>
  <si>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</si>
  <si>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</si>
  <si>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</si>
  <si>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</si>
  <si>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</si>
  <si>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</si>
  <si>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</si>
  <si>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</si>
  <si>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</si>
  <si>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</si>
  <si>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</si>
  <si>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</si>
  <si>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</si>
  <si>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</si>
  <si>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</si>
  <si>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</si>
  <si>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</si>
  <si>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</si>
  <si>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</si>
  <si>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</si>
  <si>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</si>
  <si>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</si>
  <si>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</si>
  <si>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</si>
  <si>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</si>
  <si>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</si>
  <si>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</si>
  <si>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</si>
  <si>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</si>
  <si>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</si>
  <si>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</si>
  <si>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</si>
  <si>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</si>
  <si>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</si>
  <si>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</si>
  <si>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</si>
  <si>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</si>
  <si>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</si>
  <si>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</si>
  <si>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</si>
  <si>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</si>
  <si>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</si>
  <si>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</si>
  <si>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</si>
  <si>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</si>
  <si>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</si>
  <si>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</si>
  <si>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</si>
  <si>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</si>
  <si>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</si>
  <si>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</si>
  <si>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</si>
  <si>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</si>
  <si>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</si>
  <si>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</si>
  <si>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</si>
  <si>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</si>
  <si>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</si>
  <si>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</si>
  <si>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</si>
  <si>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</si>
  <si>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</si>
  <si>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</si>
  <si>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</si>
  <si>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</si>
  <si>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</si>
  <si>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</si>
  <si>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</si>
  <si>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</si>
  <si>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</si>
  <si>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</si>
  <si>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</si>
  <si>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</si>
  <si>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</si>
  <si>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</si>
  <si>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</si>
  <si>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</si>
  <si>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</si>
  <si>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</si>
  <si>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</si>
  <si>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</si>
  <si>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</si>
  <si>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</si>
  <si>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</si>
  <si>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</si>
  <si>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</si>
  <si>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</si>
  <si>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</si>
  <si>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</si>
  <si>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</si>
  <si>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</si>
  <si>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</si>
  <si>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</si>
  <si>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</si>
  <si>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</si>
  <si>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</si>
  <si>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</si>
  <si>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</si>
  <si>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</si>
  <si>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</si>
  <si>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</si>
  <si>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</si>
  <si>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</si>
  <si>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</si>
  <si>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</si>
  <si>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</si>
  <si>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</si>
  <si>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</si>
  <si>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</si>
  <si>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</si>
  <si>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</si>
  <si>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</si>
  <si>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</si>
  <si>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</si>
  <si>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</si>
  <si>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</si>
  <si>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</si>
  <si>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</si>
  <si>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</si>
  <si>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</si>
  <si>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</si>
  <si>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</si>
  <si>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</si>
  <si>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</si>
  <si>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</si>
  <si>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</si>
  <si>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</si>
  <si>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</si>
  <si>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</si>
  <si>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</si>
  <si>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</si>
  <si>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</si>
  <si>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</si>
  <si>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</si>
  <si>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</si>
  <si>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</si>
  <si>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</si>
  <si>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</si>
  <si>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</si>
  <si>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</si>
  <si>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</si>
  <si>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</si>
  <si>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</si>
  <si>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</si>
  <si>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</si>
  <si>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</si>
  <si>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</si>
  <si>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</si>
  <si>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</si>
  <si>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</si>
  <si>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</si>
  <si>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</si>
  <si>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</si>
  <si>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</si>
  <si>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</si>
  <si>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</si>
  <si>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</si>
  <si>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</si>
  <si>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</si>
  <si>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</si>
  <si>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</si>
  <si>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</si>
  <si>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</si>
  <si>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</si>
  <si>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</si>
  <si>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</si>
  <si>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</si>
  <si>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</si>
  <si>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</si>
  <si>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</si>
  <si>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</si>
  <si>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</si>
  <si>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</si>
  <si>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</si>
  <si>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</si>
  <si>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</si>
  <si>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</si>
  <si>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</si>
  <si>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</si>
  <si>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</si>
  <si>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</si>
  <si>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</si>
  <si>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</si>
  <si>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</si>
  <si>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</si>
  <si>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</si>
  <si>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</si>
  <si>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</si>
  <si>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</si>
  <si>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</si>
  <si>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</si>
  <si>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</si>
  <si>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</si>
  <si>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</si>
  <si>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</si>
  <si>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</si>
  <si>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</si>
  <si>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</si>
  <si>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</si>
  <si>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</si>
  <si>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</si>
  <si>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</si>
  <si>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</si>
  <si>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</si>
  <si>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</si>
  <si>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</si>
  <si>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</si>
  <si>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</si>
  <si>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</si>
  <si>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</si>
  <si>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</si>
  <si>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</si>
  <si>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</si>
  <si>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</si>
  <si>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</si>
  <si>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</si>
  <si>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</si>
  <si>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</si>
  <si>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</si>
  <si>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</si>
  <si>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</si>
  <si>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</si>
  <si>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</si>
  <si>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</si>
  <si>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</si>
  <si>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</si>
  <si>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</si>
  <si>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</si>
  <si>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</si>
  <si>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</si>
  <si>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</si>
  <si>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</si>
  <si>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</si>
  <si>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</si>
  <si>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</si>
  <si>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</si>
  <si>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</si>
  <si>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</si>
  <si>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</si>
  <si>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</si>
  <si>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</si>
  <si>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</si>
  <si>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</si>
  <si>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</si>
  <si>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</si>
  <si>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</si>
  <si>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</si>
  <si>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</si>
  <si>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</si>
  <si>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</si>
  <si>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</si>
  <si>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</si>
  <si>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</si>
  <si>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</si>
  <si>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</si>
  <si>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</si>
  <si>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</si>
  <si>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</si>
  <si>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</si>
  <si>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</si>
  <si>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</si>
  <si>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</si>
  <si>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</si>
  <si>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</si>
  <si>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</si>
  <si>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</si>
  <si>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</si>
  <si>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</si>
  <si>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</si>
  <si>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</si>
  <si>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</si>
  <si>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</si>
  <si>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</si>
  <si>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</si>
  <si>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</si>
  <si>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</si>
  <si>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</si>
  <si>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</si>
  <si>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</si>
  <si>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</si>
  <si>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</si>
  <si>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</si>
  <si>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</si>
  <si>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</si>
  <si>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</si>
  <si>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</si>
  <si>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</si>
  <si>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</si>
  <si>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</si>
  <si>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</si>
  <si>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</si>
  <si>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</si>
  <si>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</si>
  <si>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</si>
  <si>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</si>
  <si>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</si>
  <si>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</si>
  <si>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</si>
  <si>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</si>
  <si>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</si>
  <si>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</si>
  <si>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</si>
  <si>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</si>
  <si>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</si>
  <si>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</si>
  <si>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</si>
  <si>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</si>
  <si>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</si>
  <si>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</si>
  <si>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</si>
  <si>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</si>
  <si>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</si>
  <si>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</si>
  <si>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</si>
  <si>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</si>
  <si>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</si>
  <si>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</si>
  <si>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</si>
  <si>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</si>
  <si>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</si>
  <si>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</si>
  <si>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</si>
  <si>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</si>
  <si>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</si>
  <si>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</si>
  <si>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</si>
  <si>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</si>
  <si>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</si>
  <si>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</si>
  <si>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</si>
  <si>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</si>
  <si>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</si>
  <si>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</si>
  <si>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</si>
  <si>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</si>
  <si>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</si>
  <si>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</si>
  <si>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</si>
  <si>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</si>
  <si>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</si>
  <si>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</si>
  <si>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</si>
  <si>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</si>
  <si>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</si>
  <si>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</si>
  <si>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</si>
  <si>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</si>
  <si>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</si>
  <si>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</si>
  <si>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</si>
  <si>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</si>
  <si>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</si>
  <si>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</si>
  <si>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</si>
  <si>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</si>
  <si>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</si>
  <si>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</si>
  <si>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</si>
  <si>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</si>
  <si>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</si>
  <si>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</si>
  <si>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</si>
  <si>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</si>
  <si>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</si>
  <si>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</si>
  <si>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</si>
  <si>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</si>
  <si>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</si>
  <si>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</si>
  <si>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</si>
  <si>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</si>
  <si>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</si>
  <si>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</si>
  <si>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</si>
  <si>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</si>
  <si>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</si>
  <si>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</si>
  <si>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</si>
  <si>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</si>
  <si>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</si>
  <si>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</si>
  <si>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</si>
  <si>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</si>
  <si>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</si>
  <si>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</si>
  <si>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</si>
  <si>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</si>
  <si>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</si>
  <si>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</si>
  <si>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</si>
  <si>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</si>
  <si>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</si>
  <si>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</si>
  <si>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</si>
  <si>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</si>
  <si>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</si>
  <si>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</si>
  <si>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</si>
  <si>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</si>
  <si>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</si>
  <si>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</si>
  <si>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</si>
  <si>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</si>
  <si>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</si>
  <si>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</si>
  <si>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</si>
  <si>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</si>
  <si>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</si>
  <si>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</si>
  <si>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</si>
  <si>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</si>
  <si>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</si>
  <si>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</si>
  <si>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</si>
  <si>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</si>
  <si>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</si>
  <si>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</si>
  <si>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</si>
  <si>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</si>
  <si>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</si>
  <si>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</si>
  <si>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</si>
  <si>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</si>
  <si>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</si>
  <si>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</si>
  <si>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</si>
  <si>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</si>
  <si>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</si>
  <si>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</si>
  <si>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</si>
  <si>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</si>
  <si>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</si>
  <si>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</si>
  <si>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</si>
  <si>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</si>
  <si>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</si>
  <si>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</si>
  <si>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</si>
  <si>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</si>
  <si>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</si>
  <si>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</si>
  <si>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</si>
  <si>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</si>
  <si>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</si>
  <si>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</si>
  <si>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</si>
  <si>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</si>
  <si>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</si>
  <si>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</si>
  <si>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</si>
  <si>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</si>
  <si>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</si>
  <si>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</si>
  <si>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</si>
  <si>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</si>
  <si>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</si>
  <si>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</si>
  <si>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</si>
  <si>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</si>
  <si>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</si>
  <si>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</si>
  <si>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</si>
  <si>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</si>
  <si>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</si>
  <si>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</si>
  <si>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</si>
  <si>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</si>
  <si>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</si>
  <si>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</si>
  <si>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</si>
  <si>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</si>
  <si>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</si>
  <si>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</si>
  <si>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</si>
  <si>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</si>
  <si>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</si>
  <si>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</si>
  <si>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</si>
  <si>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</si>
  <si>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</si>
  <si>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</si>
  <si>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</si>
  <si>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</si>
  <si>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</si>
  <si>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</si>
  <si>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</si>
  <si>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</si>
  <si>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</si>
  <si>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</si>
  <si>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</si>
  <si>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</si>
  <si>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</si>
  <si>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</si>
  <si>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</si>
  <si>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</si>
  <si>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</si>
  <si>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</si>
  <si>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</si>
  <si>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</si>
  <si>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</si>
  <si>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</si>
  <si>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</si>
  <si>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</si>
  <si>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</si>
  <si>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</si>
  <si>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</si>
  <si>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</si>
  <si>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</si>
  <si>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</si>
  <si>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</si>
  <si>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</si>
  <si>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</si>
  <si>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</si>
  <si>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</si>
  <si>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</si>
  <si>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</si>
  <si>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</si>
  <si>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</si>
  <si>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</si>
  <si>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</si>
  <si>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</si>
  <si>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</si>
  <si>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</si>
  <si>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</si>
  <si>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</si>
  <si>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</si>
  <si>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</si>
  <si>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</si>
  <si>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</si>
  <si>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</si>
  <si>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</si>
  <si>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</si>
  <si>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</si>
  <si>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</si>
  <si>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</si>
  <si>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</si>
  <si>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</si>
  <si>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</si>
  <si>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</si>
  <si>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</si>
  <si>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</si>
  <si>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</si>
  <si>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</si>
  <si>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</si>
  <si>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</si>
  <si>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</si>
  <si>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</si>
  <si>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</si>
  <si>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</si>
  <si>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</si>
  <si>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</si>
  <si>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</si>
  <si>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</si>
  <si>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</si>
  <si>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</si>
  <si>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</si>
  <si>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</si>
  <si>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</si>
  <si>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</si>
  <si>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</si>
  <si>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</si>
  <si>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</si>
  <si>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</si>
  <si>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</si>
  <si>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</si>
  <si>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</si>
  <si>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</si>
  <si>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</si>
  <si>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</si>
  <si>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</si>
  <si>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</si>
  <si>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</si>
  <si>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</si>
  <si>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</si>
  <si>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</si>
  <si>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</si>
  <si>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</si>
  <si>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</si>
  <si>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</si>
  <si>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</si>
  <si>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</si>
  <si>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</si>
  <si>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</si>
  <si>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</si>
  <si>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</si>
  <si>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</si>
  <si>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</si>
  <si>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</si>
  <si>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</si>
  <si>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</si>
  <si>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</si>
  <si>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</si>
  <si>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</si>
  <si>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</si>
  <si>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</si>
  <si>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</si>
  <si>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</si>
  <si>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</si>
  <si>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</si>
  <si>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</si>
  <si>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</si>
  <si>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</si>
  <si>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</si>
  <si>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</si>
  <si>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</si>
  <si>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</si>
  <si>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</si>
  <si>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</si>
  <si>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</si>
  <si>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</si>
  <si>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</si>
  <si>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</si>
  <si>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</si>
  <si>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</si>
  <si>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</si>
  <si>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</si>
  <si>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</si>
  <si>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</si>
  <si>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</si>
  <si>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</si>
  <si>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</si>
  <si>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</si>
  <si>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</si>
  <si>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</si>
  <si>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</si>
  <si>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</si>
  <si>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</si>
  <si>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</si>
  <si>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</si>
  <si>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</si>
  <si>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</si>
  <si>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</si>
  <si>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</si>
  <si>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</si>
  <si>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</si>
  <si>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</si>
  <si>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</si>
  <si>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</si>
  <si>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</si>
  <si>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</si>
  <si>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</si>
  <si>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</si>
  <si>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</si>
  <si>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</si>
  <si>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</si>
  <si>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</si>
  <si>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</si>
  <si>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</si>
  <si>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</si>
  <si>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</si>
  <si>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</si>
  <si>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</si>
  <si>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</si>
  <si>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</si>
  <si>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</si>
  <si>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</si>
  <si>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</si>
  <si>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</si>
  <si>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</si>
  <si>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</si>
  <si>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</si>
  <si>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</si>
  <si>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</si>
  <si>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</si>
  <si>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</si>
  <si>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</si>
  <si>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</si>
  <si>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</si>
  <si>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</si>
  <si>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</si>
  <si>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</si>
  <si>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</si>
  <si>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</si>
  <si>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</si>
  <si>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</si>
  <si>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</si>
  <si>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</si>
  <si>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</si>
  <si>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</si>
  <si>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</si>
  <si>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</si>
  <si>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</si>
  <si>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</si>
  <si>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</si>
  <si>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</si>
  <si>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</si>
  <si>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</si>
  <si>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</si>
  <si>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</si>
  <si>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</si>
  <si>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</si>
  <si>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</si>
  <si>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</si>
  <si>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</si>
  <si>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</si>
  <si>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</si>
  <si>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</si>
  <si>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</si>
  <si>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</si>
  <si>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</si>
  <si>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</si>
  <si>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</si>
  <si>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</si>
  <si>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</si>
  <si>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</si>
  <si>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</si>
  <si>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</si>
  <si>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</si>
  <si>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</si>
  <si>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</si>
  <si>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</si>
  <si>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</si>
  <si>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</si>
  <si>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</si>
  <si>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</si>
  <si>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</si>
  <si>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</si>
  <si>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</si>
  <si>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</si>
  <si>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</si>
  <si>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</si>
  <si>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</si>
  <si>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</si>
  <si>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</si>
  <si>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</si>
  <si>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</si>
  <si>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</si>
  <si>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</si>
  <si>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</si>
  <si>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</si>
  <si>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</si>
  <si>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</si>
  <si>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</si>
  <si>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</si>
  <si>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</si>
  <si>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</si>
  <si>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</si>
  <si>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</si>
  <si>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</si>
  <si>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</si>
  <si>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</si>
  <si>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</si>
  <si>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</si>
  <si>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</si>
  <si>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</si>
  <si>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</si>
  <si>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</si>
  <si>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</si>
  <si>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</si>
  <si>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</si>
  <si>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</si>
  <si>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</si>
  <si>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</si>
  <si>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</si>
  <si>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</si>
  <si>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</si>
  <si>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</si>
  <si>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</si>
  <si>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</si>
  <si>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</si>
  <si>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</si>
  <si>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</si>
  <si>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</si>
  <si>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</si>
  <si>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</si>
  <si>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</si>
  <si>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</si>
  <si>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</si>
  <si>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</si>
  <si>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</si>
  <si>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</si>
  <si>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</si>
  <si>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</si>
  <si>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</si>
  <si>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</si>
  <si>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</si>
  <si>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</si>
  <si>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</si>
  <si>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</si>
  <si>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</si>
  <si>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</si>
  <si>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</si>
  <si>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</si>
  <si>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</si>
  <si>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</si>
  <si>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</si>
  <si>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</si>
  <si>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</si>
  <si>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</si>
  <si>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</si>
  <si>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</si>
  <si>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</si>
  <si>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</si>
  <si>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</si>
  <si>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</si>
  <si>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</si>
  <si>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</si>
  <si>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</si>
  <si>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</si>
  <si>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</si>
  <si>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</si>
  <si>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</si>
  <si>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</si>
  <si>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</si>
  <si>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</si>
  <si>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</si>
  <si>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</si>
  <si>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</si>
  <si>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</si>
  <si>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</si>
  <si>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</si>
  <si>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</si>
  <si>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</si>
  <si>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</si>
  <si>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</si>
  <si>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</si>
  <si>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</si>
  <si>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</si>
  <si>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</si>
  <si>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</si>
  <si>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</si>
  <si>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</si>
  <si>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</si>
  <si>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</si>
  <si>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</si>
  <si>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</si>
  <si>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</si>
  <si>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</si>
  <si>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</si>
  <si>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</si>
  <si>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</si>
  <si>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</si>
  <si>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</si>
  <si>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</si>
  <si>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</si>
  <si>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</si>
  <si>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</si>
  <si>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</si>
  <si>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</si>
  <si>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</si>
  <si>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</si>
  <si>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</si>
  <si>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</si>
  <si>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</si>
  <si>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</si>
  <si>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</si>
  <si>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</si>
  <si>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</si>
  <si>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</si>
  <si>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</si>
  <si>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</si>
  <si>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</si>
  <si>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</si>
  <si>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</si>
  <si>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</si>
  <si>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</si>
  <si>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</si>
  <si>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</si>
  <si>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</si>
  <si>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</si>
  <si>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</si>
  <si>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</si>
  <si>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</si>
  <si>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</si>
  <si>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</si>
  <si>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</si>
  <si>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</si>
  <si>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</si>
  <si>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</si>
  <si>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</si>
  <si>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</si>
  <si>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</si>
  <si>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</si>
  <si>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</si>
  <si>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</si>
  <si>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</si>
  <si>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</si>
  <si>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</si>
  <si>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</si>
  <si>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</si>
  <si>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</si>
  <si>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</si>
  <si>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</si>
  <si>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</si>
  <si>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</si>
  <si>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</si>
  <si>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</si>
  <si>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</si>
  <si>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</si>
  <si>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</si>
  <si>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</si>
  <si>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</si>
  <si>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</si>
  <si>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</si>
  <si>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</si>
  <si>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</si>
  <si>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</si>
  <si>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</si>
  <si>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</si>
  <si>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</si>
  <si>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</si>
  <si>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</si>
  <si>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</si>
  <si>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</si>
  <si>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</si>
  <si>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</si>
  <si>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</si>
  <si>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</si>
  <si>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</si>
  <si>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</si>
  <si>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</si>
  <si>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</si>
  <si>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</si>
  <si>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</si>
  <si>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</si>
  <si>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</si>
  <si>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</si>
  <si>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</si>
  <si>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</si>
  <si>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</si>
  <si>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</si>
  <si>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</si>
  <si>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</si>
  <si>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</si>
  <si>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</si>
  <si>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</si>
  <si>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</si>
  <si>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</si>
  <si>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</si>
  <si>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</si>
  <si>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</si>
  <si>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</si>
  <si>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</si>
  <si>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</si>
  <si>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</si>
  <si>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</si>
  <si>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</si>
  <si>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</si>
  <si>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</si>
  <si>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</si>
  <si>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</si>
  <si>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</si>
  <si>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</si>
  <si>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</si>
  <si>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</si>
  <si>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</si>
  <si>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</si>
  <si>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</si>
  <si>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</si>
  <si>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</si>
  <si>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</si>
  <si>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</si>
  <si>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</si>
  <si>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</si>
  <si>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</si>
  <si>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</si>
  <si>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</si>
  <si>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</si>
  <si>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</si>
  <si>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</si>
  <si>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</si>
  <si>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</si>
  <si>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</si>
  <si>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</si>
  <si>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</si>
  <si>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</si>
  <si>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</si>
  <si>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</si>
  <si>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</si>
  <si>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</si>
  <si>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</si>
  <si>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</si>
  <si>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</si>
  <si>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</si>
  <si>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</si>
  <si>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</si>
  <si>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</si>
  <si>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</si>
  <si>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</si>
  <si>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</si>
  <si>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</si>
  <si>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</si>
  <si>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</si>
  <si>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</si>
  <si>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</si>
  <si>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</si>
  <si>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</si>
  <si>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</si>
  <si>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</si>
  <si>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</si>
  <si>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</si>
  <si>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</si>
  <si>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</si>
  <si>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</si>
  <si>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</si>
  <si>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</si>
  <si>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</si>
  <si>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</si>
  <si>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</si>
  <si>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</si>
  <si>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</si>
  <si>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</si>
  <si>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</si>
  <si>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</si>
  <si>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</si>
  <si>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</si>
  <si>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</si>
  <si>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</si>
  <si>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</si>
  <si>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</si>
  <si>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</si>
  <si>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</si>
  <si>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</si>
  <si>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</si>
  <si>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</si>
  <si>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</si>
  <si>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</si>
  <si>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</si>
  <si>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</si>
  <si>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</si>
  <si>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</si>
  <si>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</si>
  <si>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</si>
  <si>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</si>
  <si>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</si>
  <si>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</si>
  <si>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</si>
  <si>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</si>
  <si>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</si>
  <si>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</si>
  <si>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</si>
  <si>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</si>
  <si>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</si>
  <si>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</si>
  <si>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</si>
  <si>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</si>
  <si>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</si>
  <si>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</si>
  <si>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</si>
  <si>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</si>
  <si>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</si>
  <si>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</si>
  <si>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</si>
  <si>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</si>
  <si>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</si>
  <si>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</si>
  <si>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</si>
  <si>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</si>
  <si>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</si>
  <si>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</si>
  <si>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</si>
  <si>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</si>
  <si>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</si>
  <si>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</si>
  <si>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</si>
  <si>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</si>
  <si>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</si>
  <si>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</si>
  <si>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</si>
  <si>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</si>
  <si>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</si>
  <si>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</si>
  <si>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</si>
  <si>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</si>
  <si>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</si>
  <si>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</si>
  <si>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</si>
  <si>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</si>
  <si>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</si>
  <si>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</si>
  <si>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</si>
  <si>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</si>
  <si>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</si>
  <si>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</si>
  <si>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</si>
  <si>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</si>
  <si>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</si>
  <si>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</si>
  <si>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</si>
  <si>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</si>
  <si>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</si>
  <si>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</si>
  <si>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</si>
  <si>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</si>
  <si>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</si>
  <si>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</si>
  <si>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</si>
  <si>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</si>
  <si>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</si>
  <si>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</si>
  <si>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</si>
  <si>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</si>
  <si>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</si>
  <si>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</si>
  <si>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</si>
  <si>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</si>
  <si>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</si>
  <si>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</si>
  <si>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</si>
  <si>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</si>
  <si>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</si>
  <si>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</si>
  <si>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</si>
  <si>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</si>
  <si>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</si>
  <si>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</si>
  <si>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</si>
  <si>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</si>
  <si>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</si>
  <si>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</si>
  <si>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</si>
  <si>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</si>
  <si>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</si>
  <si>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</si>
  <si>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</si>
  <si>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</si>
  <si>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</si>
  <si>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</si>
  <si>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</si>
  <si>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</si>
  <si>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</si>
  <si>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</si>
  <si>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</si>
  <si>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</si>
  <si>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</si>
  <si>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</si>
  <si>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</si>
  <si>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</si>
  <si>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</si>
  <si>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</si>
  <si>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</si>
  <si>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</si>
  <si>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</si>
  <si>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</si>
  <si>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</si>
  <si>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</si>
  <si>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</si>
  <si>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</si>
  <si>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</si>
  <si>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</si>
  <si>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</si>
  <si>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</si>
  <si>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</si>
  <si>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</si>
  <si>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</si>
  <si>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</si>
  <si>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</si>
  <si>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</si>
  <si>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</si>
  <si>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</si>
  <si>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</si>
  <si>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</si>
  <si>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</si>
  <si>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</si>
  <si>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</si>
  <si>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</si>
  <si>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</si>
  <si>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</si>
  <si>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</si>
  <si>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</si>
  <si>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</si>
  <si>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</si>
  <si>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</si>
  <si>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</si>
  <si>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</si>
  <si>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</si>
  <si>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</si>
  <si>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</si>
  <si>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</si>
  <si>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</si>
  <si>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</si>
  <si>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</si>
  <si>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</si>
  <si>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</si>
  <si>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</si>
  <si>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</si>
  <si>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</si>
  <si>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</si>
  <si>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</si>
  <si>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</si>
  <si>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</si>
  <si>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</si>
  <si>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</si>
  <si>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</si>
  <si>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</si>
  <si>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</si>
  <si>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</si>
  <si>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</si>
  <si>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</si>
  <si>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</si>
  <si>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</si>
  <si>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</si>
  <si>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</si>
  <si>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</si>
  <si>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</si>
  <si>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</si>
  <si>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</si>
  <si>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gadgets</t>
  </si>
  <si>
    <t>hardware</t>
  </si>
  <si>
    <t>makerspaces</t>
  </si>
  <si>
    <t>musical</t>
  </si>
  <si>
    <t>plays</t>
  </si>
  <si>
    <t>space exploration</t>
  </si>
  <si>
    <t>spaces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</si>
  <si>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</si>
  <si>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</si>
  <si>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</si>
  <si>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</si>
  <si>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</si>
  <si>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</si>
  <si>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</si>
  <si>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</si>
  <si>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</si>
  <si>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</si>
  <si>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</si>
  <si>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</si>
  <si>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</si>
  <si>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</si>
  <si>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</si>
  <si>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</si>
  <si>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</si>
  <si>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</si>
  <si>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</si>
  <si>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</si>
  <si>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</si>
  <si>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</si>
  <si>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</si>
  <si>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</si>
  <si>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</si>
  <si>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</si>
  <si>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</si>
  <si>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</si>
  <si>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</si>
  <si>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</si>
  <si>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</si>
  <si>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</si>
  <si>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</si>
  <si>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</si>
  <si>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</si>
  <si>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</si>
  <si>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</si>
  <si>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Average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</si>
</sst>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4" tint="0.59996337778862885"/>
        </patternFill>
      </fill>
    </dxf>
    <dxf>
      <font>
        <color rgb="FF00B05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[kickstarter.xlsx]outcomes_by_category!PivotTable3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outcomes_by_category!$B$3:$B$4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8-F742-8A6B-AA4572C4CE96}"/>
            </c:ext>
          </c:extLst>
        </c:ser>
        <c:ser>
          <c:idx val="1"/>
          <c:order val="1"/>
          <c:tx>
            <c:strRef>
              <c:f>outcomes_by_category!$C$3:$C$4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D-0647-ACDF-7A5757BD718B}"/>
            </c:ext>
          </c:extLst>
        </c:ser>
        <c:ser>
          <c:idx val="2"/>
          <c:order val="2"/>
          <c:tx>
            <c:strRef>
              <c:f>outcomes_by_category!$D$3:$D$4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CD-0647-ACDF-7A5757BD7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4778832"/>
        <c:axId val="884780512"/>
      </c:barChart>
      <c:catAx>
        <c:axId val="88477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80512"/>
        <c:crosses val="autoZero"/>
        <c:auto val="1"/>
        <c:lblAlgn val="ctr"/>
        <c:lblOffset val="100"/>
        <c:noMultiLvlLbl val="0"/>
      </c:catAx>
      <c:valAx>
        <c:axId val="88478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7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[kickstarter.xlsx]percent_by_category!PivotTable4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percent_by_category!$B$3:$B$4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percent_by_category!$A$5:$A$13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percent_by_category!$B$5:$B$13</c:f>
              <c:numCache>
                <c:formatCode>0.00%</c:formatCode>
                <c:ptCount val="8"/>
                <c:pt idx="0">
                  <c:v>0.57692307692307687</c:v>
                </c:pt>
                <c:pt idx="1">
                  <c:v>0.17525773195876287</c:v>
                </c:pt>
                <c:pt idx="2">
                  <c:v>0.36363636363636365</c:v>
                </c:pt>
                <c:pt idx="3">
                  <c:v>0.79411764705882348</c:v>
                </c:pt>
                <c:pt idx="4">
                  <c:v>0.4681818181818182</c:v>
                </c:pt>
                <c:pt idx="5">
                  <c:v>0.33755274261603374</c:v>
                </c:pt>
                <c:pt idx="6">
                  <c:v>0.34833333333333333</c:v>
                </c:pt>
                <c:pt idx="7">
                  <c:v>0.61285609934258578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F-E047-950D-79AB7C161E71}"/>
            </c:ext>
          </c:extLst>
        </c:ser>
        <c:ser>
          <c:idx val="1"/>
          <c:order val="1"/>
          <c:tx>
            <c:strRef>
              <c:f>percent_by_category!$C$3:$C$4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percent_by_category!$A$5:$A$13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percent_by_category!$C$5:$C$13</c:f>
              <c:numCache>
                <c:formatCode>0.00%</c:formatCode>
                <c:ptCount val="8"/>
                <c:pt idx="0">
                  <c:v>0.34615384615384615</c:v>
                </c:pt>
                <c:pt idx="1">
                  <c:v>0.72164948453608246</c:v>
                </c:pt>
                <c:pt idx="2">
                  <c:v>0.63636363636363635</c:v>
                </c:pt>
                <c:pt idx="3">
                  <c:v>0.17647058823529413</c:v>
                </c:pt>
                <c:pt idx="4">
                  <c:v>0.53181818181818186</c:v>
                </c:pt>
                <c:pt idx="5">
                  <c:v>0.53586497890295359</c:v>
                </c:pt>
                <c:pt idx="6">
                  <c:v>0.35499999999999998</c:v>
                </c:pt>
                <c:pt idx="7">
                  <c:v>0.36011687363038714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F-E047-950D-79AB7C161E71}"/>
            </c:ext>
          </c:extLst>
        </c:ser>
        <c:ser>
          <c:idx val="2"/>
          <c:order val="2"/>
          <c:tx>
            <c:strRef>
              <c:f>percent_by_category!$D$3:$D$4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percent_by_category!$A$5:$A$13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percent_by_category!$D$5:$D$13</c:f>
              <c:numCache>
                <c:formatCode>0.00%</c:formatCode>
                <c:ptCount val="8"/>
                <c:pt idx="0">
                  <c:v>7.6923076923076927E-2</c:v>
                </c:pt>
                <c:pt idx="1">
                  <c:v>0.10309278350515463</c:v>
                </c:pt>
                <c:pt idx="2">
                  <c:v>0</c:v>
                </c:pt>
                <c:pt idx="3">
                  <c:v>2.9411764705882353E-2</c:v>
                </c:pt>
                <c:pt idx="4">
                  <c:v>0</c:v>
                </c:pt>
                <c:pt idx="5">
                  <c:v>0.12658227848101267</c:v>
                </c:pt>
                <c:pt idx="6">
                  <c:v>0.29666666666666669</c:v>
                </c:pt>
                <c:pt idx="7">
                  <c:v>2.7027027027027029E-2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F-E047-950D-79AB7C16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7951984"/>
        <c:axId val="427953664"/>
      </c:barChart>
      <c:catAx>
        <c:axId val="4279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53664"/>
        <c:crosses val="autoZero"/>
        <c:auto val="1"/>
        <c:lblAlgn val="ctr"/>
        <c:lblOffset val="100"/>
        <c:noMultiLvlLbl val="0"/>
      </c:catAx>
      <c:valAx>
        <c:axId val="4279536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5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[kickstarter.xlsx]average_donation_by_category!PivotTable8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Donation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average_donation_by_category!$B$3:$B$4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average_donation_by_category!$A$5:$A$14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average_donation_by_category!$B$5:$B$14</c:f>
              <c:numCache>
                <c:formatCode>General</c:formatCode>
                <c:ptCount val="9"/>
                <c:pt idx="0">
                  <c:v>106.51684922968902</c:v>
                </c:pt>
                <c:pt idx="1">
                  <c:v>90.900965027171154</c:v>
                </c:pt>
                <c:pt idx="2">
                  <c:v>66.790117628683504</c:v>
                </c:pt>
                <c:pt idx="3">
                  <c:v>0</c:v>
                </c:pt>
                <c:pt idx="4">
                  <c:v>74.231728375147028</c:v>
                </c:pt>
                <c:pt idx="5">
                  <c:v>115.37771416228323</c:v>
                </c:pt>
                <c:pt idx="6">
                  <c:v>75.708208555753956</c:v>
                </c:pt>
                <c:pt idx="7">
                  <c:v>170.37144273189</c:v>
                </c:pt>
                <c:pt idx="8">
                  <c:v>84.172961356545272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52-F542-8ABF-DCFC84EC63B1}"/>
            </c:ext>
          </c:extLst>
        </c:ser>
        <c:ser>
          <c:idx val="1"/>
          <c:order val="1"/>
          <c:tx>
            <c:strRef>
              <c:f>average_donation_by_category!$C$3:$C$4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average_donation_by_category!$A$5:$A$14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average_donation_by_category!$C$5:$C$14</c:f>
              <c:numCache>
                <c:formatCode>General</c:formatCode>
                <c:ptCount val="9"/>
                <c:pt idx="0">
                  <c:v>62.933949942247708</c:v>
                </c:pt>
                <c:pt idx="1">
                  <c:v>44.662533404033233</c:v>
                </c:pt>
                <c:pt idx="2">
                  <c:v>34.096179644960252</c:v>
                </c:pt>
                <c:pt idx="3">
                  <c:v>0</c:v>
                </c:pt>
                <c:pt idx="4">
                  <c:v>43.027912897797954</c:v>
                </c:pt>
                <c:pt idx="5">
                  <c:v>52.558206754158299</c:v>
                </c:pt>
                <c:pt idx="6">
                  <c:v>36.874901668852964</c:v>
                </c:pt>
                <c:pt idx="7">
                  <c:v>110.62425605511469</c:v>
                </c:pt>
                <c:pt idx="8">
                  <c:v>61.626416247590967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52-F542-8ABF-DCFC84EC63B1}"/>
            </c:ext>
          </c:extLst>
        </c:ser>
        <c:ser>
          <c:idx val="2"/>
          <c:order val="2"/>
          <c:tx>
            <c:strRef>
              <c:f>average_donation_by_category!$D$3:$D$4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average_donation_by_category!$A$5:$A$14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average_donation_by_category!$D$5:$D$14</c:f>
              <c:numCache>
                <c:formatCode>General</c:formatCode>
                <c:ptCount val="9"/>
                <c:pt idx="0">
                  <c:v>54.695069214828187</c:v>
                </c:pt>
                <c:pt idx="1">
                  <c:v>22.404166666666665</c:v>
                </c:pt>
                <c:pt idx="2">
                  <c:v>0</c:v>
                </c:pt>
                <c:pt idx="3">
                  <c:v>20.49942922374429</c:v>
                </c:pt>
                <c:pt idx="4">
                  <c:v>27.263243464052284</c:v>
                </c:pt>
                <c:pt idx="5">
                  <c:v>0</c:v>
                </c:pt>
                <c:pt idx="6">
                  <c:v>43.00389882245814</c:v>
                </c:pt>
                <c:pt idx="7">
                  <c:v>116.71940025330947</c:v>
                </c:pt>
                <c:pt idx="8">
                  <c:v>39.814056005724147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52-F542-8ABF-DCFC84EC6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772927"/>
        <c:axId val="2053774607"/>
      </c:barChart>
      <c:catAx>
        <c:axId val="205377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774607"/>
        <c:crosses val="autoZero"/>
        <c:auto val="1"/>
        <c:lblAlgn val="ctr"/>
        <c:lblOffset val="100"/>
        <c:noMultiLvlLbl val="0"/>
      </c:catAx>
      <c:valAx>
        <c:axId val="205377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77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[kickstarter.xlsx]outcomes_by_subcategory!PivotTable1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technology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outcomes_by_subcategory!$B$4:$B$5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outcomes_by_subcategory!$A$6:$A$9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outcomes_by_subcategory!$B$6:$B$9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C-6E4F-9EC2-7C045F3EC853}"/>
            </c:ext>
          </c:extLst>
        </c:ser>
        <c:ser>
          <c:idx val="1"/>
          <c:order val="1"/>
          <c:tx>
            <c:strRef>
              <c:f>outcomes_by_subcategory!$C$4:$C$5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outcomes_by_subcategory!$A$6:$A$9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outcomes_by_subcategory!$C$6:$C$9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41C-4447-8B31-C09F852FE1ED}"/>
            </c:ext>
          </c:extLst>
        </c:ser>
        <c:ser>
          <c:idx val="2"/>
          <c:order val="2"/>
          <c:tx>
            <c:strRef>
              <c:f>outcomes_by_subcategory!$D$4:$D$5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outcomes_by_subcategory!$A$6:$A$9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outcomes_by_subcategory!$D$6:$D$9</c:f>
              <c:numCache>
                <c:formatCode>General</c:formatCode>
                <c:ptCount val="3"/>
                <c:pt idx="0">
                  <c:v>20</c:v>
                </c:pt>
                <c:pt idx="1">
                  <c:v>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41C-4447-8B31-C09F852FE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4054480"/>
        <c:axId val="403713248"/>
      </c:barChart>
      <c:catAx>
        <c:axId val="4040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13248"/>
        <c:crosses val="autoZero"/>
        <c:auto val="1"/>
        <c:lblAlgn val="ctr"/>
        <c:lblOffset val="100"/>
        <c:noMultiLvlLbl val="0"/>
      </c:catAx>
      <c:valAx>
        <c:axId val="4037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[kickstarter.xlsx]percent_by_subcategory!PivotTable5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percent_by_subcategory!$B$4:$B$5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percent_by_subcategory!$A$6:$A$9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percent_by_subcategory!$B$6:$B$9</c:f>
              <c:numCache>
                <c:formatCode>0.00%</c:formatCode>
                <c:ptCount val="3"/>
                <c:pt idx="0">
                  <c:v>0.42857142857142855</c:v>
                </c:pt>
                <c:pt idx="1">
                  <c:v>0.6628462273161414</c:v>
                </c:pt>
                <c:pt idx="2">
                  <c:v>0.46703296703296704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F-1C49-8C82-5E7BE608A1B7}"/>
            </c:ext>
          </c:extLst>
        </c:ser>
        <c:ser>
          <c:idx val="1"/>
          <c:order val="1"/>
          <c:tx>
            <c:strRef>
              <c:f>percent_by_subcategory!$C$4:$C$5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percent_by_subcategory!$A$6:$A$9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percent_by_subcategory!$C$6:$C$9</c:f>
              <c:numCache>
                <c:formatCode>0.00%</c:formatCode>
                <c:ptCount val="3"/>
                <c:pt idx="0">
                  <c:v>0.42857142857142855</c:v>
                </c:pt>
                <c:pt idx="1">
                  <c:v>0.33715377268385865</c:v>
                </c:pt>
                <c:pt idx="2">
                  <c:v>0.43956043956043955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CF-1C49-8C82-5E7BE608A1B7}"/>
            </c:ext>
          </c:extLst>
        </c:ser>
        <c:ser>
          <c:idx val="2"/>
          <c:order val="2"/>
          <c:tx>
            <c:strRef>
              <c:f>percent_by_subcategory!$D$4:$D$5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percent_by_subcategory!$A$6:$A$9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percent_by_subcategory!$D$6:$D$9</c:f>
              <c:numCache>
                <c:formatCode>0.00%</c:formatCode>
                <c:ptCount val="3"/>
                <c:pt idx="0">
                  <c:v>0.14285714285714285</c:v>
                </c:pt>
                <c:pt idx="1">
                  <c:v>0</c:v>
                </c:pt>
                <c:pt idx="2">
                  <c:v>9.3406593406593408E-2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1CF-1C49-8C82-5E7BE608A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5619200"/>
        <c:axId val="421529216"/>
      </c:barChart>
      <c:catAx>
        <c:axId val="42561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29216"/>
        <c:crosses val="autoZero"/>
        <c:auto val="1"/>
        <c:lblAlgn val="ctr"/>
        <c:lblOffset val="100"/>
        <c:noMultiLvlLbl val="0"/>
      </c:catAx>
      <c:valAx>
        <c:axId val="4215292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[kickstarter.xlsx]average_donation_by_subcategory!PivotTable9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Donation for Technology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average_donation_by_subcategory!$B$3:$B$4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average_donation_by_subcategory!$A$5:$A$11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average_donation_by_subcategory!$B$5:$B$11</c:f>
              <c:numCache>
                <c:formatCode>General</c:formatCode>
                <c:ptCount val="6"/>
                <c:pt idx="0">
                  <c:v>0</c:v>
                </c:pt>
                <c:pt idx="1">
                  <c:v>200.78441030200736</c:v>
                </c:pt>
                <c:pt idx="2">
                  <c:v>146.17293064553004</c:v>
                </c:pt>
                <c:pt idx="3">
                  <c:v>65.116704578897</c:v>
                </c:pt>
                <c:pt idx="4">
                  <c:v>178.87947648591705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2-8743-AEEC-3F0CB44980AE}"/>
            </c:ext>
          </c:extLst>
        </c:ser>
        <c:ser>
          <c:idx val="1"/>
          <c:order val="1"/>
          <c:tx>
            <c:strRef>
              <c:f>average_donation_by_subcategory!$C$3:$C$4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average_donation_by_subcategory!$A$5:$A$11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average_donation_by_subcategory!$C$5:$C$11</c:f>
              <c:numCache>
                <c:formatCode>General</c:formatCode>
                <c:ptCount val="6"/>
                <c:pt idx="0">
                  <c:v>197.79221143907441</c:v>
                </c:pt>
                <c:pt idx="1">
                  <c:v>0</c:v>
                </c:pt>
                <c:pt idx="2">
                  <c:v>128.5622261549791</c:v>
                </c:pt>
                <c:pt idx="3">
                  <c:v>7.5</c:v>
                </c:pt>
                <c:pt idx="4">
                  <c:v>129.31181259071491</c:v>
                </c:pt>
                <c:pt idx="5">
                  <c:v>44.342005206122856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E62-8743-AEEC-3F0CB44980AE}"/>
            </c:ext>
          </c:extLst>
        </c:ser>
        <c:ser>
          <c:idx val="2"/>
          <c:order val="2"/>
          <c:tx>
            <c:strRef>
              <c:f>average_donation_by_subcategory!$D$3:$D$4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average_donation_by_subcategory!$A$5:$A$11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average_donation_by_subcategory!$D$5:$D$11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83.206461218369839</c:v>
                </c:pt>
                <c:pt idx="4">
                  <c:v>257.43653563370816</c:v>
                </c:pt>
                <c:pt idx="5">
                  <c:v>38.321448051359411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E62-8743-AEEC-3F0CB4498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4213375"/>
        <c:axId val="2055054527"/>
      </c:barChart>
      <c:catAx>
        <c:axId val="205421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54527"/>
        <c:crosses val="autoZero"/>
        <c:auto val="1"/>
        <c:lblAlgn val="ctr"/>
        <c:lblOffset val="100"/>
        <c:noMultiLvlLbl val="0"/>
      </c:catAx>
      <c:valAx>
        <c:axId val="205505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21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[kickstarter.xlsx]outcomes_by_month!PivotTable3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outcomes_by_month!$B$4:$B$5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C-CE43-A249-DC9ADCECF605}"/>
            </c:ext>
          </c:extLst>
        </c:ser>
        <c:ser>
          <c:idx val="1"/>
          <c:order val="1"/>
          <c:tx>
            <c:strRef>
              <c:f>outcomes_by_month!$C$4:$C$5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15-D947-B8F9-23CC2310CE21}"/>
            </c:ext>
          </c:extLst>
        </c:ser>
        <c:ser>
          <c:idx val="2"/>
          <c:order val="2"/>
          <c:tx>
            <c:strRef>
              <c:f>outcomes_by_month!$D$4:$D$5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15-D947-B8F9-23CC2310C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5648"/>
        <c:axId val="475176480"/>
      </c:lineChart>
      <c:catAx>
        <c:axId val="47468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76480"/>
        <c:crosses val="autoZero"/>
        <c:auto val="1"/>
        <c:lblAlgn val="ctr"/>
        <c:lblOffset val="100"/>
        <c:noMultiLvlLbl val="0"/>
      </c:catAx>
      <c:valAx>
        <c:axId val="4751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[kickstarter.xlsx]percent_by_month!PivotTable7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percent_by_month!$B$4:$B$5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percent_by_month!$A$6:$A$18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percent_by_month!$B$6:$B$18</c:f>
              <c:numCache>
                <c:formatCode>0.00%</c:formatCode>
                <c:ptCount val="12"/>
                <c:pt idx="0">
                  <c:v>0.49863013698630138</c:v>
                </c:pt>
                <c:pt idx="1">
                  <c:v>0.60298507462686568</c:v>
                </c:pt>
                <c:pt idx="2">
                  <c:v>0.569620253164557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2-BA49-A67C-DA2F502D0894}"/>
            </c:ext>
          </c:extLst>
        </c:ser>
        <c:ser>
          <c:idx val="1"/>
          <c:order val="1"/>
          <c:tx>
            <c:strRef>
              <c:f>percent_by_month!$C$4:$C$5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percent_by_month!$A$6:$A$18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percent_by_month!$C$6:$C$18</c:f>
              <c:numCache>
                <c:formatCode>0.00%</c:formatCode>
                <c:ptCount val="12"/>
                <c:pt idx="0">
                  <c:v>0.40821917808219177</c:v>
                </c:pt>
                <c:pt idx="1">
                  <c:v>0.31641791044776119</c:v>
                </c:pt>
                <c:pt idx="2">
                  <c:v>0.34177215189873417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42-BA49-A67C-DA2F502D0894}"/>
            </c:ext>
          </c:extLst>
        </c:ser>
        <c:ser>
          <c:idx val="2"/>
          <c:order val="2"/>
          <c:tx>
            <c:strRef>
              <c:f>percent_by_month!$D$4:$D$5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percent_by_month!$A$6:$A$18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percent_by_month!$D$6:$D$18</c:f>
              <c:numCache>
                <c:formatCode>0.00%</c:formatCode>
                <c:ptCount val="12"/>
                <c:pt idx="0">
                  <c:v>9.3150684931506855E-2</c:v>
                </c:pt>
                <c:pt idx="1">
                  <c:v>8.0597014925373134E-2</c:v>
                </c:pt>
                <c:pt idx="2">
                  <c:v>8.8607594936708861E-2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42-BA49-A67C-DA2F502D0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891375"/>
        <c:axId val="2045893055"/>
      </c:lineChart>
      <c:catAx>
        <c:axId val="204589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93055"/>
        <c:crosses val="autoZero"/>
        <c:auto val="1"/>
        <c:lblAlgn val="ctr"/>
        <c:lblOffset val="100"/>
        <c:noMultiLvlLbl val="0"/>
      </c:catAx>
      <c:valAx>
        <c:axId val="204589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9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039279572812017E-2"/>
          <c:y val="0.13437499999999999"/>
          <c:w val="0.93931704226626844"/>
          <c:h val="0.75218033915973281"/>
        </c:manualLayout>
      </c:layout>
      <c:lineChart>
        <c:grouping val="standard"/>
        <c:varyColors val="0"/>
        <c:ser>
          <c:idx val="0"/>
          <c:order val="0"/>
          <c:tx>
            <c:v>Percent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outcomes_by_goal!$F$2:$F$13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6-0E4D-9C6A-1D7ABB13A443}"/>
            </c:ext>
          </c:extLst>
        </c:ser>
        <c:ser>
          <c:idx val="1"/>
          <c:order val="1"/>
          <c:tx>
            <c:v>Percent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outcomes_by_goal!$G$2:$G$13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6-0E4D-9C6A-1D7ABB13A443}"/>
            </c:ext>
          </c:extLst>
        </c:ser>
        <c:ser>
          <c:idx val="2"/>
          <c:order val="2"/>
          <c:tx>
            <c:v>Percent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outcomes_by_goal!$H$2:$H$13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26-0E4D-9C6A-1D7ABB13A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157696"/>
        <c:axId val="476153680"/>
      </c:lineChart>
      <c:catAx>
        <c:axId val="47615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153680"/>
        <c:crosses val="autoZero"/>
        <c:auto val="1"/>
        <c:lblAlgn val="ctr"/>
        <c:lblOffset val="100"/>
        <c:noMultiLvlLbl val="0"/>
      </c:catAx>
      <c:valAx>
        <c:axId val="4761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15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- TECHNOLOGY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outcomes_by_goal_technology!$F$1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outcomes_by_goal_technology!$A$2:$A$13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outcomes_by_goal_technology!$F$2:$F$13</c:f>
              <c:numCache>
                <c:formatCode>0.00%</c:formatCode>
                <c:ptCount val="12"/>
                <c:pt idx="0">
                  <c:v>0.5714285714285714</c:v>
                </c:pt>
                <c:pt idx="1">
                  <c:v>0.45454545454545453</c:v>
                </c:pt>
                <c:pt idx="2">
                  <c:v>0.37333333333333335</c:v>
                </c:pt>
                <c:pt idx="3">
                  <c:v>0.4</c:v>
                </c:pt>
                <c:pt idx="4">
                  <c:v>0.32258064516129031</c:v>
                </c:pt>
                <c:pt idx="5">
                  <c:v>0.3235294117647059</c:v>
                </c:pt>
                <c:pt idx="6">
                  <c:v>0.31578947368421051</c:v>
                </c:pt>
                <c:pt idx="7">
                  <c:v>0.39130434782608697</c:v>
                </c:pt>
                <c:pt idx="8">
                  <c:v>0.26666666666666666</c:v>
                </c:pt>
                <c:pt idx="9">
                  <c:v>0.42857142857142855</c:v>
                </c:pt>
                <c:pt idx="10">
                  <c:v>0.125</c:v>
                </c:pt>
                <c:pt idx="11">
                  <c:v>0.26153846153846155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9-F34B-ABE6-0A95FD0480AB}"/>
            </c:ext>
          </c:extLst>
        </c:ser>
        <c:ser>
          <c:idx val="1"/>
          <c:order val="1"/>
          <c:tx>
            <c:strRef>
              <c:f>outcomes_by_goal_technology!$G$1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outcomes_by_goal_technology!$A$2:$A$13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outcomes_by_goal_technology!$G$2:$G$13</c:f>
              <c:numCache>
                <c:formatCode>0.00%</c:formatCode>
                <c:ptCount val="12"/>
                <c:pt idx="0">
                  <c:v>0.22857142857142856</c:v>
                </c:pt>
                <c:pt idx="1">
                  <c:v>0.25974025974025972</c:v>
                </c:pt>
                <c:pt idx="2">
                  <c:v>0.34666666666666668</c:v>
                </c:pt>
                <c:pt idx="3">
                  <c:v>0.30909090909090908</c:v>
                </c:pt>
                <c:pt idx="4">
                  <c:v>0.4838709677419355</c:v>
                </c:pt>
                <c:pt idx="5">
                  <c:v>0.38235294117647056</c:v>
                </c:pt>
                <c:pt idx="6">
                  <c:v>0.36842105263157893</c:v>
                </c:pt>
                <c:pt idx="7">
                  <c:v>0.2608695652173913</c:v>
                </c:pt>
                <c:pt idx="8">
                  <c:v>0.46666666666666667</c:v>
                </c:pt>
                <c:pt idx="9">
                  <c:v>0.2857142857142857</c:v>
                </c:pt>
                <c:pt idx="10">
                  <c:v>0.5</c:v>
                </c:pt>
                <c:pt idx="11">
                  <c:v>0.40512820512820513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D9-F34B-ABE6-0A95FD0480AB}"/>
            </c:ext>
          </c:extLst>
        </c:ser>
        <c:ser>
          <c:idx val="2"/>
          <c:order val="2"/>
          <c:tx>
            <c:strRef>
              <c:f>outcomes_by_goal_technology!$H$1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outcomes_by_goal_technology!$A$2:$A$13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outcomes_by_goal_technology!$H$2:$H$13</c:f>
              <c:numCache>
                <c:formatCode>0.00%</c:formatCode>
                <c:ptCount val="12"/>
                <c:pt idx="0">
                  <c:v>0.2</c:v>
                </c:pt>
                <c:pt idx="1">
                  <c:v>0.2857142857142857</c:v>
                </c:pt>
                <c:pt idx="2">
                  <c:v>0.28000000000000003</c:v>
                </c:pt>
                <c:pt idx="3">
                  <c:v>0.29090909090909089</c:v>
                </c:pt>
                <c:pt idx="4">
                  <c:v>0.19354838709677419</c:v>
                </c:pt>
                <c:pt idx="5">
                  <c:v>0.29411764705882354</c:v>
                </c:pt>
                <c:pt idx="6">
                  <c:v>0.31578947368421051</c:v>
                </c:pt>
                <c:pt idx="7">
                  <c:v>0.34782608695652173</c:v>
                </c:pt>
                <c:pt idx="8">
                  <c:v>0.26666666666666666</c:v>
                </c:pt>
                <c:pt idx="9">
                  <c:v>0.2857142857142857</c:v>
                </c:pt>
                <c:pt idx="10">
                  <c:v>0.375</c:v>
                </c:pt>
                <c:pt idx="11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D9-F34B-ABE6-0A95FD048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8420927"/>
        <c:axId val="426572608"/>
      </c:lineChart>
      <c:catAx>
        <c:axId val="205842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72608"/>
        <c:crosses val="autoZero"/>
        <c:auto val="1"/>
        <c:lblAlgn val="ctr"/>
        <c:lblOffset val="100"/>
        <c:noMultiLvlLbl val="0"/>
      </c:catAx>
      <c:valAx>
        <c:axId val="4265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42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145579</xdr:colOff>
      <xdr:row>0</xdr:row>
      <xdr:rowOff>78395</xdr:rowOff>
    </xdr:from>
    <xdr:to>
      <xdr:col>10</xdr:col>
      <xdr:colOff>650443</xdr:colOff>
      <xdr:row>14</xdr:row>
      <xdr:rowOff>154595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630AF-19B3-3340-A08D-E93B9E543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536595</xdr:colOff>
      <xdr:row>1</xdr:row>
      <xdr:rowOff>90068</xdr:rowOff>
    </xdr:from>
    <xdr:to>
      <xdr:col>11</xdr:col>
      <xdr:colOff>281427</xdr:colOff>
      <xdr:row>15</xdr:row>
      <xdr:rowOff>162762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DD3C1-3ECD-1844-BA43-C6B7D9D82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2</xdr:row>
      <xdr:rowOff>88900</xdr:rowOff>
    </xdr:from>
    <xdr:to>
      <xdr:col>12</xdr:col>
      <xdr:colOff>215900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0B1A1-D4C9-444F-8559-B60006AAC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3</xdr:row>
      <xdr:rowOff>152400</xdr:rowOff>
    </xdr:from>
    <xdr:to>
      <xdr:col>16</xdr:col>
      <xdr:colOff>647700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18CEB-8A16-4945-960D-BE04BB333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621419</xdr:colOff>
      <xdr:row>3</xdr:row>
      <xdr:rowOff>71750</xdr:rowOff>
    </xdr:from>
    <xdr:to>
      <xdr:col>14</xdr:col>
      <xdr:colOff>756159</xdr:colOff>
      <xdr:row>26</xdr:row>
      <xdr:rowOff>59050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69156-75B5-E74C-B8F2-86295F533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717550</xdr:colOff>
      <xdr:row>5</xdr:row>
      <xdr:rowOff>127000</xdr:rowOff>
    </xdr:from>
    <xdr:to>
      <xdr:col>11</xdr:col>
      <xdr:colOff>133350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5B754-8A55-6A4F-AB40-D6D2C54CE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1</xdr:row>
      <xdr:rowOff>88900</xdr:rowOff>
    </xdr:from>
    <xdr:to>
      <xdr:col>11</xdr:col>
      <xdr:colOff>50800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26EEAB-DEF9-6148-BC30-04762FCB5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1</xdr:row>
      <xdr:rowOff>12700</xdr:rowOff>
    </xdr:from>
    <xdr:to>
      <xdr:col>13</xdr:col>
      <xdr:colOff>787400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F8547-BBB8-F345-8E09-06555732B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101600</xdr:rowOff>
    </xdr:from>
    <xdr:to>
      <xdr:col>12</xdr:col>
      <xdr:colOff>203200</xdr:colOff>
      <xdr:row>59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BB0398-F793-5743-89AD-B5E9CFE6F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15</xdr:row>
      <xdr:rowOff>38100</xdr:rowOff>
    </xdr:from>
    <xdr:to>
      <xdr:col>7</xdr:col>
      <xdr:colOff>381000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AF0FFE-9D85-954F-907C-1D5D66625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8.521309490738" createdVersion="6" refreshedVersion="6" minRefreshableVersion="3" recordCount="4114" xr:uid="{4E575A3E-AE74-474B-BD37-3909C3D8B059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83876580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8.660946643518" createdVersion="6" refreshedVersion="6" minRefreshableVersion="3" recordCount="4114" xr:uid="{234721A0-6F9D-DF4A-B2D5-24D58B91CC48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3.58415451389" createdVersion="6" refreshedVersion="6" minRefreshableVersion="3" recordCount="4115" xr:uid="{DE7DB7EE-6AD2-BB43-BB57-2CBC72FE27E6}">
  <cacheSource type="worksheet">
    <worksheetSource ref="A1:T1048576" sheet="Raw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104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157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160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167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17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177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248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400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120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456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49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541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626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63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653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695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71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450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807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808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83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1025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1070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1079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1139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1230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124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1321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1458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1558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876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439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196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895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208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795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19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2280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2411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711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2568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2861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2906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984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2929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20"/>
    <x v="1"/>
    <x v="6"/>
    <x v="4113"/>
    <d v="2016-01-08T06:34:00"/>
  </r>
  <r>
    <m/>
    <m/>
    <m/>
    <m/>
    <m/>
    <x v="4"/>
    <x v="21"/>
    <m/>
    <m/>
    <m/>
    <m/>
    <m/>
    <m/>
    <m/>
    <m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F452C-127D-4046-B2F3-7AB8A95FA910}" name="PivotTable3" cacheId="15" applyNumberFormats="0" applyBorderFormats="0" applyFontFormats="0" applyPatternFormats="0" applyAlignmentFormats="0" applyWidthHeightFormats="1" dataCaption="Values" errorCaption="0" showError="1" missingCaption="0" updatedVersion="6" minRefreshableVersion="3" useAutoFormatting="1" itemPrintTitles="1" createdVersion="6" indent="0" outline="1" outlineData="1" multipleFieldFilters="0" chartFormat="2" fieldListSortAscending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E1970-39F8-C44F-B767-CFB32D9941CC}" name="PivotTable4" cacheId="3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E13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h="1"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1">
    <pageField fld="6" hier="-1"/>
  </pageFields>
  <dataFields count="1">
    <dataField name="Count of state" fld="5" subtotal="count" showDataAs="percentOfRow" baseField="0" baseItem="0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5728D-EA22-0F44-AB82-167A267BFFD1}" name="PivotTable8" cacheId="3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E14" firstHeaderRow="1" firstDataRow="2" firstDataCol="1"/>
  <pivotFields count="23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1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293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Average of Average Donation" fld="15" subtotal="average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3DEDC7-98A8-6D4B-8DBA-7C132623AFD7}" name="PivotTable1" cacheId="15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E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ED6DD-9EC2-6D4B-BE98-D71E6C8E9F6F}" name="PivotTable5" cacheId="3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E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E6D2D-547F-484E-B757-1B41D1B4660D}" name="PivotTable9" cacheId="3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E11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1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2939"/>
        <item t="default"/>
      </items>
    </pivotField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showAll="0" defaultSubtotal="0"/>
    <pivotField showAll="0" defaultSubtotal="0"/>
    <pivotField dragToRow="0" dragToCol="0" dragToPage="0" showAll="0" defaultSubtotal="0"/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1">
    <pageField fld="16" hier="-1"/>
  </pageFields>
  <dataFields count="1">
    <dataField name="Average of Average Donation" fld="15" subtotal="average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106C9-B1CE-5F4C-AF6F-7567C4C665ED}" name="PivotTable3" cacheId="1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78637-50D7-E949-9D1D-C6BF4BB9826D}" name="PivotTable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showDataAs="percentOfRow" baseField="0" baseItem="0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109" zoomScaleNormal="165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9" customWidth="1"/>
    <col min="17" max="17" width="14" bestFit="1" customWidth="1"/>
    <col min="18" max="18" width="11.33203125" bestFit="1" customWidth="1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8333</v>
      </c>
      <c r="T1" s="5" t="s">
        <v>8334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IFERROR(E2/L2, 0)</f>
        <v>63.917582417582416</v>
      </c>
      <c r="Q2" s="8" t="str">
        <f>LEFT(N2, SEARCH("/", N2,1)-1)</f>
        <v>film &amp; video</v>
      </c>
      <c r="R2" t="str">
        <f>RIGHT(N2,  LEN(N2) - SEARCH("/", N2,  1))</f>
        <v>television</v>
      </c>
      <c r="S2" s="12">
        <f>(((J2/60)/60)/24) + DATE(1970, 1, 1)</f>
        <v>42177.007071759261</v>
      </c>
      <c r="T2" s="12">
        <f>(((I2/60)/60)/24) + 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IFERROR(E3/L3, 0)</f>
        <v>185.48101265822785</v>
      </c>
      <c r="Q3" s="8" t="str">
        <f t="shared" ref="Q3:Q66" si="2">LEFT(N3, SEARCH("/", N3,1)-1)</f>
        <v>film &amp; video</v>
      </c>
      <c r="R3" t="str">
        <f t="shared" ref="R3:R66" si="3">RIGHT(N3,  LEN(N3) - SEARCH("/", N3,  1))</f>
        <v>television</v>
      </c>
      <c r="S3" s="12">
        <f t="shared" ref="S3:S66" si="4">(((J3/60)/60)/24) + DATE(1970, 1, 1)</f>
        <v>42766.600497685184</v>
      </c>
      <c r="T3" s="12">
        <f t="shared" ref="T3:T66" si="5">(((I3/60)/60)/24) + 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s="8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s="8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s="8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s="8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s="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s="8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s="8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s="8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s="8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s="8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s="8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s="8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s="8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s="8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s="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s="8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s="8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s="8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s="8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s="8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s="8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s="8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s="8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s="8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s="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s="8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s="8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s="8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s="8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s="8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s="8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s="8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s="8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s="8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s="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s="8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s="8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s="8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s="8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s="8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s="8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s="8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s="8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s="8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s="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s="8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s="8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s="8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s="8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s="8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s="8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s="8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s="8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s="8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s="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s="8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s="8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s="8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s="8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s="8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s="8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s="8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s="8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IFERROR(E67/L67, 0)</f>
        <v>132.05263157894737</v>
      </c>
      <c r="Q67" s="8" t="str">
        <f t="shared" ref="Q67:Q130" si="8">LEFT(N67, SEARCH("/", N67,1)-1)</f>
        <v>film &amp; video</v>
      </c>
      <c r="R67" t="str">
        <f t="shared" ref="R67:R130" si="9">RIGHT(N67,  LEN(N67) - SEARCH("/", N67,  1))</f>
        <v>shorts</v>
      </c>
      <c r="S67" s="12">
        <f t="shared" ref="S67:S130" si="10">(((J67/60)/60)/24) + DATE(1970, 1, 1)</f>
        <v>41835.821226851855</v>
      </c>
      <c r="T67" s="12">
        <f t="shared" ref="T67:T130" si="11">(((I67/60)/60)/24) + 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s="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s="8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s="8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s="8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s="8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s="8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s="8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s="8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s="8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s="8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s="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s="8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s="8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s="8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s="8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s="8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s="8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s="8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s="8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s="8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s="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s="8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s="8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s="8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s="8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s="8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s="8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s="8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s="8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s="8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s="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s="8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s="8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s="8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s="8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s="8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s="8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s="8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s="8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s="8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s="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s="8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s="8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s="8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s="8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s="8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s="8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s="8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s="8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s="8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s="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s="8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s="8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s="8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s="8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s="8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s="8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s="8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s="8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s="8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s="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s="8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s="8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>
        <f t="shared" ref="P131:P194" si="13">IFERROR(E131/L131, 0)</f>
        <v>0</v>
      </c>
      <c r="Q131" s="8" t="str">
        <f t="shared" ref="Q131:Q194" si="14">LEFT(N131, SEARCH("/", N131,1)-1)</f>
        <v>film &amp; video</v>
      </c>
      <c r="R131" t="str">
        <f t="shared" ref="R131:R194" si="15">RIGHT(N131,  LEN(N131) - SEARCH("/", N131,  1))</f>
        <v>science fiction</v>
      </c>
      <c r="S131" s="12">
        <f t="shared" ref="S131:S194" si="16">(((J131/60)/60)/24) + DATE(1970, 1, 1)</f>
        <v>41882.937303240738</v>
      </c>
      <c r="T131" s="12">
        <f t="shared" ref="T131:T194" si="17">(((I131/60)/60)/24) + 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s="8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s="8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s="8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s="8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s="8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s="8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s="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s="8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s="8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s="8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s="8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s="8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s="8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s="8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s="8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s="8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s="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s="8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s="8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s="8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s="8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s="8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s="8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s="8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s="8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s="8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s="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s="8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s="8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s="8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s="8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s="8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s="8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s="8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s="8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s="8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s="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s="8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s="8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s="8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s="8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s="8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s="8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s="8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s="8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s="8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s="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s="8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s="8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s="8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s="8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s="8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s="8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s="8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s="8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s="8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s="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s="8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s="8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s="8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s="8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s="8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s="8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>
        <f t="shared" ref="P195:P258" si="19">IFERROR(E195/L195, 0)</f>
        <v>0</v>
      </c>
      <c r="Q195" s="8" t="str">
        <f t="shared" ref="Q195:Q258" si="20">LEFT(N195, SEARCH("/", N195,1)-1)</f>
        <v>film &amp; video</v>
      </c>
      <c r="R195" t="str">
        <f t="shared" ref="R195:R258" si="21">RIGHT(N195,  LEN(N195) - SEARCH("/", N195,  1))</f>
        <v>drama</v>
      </c>
      <c r="S195" s="12">
        <f t="shared" ref="S195:S258" si="22">(((J195/60)/60)/24) + DATE(1970, 1, 1)</f>
        <v>41911.934791666667</v>
      </c>
      <c r="T195" s="12">
        <f t="shared" ref="T195:T258" si="23">(((I195/60)/60)/24) + 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s="8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s="8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s="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s="8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s="8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s="8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s="8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s="8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s="8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s="8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s="8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s="8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s="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s="8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s="8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s="8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s="8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s="8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s="8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s="8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s="8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s="8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s="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s="8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s="8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s="8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s="8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s="8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s="8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s="8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s="8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s="8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s="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s="8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s="8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s="8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s="8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s="8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s="8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s="8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s="8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s="8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s="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s="8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s="8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s="8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s="8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s="8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s="8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s="8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s="8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s="8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s="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s="8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s="8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s="8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s="8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s="8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s="8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s="8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s="8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s="8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s="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IFERROR(E259/L259, 0)</f>
        <v>66.70405357142856</v>
      </c>
      <c r="Q259" s="8" t="str">
        <f t="shared" ref="Q259:Q322" si="26">LEFT(N259, SEARCH("/", N259,1)-1)</f>
        <v>film &amp; video</v>
      </c>
      <c r="R259" t="str">
        <f t="shared" ref="R259:R322" si="27">RIGHT(N259,  LEN(N259) - SEARCH("/", N259,  1))</f>
        <v>documentary</v>
      </c>
      <c r="S259" s="12">
        <f t="shared" ref="S259:S322" si="28">(((J259/60)/60)/24) + DATE(1970, 1, 1)</f>
        <v>42479.626875000002</v>
      </c>
      <c r="T259" s="12">
        <f t="shared" ref="T259:T322" si="29">(((I259/60)/60)/24) + 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s="8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s="8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s="8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s="8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s="8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s="8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s="8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s="8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s="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s="8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s="8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s="8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s="8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s="8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s="8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s="8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s="8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s="8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s="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s="8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s="8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s="8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s="8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s="8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s="8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s="8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s="8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s="8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s="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s="8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s="8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s="8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s="8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s="8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s="8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s="8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s="8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s="8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s="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s="8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s="8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s="8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s="8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s="8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s="8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s="8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s="8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s="8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s="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s="8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s="8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s="8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s="8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s="8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s="8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s="8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s="8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s="8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s="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s="8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s="8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s="8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s="8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IFERROR(E323/L323, 0)</f>
        <v>106.62314540059347</v>
      </c>
      <c r="Q323" s="8" t="str">
        <f t="shared" ref="Q323:Q386" si="32">LEFT(N323, SEARCH("/", N323,1)-1)</f>
        <v>film &amp; video</v>
      </c>
      <c r="R323" t="str">
        <f t="shared" ref="R323:R386" si="33">RIGHT(N323,  LEN(N323) - SEARCH("/", N323,  1))</f>
        <v>documentary</v>
      </c>
      <c r="S323" s="12">
        <f t="shared" ref="S323:S386" si="34">(((J323/60)/60)/24) + DATE(1970, 1, 1)</f>
        <v>42647.446597222224</v>
      </c>
      <c r="T323" s="12">
        <f t="shared" ref="T323:T386" si="35">(((I323/60)/60)/24) + 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s="8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s="8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s="8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s="8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s="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s="8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s="8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s="8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s="8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s="8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s="8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s="8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s="8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s="8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s="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s="8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s="8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s="8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s="8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s="8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s="8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s="8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s="8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s="8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s="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s="8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s="8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s="8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s="8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s="8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s="8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s="8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s="8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s="8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s="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s="8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s="8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s="8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s="8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s="8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s="8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s="8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s="8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s="8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s="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s="8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s="8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s="8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s="8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s="8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s="8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s="8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s="8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s="8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s="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s="8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s="8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s="8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s="8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s="8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s="8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s="8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s="8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IFERROR(E387/L387, 0)</f>
        <v>111.79535864978902</v>
      </c>
      <c r="Q387" s="8" t="str">
        <f t="shared" ref="Q387:Q450" si="38">LEFT(N387, SEARCH("/", N387,1)-1)</f>
        <v>film &amp; video</v>
      </c>
      <c r="R387" t="str">
        <f t="shared" ref="R387:R450" si="39">RIGHT(N387,  LEN(N387) - SEARCH("/", N387,  1))</f>
        <v>documentary</v>
      </c>
      <c r="S387" s="12">
        <f t="shared" ref="S387:S450" si="40">(((J387/60)/60)/24) + DATE(1970, 1, 1)</f>
        <v>41934.584502314814</v>
      </c>
      <c r="T387" s="12">
        <f t="shared" ref="T387:T450" si="41">(((I387/60)/60)/24) + 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s="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s="8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s="8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s="8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s="8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s="8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s="8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s="8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s="8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s="8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s="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s="8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s="8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s="8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s="8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s="8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s="8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s="8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s="8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s="8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s="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s="8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s="8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s="8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s="8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s="8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s="8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s="8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s="8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s="8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s="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s="8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s="8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s="8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s="8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s="8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s="8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s="8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s="8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s="8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s="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s="8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s="8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s="8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s="8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s="8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s="8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s="8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s="8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s="8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s="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s="8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s="8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s="8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s="8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s="8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s="8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s="8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s="8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s="8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s="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s="8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s="8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IFERROR(E451/L451, 0)</f>
        <v>9</v>
      </c>
      <c r="Q451" s="8" t="str">
        <f t="shared" ref="Q451:Q514" si="44">LEFT(N451, SEARCH("/", N451,1)-1)</f>
        <v>film &amp; video</v>
      </c>
      <c r="R451" t="str">
        <f t="shared" ref="R451:R514" si="45">RIGHT(N451,  LEN(N451) - SEARCH("/", N451,  1))</f>
        <v>animation</v>
      </c>
      <c r="S451" s="12">
        <f t="shared" ref="S451:S514" si="46">(((J451/60)/60)/24) + DATE(1970, 1, 1)</f>
        <v>41534.568113425928</v>
      </c>
      <c r="T451" s="12">
        <f t="shared" ref="T451:T514" si="47">(((I451/60)/60)/24) + 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s="8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s="8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s="8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s="8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s="8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s="8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s="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s="8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s="8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s="8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s="8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s="8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s="8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s="8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s="8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s="8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s="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s="8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s="8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s="8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s="8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s="8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s="8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s="8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s="8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s="8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s="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s="8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s="8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s="8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s="8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s="8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s="8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s="8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s="8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s="8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s="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s="8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s="8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s="8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s="8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s="8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s="8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s="8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s="8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s="8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s="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s="8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s="8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s="8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s="8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s="8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s="8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s="8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s="8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s="8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s="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s="8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s="8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s="8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s="8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s="8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s="8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IFERROR(E515/L515, 0)</f>
        <v>102.38235294117646</v>
      </c>
      <c r="Q515" s="8" t="str">
        <f t="shared" ref="Q515:Q578" si="50">LEFT(N515, SEARCH("/", N515,1)-1)</f>
        <v>film &amp; video</v>
      </c>
      <c r="R515" t="str">
        <f t="shared" ref="R515:R578" si="51">RIGHT(N515,  LEN(N515) - SEARCH("/", N515,  1))</f>
        <v>animation</v>
      </c>
      <c r="S515" s="12">
        <f t="shared" ref="S515:S578" si="52">(((J515/60)/60)/24) + DATE(1970, 1, 1)</f>
        <v>42552.653993055559</v>
      </c>
      <c r="T515" s="12">
        <f t="shared" ref="T515:T578" si="53">(((I515/60)/60)/24) + 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s="8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s="8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s="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s="8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s="8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s="8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s="8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s="8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s="8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s="8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s="8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s="8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s="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s="8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s="8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s="8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s="8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s="8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s="8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s="8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s="8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s="8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s="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s="8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s="8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s="8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s="8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s="8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s="8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s="8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s="8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s="8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s="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s="8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s="8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s="8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s="8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s="8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s="8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s="8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s="8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s="8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s="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s="8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s="8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s="8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s="8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s="8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s="8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s="8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s="8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s="8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s="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s="8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s="8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s="8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s="8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s="8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s="8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s="8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s="8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s="8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s="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IFERROR(E579/L579, 0)</f>
        <v>10</v>
      </c>
      <c r="Q579" s="8" t="str">
        <f t="shared" ref="Q579:Q642" si="56">LEFT(N579, SEARCH("/", N579,1)-1)</f>
        <v>technology</v>
      </c>
      <c r="R579" t="str">
        <f t="shared" ref="R579:R642" si="57">RIGHT(N579,  LEN(N579) - SEARCH("/", N579,  1))</f>
        <v>web</v>
      </c>
      <c r="S579" s="12">
        <f t="shared" ref="S579:S642" si="58">(((J579/60)/60)/24) + DATE(1970, 1, 1)</f>
        <v>42450.589143518519</v>
      </c>
      <c r="T579" s="12">
        <f t="shared" ref="T579:T642" si="59">(((I579/60)/60)/24) + 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s="8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s="8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s="8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s="8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s="8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s="8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s="8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s="8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s="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s="8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s="8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s="8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s="8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s="8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s="8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s="8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s="8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s="8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s="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s="8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s="8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s="8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s="8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s="8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s="8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s="8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s="8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s="8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s="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s="8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s="8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s="8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s="8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s="8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s="8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s="8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s="8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s="8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s="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s="8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s="8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s="8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s="8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s="8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s="8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s="8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s="8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s="8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s="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s="8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s="8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s="8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s="8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s="8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s="8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s="8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s="8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s="8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s="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s="8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s="8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s="8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s="8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IFERROR(E643/L643, 0)</f>
        <v>151.31746031746033</v>
      </c>
      <c r="Q643" s="8" t="str">
        <f t="shared" ref="Q643:Q706" si="62">LEFT(N643, SEARCH("/", N643,1)-1)</f>
        <v>technology</v>
      </c>
      <c r="R643" t="str">
        <f t="shared" ref="R643:R706" si="63">RIGHT(N643,  LEN(N643) - SEARCH("/", N643,  1))</f>
        <v>wearables</v>
      </c>
      <c r="S643" s="12">
        <f t="shared" ref="S643:S706" si="64">(((J643/60)/60)/24) + DATE(1970, 1, 1)</f>
        <v>42199.57</v>
      </c>
      <c r="T643" s="12">
        <f t="shared" ref="T643:T706" si="65">(((I643/60)/60)/24) + 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s="8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s="8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s="8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s="8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s="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s="8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s="8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s="8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s="8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s="8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s="8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s="8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s="8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s="8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s="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s="8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s="8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s="8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s="8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s="8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s="8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s="8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s="8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s="8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s="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s="8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s="8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s="8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s="8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s="8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s="8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s="8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s="8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s="8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s="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s="8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s="8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s="8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s="8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s="8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s="8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s="8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s="8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s="8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s="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s="8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s="8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s="8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s="8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s="8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s="8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s="8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s="8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s="8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s="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s="8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s="8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s="8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s="8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s="8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s="8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s="8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s="8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IFERROR(E707/L707, 0)</f>
        <v>195.4</v>
      </c>
      <c r="Q707" s="8" t="str">
        <f t="shared" ref="Q707:Q770" si="68">LEFT(N707, SEARCH("/", N707,1)-1)</f>
        <v>technology</v>
      </c>
      <c r="R707" t="str">
        <f t="shared" ref="R707:R770" si="69">RIGHT(N707,  LEN(N707) - SEARCH("/", N707,  1))</f>
        <v>wearables</v>
      </c>
      <c r="S707" s="12">
        <f t="shared" ref="S707:S770" si="70">(((J707/60)/60)/24) + DATE(1970, 1, 1)</f>
        <v>42726.491643518515</v>
      </c>
      <c r="T707" s="12">
        <f t="shared" ref="T707:T770" si="71">(((I707/60)/60)/24) + 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s="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s="8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s="8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s="8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s="8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s="8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s="8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s="8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s="8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s="8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s="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s="8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s="8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s="8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s="8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s="8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s="8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s="8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s="8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s="8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s="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s="8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s="8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s="8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s="8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s="8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s="8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s="8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s="8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s="8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s="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s="8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s="8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s="8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s="8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s="8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s="8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s="8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s="8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s="8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s="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s="8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s="8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s="8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s="8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s="8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s="8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s="8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s="8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s="8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s="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s="8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s="8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s="8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s="8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s="8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s="8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s="8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s="8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s="8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s="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s="8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s="8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IFERROR(E771/L771, 0)</f>
        <v>31.846153846153847</v>
      </c>
      <c r="Q771" s="8" t="str">
        <f t="shared" ref="Q771:Q834" si="74">LEFT(N771, SEARCH("/", N771,1)-1)</f>
        <v>publishing</v>
      </c>
      <c r="R771" t="str">
        <f t="shared" ref="R771:R834" si="75">RIGHT(N771,  LEN(N771) - SEARCH("/", N771,  1))</f>
        <v>fiction</v>
      </c>
      <c r="S771" s="12">
        <f t="shared" ref="S771:S834" si="76">(((J771/60)/60)/24) + DATE(1970, 1, 1)</f>
        <v>41604.996458333335</v>
      </c>
      <c r="T771" s="12">
        <f t="shared" ref="T771:T834" si="77">(((I771/60)/60)/24) + 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s="8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s="8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s="8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s="8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s="8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s="8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s="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s="8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s="8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s="8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s="8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s="8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s="8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s="8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s="8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s="8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s="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s="8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s="8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s="8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s="8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s="8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s="8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s="8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s="8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s="8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s="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s="8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s="8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s="8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s="8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s="8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s="8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s="8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s="8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s="8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s="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s="8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s="8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s="8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s="8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s="8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s="8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s="8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s="8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s="8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s="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s="8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s="8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s="8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s="8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s="8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s="8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s="8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s="8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s="8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s="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s="8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s="8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s="8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s="8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s="8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s="8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IFERROR(E835/L835, 0)</f>
        <v>148.78048780487805</v>
      </c>
      <c r="Q835" s="8" t="str">
        <f t="shared" ref="Q835:Q898" si="80">LEFT(N835, SEARCH("/", N835,1)-1)</f>
        <v>music</v>
      </c>
      <c r="R835" t="str">
        <f t="shared" ref="R835:R898" si="81">RIGHT(N835,  LEN(N835) - SEARCH("/", N835,  1))</f>
        <v>rock</v>
      </c>
      <c r="S835" s="12">
        <f t="shared" ref="S835:S898" si="82">(((J835/60)/60)/24) + DATE(1970, 1, 1)</f>
        <v>41718.878182870372</v>
      </c>
      <c r="T835" s="12">
        <f t="shared" ref="T835:T898" si="83">(((I835/60)/60)/24) + 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s="8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s="8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s="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s="8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s="8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s="8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s="8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s="8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s="8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s="8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s="8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s="8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s="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s="8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s="8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s="8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s="8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s="8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s="8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s="8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s="8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s="8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s="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s="8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s="8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s="8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s="8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s="8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s="8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s="8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s="8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s="8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s="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s="8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s="8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s="8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s="8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s="8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s="8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s="8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s="8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s="8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s="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s="8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s="8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s="8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s="8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s="8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s="8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s="8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s="8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s="8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s="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s="8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s="8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s="8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s="8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s="8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s="8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s="8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s="8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s="8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s="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>
        <f t="shared" ref="P899:P962" si="85">IFERROR(E899/L899, 0)</f>
        <v>0</v>
      </c>
      <c r="Q899" s="8" t="str">
        <f t="shared" ref="Q899:Q962" si="86">LEFT(N899, SEARCH("/", N899,1)-1)</f>
        <v>music</v>
      </c>
      <c r="R899" t="str">
        <f t="shared" ref="R899:R962" si="87">RIGHT(N899,  LEN(N899) - SEARCH("/", N899,  1))</f>
        <v>indie rock</v>
      </c>
      <c r="S899" s="12">
        <f t="shared" ref="S899:S962" si="88">(((J899/60)/60)/24) + DATE(1970, 1, 1)</f>
        <v>41211.688750000001</v>
      </c>
      <c r="T899" s="12">
        <f t="shared" ref="T899:T962" si="89">(((I899/60)/60)/24) + 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s="8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s="8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s="8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s="8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s="8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s="8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s="8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s="8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s="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s="8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s="8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s="8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s="8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s="8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s="8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s="8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s="8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s="8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s="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s="8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s="8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s="8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s="8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s="8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s="8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s="8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s="8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s="8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s="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s="8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s="8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s="8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s="8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s="8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s="8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s="8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s="8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s="8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s="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s="8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s="8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s="8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s="8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s="8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s="8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s="8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s="8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s="8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s="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s="8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s="8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s="8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s="8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s="8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s="8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s="8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s="8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s="8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s="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s="8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s="8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s="8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s="8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IFERROR(E963/L963, 0)</f>
        <v>364.35454545454547</v>
      </c>
      <c r="Q963" s="8" t="str">
        <f t="shared" ref="Q963:Q1026" si="92">LEFT(N963, SEARCH("/", N963,1)-1)</f>
        <v>technology</v>
      </c>
      <c r="R963" t="str">
        <f t="shared" ref="R963:R1026" si="93">RIGHT(N963,  LEN(N963) - SEARCH("/", N963,  1))</f>
        <v>wearables</v>
      </c>
      <c r="S963" s="12">
        <f t="shared" ref="S963:S1026" si="94">(((J963/60)/60)/24) + DATE(1970, 1, 1)</f>
        <v>42740.693692129629</v>
      </c>
      <c r="T963" s="12">
        <f t="shared" ref="T963:T1026" si="95">(((I963/60)/60)/24) + 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s="8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s="8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s="8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s="8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s="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s="8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s="8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s="8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s="8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s="8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s="8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s="8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s="8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s="8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s="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s="8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s="8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s="8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s="8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s="8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s="8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s="8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s="8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s="8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s="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s="8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s="8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s="8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s="8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s="8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s="8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s="8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s="8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s="8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s="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s="8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s="8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s="8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s="8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s="8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s="8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s="8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s="8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s="8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s="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s="8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s="8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s="8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s="8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s="8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s="8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s="8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s="8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s="8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s="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s="8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s="8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s="8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s="8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s="8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s="8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s="8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s="8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IFERROR(E1027/L1027, 0)</f>
        <v>71.848571428571432</v>
      </c>
      <c r="Q1027" s="8" t="str">
        <f t="shared" ref="Q1027:Q1090" si="98">LEFT(N1027, SEARCH("/", N1027,1)-1)</f>
        <v>music</v>
      </c>
      <c r="R1027" t="str">
        <f t="shared" ref="R1027:R1090" si="99">RIGHT(N1027,  LEN(N1027) - SEARCH("/", N1027,  1))</f>
        <v>electronic music</v>
      </c>
      <c r="S1027" s="12">
        <f t="shared" ref="S1027:S1090" si="100">(((J1027/60)/60)/24) + DATE(1970, 1, 1)</f>
        <v>42049.833761574075</v>
      </c>
      <c r="T1027" s="12">
        <f t="shared" ref="T1027:T1090" si="101">(((I1027/60)/60)/24) + 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s="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s="8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s="8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s="8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s="8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s="8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s="8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s="8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s="8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s="8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s="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s="8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s="8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s="8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s="8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s="8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s="8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s="8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s="8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s="8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s="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s="8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s="8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s="8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s="8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s="8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s="8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s="8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s="8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s="8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s="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s="8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s="8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s="8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s="8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s="8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s="8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s="8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s="8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s="8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s="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s="8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s="8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s="8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s="8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s="8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s="8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s="8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s="8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s="8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s="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s="8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s="8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s="8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s="8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s="8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s="8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s="8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s="8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s="8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s="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s="8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s="8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IFERROR(E1091/L1091, 0)</f>
        <v>23.959183673469386</v>
      </c>
      <c r="Q1091" s="8" t="str">
        <f t="shared" ref="Q1091:Q1154" si="104">LEFT(N1091, SEARCH("/", N1091,1)-1)</f>
        <v>games</v>
      </c>
      <c r="R1091" t="str">
        <f t="shared" ref="R1091:R1154" si="105">RIGHT(N1091,  LEN(N1091) - SEARCH("/", N1091,  1))</f>
        <v>video games</v>
      </c>
      <c r="S1091" s="12">
        <f t="shared" ref="S1091:S1154" si="106">(((J1091/60)/60)/24) + DATE(1970, 1, 1)</f>
        <v>42151.189525462964</v>
      </c>
      <c r="T1091" s="12">
        <f t="shared" ref="T1091:T1154" si="107">(((I1091/60)/60)/24) + 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s="8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s="8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s="8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s="8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s="8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s="8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s="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s="8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s="8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s="8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s="8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s="8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s="8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s="8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s="8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s="8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s="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s="8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s="8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s="8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s="8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s="8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s="8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s="8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s="8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s="8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s="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s="8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s="8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s="8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s="8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s="8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s="8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s="8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s="8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s="8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s="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s="8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s="8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s="8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s="8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s="8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s="8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s="8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s="8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s="8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s="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s="8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s="8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s="8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s="8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s="8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s="8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s="8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s="8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s="8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s="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s="8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s="8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s="8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s="8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s="8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s="8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IFERROR(E1155/L1155, 0)</f>
        <v>50</v>
      </c>
      <c r="Q1155" s="8" t="str">
        <f t="shared" ref="Q1155:Q1218" si="110">LEFT(N1155, SEARCH("/", N1155,1)-1)</f>
        <v>food</v>
      </c>
      <c r="R1155" t="str">
        <f t="shared" ref="R1155:R1218" si="111">RIGHT(N1155,  LEN(N1155) - SEARCH("/", N1155,  1))</f>
        <v>food trucks</v>
      </c>
      <c r="S1155" s="12">
        <f t="shared" ref="S1155:S1218" si="112">(((J1155/60)/60)/24) + DATE(1970, 1, 1)</f>
        <v>42143.714178240742</v>
      </c>
      <c r="T1155" s="12">
        <f t="shared" ref="T1155:T1218" si="113">(((I1155/60)/60)/24) + 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s="8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s="8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s="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s="8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s="8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s="8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s="8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s="8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s="8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s="8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s="8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s="8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s="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s="8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s="8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s="8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s="8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s="8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s="8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s="8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s="8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s="8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s="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s="8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s="8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s="8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s="8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s="8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s="8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s="8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s="8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s="8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s="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s="8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s="8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s="8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s="8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s="8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s="8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s="8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s="8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s="8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s="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s="8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s="8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s="8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s="8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s="8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s="8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s="8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s="8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s="8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s="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s="8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s="8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s="8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s="8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s="8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s="8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s="8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s="8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s="8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s="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IFERROR(E1219/L1219, 0)</f>
        <v>148.57377049180329</v>
      </c>
      <c r="Q1219" s="8" t="str">
        <f t="shared" ref="Q1219:Q1282" si="116">LEFT(N1219, SEARCH("/", N1219,1)-1)</f>
        <v>photography</v>
      </c>
      <c r="R1219" t="str">
        <f t="shared" ref="R1219:R1282" si="117">RIGHT(N1219,  LEN(N1219) - SEARCH("/", N1219,  1))</f>
        <v>photobooks</v>
      </c>
      <c r="S1219" s="12">
        <f t="shared" ref="S1219:S1282" si="118">(((J1219/60)/60)/24) + DATE(1970, 1, 1)</f>
        <v>42535.809490740736</v>
      </c>
      <c r="T1219" s="12">
        <f t="shared" ref="T1219:T1282" si="119">(((I1219/60)/60)/24) + 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s="8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s="8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s="8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s="8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s="8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s="8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s="8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s="8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s="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s="8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s="8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s="8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s="8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s="8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s="8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s="8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s="8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s="8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s="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s="8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s="8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s="8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s="8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s="8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s="8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s="8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s="8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s="8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s="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s="8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s="8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s="8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s="8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s="8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s="8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s="8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s="8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s="8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s="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s="8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s="8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s="8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s="8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s="8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s="8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s="8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s="8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s="8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s="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s="8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s="8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s="8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s="8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s="8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s="8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s="8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s="8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s="8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s="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s="8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s="8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s="8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s="8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IFERROR(E1283/L1283, 0)</f>
        <v>104.72972972972973</v>
      </c>
      <c r="Q1283" s="8" t="str">
        <f t="shared" ref="Q1283:Q1346" si="122">LEFT(N1283, SEARCH("/", N1283,1)-1)</f>
        <v>music</v>
      </c>
      <c r="R1283" t="str">
        <f t="shared" ref="R1283:R1346" si="123">RIGHT(N1283,  LEN(N1283) - SEARCH("/", N1283,  1))</f>
        <v>rock</v>
      </c>
      <c r="S1283" s="12">
        <f t="shared" ref="S1283:S1346" si="124">(((J1283/60)/60)/24) + DATE(1970, 1, 1)</f>
        <v>41463.743472222224</v>
      </c>
      <c r="T1283" s="12">
        <f t="shared" ref="T1283:T1346" si="125">(((I1283/60)/60)/24) + 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s="8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s="8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s="8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s="8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s="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s="8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s="8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s="8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s="8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s="8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s="8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s="8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s="8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s="8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s="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s="8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s="8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s="8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s="8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s="8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s="8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s="8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s="8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s="8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s="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s="8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s="8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s="8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s="8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s="8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s="8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s="8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s="8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s="8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s="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s="8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s="8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s="8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s="8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s="8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s="8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s="8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s="8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s="8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s="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s="8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s="8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s="8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s="8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s="8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s="8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s="8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s="8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s="8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s="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s="8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s="8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s="8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s="8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s="8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s="8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s="8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s="8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IFERROR(E1347/L1347, 0)</f>
        <v>53.571428571428569</v>
      </c>
      <c r="Q1347" s="8" t="str">
        <f t="shared" ref="Q1347:Q1410" si="128">LEFT(N1347, SEARCH("/", N1347,1)-1)</f>
        <v>publishing</v>
      </c>
      <c r="R1347" t="str">
        <f t="shared" ref="R1347:R1410" si="129">RIGHT(N1347,  LEN(N1347) - SEARCH("/", N1347,  1))</f>
        <v>nonfiction</v>
      </c>
      <c r="S1347" s="12">
        <f t="shared" ref="S1347:S1410" si="130">(((J1347/60)/60)/24) + DATE(1970, 1, 1)</f>
        <v>41799.814340277779</v>
      </c>
      <c r="T1347" s="12">
        <f t="shared" ref="T1347:T1410" si="131">(((I1347/60)/60)/24) + 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s="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s="8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s="8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s="8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s="8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s="8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s="8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s="8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s="8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s="8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s="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s="8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s="8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s="8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s="8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s="8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s="8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s="8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s="8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s="8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s="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s="8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s="8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s="8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s="8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s="8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s="8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s="8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s="8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s="8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s="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s="8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s="8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s="8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s="8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s="8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s="8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s="8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s="8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s="8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s="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s="8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s="8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s="8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s="8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s="8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s="8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s="8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s="8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s="8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s="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s="8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s="8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s="8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s="8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s="8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s="8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s="8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s="8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s="8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s="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s="8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s="8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>
        <f t="shared" ref="P1411:P1474" si="133">IFERROR(E1411/L1411, 0)</f>
        <v>0</v>
      </c>
      <c r="Q1411" s="8" t="str">
        <f t="shared" ref="Q1411:Q1474" si="134">LEFT(N1411, SEARCH("/", N1411,1)-1)</f>
        <v>publishing</v>
      </c>
      <c r="R1411" t="str">
        <f t="shared" ref="R1411:R1474" si="135">RIGHT(N1411,  LEN(N1411) - SEARCH("/", N1411,  1))</f>
        <v>translations</v>
      </c>
      <c r="S1411" s="12">
        <f t="shared" ref="S1411:S1474" si="136">(((J1411/60)/60)/24) + DATE(1970, 1, 1)</f>
        <v>41945.133506944447</v>
      </c>
      <c r="T1411" s="12">
        <f t="shared" ref="T1411:T1474" si="137">(((I1411/60)/60)/24) + 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s="8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s="8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s="8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s="8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s="8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s="8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s="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s="8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s="8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s="8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s="8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s="8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s="8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s="8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s="8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s="8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s="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s="8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s="8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s="8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s="8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s="8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s="8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s="8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s="8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s="8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s="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s="8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s="8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s="8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s="8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s="8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s="8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s="8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s="8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s="8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s="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s="8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s="8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s="8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s="8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s="8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s="8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s="8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s="8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s="8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s="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s="8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s="8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s="8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s="8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s="8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s="8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s="8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s="8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s="8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s="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s="8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s="8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s="8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s="8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s="8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s="8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IFERROR(E1475/L1475, 0)</f>
        <v>38.462553191489363</v>
      </c>
      <c r="Q1475" s="8" t="str">
        <f t="shared" ref="Q1475:Q1538" si="140">LEFT(N1475, SEARCH("/", N1475,1)-1)</f>
        <v>publishing</v>
      </c>
      <c r="R1475" t="str">
        <f t="shared" ref="R1475:R1538" si="141">RIGHT(N1475,  LEN(N1475) - SEARCH("/", N1475,  1))</f>
        <v>radio &amp; podcasts</v>
      </c>
      <c r="S1475" s="12">
        <f t="shared" ref="S1475:S1538" si="142">(((J1475/60)/60)/24) + DATE(1970, 1, 1)</f>
        <v>40939.979618055557</v>
      </c>
      <c r="T1475" s="12">
        <f t="shared" ref="T1475:T1538" si="143">(((I1475/60)/60)/24) + 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s="8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s="8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s="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s="8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s="8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s="8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s="8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s="8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s="8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s="8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s="8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s="8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s="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s="8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s="8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s="8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s="8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s="8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s="8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s="8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s="8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s="8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s="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s="8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s="8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s="8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s="8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s="8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s="8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s="8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s="8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s="8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s="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s="8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s="8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s="8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s="8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s="8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s="8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s="8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s="8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s="8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s="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s="8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s="8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s="8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s="8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s="8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s="8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s="8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s="8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s="8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s="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s="8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s="8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s="8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s="8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s="8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s="8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s="8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s="8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s="8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s="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IFERROR(E1539/L1539, 0)</f>
        <v>96.375</v>
      </c>
      <c r="Q1539" s="8" t="str">
        <f t="shared" ref="Q1539:Q1602" si="146">LEFT(N1539, SEARCH("/", N1539,1)-1)</f>
        <v>photography</v>
      </c>
      <c r="R1539" t="str">
        <f t="shared" ref="R1539:R1602" si="147">RIGHT(N1539,  LEN(N1539) - SEARCH("/", N1539,  1))</f>
        <v>photobooks</v>
      </c>
      <c r="S1539" s="12">
        <f t="shared" ref="S1539:S1602" si="148">(((J1539/60)/60)/24) + DATE(1970, 1, 1)</f>
        <v>42552.315127314811</v>
      </c>
      <c r="T1539" s="12">
        <f t="shared" ref="T1539:T1602" si="149">(((I1539/60)/60)/24) + 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s="8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s="8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s="8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s="8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s="8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s="8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s="8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s="8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s="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s="8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s="8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s="8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s="8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s="8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s="8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s="8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s="8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s="8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s="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s="8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s="8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s="8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s="8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s="8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s="8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s="8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s="8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s="8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s="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s="8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s="8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s="8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s="8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s="8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s="8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s="8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s="8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s="8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s="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s="8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s="8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s="8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s="8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s="8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s="8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s="8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s="8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s="8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s="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s="8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s="8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s="8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s="8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s="8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s="8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s="8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s="8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s="8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s="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s="8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s="8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s="8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s="8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IFERROR(E1603/L1603, 0)</f>
        <v>48.325535714285714</v>
      </c>
      <c r="Q1603" s="8" t="str">
        <f t="shared" ref="Q1603:Q1666" si="152">LEFT(N1603, SEARCH("/", N1603,1)-1)</f>
        <v>music</v>
      </c>
      <c r="R1603" t="str">
        <f t="shared" ref="R1603:R1666" si="153">RIGHT(N1603,  LEN(N1603) - SEARCH("/", N1603,  1))</f>
        <v>rock</v>
      </c>
      <c r="S1603" s="12">
        <f t="shared" ref="S1603:S1666" si="154">(((J1603/60)/60)/24) + DATE(1970, 1, 1)</f>
        <v>40638.092974537038</v>
      </c>
      <c r="T1603" s="12">
        <f t="shared" ref="T1603:T1666" si="155">(((I1603/60)/60)/24) + 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s="8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s="8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s="8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s="8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s="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s="8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s="8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s="8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s="8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s="8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s="8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s="8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s="8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s="8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s="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s="8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s="8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s="8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s="8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s="8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s="8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s="8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s="8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s="8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s="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s="8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s="8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s="8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s="8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s="8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s="8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s="8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s="8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s="8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s="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s="8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s="8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s="8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s="8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s="8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s="8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s="8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s="8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s="8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s="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s="8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s="8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s="8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s="8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s="8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s="8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s="8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s="8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s="8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s="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s="8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s="8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s="8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s="8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s="8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s="8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s="8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s="8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IFERROR(E1667/L1667, 0)</f>
        <v>44.956989247311824</v>
      </c>
      <c r="Q1667" s="8" t="str">
        <f t="shared" ref="Q1667:Q1730" si="158">LEFT(N1667, SEARCH("/", N1667,1)-1)</f>
        <v>music</v>
      </c>
      <c r="R1667" t="str">
        <f t="shared" ref="R1667:R1730" si="159">RIGHT(N1667,  LEN(N1667) - SEARCH("/", N1667,  1))</f>
        <v>pop</v>
      </c>
      <c r="S1667" s="12">
        <f t="shared" ref="S1667:S1730" si="160">(((J1667/60)/60)/24) + DATE(1970, 1, 1)</f>
        <v>40564.649456018517</v>
      </c>
      <c r="T1667" s="12">
        <f t="shared" ref="T1667:T1730" si="161">(((I1667/60)/60)/24) + 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s="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s="8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s="8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s="8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s="8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s="8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s="8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s="8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s="8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s="8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s="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s="8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s="8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s="8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s="8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s="8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s="8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s="8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s="8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s="8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s="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s="8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s="8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s="8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s="8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s="8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s="8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s="8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s="8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s="8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s="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s="8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s="8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s="8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s="8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s="8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s="8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s="8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s="8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s="8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s="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s="8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s="8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s="8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s="8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s="8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s="8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s="8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s="8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s="8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s="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s="8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s="8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s="8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s="8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s="8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s="8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s="8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s="8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s="8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s="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s="8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s="8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>
        <f t="shared" ref="P1731:P1794" si="163">IFERROR(E1731/L1731, 0)</f>
        <v>0</v>
      </c>
      <c r="Q1731" s="8" t="str">
        <f t="shared" ref="Q1731:Q1794" si="164">LEFT(N1731, SEARCH("/", N1731,1)-1)</f>
        <v>music</v>
      </c>
      <c r="R1731" t="str">
        <f t="shared" ref="R1731:R1794" si="165">RIGHT(N1731,  LEN(N1731) - SEARCH("/", N1731,  1))</f>
        <v>faith</v>
      </c>
      <c r="S1731" s="12">
        <f t="shared" ref="S1731:S1794" si="166">(((J1731/60)/60)/24) + DATE(1970, 1, 1)</f>
        <v>42471.052152777775</v>
      </c>
      <c r="T1731" s="12">
        <f t="shared" ref="T1731:T1794" si="167">(((I1731/60)/60)/24) + 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s="8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s="8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s="8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s="8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s="8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s="8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s="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s="8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s="8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s="8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s="8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s="8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s="8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s="8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s="8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s="8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s="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s="8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s="8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s="8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s="8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s="8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s="8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s="8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s="8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s="8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s="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s="8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s="8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s="8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s="8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s="8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s="8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s="8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s="8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s="8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s="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s="8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s="8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s="8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s="8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s="8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s="8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s="8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s="8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s="8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s="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s="8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s="8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s="8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s="8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s="8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s="8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s="8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s="8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s="8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s="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s="8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s="8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s="8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s="8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s="8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s="8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IFERROR(E1795/L1795, 0)</f>
        <v>20</v>
      </c>
      <c r="Q1795" s="8" t="str">
        <f t="shared" ref="Q1795:Q1858" si="170">LEFT(N1795, SEARCH("/", N1795,1)-1)</f>
        <v>photography</v>
      </c>
      <c r="R1795" t="str">
        <f t="shared" ref="R1795:R1858" si="171">RIGHT(N1795,  LEN(N1795) - SEARCH("/", N1795,  1))</f>
        <v>photobooks</v>
      </c>
      <c r="S1795" s="12">
        <f t="shared" ref="S1795:S1858" si="172">(((J1795/60)/60)/24) + DATE(1970, 1, 1)</f>
        <v>41940.89166666667</v>
      </c>
      <c r="T1795" s="12">
        <f t="shared" ref="T1795:T1858" si="173">(((I1795/60)/60)/24) + 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s="8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s="8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s="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s="8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s="8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s="8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s="8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s="8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s="8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s="8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s="8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s="8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s="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s="8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s="8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s="8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s="8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s="8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s="8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s="8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s="8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s="8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s="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s="8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s="8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s="8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s="8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s="8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s="8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s="8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s="8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s="8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s="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s="8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s="8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s="8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s="8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s="8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s="8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s="8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s="8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s="8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s="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s="8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s="8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s="8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s="8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s="8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s="8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s="8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s="8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s="8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s="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s="8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s="8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s="8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s="8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s="8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s="8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s="8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s="8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s="8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s="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IFERROR(E1859/L1859, 0)</f>
        <v>136.36363636363637</v>
      </c>
      <c r="Q1859" s="8" t="str">
        <f t="shared" ref="Q1859:Q1922" si="176">LEFT(N1859, SEARCH("/", N1859,1)-1)</f>
        <v>music</v>
      </c>
      <c r="R1859" t="str">
        <f t="shared" ref="R1859:R1922" si="177">RIGHT(N1859,  LEN(N1859) - SEARCH("/", N1859,  1))</f>
        <v>rock</v>
      </c>
      <c r="S1859" s="12">
        <f t="shared" ref="S1859:S1922" si="178">(((J1859/60)/60)/24) + DATE(1970, 1, 1)</f>
        <v>41864.76866898148</v>
      </c>
      <c r="T1859" s="12">
        <f t="shared" ref="T1859:T1922" si="179">(((I1859/60)/60)/24) + 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s="8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s="8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s="8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s="8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s="8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s="8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s="8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s="8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s="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s="8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s="8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s="8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s="8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s="8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s="8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s="8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s="8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s="8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s="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s="8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s="8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s="8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s="8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s="8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s="8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s="8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s="8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s="8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s="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s="8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s="8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s="8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s="8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s="8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s="8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s="8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s="8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s="8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s="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s="8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s="8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s="8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s="8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s="8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s="8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s="8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s="8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s="8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s="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s="8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s="8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s="8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s="8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s="8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s="8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s="8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s="8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s="8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s="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s="8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s="8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s="8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s="8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IFERROR(E1923/L1923, 0)</f>
        <v>54</v>
      </c>
      <c r="Q1923" s="8" t="str">
        <f t="shared" ref="Q1923:Q1986" si="182">LEFT(N1923, SEARCH("/", N1923,1)-1)</f>
        <v>music</v>
      </c>
      <c r="R1923" t="str">
        <f t="shared" ref="R1923:R1986" si="183">RIGHT(N1923,  LEN(N1923) - SEARCH("/", N1923,  1))</f>
        <v>indie rock</v>
      </c>
      <c r="S1923" s="12">
        <f t="shared" ref="S1923:S1986" si="184">(((J1923/60)/60)/24) + DATE(1970, 1, 1)</f>
        <v>41074.221562500003</v>
      </c>
      <c r="T1923" s="12">
        <f t="shared" ref="T1923:T1986" si="185">(((I1923/60)/60)/24) + 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s="8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s="8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s="8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s="8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s="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s="8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s="8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s="8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s="8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s="8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s="8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s="8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s="8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s="8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s="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s="8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s="8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s="8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s="8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s="8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s="8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s="8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s="8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s="8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s="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s="8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s="8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s="8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s="8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s="8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s="8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s="8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s="8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s="8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s="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s="8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s="8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s="8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s="8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s="8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s="8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s="8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s="8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s="8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s="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s="8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s="8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s="8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s="8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s="8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s="8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s="8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s="8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s="8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s="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s="8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s="8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s="8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s="8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s="8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s="8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s="8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s="8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IFERROR(E1987/L1987, 0)</f>
        <v>12.75</v>
      </c>
      <c r="Q1987" s="8" t="str">
        <f t="shared" ref="Q1987:Q2050" si="188">LEFT(N1987, SEARCH("/", N1987,1)-1)</f>
        <v>photography</v>
      </c>
      <c r="R1987" t="str">
        <f t="shared" ref="R1987:R2050" si="189">RIGHT(N1987,  LEN(N1987) - SEARCH("/", N1987,  1))</f>
        <v>people</v>
      </c>
      <c r="S1987" s="12">
        <f t="shared" ref="S1987:S2050" si="190">(((J1987/60)/60)/24) + DATE(1970, 1, 1)</f>
        <v>42555.698738425926</v>
      </c>
      <c r="T1987" s="12">
        <f t="shared" ref="T1987:T2050" si="191">(((I1987/60)/60)/24) + 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s="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s="8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s="8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s="8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s="8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s="8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s="8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s="8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s="8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s="8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s="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s="8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s="8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s="8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s="8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s="8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s="8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s="8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s="8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s="8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s="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s="8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s="8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s="8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s="8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s="8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s="8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s="8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s="8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s="8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s="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s="8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s="8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s="8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s="8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s="8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s="8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s="8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s="8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s="8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s="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s="8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s="8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s="8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s="8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s="8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s="8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s="8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s="8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s="8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s="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s="8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s="8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s="8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s="8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s="8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s="8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s="8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s="8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s="8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s="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s="8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s="8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IFERROR(E2051/L2051, 0)</f>
        <v>80.991037735849048</v>
      </c>
      <c r="Q2051" s="8" t="str">
        <f t="shared" ref="Q2051:Q2114" si="194">LEFT(N2051, SEARCH("/", N2051,1)-1)</f>
        <v>technology</v>
      </c>
      <c r="R2051" t="str">
        <f t="shared" ref="R2051:R2114" si="195">RIGHT(N2051,  LEN(N2051) - SEARCH("/", N2051,  1))</f>
        <v>hardware</v>
      </c>
      <c r="S2051" s="12">
        <f t="shared" ref="S2051:S2114" si="196">(((J2051/60)/60)/24) + DATE(1970, 1, 1)</f>
        <v>41575.527349537035</v>
      </c>
      <c r="T2051" s="12">
        <f t="shared" ref="T2051:T2114" si="197">(((I2051/60)/60)/24) + 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s="8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s="8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s="8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s="8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s="8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s="8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s="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s="8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s="8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s="8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s="8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s="8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s="8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s="8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s="8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s="8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s="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s="8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s="8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s="8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s="8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s="8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s="8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s="8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s="8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s="8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s="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s="8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s="8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s="8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s="8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s="8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s="8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s="8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s="8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s="8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s="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s="8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s="8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s="8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s="8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s="8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s="8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s="8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s="8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s="8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s="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s="8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s="8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s="8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s="8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s="8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s="8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s="8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s="8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s="8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s="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s="8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s="8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s="8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s="8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s="8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s="8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IFERROR(E2115/L2115, 0)</f>
        <v>68.598130841121488</v>
      </c>
      <c r="Q2115" s="8" t="str">
        <f t="shared" ref="Q2115:Q2178" si="200">LEFT(N2115, SEARCH("/", N2115,1)-1)</f>
        <v>music</v>
      </c>
      <c r="R2115" t="str">
        <f t="shared" ref="R2115:R2178" si="201">RIGHT(N2115,  LEN(N2115) - SEARCH("/", N2115,  1))</f>
        <v>indie rock</v>
      </c>
      <c r="S2115" s="12">
        <f t="shared" ref="S2115:S2178" si="202">(((J2115/60)/60)/24) + DATE(1970, 1, 1)</f>
        <v>41870.86546296296</v>
      </c>
      <c r="T2115" s="12">
        <f t="shared" ref="T2115:T2178" si="203">(((I2115/60)/60)/24) + 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s="8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s="8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s="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s="8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s="8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s="8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s="8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s="8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s="8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s="8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s="8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s="8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s="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s="8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s="8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s="8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s="8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s="8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s="8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s="8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s="8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s="8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s="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s="8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s="8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s="8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s="8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s="8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s="8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s="8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s="8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s="8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s="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s="8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s="8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s="8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s="8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s="8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s="8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s="8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s="8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s="8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s="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s="8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s="8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s="8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s="8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s="8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s="8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s="8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s="8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s="8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s="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s="8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s="8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s="8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s="8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s="8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s="8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s="8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s="8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s="8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s="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IFERROR(E2179/L2179, 0)</f>
        <v>65.868421052631575</v>
      </c>
      <c r="Q2179" s="8" t="str">
        <f t="shared" ref="Q2179:Q2242" si="206">LEFT(N2179, SEARCH("/", N2179,1)-1)</f>
        <v>music</v>
      </c>
      <c r="R2179" t="str">
        <f t="shared" ref="R2179:R2242" si="207">RIGHT(N2179,  LEN(N2179) - SEARCH("/", N2179,  1))</f>
        <v>rock</v>
      </c>
      <c r="S2179" s="12">
        <f t="shared" ref="S2179:S2242" si="208">(((J2179/60)/60)/24) + DATE(1970, 1, 1)</f>
        <v>42502.250775462962</v>
      </c>
      <c r="T2179" s="12">
        <f t="shared" ref="T2179:T2242" si="209">(((I2179/60)/60)/24) + 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s="8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s="8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s="8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s="8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s="8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s="8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s="8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s="8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s="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s="8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s="8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s="8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s="8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s="8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s="8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s="8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s="8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s="8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s="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s="8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s="8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s="8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s="8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s="8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s="8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s="8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s="8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s="8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s="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s="8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s="8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s="8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s="8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s="8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s="8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s="8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s="8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s="8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s="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s="8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s="8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s="8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s="8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s="8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s="8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s="8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s="8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s="8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s="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s="8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s="8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s="8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s="8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s="8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s="8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s="8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s="8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s="8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s="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s="8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s="8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s="8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s="8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IFERROR(E2243/L2243, 0)</f>
        <v>49.472392638036808</v>
      </c>
      <c r="Q2243" s="8" t="str">
        <f t="shared" ref="Q2243:Q2306" si="212">LEFT(N2243, SEARCH("/", N2243,1)-1)</f>
        <v>games</v>
      </c>
      <c r="R2243" t="str">
        <f t="shared" ref="R2243:R2306" si="213">RIGHT(N2243,  LEN(N2243) - SEARCH("/", N2243,  1))</f>
        <v>tabletop games</v>
      </c>
      <c r="S2243" s="12">
        <f t="shared" ref="S2243:S2306" si="214">(((J2243/60)/60)/24) + DATE(1970, 1, 1)</f>
        <v>42766.827546296292</v>
      </c>
      <c r="T2243" s="12">
        <f t="shared" ref="T2243:T2306" si="215">(((I2243/60)/60)/24) + 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s="8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s="8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s="8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s="8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s="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s="8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s="8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s="8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s="8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s="8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s="8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s="8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s="8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s="8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s="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s="8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s="8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s="8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s="8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s="8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s="8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s="8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s="8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s="8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s="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s="8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s="8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s="8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s="8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s="8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s="8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s="8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s="8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s="8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s="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s="8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s="8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s="8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s="8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s="8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s="8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s="8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s="8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s="8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s="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s="8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s="8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s="8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s="8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s="8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s="8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s="8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s="8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s="8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s="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s="8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s="8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s="8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s="8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s="8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s="8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s="8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s="8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IFERROR(E2307/L2307, 0)</f>
        <v>109.10778443113773</v>
      </c>
      <c r="Q2307" s="8" t="str">
        <f t="shared" ref="Q2307:Q2370" si="218">LEFT(N2307, SEARCH("/", N2307,1)-1)</f>
        <v>music</v>
      </c>
      <c r="R2307" t="str">
        <f t="shared" ref="R2307:R2370" si="219">RIGHT(N2307,  LEN(N2307) - SEARCH("/", N2307,  1))</f>
        <v>indie rock</v>
      </c>
      <c r="S2307" s="12">
        <f t="shared" ref="S2307:S2370" si="220">(((J2307/60)/60)/24) + DATE(1970, 1, 1)</f>
        <v>41834.695277777777</v>
      </c>
      <c r="T2307" s="12">
        <f t="shared" ref="T2307:T2370" si="221">(((I2307/60)/60)/24) + 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s="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s="8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s="8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s="8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s="8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s="8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s="8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s="8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s="8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s="8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s="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s="8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s="8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s="8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s="8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s="8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s="8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s="8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s="8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s="8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s="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s="8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s="8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s="8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s="8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s="8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s="8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s="8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s="8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s="8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s="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s="8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s="8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s="8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s="8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s="8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s="8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s="8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s="8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s="8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s="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s="8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s="8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s="8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s="8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s="8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s="8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s="8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s="8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s="8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s="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s="8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s="8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s="8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s="8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s="8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s="8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s="8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s="8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s="8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s="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s="8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s="8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>
        <f t="shared" ref="P2371:P2434" si="223">IFERROR(E2371/L2371, 0)</f>
        <v>0</v>
      </c>
      <c r="Q2371" s="8" t="str">
        <f t="shared" ref="Q2371:Q2434" si="224">LEFT(N2371, SEARCH("/", N2371,1)-1)</f>
        <v>technology</v>
      </c>
      <c r="R2371" t="str">
        <f t="shared" ref="R2371:R2434" si="225">RIGHT(N2371,  LEN(N2371) - SEARCH("/", N2371,  1))</f>
        <v>web</v>
      </c>
      <c r="S2371" s="12">
        <f t="shared" ref="S2371:S2434" si="226">(((J2371/60)/60)/24) + DATE(1970, 1, 1)</f>
        <v>42380.812627314815</v>
      </c>
      <c r="T2371" s="12">
        <f t="shared" ref="T2371:T2434" si="227">(((I2371/60)/60)/24) + 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s="8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s="8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s="8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s="8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s="8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s="8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s="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s="8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s="8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s="8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s="8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s="8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s="8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s="8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s="8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s="8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s="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s="8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s="8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s="8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s="8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s="8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s="8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s="8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s="8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s="8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s="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s="8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s="8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s="8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s="8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s="8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s="8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s="8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s="8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s="8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s="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s="8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s="8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s="8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s="8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s="8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s="8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s="8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s="8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s="8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s="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s="8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s="8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s="8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s="8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s="8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s="8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s="8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s="8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s="8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s="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s="8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s="8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s="8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s="8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s="8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s="8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>
        <f t="shared" ref="P2435:P2498" si="229">IFERROR(E2435/L2435, 0)</f>
        <v>0</v>
      </c>
      <c r="Q2435" s="8" t="str">
        <f t="shared" ref="Q2435:Q2498" si="230">LEFT(N2435, SEARCH("/", N2435,1)-1)</f>
        <v>food</v>
      </c>
      <c r="R2435" t="str">
        <f t="shared" ref="R2435:R2498" si="231">RIGHT(N2435,  LEN(N2435) - SEARCH("/", N2435,  1))</f>
        <v>food trucks</v>
      </c>
      <c r="S2435" s="12">
        <f t="shared" ref="S2435:S2498" si="232">(((J2435/60)/60)/24) + DATE(1970, 1, 1)</f>
        <v>42397.89980324074</v>
      </c>
      <c r="T2435" s="12">
        <f t="shared" ref="T2435:T2498" si="233">(((I2435/60)/60)/24) + 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s="8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s="8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s="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s="8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s="8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s="8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s="8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s="8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s="8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s="8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s="8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s="8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s="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s="8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s="8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s="8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s="8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s="8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s="8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s="8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s="8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s="8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s="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s="8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s="8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s="8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s="8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s="8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s="8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s="8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s="8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s="8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s="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s="8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s="8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s="8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s="8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s="8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s="8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s="8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s="8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s="8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s="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s="8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s="8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s="8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s="8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s="8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s="8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s="8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s="8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s="8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s="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s="8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s="8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s="8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s="8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s="8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s="8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s="8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s="8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s="8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s="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IFERROR(E2499/L2499, 0)</f>
        <v>80.551071428571419</v>
      </c>
      <c r="Q2499" s="8" t="str">
        <f t="shared" ref="Q2499:Q2562" si="236">LEFT(N2499, SEARCH("/", N2499,1)-1)</f>
        <v>music</v>
      </c>
      <c r="R2499" t="str">
        <f t="shared" ref="R2499:R2562" si="237">RIGHT(N2499,  LEN(N2499) - SEARCH("/", N2499,  1))</f>
        <v>indie rock</v>
      </c>
      <c r="S2499" s="12">
        <f t="shared" ref="S2499:S2562" si="238">(((J2499/60)/60)/24) + DATE(1970, 1, 1)</f>
        <v>40730.878912037035</v>
      </c>
      <c r="T2499" s="12">
        <f t="shared" ref="T2499:T2562" si="239">(((I2499/60)/60)/24) + 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s="8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s="8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s="8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s="8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s="8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s="8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s="8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s="8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s="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s="8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s="8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s="8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s="8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s="8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s="8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s="8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s="8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s="8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s="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s="8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s="8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s="8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s="8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s="8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s="8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s="8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s="8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s="8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s="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s="8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s="8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s="8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s="8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s="8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s="8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s="8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s="8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s="8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s="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s="8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s="8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s="8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s="8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s="8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s="8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s="8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s="8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s="8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s="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s="8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s="8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s="8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s="8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s="8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s="8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s="8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s="8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s="8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s="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s="8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s="8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s="8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s="8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>
        <f t="shared" ref="P2563:P2626" si="241">IFERROR(E2563/L2563, 0)</f>
        <v>0</v>
      </c>
      <c r="Q2563" s="8" t="str">
        <f t="shared" ref="Q2563:Q2626" si="242">LEFT(N2563, SEARCH("/", N2563,1)-1)</f>
        <v>food</v>
      </c>
      <c r="R2563" t="str">
        <f t="shared" ref="R2563:R2626" si="243">RIGHT(N2563,  LEN(N2563) - SEARCH("/", N2563,  1))</f>
        <v>food trucks</v>
      </c>
      <c r="S2563" s="12">
        <f t="shared" ref="S2563:S2626" si="244">(((J2563/60)/60)/24) + DATE(1970, 1, 1)</f>
        <v>42260.528807870374</v>
      </c>
      <c r="T2563" s="12">
        <f t="shared" ref="T2563:T2626" si="245">(((I2563/60)/60)/24) + 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s="8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s="8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s="8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s="8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s="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s="8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s="8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s="8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s="8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s="8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s="8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s="8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s="8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s="8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s="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s="8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s="8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s="8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s="8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s="8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s="8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s="8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s="8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s="8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s="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s="8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s="8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s="8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s="8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s="8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s="8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s="8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s="8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s="8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s="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s="8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s="8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s="8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s="8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s="8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s="8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s="8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s="8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s="8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s="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s="8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s="8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s="8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s="8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s="8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s="8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s="8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s="8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s="8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s="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s="8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s="8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s="8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s="8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s="8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s="8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s="8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s="8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IFERROR(E2627/L2627, 0)</f>
        <v>27.576923076923077</v>
      </c>
      <c r="Q2627" s="8" t="str">
        <f t="shared" ref="Q2627:Q2690" si="248">LEFT(N2627, SEARCH("/", N2627,1)-1)</f>
        <v>technology</v>
      </c>
      <c r="R2627" t="str">
        <f t="shared" ref="R2627:R2690" si="249">RIGHT(N2627,  LEN(N2627) - SEARCH("/", N2627,  1))</f>
        <v>space exploration</v>
      </c>
      <c r="S2627" s="12">
        <f t="shared" ref="S2627:S2690" si="250">(((J2627/60)/60)/24) + DATE(1970, 1, 1)</f>
        <v>42658.810277777782</v>
      </c>
      <c r="T2627" s="12">
        <f t="shared" ref="T2627:T2690" si="251">(((I2627/60)/60)/24) + 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s="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s="8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s="8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s="8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s="8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s="8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s="8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s="8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s="8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s="8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s="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s="8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s="8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s="8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s="8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s="8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s="8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s="8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s="8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s="8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s="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s="8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s="8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s="8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s="8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s="8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s="8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s="8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s="8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s="8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s="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s="8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s="8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s="8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s="8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s="8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s="8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s="8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s="8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s="8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s="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s="8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s="8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s="8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s="8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s="8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s="8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s="8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s="8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s="8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s="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s="8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s="8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s="8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s="8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s="8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s="8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s="8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s="8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s="8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s="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s="8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s="8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IFERROR(E2691/L2691, 0)</f>
        <v>1</v>
      </c>
      <c r="Q2691" s="8" t="str">
        <f t="shared" ref="Q2691:Q2754" si="254">LEFT(N2691, SEARCH("/", N2691,1)-1)</f>
        <v>food</v>
      </c>
      <c r="R2691" t="str">
        <f t="shared" ref="R2691:R2754" si="255">RIGHT(N2691,  LEN(N2691) - SEARCH("/", N2691,  1))</f>
        <v>food trucks</v>
      </c>
      <c r="S2691" s="12">
        <f t="shared" ref="S2691:S2754" si="256">(((J2691/60)/60)/24) + DATE(1970, 1, 1)</f>
        <v>42551.961689814809</v>
      </c>
      <c r="T2691" s="12">
        <f t="shared" ref="T2691:T2754" si="257">(((I2691/60)/60)/24) + 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s="8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s="8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s="8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s="8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s="8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s="8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s="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s="8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s="8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s="8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s="8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s="8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s="8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s="8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s="8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s="8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s="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s="8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s="8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s="8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s="8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s="8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s="8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s="8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s="8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s="8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s="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s="8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s="8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s="8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s="8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s="8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s="8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s="8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s="8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s="8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s="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s="8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s="8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s="8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s="8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s="8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s="8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s="8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s="8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s="8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s="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s="8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s="8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s="8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s="8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s="8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s="8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s="8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s="8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s="8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s="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s="8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s="8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s="8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s="8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s="8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s="8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IFERROR(E2755/L2755, 0)</f>
        <v>47.5</v>
      </c>
      <c r="Q2755" s="8" t="str">
        <f t="shared" ref="Q2755:Q2818" si="260">LEFT(N2755, SEARCH("/", N2755,1)-1)</f>
        <v>publishing</v>
      </c>
      <c r="R2755" t="str">
        <f t="shared" ref="R2755:R2818" si="261">RIGHT(N2755,  LEN(N2755) - SEARCH("/", N2755,  1))</f>
        <v>children's books</v>
      </c>
      <c r="S2755" s="12">
        <f t="shared" ref="S2755:S2818" si="262">(((J2755/60)/60)/24) + DATE(1970, 1, 1)</f>
        <v>41117.900729166664</v>
      </c>
      <c r="T2755" s="12">
        <f t="shared" ref="T2755:T2818" si="263">(((I2755/60)/60)/24) + 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s="8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s="8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s="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s="8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s="8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s="8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s="8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s="8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s="8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s="8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s="8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s="8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s="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s="8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s="8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s="8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s="8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s="8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s="8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s="8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s="8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s="8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s="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s="8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s="8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s="8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s="8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s="8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s="8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s="8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s="8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s="8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s="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s="8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s="8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s="8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s="8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s="8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s="8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s="8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s="8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s="8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s="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s="8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s="8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s="8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s="8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s="8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s="8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s="8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s="8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s="8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s="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s="8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s="8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s="8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s="8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s="8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s="8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s="8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s="8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s="8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s="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IFERROR(E2819/L2819, 0)</f>
        <v>23.636363636363637</v>
      </c>
      <c r="Q2819" s="8" t="str">
        <f t="shared" ref="Q2819:Q2882" si="266">LEFT(N2819, SEARCH("/", N2819,1)-1)</f>
        <v>theater</v>
      </c>
      <c r="R2819" t="str">
        <f t="shared" ref="R2819:R2882" si="267">RIGHT(N2819,  LEN(N2819) - SEARCH("/", N2819,  1))</f>
        <v>plays</v>
      </c>
      <c r="S2819" s="12">
        <f t="shared" ref="S2819:S2882" si="268">(((J2819/60)/60)/24) + DATE(1970, 1, 1)</f>
        <v>42023.634976851856</v>
      </c>
      <c r="T2819" s="12">
        <f t="shared" ref="T2819:T2882" si="269">(((I2819/60)/60)/24) + 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s="8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s="8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s="8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s="8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s="8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s="8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s="8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s="8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s="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s="8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s="8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s="8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s="8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s="8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s="8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s="8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s="8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s="8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s="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s="8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s="8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s="8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s="8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s="8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s="8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s="8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s="8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s="8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s="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s="8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s="8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s="8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s="8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s="8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s="8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s="8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s="8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s="8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s="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s="8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s="8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s="8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s="8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s="8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s="8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s="8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s="8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s="8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s="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s="8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s="8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s="8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s="8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s="8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s="8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s="8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s="8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s="8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s="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s="8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s="8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s="8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s="8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>
        <f t="shared" ref="P2883:P2946" si="271">IFERROR(E2883/L2883, 0)</f>
        <v>0</v>
      </c>
      <c r="Q2883" s="8" t="str">
        <f t="shared" ref="Q2883:Q2946" si="272">LEFT(N2883, SEARCH("/", N2883,1)-1)</f>
        <v>theater</v>
      </c>
      <c r="R2883" t="str">
        <f t="shared" ref="R2883:R2946" si="273">RIGHT(N2883,  LEN(N2883) - SEARCH("/", N2883,  1))</f>
        <v>plays</v>
      </c>
      <c r="S2883" s="12">
        <f t="shared" ref="S2883:S2946" si="274">(((J2883/60)/60)/24) + DATE(1970, 1, 1)</f>
        <v>41916.597638888888</v>
      </c>
      <c r="T2883" s="12">
        <f t="shared" ref="T2883:T2946" si="275">(((I2883/60)/60)/24) + 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s="8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s="8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s="8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s="8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s="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s="8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s="8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s="8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s="8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s="8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s="8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s="8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s="8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s="8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s="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s="8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s="8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s="8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s="8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s="8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s="8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s="8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s="8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s="8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s="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s="8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s="8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s="8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s="8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s="8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s="8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s="8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s="8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s="8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s="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s="8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s="8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s="8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s="8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s="8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s="8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s="8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s="8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s="8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s="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s="8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s="8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s="8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s="8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s="8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s="8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s="8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s="8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s="8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s="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s="8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s="8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s="8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s="8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s="8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s="8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s="8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s="8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>
        <f t="shared" ref="P2947:P3010" si="277">IFERROR(E2947/L2947, 0)</f>
        <v>0</v>
      </c>
      <c r="Q2947" s="8" t="str">
        <f t="shared" ref="Q2947:Q3010" si="278">LEFT(N2947, SEARCH("/", N2947,1)-1)</f>
        <v>theater</v>
      </c>
      <c r="R2947" t="str">
        <f t="shared" ref="R2947:R3010" si="279">RIGHT(N2947,  LEN(N2947) - SEARCH("/", N2947,  1))</f>
        <v>spaces</v>
      </c>
      <c r="S2947" s="12">
        <f t="shared" ref="S2947:S3010" si="280">(((J2947/60)/60)/24) + DATE(1970, 1, 1)</f>
        <v>42118.139583333337</v>
      </c>
      <c r="T2947" s="12">
        <f t="shared" ref="T2947:T3010" si="281">(((I2947/60)/60)/24) + 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s="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s="8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s="8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s="8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s="8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s="8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s="8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s="8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s="8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s="8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s="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s="8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s="8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s="8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s="8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s="8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s="8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s="8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s="8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s="8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s="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s="8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s="8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s="8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s="8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s="8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s="8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s="8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s="8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s="8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s="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s="8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s="8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s="8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s="8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s="8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s="8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s="8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s="8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s="8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s="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s="8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s="8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s="8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s="8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s="8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s="8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s="8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s="8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s="8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s="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s="8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s="8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s="8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s="8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s="8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s="8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s="8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s="8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s="8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s="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s="8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s="8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IFERROR(E3011/L3011, 0)</f>
        <v>233.8984375</v>
      </c>
      <c r="Q3011" s="8" t="str">
        <f t="shared" ref="Q3011:Q3074" si="284">LEFT(N3011, SEARCH("/", N3011,1)-1)</f>
        <v>theater</v>
      </c>
      <c r="R3011" t="str">
        <f t="shared" ref="R3011:R3074" si="285">RIGHT(N3011,  LEN(N3011) - SEARCH("/", N3011,  1))</f>
        <v>spaces</v>
      </c>
      <c r="S3011" s="12">
        <f t="shared" ref="S3011:S3074" si="286">(((J3011/60)/60)/24) + DATE(1970, 1, 1)</f>
        <v>41939.569907407407</v>
      </c>
      <c r="T3011" s="12">
        <f t="shared" ref="T3011:T3074" si="287">(((I3011/60)/60)/24) + 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s="8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s="8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s="8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s="8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s="8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s="8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s="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s="8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s="8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s="8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s="8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s="8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s="8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s="8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s="8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s="8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s="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s="8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s="8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s="8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s="8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s="8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s="8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s="8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s="8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s="8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s="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s="8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s="8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s="8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s="8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s="8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s="8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s="8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s="8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s="8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s="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s="8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s="8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s="8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s="8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s="8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s="8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s="8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s="8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s="8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s="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s="8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s="8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s="8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s="8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s="8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s="8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s="8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s="8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s="8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s="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s="8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s="8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s="8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s="8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s="8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s="8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IFERROR(E3075/L3075, 0)</f>
        <v>92.142857142857139</v>
      </c>
      <c r="Q3075" s="8" t="str">
        <f t="shared" ref="Q3075:Q3138" si="290">LEFT(N3075, SEARCH("/", N3075,1)-1)</f>
        <v>theater</v>
      </c>
      <c r="R3075" t="str">
        <f t="shared" ref="R3075:R3138" si="291">RIGHT(N3075,  LEN(N3075) - SEARCH("/", N3075,  1))</f>
        <v>spaces</v>
      </c>
      <c r="S3075" s="12">
        <f t="shared" ref="S3075:S3138" si="292">(((J3075/60)/60)/24) + DATE(1970, 1, 1)</f>
        <v>42111.684027777781</v>
      </c>
      <c r="T3075" s="12">
        <f t="shared" ref="T3075:T3138" si="293">(((I3075/60)/60)/24) + 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s="8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s="8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s="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s="8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s="8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s="8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s="8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s="8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s="8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s="8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s="8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s="8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s="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s="8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s="8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s="8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s="8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s="8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s="8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s="8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s="8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s="8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s="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s="8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s="8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s="8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s="8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s="8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s="8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s="8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s="8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s="8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s="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s="8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s="8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s="8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s="8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s="8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s="8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s="8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s="8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s="8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s="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s="8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s="8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s="8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s="8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s="8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s="8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s="8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s="8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s="8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s="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s="8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s="8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s="8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s="8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s="8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s="8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s="8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s="8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s="8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s="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IFERROR(E3139/L3139, 0)</f>
        <v>50</v>
      </c>
      <c r="Q3139" s="8" t="str">
        <f t="shared" ref="Q3139:Q3202" si="296">LEFT(N3139, SEARCH("/", N3139,1)-1)</f>
        <v>theater</v>
      </c>
      <c r="R3139" t="str">
        <f t="shared" ref="R3139:R3202" si="297">RIGHT(N3139,  LEN(N3139) - SEARCH("/", N3139,  1))</f>
        <v>plays</v>
      </c>
      <c r="S3139" s="12">
        <f t="shared" ref="S3139:S3202" si="298">(((J3139/60)/60)/24) + DATE(1970, 1, 1)</f>
        <v>42807.885057870371</v>
      </c>
      <c r="T3139" s="12">
        <f t="shared" ref="T3139:T3202" si="299">(((I3139/60)/60)/24) + 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s="8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s="8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s="8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s="8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s="8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s="8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s="8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s="8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s="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s="8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s="8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s="8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s="8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s="8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s="8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s="8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s="8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s="8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s="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s="8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s="8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s="8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s="8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s="8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s="8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s="8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s="8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s="8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s="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s="8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s="8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s="8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s="8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s="8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s="8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s="8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s="8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s="8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s="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s="8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s="8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s="8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s="8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s="8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s="8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s="8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s="8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s="8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s="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s="8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s="8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s="8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s="8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s="8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s="8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s="8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s="8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s="8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s="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s="8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s="8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s="8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s="8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IFERROR(E3203/L3203, 0)</f>
        <v>12.5</v>
      </c>
      <c r="Q3203" s="8" t="str">
        <f t="shared" ref="Q3203:Q3266" si="302">LEFT(N3203, SEARCH("/", N3203,1)-1)</f>
        <v>theater</v>
      </c>
      <c r="R3203" t="str">
        <f t="shared" ref="R3203:R3266" si="303">RIGHT(N3203,  LEN(N3203) - SEARCH("/", N3203,  1))</f>
        <v>musical</v>
      </c>
      <c r="S3203" s="12">
        <f t="shared" ref="S3203:S3266" si="304">(((J3203/60)/60)/24) + DATE(1970, 1, 1)</f>
        <v>41861.767094907409</v>
      </c>
      <c r="T3203" s="12">
        <f t="shared" ref="T3203:T3266" si="305">(((I3203/60)/60)/24) + 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s="8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s="8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s="8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s="8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s="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s="8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s="8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s="8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s="8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s="8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s="8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s="8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s="8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s="8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s="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s="8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s="8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s="8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s="8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s="8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s="8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s="8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s="8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s="8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s="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s="8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s="8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s="8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s="8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s="8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s="8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s="8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s="8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s="8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s="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s="8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s="8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s="8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s="8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s="8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s="8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s="8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s="8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s="8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s="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s="8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s="8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s="8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s="8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s="8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s="8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s="8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s="8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s="8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s="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s="8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s="8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s="8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s="8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s="8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s="8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s="8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s="8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IFERROR(E3267/L3267, 0)</f>
        <v>70.285714285714292</v>
      </c>
      <c r="Q3267" s="8" t="str">
        <f t="shared" ref="Q3267:Q3330" si="308">LEFT(N3267, SEARCH("/", N3267,1)-1)</f>
        <v>theater</v>
      </c>
      <c r="R3267" t="str">
        <f t="shared" ref="R3267:R3330" si="309">RIGHT(N3267,  LEN(N3267) - SEARCH("/", N3267,  1))</f>
        <v>plays</v>
      </c>
      <c r="S3267" s="12">
        <f t="shared" ref="S3267:S3330" si="310">(((J3267/60)/60)/24) + DATE(1970, 1, 1)</f>
        <v>42311.711979166663</v>
      </c>
      <c r="T3267" s="12">
        <f t="shared" ref="T3267:T3330" si="311">(((I3267/60)/60)/24) + 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s="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s="8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s="8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s="8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s="8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s="8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s="8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s="8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s="8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s="8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s="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s="8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s="8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s="8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s="8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s="8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s="8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s="8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s="8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s="8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s="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s="8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s="8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s="8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s="8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s="8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s="8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s="8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s="8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s="8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s="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s="8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s="8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s="8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s="8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s="8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s="8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s="8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s="8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s="8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s="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s="8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s="8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s="8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s="8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s="8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s="8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s="8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s="8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s="8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s="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s="8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s="8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s="8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s="8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s="8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s="8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s="8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s="8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s="8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s="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s="8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s="8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IFERROR(E3331/L3331, 0)</f>
        <v>44.92307692307692</v>
      </c>
      <c r="Q3331" s="8" t="str">
        <f t="shared" ref="Q3331:Q3394" si="314">LEFT(N3331, SEARCH("/", N3331,1)-1)</f>
        <v>theater</v>
      </c>
      <c r="R3331" t="str">
        <f t="shared" ref="R3331:R3394" si="315">RIGHT(N3331,  LEN(N3331) - SEARCH("/", N3331,  1))</f>
        <v>plays</v>
      </c>
      <c r="S3331" s="12">
        <f t="shared" ref="S3331:S3394" si="316">(((J3331/60)/60)/24) + DATE(1970, 1, 1)</f>
        <v>41837.323009259257</v>
      </c>
      <c r="T3331" s="12">
        <f t="shared" ref="T3331:T3394" si="317">(((I3331/60)/60)/24) + 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s="8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s="8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s="8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s="8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s="8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s="8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s="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s="8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s="8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s="8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s="8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s="8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s="8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s="8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s="8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s="8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s="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s="8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s="8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s="8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s="8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s="8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s="8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s="8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s="8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s="8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s="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s="8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s="8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s="8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s="8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s="8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s="8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s="8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s="8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s="8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s="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s="8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s="8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s="8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s="8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s="8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s="8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s="8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s="8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s="8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s="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s="8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s="8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s="8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s="8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s="8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s="8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s="8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s="8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s="8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s="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s="8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s="8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s="8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s="8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s="8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s="8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IFERROR(E3395/L3395, 0)</f>
        <v>36.06818181818182</v>
      </c>
      <c r="Q3395" s="8" t="str">
        <f t="shared" ref="Q3395:Q3458" si="320">LEFT(N3395, SEARCH("/", N3395,1)-1)</f>
        <v>theater</v>
      </c>
      <c r="R3395" t="str">
        <f t="shared" ref="R3395:R3458" si="321">RIGHT(N3395,  LEN(N3395) - SEARCH("/", N3395,  1))</f>
        <v>plays</v>
      </c>
      <c r="S3395" s="12">
        <f t="shared" ref="S3395:S3458" si="322">(((J3395/60)/60)/24) + DATE(1970, 1, 1)</f>
        <v>41923.921643518523</v>
      </c>
      <c r="T3395" s="12">
        <f t="shared" ref="T3395:T3458" si="323">(((I3395/60)/60)/24) + 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s="8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s="8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s="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s="8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s="8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s="8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s="8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s="8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s="8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s="8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s="8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s="8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s="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s="8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s="8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s="8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s="8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s="8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s="8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s="8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s="8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s="8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s="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s="8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s="8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s="8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s="8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s="8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s="8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s="8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s="8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s="8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s="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s="8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s="8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s="8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s="8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s="8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s="8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s="8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s="8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s="8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s="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s="8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s="8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s="8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s="8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s="8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s="8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s="8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s="8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s="8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s="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s="8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s="8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s="8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s="8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s="8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s="8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s="8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s="8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s="8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s="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IFERROR(E3459/L3459, 0)</f>
        <v>50.981818181818184</v>
      </c>
      <c r="Q3459" s="8" t="str">
        <f t="shared" ref="Q3459:Q3522" si="326">LEFT(N3459, SEARCH("/", N3459,1)-1)</f>
        <v>theater</v>
      </c>
      <c r="R3459" t="str">
        <f t="shared" ref="R3459:R3522" si="327">RIGHT(N3459,  LEN(N3459) - SEARCH("/", N3459,  1))</f>
        <v>plays</v>
      </c>
      <c r="S3459" s="12">
        <f t="shared" ref="S3459:S3522" si="328">(((J3459/60)/60)/24) + DATE(1970, 1, 1)</f>
        <v>42016.706678240742</v>
      </c>
      <c r="T3459" s="12">
        <f t="shared" ref="T3459:T3522" si="329">(((I3459/60)/60)/24) + 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s="8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s="8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s="8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s="8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s="8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s="8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s="8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s="8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s="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s="8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s="8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s="8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s="8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s="8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s="8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s="8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s="8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s="8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s="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s="8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s="8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s="8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s="8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s="8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s="8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s="8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s="8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s="8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s="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s="8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s="8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s="8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s="8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s="8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s="8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s="8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s="8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s="8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s="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s="8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s="8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s="8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s="8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s="8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s="8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s="8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s="8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s="8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s="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s="8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s="8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s="8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s="8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s="8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s="8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s="8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s="8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s="8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s="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s="8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s="8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s="8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s="8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IFERROR(E3523/L3523, 0)</f>
        <v>45.615384615384613</v>
      </c>
      <c r="Q3523" s="8" t="str">
        <f t="shared" ref="Q3523:Q3586" si="332">LEFT(N3523, SEARCH("/", N3523,1)-1)</f>
        <v>theater</v>
      </c>
      <c r="R3523" t="str">
        <f t="shared" ref="R3523:R3586" si="333">RIGHT(N3523,  LEN(N3523) - SEARCH("/", N3523,  1))</f>
        <v>plays</v>
      </c>
      <c r="S3523" s="12">
        <f t="shared" ref="S3523:S3586" si="334">(((J3523/60)/60)/24) + DATE(1970, 1, 1)</f>
        <v>41881.361342592594</v>
      </c>
      <c r="T3523" s="12">
        <f t="shared" ref="T3523:T3586" si="335">(((I3523/60)/60)/24) + 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s="8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s="8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s="8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s="8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s="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s="8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s="8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s="8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s="8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s="8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s="8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s="8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s="8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s="8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s="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s="8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s="8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s="8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s="8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s="8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s="8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s="8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s="8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s="8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s="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s="8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s="8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s="8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s="8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s="8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s="8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s="8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s="8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s="8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s="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s="8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s="8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s="8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s="8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s="8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s="8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s="8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s="8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s="8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s="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s="8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s="8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s="8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s="8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s="8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s="8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s="8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s="8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s="8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s="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s="8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s="8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s="8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s="8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s="8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s="8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s="8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s="8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IFERROR(E3587/L3587, 0)</f>
        <v>176.08695652173913</v>
      </c>
      <c r="Q3587" s="8" t="str">
        <f t="shared" ref="Q3587:Q3650" si="338">LEFT(N3587, SEARCH("/", N3587,1)-1)</f>
        <v>theater</v>
      </c>
      <c r="R3587" t="str">
        <f t="shared" ref="R3587:R3650" si="339">RIGHT(N3587,  LEN(N3587) - SEARCH("/", N3587,  1))</f>
        <v>plays</v>
      </c>
      <c r="S3587" s="12">
        <f t="shared" ref="S3587:S3650" si="340">(((J3587/60)/60)/24) + DATE(1970, 1, 1)</f>
        <v>41964.716319444444</v>
      </c>
      <c r="T3587" s="12">
        <f t="shared" ref="T3587:T3650" si="341">(((I3587/60)/60)/24) + 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s="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s="8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s="8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s="8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s="8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s="8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s="8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s="8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s="8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s="8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s="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s="8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s="8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s="8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s="8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s="8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s="8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s="8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s="8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s="8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s="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s="8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s="8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s="8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s="8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s="8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s="8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s="8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s="8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s="8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s="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s="8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s="8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s="8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s="8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s="8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s="8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s="8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s="8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s="8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s="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s="8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s="8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s="8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s="8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s="8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s="8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s="8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s="8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s="8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s="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s="8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s="8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s="8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s="8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s="8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s="8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s="8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s="8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s="8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s="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s="8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s="8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IFERROR(E3651/L3651, 0)</f>
        <v>97.5</v>
      </c>
      <c r="Q3651" s="8" t="str">
        <f t="shared" ref="Q3651:Q3714" si="344">LEFT(N3651, SEARCH("/", N3651,1)-1)</f>
        <v>theater</v>
      </c>
      <c r="R3651" t="str">
        <f t="shared" ref="R3651:R3714" si="345">RIGHT(N3651,  LEN(N3651) - SEARCH("/", N3651,  1))</f>
        <v>plays</v>
      </c>
      <c r="S3651" s="12">
        <f t="shared" ref="S3651:S3714" si="346">(((J3651/60)/60)/24) + DATE(1970, 1, 1)</f>
        <v>41780.712893518517</v>
      </c>
      <c r="T3651" s="12">
        <f t="shared" ref="T3651:T3714" si="347">(((I3651/60)/60)/24) + 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s="8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s="8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s="8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s="8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s="8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s="8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s="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s="8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s="8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s="8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s="8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s="8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s="8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s="8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s="8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s="8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s="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s="8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s="8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s="8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s="8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s="8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s="8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s="8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s="8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s="8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s="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s="8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s="8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s="8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s="8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s="8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s="8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s="8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s="8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s="8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s="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s="8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s="8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s="8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s="8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s="8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s="8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s="8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s="8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s="8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s="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s="8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s="8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s="8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s="8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s="8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s="8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s="8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s="8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s="8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s="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s="8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s="8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s="8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s="8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s="8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s="8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IFERROR(E3715/L3715, 0)</f>
        <v>106.84210526315789</v>
      </c>
      <c r="Q3715" s="8" t="str">
        <f t="shared" ref="Q3715:Q3778" si="350">LEFT(N3715, SEARCH("/", N3715,1)-1)</f>
        <v>theater</v>
      </c>
      <c r="R3715" t="str">
        <f t="shared" ref="R3715:R3778" si="351">RIGHT(N3715,  LEN(N3715) - SEARCH("/", N3715,  1))</f>
        <v>plays</v>
      </c>
      <c r="S3715" s="12">
        <f t="shared" ref="S3715:S3778" si="352">(((J3715/60)/60)/24) + DATE(1970, 1, 1)</f>
        <v>42505.738032407404</v>
      </c>
      <c r="T3715" s="12">
        <f t="shared" ref="T3715:T3778" si="353">(((I3715/60)/60)/24) + 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s="8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s="8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s="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s="8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s="8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s="8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s="8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s="8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s="8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s="8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s="8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s="8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s="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s="8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s="8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s="8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s="8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s="8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s="8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s="8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s="8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s="8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s="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s="8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s="8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s="8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s="8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s="8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s="8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s="8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s="8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s="8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s="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s="8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s="8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s="8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s="8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s="8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s="8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s="8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s="8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s="8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s="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s="8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s="8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s="8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s="8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s="8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s="8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s="8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s="8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s="8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s="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s="8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s="8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s="8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s="8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s="8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s="8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s="8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s="8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s="8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s="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IFERROR(E3779/L3779, 0)</f>
        <v>48.542372881355931</v>
      </c>
      <c r="Q3779" s="8" t="str">
        <f t="shared" ref="Q3779:Q3842" si="356">LEFT(N3779, SEARCH("/", N3779,1)-1)</f>
        <v>theater</v>
      </c>
      <c r="R3779" t="str">
        <f t="shared" ref="R3779:R3842" si="357">RIGHT(N3779,  LEN(N3779) - SEARCH("/", N3779,  1))</f>
        <v>musical</v>
      </c>
      <c r="S3779" s="12">
        <f t="shared" ref="S3779:S3842" si="358">(((J3779/60)/60)/24) + DATE(1970, 1, 1)</f>
        <v>41887.111354166671</v>
      </c>
      <c r="T3779" s="12">
        <f t="shared" ref="T3779:T3842" si="359">(((I3779/60)/60)/24) + 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s="8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s="8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s="8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s="8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s="8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s="8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s="8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s="8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s="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s="8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s="8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s="8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s="8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s="8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s="8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s="8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s="8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s="8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s="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s="8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s="8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s="8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s="8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s="8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s="8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s="8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s="8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s="8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s="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s="8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s="8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s="8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s="8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s="8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s="8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s="8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s="8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s="8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s="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s="8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s="8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s="8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s="8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s="8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s="8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s="8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s="8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s="8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s="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s="8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s="8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s="8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s="8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s="8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s="8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s="8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s="8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s="8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s="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s="8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s="8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s="8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s="8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IFERROR(E3843/L3843, 0)</f>
        <v>25.647058823529413</v>
      </c>
      <c r="Q3843" s="8" t="str">
        <f t="shared" ref="Q3843:Q3906" si="362">LEFT(N3843, SEARCH("/", N3843,1)-1)</f>
        <v>theater</v>
      </c>
      <c r="R3843" t="str">
        <f t="shared" ref="R3843:R3906" si="363">RIGHT(N3843,  LEN(N3843) - SEARCH("/", N3843,  1))</f>
        <v>plays</v>
      </c>
      <c r="S3843" s="12">
        <f t="shared" ref="S3843:S3906" si="364">(((J3843/60)/60)/24) + DATE(1970, 1, 1)</f>
        <v>41780.785729166666</v>
      </c>
      <c r="T3843" s="12">
        <f t="shared" ref="T3843:T3906" si="365">(((I3843/60)/60)/24) + 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s="8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s="8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s="8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s="8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s="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s="8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s="8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s="8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s="8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s="8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s="8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s="8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s="8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s="8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s="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s="8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s="8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s="8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s="8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s="8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s="8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s="8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s="8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s="8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s="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s="8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s="8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s="8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s="8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s="8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s="8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s="8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s="8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s="8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s="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s="8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s="8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s="8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s="8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s="8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s="8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s="8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s="8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s="8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s="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s="8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s="8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s="8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s="8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s="8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s="8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s="8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s="8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s="8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s="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s="8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s="8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s="8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s="8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s="8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s="8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s="8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s="8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IFERROR(E3907/L3907, 0)</f>
        <v>24.714285714285715</v>
      </c>
      <c r="Q3907" s="8" t="str">
        <f t="shared" ref="Q3907:Q3970" si="368">LEFT(N3907, SEARCH("/", N3907,1)-1)</f>
        <v>theater</v>
      </c>
      <c r="R3907" t="str">
        <f t="shared" ref="R3907:R3970" si="369">RIGHT(N3907,  LEN(N3907) - SEARCH("/", N3907,  1))</f>
        <v>plays</v>
      </c>
      <c r="S3907" s="12">
        <f t="shared" ref="S3907:S3970" si="370">(((J3907/60)/60)/24) + DATE(1970, 1, 1)</f>
        <v>42124.623877314814</v>
      </c>
      <c r="T3907" s="12">
        <f t="shared" ref="T3907:T3970" si="371">(((I3907/60)/60)/24) + 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s="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s="8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s="8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s="8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s="8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s="8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s="8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s="8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s="8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s="8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s="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s="8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s="8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s="8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s="8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s="8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s="8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s="8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s="8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s="8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s="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s="8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s="8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s="8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s="8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s="8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s="8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s="8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s="8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s="8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s="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s="8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s="8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s="8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s="8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s="8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s="8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s="8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s="8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s="8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s="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s="8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s="8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s="8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s="8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s="8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s="8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s="8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s="8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s="8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s="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s="8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s="8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s="8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s="8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s="8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s="8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s="8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s="8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s="8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s="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s="8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s="8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IFERROR(E3971/L3971, 0)</f>
        <v>35.166666666666664</v>
      </c>
      <c r="Q3971" s="8" t="str">
        <f t="shared" ref="Q3971:Q4034" si="374">LEFT(N3971, SEARCH("/", N3971,1)-1)</f>
        <v>theater</v>
      </c>
      <c r="R3971" t="str">
        <f t="shared" ref="R3971:R4034" si="375">RIGHT(N3971,  LEN(N3971) - SEARCH("/", N3971,  1))</f>
        <v>plays</v>
      </c>
      <c r="S3971" s="12">
        <f t="shared" ref="S3971:S4034" si="376">(((J3971/60)/60)/24) + DATE(1970, 1, 1)</f>
        <v>42601.854699074072</v>
      </c>
      <c r="T3971" s="12">
        <f t="shared" ref="T3971:T4034" si="377">(((I3971/60)/60)/24) + 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s="8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s="8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s="8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s="8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s="8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s="8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s="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s="8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s="8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s="8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s="8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s="8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s="8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s="8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s="8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s="8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s="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s="8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s="8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s="8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s="8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s="8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s="8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s="8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s="8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s="8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s="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s="8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s="8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s="8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s="8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s="8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s="8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s="8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s="8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s="8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s="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s="8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s="8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s="8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s="8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s="8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s="8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s="8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s="8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s="8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s="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s="8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s="8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s="8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s="8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s="8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s="8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s="8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s="8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s="8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s="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s="8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s="8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s="8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s="8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s="8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s="8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IFERROR(E4035/L4035, 0)</f>
        <v>65.340319148936175</v>
      </c>
      <c r="Q4035" s="8" t="str">
        <f t="shared" ref="Q4035:Q4098" si="380">LEFT(N4035, SEARCH("/", N4035,1)-1)</f>
        <v>theater</v>
      </c>
      <c r="R4035" t="str">
        <f t="shared" ref="R4035:R4098" si="381">RIGHT(N4035,  LEN(N4035) - SEARCH("/", N4035,  1))</f>
        <v>plays</v>
      </c>
      <c r="S4035" s="12">
        <f t="shared" ref="S4035:S4098" si="382">(((J4035/60)/60)/24) + DATE(1970, 1, 1)</f>
        <v>42614.268796296295</v>
      </c>
      <c r="T4035" s="12">
        <f t="shared" ref="T4035:T4098" si="383">(((I4035/60)/60)/24) + 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s="8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s="8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s="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s="8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s="8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s="8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s="8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s="8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s="8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s="8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s="8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s="8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s="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s="8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s="8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s="8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s="8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s="8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s="8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s="8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s="8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s="8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s="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s="8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s="8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s="8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s="8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s="8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s="8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s="8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s="8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s="8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s="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s="8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s="8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s="8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s="8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s="8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s="8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s="8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s="8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s="8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s="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s="8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s="8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s="8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s="8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s="8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s="8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s="8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s="8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s="8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s="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s="8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s="8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s="8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s="8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s="8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s="8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s="8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s="8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s="8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s="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>
        <f t="shared" ref="P4099:P4115" si="385">IFERROR(E4099/L4099, 0)</f>
        <v>0</v>
      </c>
      <c r="Q4099" s="8" t="str">
        <f t="shared" ref="Q4099:Q4115" si="386">LEFT(N4099, SEARCH("/", N4099,1)-1)</f>
        <v>theater</v>
      </c>
      <c r="R4099" t="str">
        <f t="shared" ref="R4099:R4115" si="387">RIGHT(N4099,  LEN(N4099) - SEARCH("/", N4099,  1))</f>
        <v>plays</v>
      </c>
      <c r="S4099" s="12">
        <f t="shared" ref="S4099:S4115" si="388">(((J4099/60)/60)/24) + DATE(1970, 1, 1)</f>
        <v>42344.824502314819</v>
      </c>
      <c r="T4099" s="12">
        <f t="shared" ref="T4099:T4115" si="389">(((I4099/60)/60)/24) + 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s="8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s="8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s="8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s="8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s="8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s="8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s="8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s="8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s="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s="8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s="8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s="8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s="8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s="8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s="8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s="8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3" priority="8" operator="equal">
      <formula>"live"</formula>
    </cfRule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P1"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A42B-CDF6-364C-AC52-F4744C71A0AE}">
  <dimension ref="A1:E14"/>
  <sheetViews>
    <sheetView zoomScale="162" workbookViewId="0">
      <selection activeCell="G17" sqref="G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8223</v>
      </c>
      <c r="B1" t="s">
        <v>8323</v>
      </c>
    </row>
    <row r="3" spans="1:5" x14ac:dyDescent="0.2">
      <c r="A3" s="10" t="s">
        <v>8310</v>
      </c>
      <c r="B3" s="10" t="s">
        <v>8311</v>
      </c>
    </row>
    <row r="4" spans="1:5" x14ac:dyDescent="0.2">
      <c r="A4" s="10" t="s">
        <v>8312</v>
      </c>
      <c r="B4" t="s">
        <v>8219</v>
      </c>
      <c r="C4" t="s">
        <v>8221</v>
      </c>
      <c r="D4" t="s">
        <v>8220</v>
      </c>
      <c r="E4" t="s">
        <v>8313</v>
      </c>
    </row>
    <row r="5" spans="1:5" x14ac:dyDescent="0.2">
      <c r="A5" s="11" t="s">
        <v>8314</v>
      </c>
      <c r="B5" s="9">
        <v>300</v>
      </c>
      <c r="C5" s="9">
        <v>180</v>
      </c>
      <c r="D5" s="9">
        <v>40</v>
      </c>
      <c r="E5" s="9">
        <v>520</v>
      </c>
    </row>
    <row r="6" spans="1:5" x14ac:dyDescent="0.2">
      <c r="A6" s="11" t="s">
        <v>8315</v>
      </c>
      <c r="B6" s="9">
        <v>34</v>
      </c>
      <c r="C6" s="9">
        <v>140</v>
      </c>
      <c r="D6" s="9">
        <v>20</v>
      </c>
      <c r="E6" s="9">
        <v>194</v>
      </c>
    </row>
    <row r="7" spans="1:5" x14ac:dyDescent="0.2">
      <c r="A7" s="11" t="s">
        <v>8316</v>
      </c>
      <c r="B7" s="9">
        <v>80</v>
      </c>
      <c r="C7" s="9">
        <v>140</v>
      </c>
      <c r="D7" s="9">
        <v>0</v>
      </c>
      <c r="E7" s="9">
        <v>220</v>
      </c>
    </row>
    <row r="8" spans="1:5" x14ac:dyDescent="0.2">
      <c r="A8" s="11" t="s">
        <v>8317</v>
      </c>
      <c r="B8" s="9">
        <v>0</v>
      </c>
      <c r="C8" s="9">
        <v>0</v>
      </c>
      <c r="D8" s="9">
        <v>24</v>
      </c>
      <c r="E8" s="9">
        <v>24</v>
      </c>
    </row>
    <row r="9" spans="1:5" x14ac:dyDescent="0.2">
      <c r="A9" s="11" t="s">
        <v>8318</v>
      </c>
      <c r="B9" s="9">
        <v>540</v>
      </c>
      <c r="C9" s="9">
        <v>120</v>
      </c>
      <c r="D9" s="9">
        <v>20</v>
      </c>
      <c r="E9" s="9">
        <v>680</v>
      </c>
    </row>
    <row r="10" spans="1:5" x14ac:dyDescent="0.2">
      <c r="A10" s="11" t="s">
        <v>8319</v>
      </c>
      <c r="B10" s="9">
        <v>103</v>
      </c>
      <c r="C10" s="9">
        <v>117</v>
      </c>
      <c r="D10" s="9">
        <v>0</v>
      </c>
      <c r="E10" s="9">
        <v>220</v>
      </c>
    </row>
    <row r="11" spans="1:5" x14ac:dyDescent="0.2">
      <c r="A11" s="11" t="s">
        <v>8320</v>
      </c>
      <c r="B11" s="9">
        <v>80</v>
      </c>
      <c r="C11" s="9">
        <v>127</v>
      </c>
      <c r="D11" s="9">
        <v>30</v>
      </c>
      <c r="E11" s="9">
        <v>237</v>
      </c>
    </row>
    <row r="12" spans="1:5" x14ac:dyDescent="0.2">
      <c r="A12" s="11" t="s">
        <v>8321</v>
      </c>
      <c r="B12" s="9">
        <v>209</v>
      </c>
      <c r="C12" s="9">
        <v>213</v>
      </c>
      <c r="D12" s="9">
        <v>178</v>
      </c>
      <c r="E12" s="9">
        <v>600</v>
      </c>
    </row>
    <row r="13" spans="1:5" x14ac:dyDescent="0.2">
      <c r="A13" s="11" t="s">
        <v>8322</v>
      </c>
      <c r="B13" s="9">
        <v>839</v>
      </c>
      <c r="C13" s="9">
        <v>493</v>
      </c>
      <c r="D13" s="9">
        <v>37</v>
      </c>
      <c r="E13" s="9">
        <v>1369</v>
      </c>
    </row>
    <row r="14" spans="1:5" x14ac:dyDescent="0.2">
      <c r="A14" s="11" t="s">
        <v>8313</v>
      </c>
      <c r="B14" s="9">
        <v>2185</v>
      </c>
      <c r="C14" s="9">
        <v>1530</v>
      </c>
      <c r="D14" s="9">
        <v>349</v>
      </c>
      <c r="E14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40D3C-8B2C-FC44-8985-4272BDF4081E}">
  <dimension ref="A1:E13"/>
  <sheetViews>
    <sheetView tabSelected="1" zoomScale="163" workbookViewId="0">
      <selection activeCell="F18" sqref="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7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8223</v>
      </c>
      <c r="B1" t="s">
        <v>8323</v>
      </c>
    </row>
    <row r="3" spans="1:5" x14ac:dyDescent="0.2">
      <c r="A3" s="10" t="s">
        <v>8310</v>
      </c>
      <c r="B3" s="10" t="s">
        <v>8311</v>
      </c>
    </row>
    <row r="4" spans="1:5" x14ac:dyDescent="0.2">
      <c r="A4" s="10" t="s">
        <v>8312</v>
      </c>
      <c r="B4" t="s">
        <v>8219</v>
      </c>
      <c r="C4" t="s">
        <v>8221</v>
      </c>
      <c r="D4" t="s">
        <v>8220</v>
      </c>
      <c r="E4" t="s">
        <v>8313</v>
      </c>
    </row>
    <row r="5" spans="1:5" x14ac:dyDescent="0.2">
      <c r="A5" s="11" t="s">
        <v>8314</v>
      </c>
      <c r="B5" s="15">
        <v>0.57692307692307687</v>
      </c>
      <c r="C5" s="15">
        <v>0.34615384615384615</v>
      </c>
      <c r="D5" s="15">
        <v>7.6923076923076927E-2</v>
      </c>
      <c r="E5" s="15">
        <v>1</v>
      </c>
    </row>
    <row r="6" spans="1:5" x14ac:dyDescent="0.2">
      <c r="A6" s="11" t="s">
        <v>8315</v>
      </c>
      <c r="B6" s="15">
        <v>0.17525773195876287</v>
      </c>
      <c r="C6" s="15">
        <v>0.72164948453608246</v>
      </c>
      <c r="D6" s="15">
        <v>0.10309278350515463</v>
      </c>
      <c r="E6" s="15">
        <v>1</v>
      </c>
    </row>
    <row r="7" spans="1:5" x14ac:dyDescent="0.2">
      <c r="A7" s="11" t="s">
        <v>8316</v>
      </c>
      <c r="B7" s="15">
        <v>0.36363636363636365</v>
      </c>
      <c r="C7" s="15">
        <v>0.63636363636363635</v>
      </c>
      <c r="D7" s="15">
        <v>0</v>
      </c>
      <c r="E7" s="15">
        <v>1</v>
      </c>
    </row>
    <row r="8" spans="1:5" x14ac:dyDescent="0.2">
      <c r="A8" s="11" t="s">
        <v>8318</v>
      </c>
      <c r="B8" s="15">
        <v>0.79411764705882348</v>
      </c>
      <c r="C8" s="15">
        <v>0.17647058823529413</v>
      </c>
      <c r="D8" s="15">
        <v>2.9411764705882353E-2</v>
      </c>
      <c r="E8" s="15">
        <v>1</v>
      </c>
    </row>
    <row r="9" spans="1:5" x14ac:dyDescent="0.2">
      <c r="A9" s="11" t="s">
        <v>8319</v>
      </c>
      <c r="B9" s="15">
        <v>0.4681818181818182</v>
      </c>
      <c r="C9" s="15">
        <v>0.53181818181818186</v>
      </c>
      <c r="D9" s="15">
        <v>0</v>
      </c>
      <c r="E9" s="15">
        <v>1</v>
      </c>
    </row>
    <row r="10" spans="1:5" x14ac:dyDescent="0.2">
      <c r="A10" s="11" t="s">
        <v>8320</v>
      </c>
      <c r="B10" s="15">
        <v>0.33755274261603374</v>
      </c>
      <c r="C10" s="15">
        <v>0.53586497890295359</v>
      </c>
      <c r="D10" s="15">
        <v>0.12658227848101267</v>
      </c>
      <c r="E10" s="15">
        <v>1</v>
      </c>
    </row>
    <row r="11" spans="1:5" x14ac:dyDescent="0.2">
      <c r="A11" s="11" t="s">
        <v>8321</v>
      </c>
      <c r="B11" s="15">
        <v>0.34833333333333333</v>
      </c>
      <c r="C11" s="15">
        <v>0.35499999999999998</v>
      </c>
      <c r="D11" s="15">
        <v>0.29666666666666669</v>
      </c>
      <c r="E11" s="15">
        <v>1</v>
      </c>
    </row>
    <row r="12" spans="1:5" x14ac:dyDescent="0.2">
      <c r="A12" s="11" t="s">
        <v>8322</v>
      </c>
      <c r="B12" s="15">
        <v>0.61285609934258578</v>
      </c>
      <c r="C12" s="15">
        <v>0.36011687363038714</v>
      </c>
      <c r="D12" s="15">
        <v>2.7027027027027029E-2</v>
      </c>
      <c r="E12" s="15">
        <v>1</v>
      </c>
    </row>
    <row r="13" spans="1:5" x14ac:dyDescent="0.2">
      <c r="A13" s="11" t="s">
        <v>8313</v>
      </c>
      <c r="B13" s="15">
        <v>0.54084158415841588</v>
      </c>
      <c r="C13" s="15">
        <v>0.37871287128712872</v>
      </c>
      <c r="D13" s="15">
        <v>8.0445544554455448E-2</v>
      </c>
      <c r="E13" s="1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0B10D-3DDB-6E4D-B24A-1F92D9AEF0CA}">
  <dimension ref="A3:E14"/>
  <sheetViews>
    <sheetView workbookViewId="0">
      <selection activeCell="C3" sqref="C3"/>
    </sheetView>
  </sheetViews>
  <sheetFormatPr baseColWidth="10" defaultRowHeight="15" x14ac:dyDescent="0.2"/>
  <cols>
    <col min="1" max="1" width="23.83203125" bestFit="1" customWidth="1"/>
    <col min="2" max="2" width="14.83203125" bestFit="1" customWidth="1"/>
    <col min="3" max="7" width="12.1640625" bestFit="1" customWidth="1"/>
  </cols>
  <sheetData>
    <row r="3" spans="1:5" x14ac:dyDescent="0.2">
      <c r="A3" s="10" t="s">
        <v>8368</v>
      </c>
      <c r="B3" s="10" t="s">
        <v>8311</v>
      </c>
    </row>
    <row r="4" spans="1:5" x14ac:dyDescent="0.2">
      <c r="A4" s="10" t="s">
        <v>8312</v>
      </c>
      <c r="B4" t="s">
        <v>8219</v>
      </c>
      <c r="C4" t="s">
        <v>8221</v>
      </c>
      <c r="D4" t="s">
        <v>8220</v>
      </c>
      <c r="E4" t="s">
        <v>8313</v>
      </c>
    </row>
    <row r="5" spans="1:5" x14ac:dyDescent="0.2">
      <c r="A5" s="11" t="s">
        <v>8314</v>
      </c>
      <c r="B5" s="9">
        <v>106.51684922968902</v>
      </c>
      <c r="C5" s="9">
        <v>62.933949942247708</v>
      </c>
      <c r="D5" s="9">
        <v>54.695069214828187</v>
      </c>
      <c r="E5" s="9">
        <v>87.444170244431561</v>
      </c>
    </row>
    <row r="6" spans="1:5" x14ac:dyDescent="0.2">
      <c r="A6" s="11" t="s">
        <v>8315</v>
      </c>
      <c r="B6" s="9">
        <v>90.900965027171154</v>
      </c>
      <c r="C6" s="9">
        <v>44.662533404033233</v>
      </c>
      <c r="D6" s="9">
        <v>22.404166666666665</v>
      </c>
      <c r="E6" s="9">
        <v>50.471499076401038</v>
      </c>
    </row>
    <row r="7" spans="1:5" x14ac:dyDescent="0.2">
      <c r="A7" s="11" t="s">
        <v>8316</v>
      </c>
      <c r="B7" s="9">
        <v>66.790117628683504</v>
      </c>
      <c r="C7" s="9">
        <v>34.096179644960252</v>
      </c>
      <c r="D7" s="9">
        <v>0</v>
      </c>
      <c r="E7" s="9">
        <v>45.984884366314148</v>
      </c>
    </row>
    <row r="8" spans="1:5" x14ac:dyDescent="0.2">
      <c r="A8" s="11" t="s">
        <v>8317</v>
      </c>
      <c r="B8" s="9">
        <v>0</v>
      </c>
      <c r="C8" s="9">
        <v>0</v>
      </c>
      <c r="D8" s="9">
        <v>20.49942922374429</v>
      </c>
      <c r="E8" s="9">
        <v>20.49942922374429</v>
      </c>
    </row>
    <row r="9" spans="1:5" x14ac:dyDescent="0.2">
      <c r="A9" s="11" t="s">
        <v>8318</v>
      </c>
      <c r="B9" s="9">
        <v>74.231728375147028</v>
      </c>
      <c r="C9" s="9">
        <v>43.027912897797954</v>
      </c>
      <c r="D9" s="9">
        <v>27.263243464052284</v>
      </c>
      <c r="E9" s="9">
        <v>67.343746675876744</v>
      </c>
    </row>
    <row r="10" spans="1:5" x14ac:dyDescent="0.2">
      <c r="A10" s="11" t="s">
        <v>8319</v>
      </c>
      <c r="B10" s="9">
        <v>115.37771416228323</v>
      </c>
      <c r="C10" s="9">
        <v>52.558206754158299</v>
      </c>
      <c r="D10" s="9">
        <v>0</v>
      </c>
      <c r="E10" s="9">
        <v>81.969157949780424</v>
      </c>
    </row>
    <row r="11" spans="1:5" x14ac:dyDescent="0.2">
      <c r="A11" s="11" t="s">
        <v>8320</v>
      </c>
      <c r="B11" s="9">
        <v>75.708208555753956</v>
      </c>
      <c r="C11" s="9">
        <v>36.874901668852964</v>
      </c>
      <c r="D11" s="9">
        <v>43.00389882245814</v>
      </c>
      <c r="E11" s="9">
        <v>50.759013337883509</v>
      </c>
    </row>
    <row r="12" spans="1:5" x14ac:dyDescent="0.2">
      <c r="A12" s="11" t="s">
        <v>8321</v>
      </c>
      <c r="B12" s="9">
        <v>170.37144273189</v>
      </c>
      <c r="C12" s="9">
        <v>110.62425605511469</v>
      </c>
      <c r="D12" s="9">
        <v>116.71940025330947</v>
      </c>
      <c r="E12" s="9">
        <v>133.24441885965598</v>
      </c>
    </row>
    <row r="13" spans="1:5" x14ac:dyDescent="0.2">
      <c r="A13" s="11" t="s">
        <v>8322</v>
      </c>
      <c r="B13" s="9">
        <v>84.172961356545272</v>
      </c>
      <c r="C13" s="9">
        <v>61.626416247590967</v>
      </c>
      <c r="D13" s="9">
        <v>39.814056005724147</v>
      </c>
      <c r="E13" s="9">
        <v>74.854680686936177</v>
      </c>
    </row>
    <row r="14" spans="1:5" x14ac:dyDescent="0.2">
      <c r="A14" s="11" t="s">
        <v>8313</v>
      </c>
      <c r="B14" s="9">
        <v>93.6582781075453</v>
      </c>
      <c r="C14" s="9">
        <v>60.323459356981793</v>
      </c>
      <c r="D14" s="9">
        <v>77.972571789547246</v>
      </c>
      <c r="E14" s="9">
        <v>79.761480815876155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416C3-0CAA-FD4E-8381-9753DD735E5F}">
  <dimension ref="A1:E9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8223</v>
      </c>
      <c r="B1" t="s">
        <v>8323</v>
      </c>
    </row>
    <row r="2" spans="1:5" x14ac:dyDescent="0.2">
      <c r="A2" s="10" t="s">
        <v>8308</v>
      </c>
      <c r="B2" t="s">
        <v>8322</v>
      </c>
    </row>
    <row r="4" spans="1:5" x14ac:dyDescent="0.2">
      <c r="A4" s="10" t="s">
        <v>8310</v>
      </c>
      <c r="B4" s="10" t="s">
        <v>8311</v>
      </c>
    </row>
    <row r="5" spans="1:5" x14ac:dyDescent="0.2">
      <c r="A5" s="10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1" t="s">
        <v>8327</v>
      </c>
      <c r="B6" s="9">
        <v>60</v>
      </c>
      <c r="C6" s="9">
        <v>60</v>
      </c>
      <c r="D6" s="9">
        <v>20</v>
      </c>
      <c r="E6" s="9">
        <v>140</v>
      </c>
    </row>
    <row r="7" spans="1:5" x14ac:dyDescent="0.2">
      <c r="A7" s="11" t="s">
        <v>8328</v>
      </c>
      <c r="B7" s="9">
        <v>694</v>
      </c>
      <c r="C7" s="9">
        <v>353</v>
      </c>
      <c r="D7" s="9">
        <v>0</v>
      </c>
      <c r="E7" s="9">
        <v>1047</v>
      </c>
    </row>
    <row r="8" spans="1:5" x14ac:dyDescent="0.2">
      <c r="A8" s="11" t="s">
        <v>8330</v>
      </c>
      <c r="B8" s="9">
        <v>85</v>
      </c>
      <c r="C8" s="9">
        <v>80</v>
      </c>
      <c r="D8" s="9">
        <v>17</v>
      </c>
      <c r="E8" s="9">
        <v>182</v>
      </c>
    </row>
    <row r="9" spans="1:5" x14ac:dyDescent="0.2">
      <c r="A9" s="11" t="s">
        <v>8313</v>
      </c>
      <c r="B9" s="9">
        <v>839</v>
      </c>
      <c r="C9" s="9">
        <v>493</v>
      </c>
      <c r="D9" s="9">
        <v>37</v>
      </c>
      <c r="E9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8F4C2-A386-F644-B6DE-A6C9856A8DFB}">
  <dimension ref="A1:E9"/>
  <sheetViews>
    <sheetView zoomScale="137" workbookViewId="0">
      <selection activeCell="D2" sqref="D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7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8223</v>
      </c>
      <c r="B1" t="s">
        <v>8323</v>
      </c>
    </row>
    <row r="2" spans="1:5" x14ac:dyDescent="0.2">
      <c r="A2" s="10" t="s">
        <v>8308</v>
      </c>
      <c r="B2" t="s">
        <v>8322</v>
      </c>
    </row>
    <row r="4" spans="1:5" x14ac:dyDescent="0.2">
      <c r="A4" s="10" t="s">
        <v>8310</v>
      </c>
      <c r="B4" s="10" t="s">
        <v>8311</v>
      </c>
    </row>
    <row r="5" spans="1:5" x14ac:dyDescent="0.2">
      <c r="A5" s="10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1" t="s">
        <v>8327</v>
      </c>
      <c r="B6" s="15">
        <v>0.42857142857142855</v>
      </c>
      <c r="C6" s="15">
        <v>0.42857142857142855</v>
      </c>
      <c r="D6" s="15">
        <v>0.14285714285714285</v>
      </c>
      <c r="E6" s="15">
        <v>1</v>
      </c>
    </row>
    <row r="7" spans="1:5" x14ac:dyDescent="0.2">
      <c r="A7" s="11" t="s">
        <v>8328</v>
      </c>
      <c r="B7" s="15">
        <v>0.6628462273161414</v>
      </c>
      <c r="C7" s="15">
        <v>0.33715377268385865</v>
      </c>
      <c r="D7" s="15">
        <v>0</v>
      </c>
      <c r="E7" s="15">
        <v>1</v>
      </c>
    </row>
    <row r="8" spans="1:5" x14ac:dyDescent="0.2">
      <c r="A8" s="11" t="s">
        <v>8330</v>
      </c>
      <c r="B8" s="15">
        <v>0.46703296703296704</v>
      </c>
      <c r="C8" s="15">
        <v>0.43956043956043955</v>
      </c>
      <c r="D8" s="15">
        <v>9.3406593406593408E-2</v>
      </c>
      <c r="E8" s="15">
        <v>1</v>
      </c>
    </row>
    <row r="9" spans="1:5" x14ac:dyDescent="0.2">
      <c r="A9" s="11" t="s">
        <v>8313</v>
      </c>
      <c r="B9" s="15">
        <v>0.61285609934258578</v>
      </c>
      <c r="C9" s="15">
        <v>0.36011687363038714</v>
      </c>
      <c r="D9" s="15">
        <v>2.7027027027027029E-2</v>
      </c>
      <c r="E9" s="15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941D-CA66-C64A-B877-EC289B1AD2F4}">
  <dimension ref="A1:E11"/>
  <sheetViews>
    <sheetView zoomScale="134" workbookViewId="0">
      <selection activeCell="F5" sqref="F5"/>
    </sheetView>
  </sheetViews>
  <sheetFormatPr baseColWidth="10" defaultRowHeight="15" x14ac:dyDescent="0.2"/>
  <cols>
    <col min="1" max="1" width="23.83203125" bestFit="1" customWidth="1"/>
    <col min="2" max="2" width="14.83203125" bestFit="1" customWidth="1"/>
    <col min="3" max="7" width="12.1640625" bestFit="1" customWidth="1"/>
  </cols>
  <sheetData>
    <row r="1" spans="1:5" x14ac:dyDescent="0.2">
      <c r="A1" s="10" t="s">
        <v>8308</v>
      </c>
      <c r="B1" t="s">
        <v>8321</v>
      </c>
    </row>
    <row r="3" spans="1:5" x14ac:dyDescent="0.2">
      <c r="A3" s="10" t="s">
        <v>8368</v>
      </c>
      <c r="B3" s="10" t="s">
        <v>8311</v>
      </c>
    </row>
    <row r="4" spans="1:5" x14ac:dyDescent="0.2">
      <c r="A4" s="10" t="s">
        <v>8312</v>
      </c>
      <c r="B4" t="s">
        <v>8219</v>
      </c>
      <c r="C4" t="s">
        <v>8221</v>
      </c>
      <c r="D4" t="s">
        <v>8220</v>
      </c>
      <c r="E4" t="s">
        <v>8313</v>
      </c>
    </row>
    <row r="5" spans="1:5" x14ac:dyDescent="0.2">
      <c r="A5" s="11" t="s">
        <v>8324</v>
      </c>
      <c r="B5" s="9">
        <v>0</v>
      </c>
      <c r="C5" s="9">
        <v>197.79221143907441</v>
      </c>
      <c r="D5" s="9">
        <v>0</v>
      </c>
      <c r="E5" s="9">
        <v>197.79221143907441</v>
      </c>
    </row>
    <row r="6" spans="1:5" x14ac:dyDescent="0.2">
      <c r="A6" s="11" t="s">
        <v>8325</v>
      </c>
      <c r="B6" s="9">
        <v>200.78441030200736</v>
      </c>
      <c r="C6" s="9">
        <v>0</v>
      </c>
      <c r="D6" s="9">
        <v>0</v>
      </c>
      <c r="E6" s="9">
        <v>200.78441030200736</v>
      </c>
    </row>
    <row r="7" spans="1:5" x14ac:dyDescent="0.2">
      <c r="A7" s="11" t="s">
        <v>8326</v>
      </c>
      <c r="B7" s="9">
        <v>146.17293064553004</v>
      </c>
      <c r="C7" s="9">
        <v>128.5622261549791</v>
      </c>
      <c r="D7" s="9">
        <v>0</v>
      </c>
      <c r="E7" s="9">
        <v>136.48704317572702</v>
      </c>
    </row>
    <row r="8" spans="1:5" x14ac:dyDescent="0.2">
      <c r="A8" s="11" t="s">
        <v>8329</v>
      </c>
      <c r="B8" s="9">
        <v>65.116704578897</v>
      </c>
      <c r="C8" s="9">
        <v>7.5</v>
      </c>
      <c r="D8" s="9">
        <v>83.206461218369839</v>
      </c>
      <c r="E8" s="9">
        <v>68.623074751442275</v>
      </c>
    </row>
    <row r="9" spans="1:5" x14ac:dyDescent="0.2">
      <c r="A9" s="11" t="s">
        <v>8331</v>
      </c>
      <c r="B9" s="9">
        <v>178.87947648591705</v>
      </c>
      <c r="C9" s="9">
        <v>129.31181259071491</v>
      </c>
      <c r="D9" s="9">
        <v>257.43653563370816</v>
      </c>
      <c r="E9" s="9">
        <v>172.70599589313312</v>
      </c>
    </row>
    <row r="10" spans="1:5" x14ac:dyDescent="0.2">
      <c r="A10" s="11" t="s">
        <v>8332</v>
      </c>
      <c r="B10" s="9">
        <v>0</v>
      </c>
      <c r="C10" s="9">
        <v>44.342005206122856</v>
      </c>
      <c r="D10" s="9">
        <v>38.321448051359411</v>
      </c>
      <c r="E10" s="9">
        <v>40.579156984395709</v>
      </c>
    </row>
    <row r="11" spans="1:5" x14ac:dyDescent="0.2">
      <c r="A11" s="11" t="s">
        <v>8313</v>
      </c>
      <c r="B11" s="9">
        <v>170.37144273189003</v>
      </c>
      <c r="C11" s="9">
        <v>110.62425605511464</v>
      </c>
      <c r="D11" s="9">
        <v>116.71940025330952</v>
      </c>
      <c r="E11" s="9">
        <v>133.24441885965589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071CD-F724-EE40-A2A4-08C58CE7E2D2}">
  <dimension ref="A1:E18"/>
  <sheetViews>
    <sheetView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5" x14ac:dyDescent="0.2">
      <c r="A1" s="10" t="s">
        <v>8347</v>
      </c>
      <c r="B1" t="s">
        <v>8323</v>
      </c>
    </row>
    <row r="2" spans="1:5" x14ac:dyDescent="0.2">
      <c r="A2" s="10" t="s">
        <v>8308</v>
      </c>
      <c r="B2" t="s">
        <v>8323</v>
      </c>
    </row>
    <row r="4" spans="1:5" x14ac:dyDescent="0.2">
      <c r="A4" s="10" t="s">
        <v>8310</v>
      </c>
      <c r="B4" s="10" t="s">
        <v>8311</v>
      </c>
    </row>
    <row r="5" spans="1:5" x14ac:dyDescent="0.2">
      <c r="A5" s="10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3" t="s">
        <v>8341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8342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8343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8344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8335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8345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8336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8337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8338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8339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8340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8346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8313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1B77-EC34-0546-B094-38E0C775D7E8}">
  <dimension ref="A1:E18"/>
  <sheetViews>
    <sheetView workbookViewId="0">
      <selection activeCell="P21" sqref="P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7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8347</v>
      </c>
      <c r="B1" t="s">
        <v>8323</v>
      </c>
    </row>
    <row r="2" spans="1:5" x14ac:dyDescent="0.2">
      <c r="A2" s="10" t="s">
        <v>8308</v>
      </c>
      <c r="B2" t="s">
        <v>8323</v>
      </c>
    </row>
    <row r="4" spans="1:5" x14ac:dyDescent="0.2">
      <c r="A4" s="10" t="s">
        <v>8310</v>
      </c>
      <c r="B4" s="10" t="s">
        <v>8311</v>
      </c>
    </row>
    <row r="5" spans="1:5" x14ac:dyDescent="0.2">
      <c r="A5" s="10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1" t="s">
        <v>8341</v>
      </c>
      <c r="B6" s="15">
        <v>0.49863013698630138</v>
      </c>
      <c r="C6" s="15">
        <v>0.40821917808219177</v>
      </c>
      <c r="D6" s="15">
        <v>9.3150684931506855E-2</v>
      </c>
      <c r="E6" s="15">
        <v>1</v>
      </c>
    </row>
    <row r="7" spans="1:5" x14ac:dyDescent="0.2">
      <c r="A7" s="11" t="s">
        <v>8342</v>
      </c>
      <c r="B7" s="15">
        <v>0.60298507462686568</v>
      </c>
      <c r="C7" s="15">
        <v>0.31641791044776119</v>
      </c>
      <c r="D7" s="15">
        <v>8.0597014925373134E-2</v>
      </c>
      <c r="E7" s="15">
        <v>1</v>
      </c>
    </row>
    <row r="8" spans="1:5" x14ac:dyDescent="0.2">
      <c r="A8" s="11" t="s">
        <v>8343</v>
      </c>
      <c r="B8" s="15">
        <v>0.569620253164557</v>
      </c>
      <c r="C8" s="15">
        <v>0.34177215189873417</v>
      </c>
      <c r="D8" s="15">
        <v>8.8607594936708861E-2</v>
      </c>
      <c r="E8" s="15">
        <v>1</v>
      </c>
    </row>
    <row r="9" spans="1:5" x14ac:dyDescent="0.2">
      <c r="A9" s="11" t="s">
        <v>8344</v>
      </c>
      <c r="B9" s="15">
        <v>0.59813084112149528</v>
      </c>
      <c r="C9" s="15">
        <v>0.31775700934579437</v>
      </c>
      <c r="D9" s="15">
        <v>8.4112149532710276E-2</v>
      </c>
      <c r="E9" s="15">
        <v>1</v>
      </c>
    </row>
    <row r="10" spans="1:5" x14ac:dyDescent="0.2">
      <c r="A10" s="11" t="s">
        <v>8335</v>
      </c>
      <c r="B10" s="15">
        <v>0.60621761658031093</v>
      </c>
      <c r="C10" s="15">
        <v>0.32642487046632124</v>
      </c>
      <c r="D10" s="15">
        <v>6.7357512953367879E-2</v>
      </c>
      <c r="E10" s="15">
        <v>1</v>
      </c>
    </row>
    <row r="11" spans="1:5" x14ac:dyDescent="0.2">
      <c r="A11" s="11" t="s">
        <v>8345</v>
      </c>
      <c r="B11" s="15">
        <v>0.54805194805194801</v>
      </c>
      <c r="C11" s="15">
        <v>0.38181818181818183</v>
      </c>
      <c r="D11" s="15">
        <v>7.0129870129870125E-2</v>
      </c>
      <c r="E11" s="15">
        <v>1</v>
      </c>
    </row>
    <row r="12" spans="1:5" x14ac:dyDescent="0.2">
      <c r="A12" s="11" t="s">
        <v>8336</v>
      </c>
      <c r="B12" s="15">
        <v>0.50129198966408273</v>
      </c>
      <c r="C12" s="15">
        <v>0.38759689922480622</v>
      </c>
      <c r="D12" s="15">
        <v>0.1111111111111111</v>
      </c>
      <c r="E12" s="15">
        <v>1</v>
      </c>
    </row>
    <row r="13" spans="1:5" x14ac:dyDescent="0.2">
      <c r="A13" s="11" t="s">
        <v>8337</v>
      </c>
      <c r="B13" s="15">
        <v>0.49849849849849848</v>
      </c>
      <c r="C13" s="15">
        <v>0.40240240240240238</v>
      </c>
      <c r="D13" s="15">
        <v>9.90990990990991E-2</v>
      </c>
      <c r="E13" s="15">
        <v>1</v>
      </c>
    </row>
    <row r="14" spans="1:5" x14ac:dyDescent="0.2">
      <c r="A14" s="11" t="s">
        <v>8338</v>
      </c>
      <c r="B14" s="15">
        <v>0.49328859060402686</v>
      </c>
      <c r="C14" s="15">
        <v>0.4261744966442953</v>
      </c>
      <c r="D14" s="15">
        <v>8.0536912751677847E-2</v>
      </c>
      <c r="E14" s="15">
        <v>1</v>
      </c>
    </row>
    <row r="15" spans="1:5" x14ac:dyDescent="0.2">
      <c r="A15" s="11" t="s">
        <v>8339</v>
      </c>
      <c r="B15" s="15">
        <v>0.51988636363636365</v>
      </c>
      <c r="C15" s="15">
        <v>0.42329545454545453</v>
      </c>
      <c r="D15" s="15">
        <v>5.6818181818181816E-2</v>
      </c>
      <c r="E15" s="15">
        <v>1</v>
      </c>
    </row>
    <row r="16" spans="1:5" x14ac:dyDescent="0.2">
      <c r="A16" s="11" t="s">
        <v>8340</v>
      </c>
      <c r="B16" s="15">
        <v>0.54790419161676651</v>
      </c>
      <c r="C16" s="15">
        <v>0.3413173652694611</v>
      </c>
      <c r="D16" s="15">
        <v>0.11077844311377245</v>
      </c>
      <c r="E16" s="15">
        <v>1</v>
      </c>
    </row>
    <row r="17" spans="1:5" x14ac:dyDescent="0.2">
      <c r="A17" s="11" t="s">
        <v>8346</v>
      </c>
      <c r="B17" s="15">
        <v>0.44047619047619047</v>
      </c>
      <c r="C17" s="15">
        <v>0.46825396825396826</v>
      </c>
      <c r="D17" s="15">
        <v>9.1269841269841265E-2</v>
      </c>
      <c r="E17" s="15">
        <v>1</v>
      </c>
    </row>
    <row r="18" spans="1:5" x14ac:dyDescent="0.2">
      <c r="A18" s="11" t="s">
        <v>8313</v>
      </c>
      <c r="B18" s="15">
        <v>0.53764763779527558</v>
      </c>
      <c r="C18" s="15">
        <v>0.3764763779527559</v>
      </c>
      <c r="D18" s="15">
        <v>8.5875984251968504E-2</v>
      </c>
      <c r="E18" s="15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C133D-DB4A-474A-A0A5-59C15A960E13}">
  <dimension ref="A1:H13"/>
  <sheetViews>
    <sheetView workbookViewId="0">
      <selection sqref="A1:H13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16406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4" t="s">
        <v>8348</v>
      </c>
      <c r="B1" s="14" t="s">
        <v>8349</v>
      </c>
      <c r="C1" s="14" t="s">
        <v>8350</v>
      </c>
      <c r="D1" s="14" t="s">
        <v>8351</v>
      </c>
      <c r="E1" s="14" t="s">
        <v>8352</v>
      </c>
      <c r="F1" s="14" t="s">
        <v>8353</v>
      </c>
      <c r="G1" s="14" t="s">
        <v>8354</v>
      </c>
      <c r="H1" s="14" t="s">
        <v>8355</v>
      </c>
    </row>
    <row r="2" spans="1:8" x14ac:dyDescent="0.2">
      <c r="A2" t="s">
        <v>8356</v>
      </c>
      <c r="B2">
        <f>COUNTIFS(RawData!$F:$F, "=successful", RawData!$D:$D, "&lt;1000")</f>
        <v>322</v>
      </c>
      <c r="C2">
        <f>COUNTIFS(RawData!$F:$F, "=failed", RawData!$D:$D, "&lt;1000")</f>
        <v>113</v>
      </c>
      <c r="D2">
        <f>COUNTIFS(RawData!$F:$F, "=canceled", RawData!$D:$D, "&lt;1000")</f>
        <v>18</v>
      </c>
      <c r="E2">
        <f>B2+C2+D2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2">
      <c r="A3" t="s">
        <v>8357</v>
      </c>
      <c r="B3">
        <f>COUNTIFS(RawData!$F:$F,"=successful",RawData!$D:$D,"&gt;=1000",RawData!$D:$D,"&lt;5000")</f>
        <v>932</v>
      </c>
      <c r="C3">
        <f>COUNTIFS(RawData!$F:$F,"=failed",RawData!$D:$D,"&gt;=1000",RawData!$D:$D,"&lt;5000")</f>
        <v>420</v>
      </c>
      <c r="D3">
        <f>COUNTIFS(RawData!$F:$F,"=canceled",RawData!$D:$D,"&gt;=1000",RawData!$D:$D,"&lt;5000")</f>
        <v>60</v>
      </c>
      <c r="E3">
        <f t="shared" ref="E3:E13" si="1">B3+C3+D3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x14ac:dyDescent="0.2">
      <c r="A4" t="s">
        <v>8358</v>
      </c>
      <c r="B4">
        <f>COUNTIFS(RawData!$F:$F, "=successful", RawData!$D:$D, "&gt;=5000", RawData!$D:$D, "&lt;=9999")</f>
        <v>381</v>
      </c>
      <c r="C4">
        <f>COUNTIFS(RawData!$F:$F, "=failed", RawData!$D:$D, "&gt;=5000", RawData!$D:$D, "&lt;=9999")</f>
        <v>283</v>
      </c>
      <c r="D4">
        <f>COUNTIFS(RawData!$F:$F, "=canceled", RawData!$D:$D, "&gt;=5000", RawData!$D:$D, "&lt;=9999")</f>
        <v>52</v>
      </c>
      <c r="E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x14ac:dyDescent="0.2">
      <c r="A5" t="s">
        <v>8359</v>
      </c>
      <c r="B5">
        <f>COUNTIFS(RawData!$F:$F, "=successful", RawData!$D:$D, "&gt;=10000", RawData!$D:$D, "&lt;=14999")</f>
        <v>168</v>
      </c>
      <c r="C5">
        <f>COUNTIFS(RawData!$F:$F, "=failed", RawData!$D:$D, "&gt;=10000", RawData!$D:$D, "&lt;=14999")</f>
        <v>144</v>
      </c>
      <c r="D5">
        <f>COUNTIFS(RawData!$F:$F, "=canceled", RawData!$D:$D, "&gt;=10000", RawData!$D:$D, "&lt;=14999")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2">
      <c r="A6" t="s">
        <v>8360</v>
      </c>
      <c r="B6">
        <f>COUNTIFS(RawData!$F:$F, "=successful", RawData!$D:$D, "&gt;=15000", RawData!$D:$D, "&lt;=19999")</f>
        <v>94</v>
      </c>
      <c r="C6">
        <f>COUNTIFS(RawData!$F:$F, "=failed", RawData!$D:$D, "&gt;=15000", RawData!$D:$D, "&lt;=19999")</f>
        <v>90</v>
      </c>
      <c r="D6">
        <f>COUNTIFS(RawData!$F:$F, "=canceled", RawData!$D:$D, "&gt;=15000", RawData!$D:$D, "&lt;=19999")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2">
      <c r="A7" t="s">
        <v>8361</v>
      </c>
      <c r="B7">
        <f>COUNTIFS(RawData!$F:$F, "=successful", RawData!$D:$D, "&gt;=20000", RawData!$D:$D, "&lt;=24999")</f>
        <v>62</v>
      </c>
      <c r="C7">
        <f>COUNTIFS(RawData!$F:$F, "=failed", RawData!$D:$D, "&gt;=20000", RawData!$D:$D, "&lt;=24999")</f>
        <v>72</v>
      </c>
      <c r="D7">
        <f>COUNTIFS(RawData!$F:$F, "=canceled", RawData!$D:$D, "&gt;=20000", RawData!$D:$D, "&lt;=24999")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2">
      <c r="A8" t="s">
        <v>8362</v>
      </c>
      <c r="B8">
        <f>COUNTIFS(RawData!$F:$F, "=successful", RawData!$D:$D, "&gt;=25000", RawData!$D:$D, "&lt;=29999")</f>
        <v>55</v>
      </c>
      <c r="C8">
        <f>COUNTIFS(RawData!$F:$F, "=failed", RawData!$D:$D, "&gt;=25000", RawData!$D:$D, "&lt;=29999")</f>
        <v>64</v>
      </c>
      <c r="D8">
        <f>COUNTIFS(RawData!$F:$F, "=canceled", RawData!$D:$D, "&gt;=25000", RawData!$D:$D, "&lt;=29999")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2">
      <c r="A9" t="s">
        <v>8363</v>
      </c>
      <c r="B9">
        <f>COUNTIFS(RawData!$F:$F, "=successful", RawData!$D:$D, "&gt;=30000", RawData!$D:$D, "&lt;=34999")</f>
        <v>32</v>
      </c>
      <c r="C9">
        <f>COUNTIFS(RawData!$F:$F, "=failed", RawData!$D:$D, "&gt;=30000", RawData!$D:$D, "&lt;=34999")</f>
        <v>37</v>
      </c>
      <c r="D9">
        <f>COUNTIFS(RawData!$F:$F, "=canceled", RawData!$D:$D, "&gt;=30000", RawData!$D:$D, "&lt;=34999")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2">
      <c r="A10" t="s">
        <v>8364</v>
      </c>
      <c r="B10">
        <f>COUNTIFS(RawData!$F:$F, "=successful", RawData!$D:$D, "&gt;=35000", RawData!$D:$D, "&lt;=39999")</f>
        <v>26</v>
      </c>
      <c r="C10">
        <f>COUNTIFS(RawData!$F:$F, "=failed", RawData!$D:$D, "&gt;=35000", RawData!$D:$D, "&lt;=39999")</f>
        <v>22</v>
      </c>
      <c r="D10">
        <f>COUNTIFS(RawData!$F:$F, "=canceled", RawData!$D:$D, "&gt;=35000", RawData!$D:$D, "&lt;=39999")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2">
      <c r="A11" t="s">
        <v>8365</v>
      </c>
      <c r="B11">
        <f>COUNTIFS(RawData!$F:$F, "=successful", RawData!$D:$D, "&gt;=40000", RawData!$D:$D, "&lt;=44999")</f>
        <v>21</v>
      </c>
      <c r="C11">
        <f>COUNTIFS(RawData!$F:$F, "=failed", RawData!$D:$D, "&gt;=40000", RawData!$D:$D, "&lt;=44999")</f>
        <v>16</v>
      </c>
      <c r="D11">
        <f>COUNTIFS(RawData!$F:$F, "=canceled", RawData!$D:$D, "&gt;=40000", RawData!$D:$D, "&lt;=44999")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2">
      <c r="A12" t="s">
        <v>8366</v>
      </c>
      <c r="B12">
        <f>COUNTIFS(RawData!$F:$F, "=successful", RawData!$D:$D, "&gt;=45000", RawData!$D:$D, "&lt;=49999")</f>
        <v>6</v>
      </c>
      <c r="C12">
        <f>COUNTIFS(RawData!$F:$F, "=failed", RawData!$D:$D, "&gt;=45000", RawData!$D:$D, "&lt;=49999")</f>
        <v>11</v>
      </c>
      <c r="D12">
        <f>COUNTIFS(RawData!$F:$F, "=canceled", RawData!$D:$D, "&gt;=45000", RawData!$D:$D, "&lt;=49999")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2">
      <c r="A13" t="s">
        <v>8367</v>
      </c>
      <c r="B13">
        <f>COUNTIFS(RawData!$F:$F, "=successful", RawData!$D:$D, "&gt;=50000")</f>
        <v>86</v>
      </c>
      <c r="C13">
        <f>COUNTIFS(RawData!$F:$F, "=failed", RawData!$D:$D, "&gt;=50000")</f>
        <v>258</v>
      </c>
      <c r="D13">
        <f>COUNTIFS(RawData!$F:$F, "=canceled", RawData!$D:$D, 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4E48-EEB2-9F41-A2ED-AA0E3630D5A9}">
  <dimension ref="A1:H13"/>
  <sheetViews>
    <sheetView topLeftCell="A7" workbookViewId="0">
      <selection activeCell="F1" activeCellId="1" sqref="A1:A13 F1:H13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4" t="s">
        <v>8348</v>
      </c>
      <c r="B1" s="14" t="s">
        <v>8349</v>
      </c>
      <c r="C1" s="14" t="s">
        <v>8350</v>
      </c>
      <c r="D1" s="14" t="s">
        <v>8351</v>
      </c>
      <c r="E1" s="14" t="s">
        <v>8352</v>
      </c>
      <c r="F1" s="14" t="s">
        <v>8353</v>
      </c>
      <c r="G1" s="14" t="s">
        <v>8354</v>
      </c>
      <c r="H1" s="14" t="s">
        <v>8355</v>
      </c>
    </row>
    <row r="2" spans="1:8" x14ac:dyDescent="0.2">
      <c r="A2" t="s">
        <v>8356</v>
      </c>
      <c r="B2">
        <f>COUNTIFS(RawData!$F:$F, "=successful", RawData!$D:$D, "&lt;1000", RawData!$Q:$Q, "=technology")</f>
        <v>20</v>
      </c>
      <c r="C2">
        <f>COUNTIFS(RawData!$F:$F, "=failed", RawData!$D:$D, "&lt;1000", RawData!$Q:$Q, "=technology")</f>
        <v>8</v>
      </c>
      <c r="D2">
        <f>COUNTIFS(RawData!$F:$F, "=canceled", RawData!$D:$D, "&lt;1000", RawData!$Q:$Q, "=technology")</f>
        <v>7</v>
      </c>
      <c r="E2">
        <f>B2+C2+D2</f>
        <v>35</v>
      </c>
      <c r="F2" s="15">
        <f>B2/$E2</f>
        <v>0.5714285714285714</v>
      </c>
      <c r="G2" s="15">
        <f t="shared" ref="G2:H13" si="0">C2/$E2</f>
        <v>0.22857142857142856</v>
      </c>
      <c r="H2" s="15">
        <f t="shared" si="0"/>
        <v>0.2</v>
      </c>
    </row>
    <row r="3" spans="1:8" x14ac:dyDescent="0.2">
      <c r="A3" t="s">
        <v>8357</v>
      </c>
      <c r="B3">
        <f>COUNTIFS(RawData!$F:$F,"=successful",RawData!$D:$D,"&gt;=1000",RawData!$D:$D,"&lt;5000", RawData!$Q:$Q, "=technology")</f>
        <v>35</v>
      </c>
      <c r="C3">
        <f>COUNTIFS(RawData!$F:$F,"=failed",RawData!$D:$D,"&gt;=1000",RawData!$D:$D,"&lt;5000", RawData!$Q:$Q, "=technology")</f>
        <v>20</v>
      </c>
      <c r="D3">
        <f>COUNTIFS(RawData!$F:$F,"=canceled",RawData!$D:$D,"&gt;=1000",RawData!$D:$D,"&lt;5000", RawData!$Q:$Q, "=technology")</f>
        <v>22</v>
      </c>
      <c r="E3">
        <f t="shared" ref="E3:E13" si="1">B3+C3+D3</f>
        <v>77</v>
      </c>
      <c r="F3" s="15">
        <f t="shared" ref="F3:F13" si="2">B3/$E3</f>
        <v>0.45454545454545453</v>
      </c>
      <c r="G3" s="15">
        <f t="shared" si="0"/>
        <v>0.25974025974025972</v>
      </c>
      <c r="H3" s="15">
        <f t="shared" si="0"/>
        <v>0.2857142857142857</v>
      </c>
    </row>
    <row r="4" spans="1:8" x14ac:dyDescent="0.2">
      <c r="A4" t="s">
        <v>8358</v>
      </c>
      <c r="B4">
        <f>COUNTIFS(RawData!$F:$F, "=successful", RawData!$D:$D, "&gt;=5000", RawData!$D:$D, "&lt;=9999", RawData!$Q:$Q, "=technology")</f>
        <v>28</v>
      </c>
      <c r="C4">
        <f>COUNTIFS(RawData!$F:$F, "=failed", RawData!$D:$D, "&gt;=5000", RawData!$D:$D, "&lt;=9999", RawData!$Q:$Q, "=technology")</f>
        <v>26</v>
      </c>
      <c r="D4">
        <f>COUNTIFS(RawData!$F:$F, "=canceled", RawData!$D:$D, "&gt;=5000", RawData!$D:$D, "&lt;=9999", RawData!$Q:$Q, "=technology")</f>
        <v>21</v>
      </c>
      <c r="E4">
        <f t="shared" si="1"/>
        <v>75</v>
      </c>
      <c r="F4" s="15">
        <f t="shared" si="2"/>
        <v>0.37333333333333335</v>
      </c>
      <c r="G4" s="15">
        <f t="shared" si="0"/>
        <v>0.34666666666666668</v>
      </c>
      <c r="H4" s="15">
        <f t="shared" si="0"/>
        <v>0.28000000000000003</v>
      </c>
    </row>
    <row r="5" spans="1:8" x14ac:dyDescent="0.2">
      <c r="A5" t="s">
        <v>8359</v>
      </c>
      <c r="B5">
        <f>COUNTIFS(RawData!$F:$F, "=successful", RawData!$D:$D, "&gt;=10000", RawData!$D:$D, "&lt;=14999", RawData!$Q:$Q, "=technology")</f>
        <v>22</v>
      </c>
      <c r="C5">
        <f>COUNTIFS(RawData!$F:$F, "=failed", RawData!$D:$D, "&gt;=10000", RawData!$D:$D, "&lt;=14999", RawData!$Q:$Q, "=technology")</f>
        <v>17</v>
      </c>
      <c r="D5">
        <f>COUNTIFS(RawData!$F:$F, "=canceled", RawData!$D:$D, "&gt;=10000", RawData!$D:$D, "&lt;=14999", RawData!$Q:$Q, "=technology")</f>
        <v>16</v>
      </c>
      <c r="E5">
        <f t="shared" si="1"/>
        <v>55</v>
      </c>
      <c r="F5" s="15">
        <f t="shared" si="2"/>
        <v>0.4</v>
      </c>
      <c r="G5" s="15">
        <f t="shared" si="0"/>
        <v>0.30909090909090908</v>
      </c>
      <c r="H5" s="15">
        <f t="shared" si="0"/>
        <v>0.29090909090909089</v>
      </c>
    </row>
    <row r="6" spans="1:8" x14ac:dyDescent="0.2">
      <c r="A6" t="s">
        <v>8360</v>
      </c>
      <c r="B6">
        <f>COUNTIFS(RawData!$F:$F, "=successful", RawData!$D:$D, "&gt;=15000", RawData!$D:$D, "&lt;=19999", RawData!$Q:$Q, "=technology")</f>
        <v>10</v>
      </c>
      <c r="C6">
        <f>COUNTIFS(RawData!$F:$F, "=failed", RawData!$D:$D, "&gt;=15000", RawData!$D:$D, "&lt;=19999", RawData!$Q:$Q, "=technology")</f>
        <v>15</v>
      </c>
      <c r="D6">
        <f>COUNTIFS(RawData!$F:$F, "=canceled", RawData!$D:$D, "&gt;=15000", RawData!$D:$D, "&lt;=19999", RawData!$Q:$Q, "=technology")</f>
        <v>6</v>
      </c>
      <c r="E6">
        <f t="shared" si="1"/>
        <v>31</v>
      </c>
      <c r="F6" s="15">
        <f t="shared" si="2"/>
        <v>0.32258064516129031</v>
      </c>
      <c r="G6" s="15">
        <f t="shared" si="0"/>
        <v>0.4838709677419355</v>
      </c>
      <c r="H6" s="15">
        <f t="shared" si="0"/>
        <v>0.19354838709677419</v>
      </c>
    </row>
    <row r="7" spans="1:8" x14ac:dyDescent="0.2">
      <c r="A7" t="s">
        <v>8361</v>
      </c>
      <c r="B7">
        <f>COUNTIFS(RawData!$F:$F, "=successful", RawData!$D:$D, "&gt;=20000", RawData!$D:$D, "&lt;=24999", RawData!$Q:$Q, "=technology")</f>
        <v>11</v>
      </c>
      <c r="C7">
        <f>COUNTIFS(RawData!$F:$F, "=failed", RawData!$D:$D, "&gt;=20000", RawData!$D:$D, "&lt;=24999", RawData!$Q:$Q, "=technology")</f>
        <v>13</v>
      </c>
      <c r="D7">
        <f>COUNTIFS(RawData!$F:$F, "=canceled", RawData!$D:$D, "&gt;=20000", RawData!$D:$D, "&lt;=24999", RawData!$Q:$Q, "=technology")</f>
        <v>10</v>
      </c>
      <c r="E7">
        <f t="shared" si="1"/>
        <v>34</v>
      </c>
      <c r="F7" s="15">
        <f t="shared" si="2"/>
        <v>0.3235294117647059</v>
      </c>
      <c r="G7" s="15">
        <f t="shared" si="0"/>
        <v>0.38235294117647056</v>
      </c>
      <c r="H7" s="15">
        <f t="shared" si="0"/>
        <v>0.29411764705882354</v>
      </c>
    </row>
    <row r="8" spans="1:8" x14ac:dyDescent="0.2">
      <c r="A8" t="s">
        <v>8362</v>
      </c>
      <c r="B8">
        <f>COUNTIFS(RawData!$F:$F, "=successful", RawData!$D:$D, "&gt;=25000", RawData!$D:$D, "&lt;=29999", RawData!$Q:$Q, "=technology")</f>
        <v>12</v>
      </c>
      <c r="C8">
        <f>COUNTIFS(RawData!$F:$F, "=failed", RawData!$D:$D, "&gt;=25000", RawData!$D:$D, "&lt;=29999", RawData!$Q:$Q, "=technology")</f>
        <v>14</v>
      </c>
      <c r="D8">
        <f>COUNTIFS(RawData!$F:$F, "=canceled", RawData!$D:$D, "&gt;=25000", RawData!$D:$D, "&lt;=29999", RawData!$Q:$Q, "=technology")</f>
        <v>12</v>
      </c>
      <c r="E8">
        <f t="shared" si="1"/>
        <v>38</v>
      </c>
      <c r="F8" s="15">
        <f t="shared" si="2"/>
        <v>0.31578947368421051</v>
      </c>
      <c r="G8" s="15">
        <f t="shared" si="0"/>
        <v>0.36842105263157893</v>
      </c>
      <c r="H8" s="15">
        <f t="shared" si="0"/>
        <v>0.31578947368421051</v>
      </c>
    </row>
    <row r="9" spans="1:8" x14ac:dyDescent="0.2">
      <c r="A9" t="s">
        <v>8363</v>
      </c>
      <c r="B9">
        <f>COUNTIFS(RawData!$F:$F, "=successful", RawData!$D:$D, "&gt;=30000", RawData!$D:$D, "&lt;=34999", RawData!$Q:$Q, "=technology")</f>
        <v>9</v>
      </c>
      <c r="C9">
        <f>COUNTIFS(RawData!$F:$F, "=failed", RawData!$D:$D, "&gt;=30000", RawData!$D:$D, "&lt;=34999", RawData!$Q:$Q, "=technology")</f>
        <v>6</v>
      </c>
      <c r="D9">
        <f>COUNTIFS(RawData!$F:$F, "=canceled", RawData!$D:$D, "&gt;=30000", RawData!$D:$D, "&lt;=34999", RawData!$Q:$Q, "=technology")</f>
        <v>8</v>
      </c>
      <c r="E9">
        <f t="shared" si="1"/>
        <v>23</v>
      </c>
      <c r="F9" s="15">
        <f t="shared" si="2"/>
        <v>0.39130434782608697</v>
      </c>
      <c r="G9" s="15">
        <f t="shared" si="0"/>
        <v>0.2608695652173913</v>
      </c>
      <c r="H9" s="15">
        <f t="shared" si="0"/>
        <v>0.34782608695652173</v>
      </c>
    </row>
    <row r="10" spans="1:8" x14ac:dyDescent="0.2">
      <c r="A10" t="s">
        <v>8364</v>
      </c>
      <c r="B10">
        <f>COUNTIFS(RawData!$F:$F, "=successful", RawData!$D:$D, "&gt;=35000", RawData!$D:$D, "&lt;=39999", RawData!$Q:$Q, "=technology")</f>
        <v>4</v>
      </c>
      <c r="C10">
        <f>COUNTIFS(RawData!$F:$F, "=failed", RawData!$D:$D, "&gt;=35000", RawData!$D:$D, "&lt;=39999", RawData!$Q:$Q, "=technology")</f>
        <v>7</v>
      </c>
      <c r="D10">
        <f>COUNTIFS(RawData!$F:$F, "=canceled", RawData!$D:$D, "&gt;=35000", RawData!$D:$D, "&lt;=39999", RawData!$Q:$Q, "=technology")</f>
        <v>4</v>
      </c>
      <c r="E10">
        <f t="shared" si="1"/>
        <v>15</v>
      </c>
      <c r="F10" s="15">
        <f t="shared" si="2"/>
        <v>0.26666666666666666</v>
      </c>
      <c r="G10" s="15">
        <f t="shared" si="0"/>
        <v>0.46666666666666667</v>
      </c>
      <c r="H10" s="15">
        <f t="shared" si="0"/>
        <v>0.26666666666666666</v>
      </c>
    </row>
    <row r="11" spans="1:8" x14ac:dyDescent="0.2">
      <c r="A11" t="s">
        <v>8365</v>
      </c>
      <c r="B11">
        <f>COUNTIFS(RawData!$F:$F, "=successful", RawData!$D:$D, "&gt;=40000", RawData!$D:$D, "&lt;=44999", RawData!$Q:$Q, "=technology")</f>
        <v>6</v>
      </c>
      <c r="C11">
        <f>COUNTIFS(RawData!$F:$F, "=failed", RawData!$D:$D, "&gt;=40000", RawData!$D:$D, "&lt;=44999", RawData!$Q:$Q, "=technology")</f>
        <v>4</v>
      </c>
      <c r="D11">
        <f>COUNTIFS(RawData!$F:$F, "=canceled", RawData!$D:$D, "&gt;=40000", RawData!$D:$D, "&lt;=44999", RawData!$Q:$Q, "=technology")</f>
        <v>4</v>
      </c>
      <c r="E11">
        <f t="shared" si="1"/>
        <v>14</v>
      </c>
      <c r="F11" s="15">
        <f t="shared" si="2"/>
        <v>0.42857142857142855</v>
      </c>
      <c r="G11" s="15">
        <f t="shared" si="0"/>
        <v>0.2857142857142857</v>
      </c>
      <c r="H11" s="15">
        <f t="shared" si="0"/>
        <v>0.2857142857142857</v>
      </c>
    </row>
    <row r="12" spans="1:8" x14ac:dyDescent="0.2">
      <c r="A12" t="s">
        <v>8366</v>
      </c>
      <c r="B12">
        <f>COUNTIFS(RawData!$F:$F, "=successful", RawData!$D:$D, "&gt;=45000", RawData!$D:$D, "&lt;=49999", RawData!$Q:$Q, "=technology")</f>
        <v>1</v>
      </c>
      <c r="C12">
        <f>COUNTIFS(RawData!$F:$F, "=failed", RawData!$D:$D, "&gt;=45000", RawData!$D:$D, "&lt;=49999", RawData!$Q:$Q, "=technology")</f>
        <v>4</v>
      </c>
      <c r="D12">
        <f>COUNTIFS(RawData!$F:$F, "=canceled", RawData!$D:$D, "&gt;=45000", RawData!$D:$D, "&lt;=49999", RawData!$Q:$Q, "=technology")</f>
        <v>3</v>
      </c>
      <c r="E12">
        <f t="shared" si="1"/>
        <v>8</v>
      </c>
      <c r="F12" s="15">
        <f t="shared" si="2"/>
        <v>0.125</v>
      </c>
      <c r="G12" s="15">
        <f t="shared" si="0"/>
        <v>0.5</v>
      </c>
      <c r="H12" s="15">
        <f t="shared" si="0"/>
        <v>0.375</v>
      </c>
    </row>
    <row r="13" spans="1:8" x14ac:dyDescent="0.2">
      <c r="A13" t="s">
        <v>8367</v>
      </c>
      <c r="B13">
        <f>COUNTIFS(RawData!$F:$F, "=successful", RawData!$D:$D, "&gt;=50000", RawData!$Q:$Q, "=technology")</f>
        <v>51</v>
      </c>
      <c r="C13">
        <f>COUNTIFS(RawData!$F:$F, "=failed", RawData!$D:$D, "&gt;=50000", RawData!$Q:$Q, "=technology")</f>
        <v>79</v>
      </c>
      <c r="D13">
        <f>COUNTIFS(RawData!$F:$F, "=canceled", RawData!$D:$D, "&gt;=50000", RawData!$Q:$Q, "=technology")</f>
        <v>65</v>
      </c>
      <c r="E13">
        <f t="shared" si="1"/>
        <v>195</v>
      </c>
      <c r="F13" s="15">
        <f t="shared" si="2"/>
        <v>0.26153846153846155</v>
      </c>
      <c r="G13" s="15">
        <f t="shared" si="0"/>
        <v>0.40512820512820513</v>
      </c>
      <c r="H13" s="15">
        <f t="shared" si="0"/>
        <v>0.33333333333333331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RawData</vt:lpstr>
      <vt:lpstr>outcomes_by_category</vt:lpstr>
      <vt:lpstr>percent_by_category</vt:lpstr>
      <vt:lpstr>average_donation_by_category</vt:lpstr>
      <vt:lpstr>outcomes_by_subcategory</vt:lpstr>
      <vt:lpstr>percent_by_subcategory</vt:lpstr>
      <vt:lpstr>average_donation_by_subcategory</vt:lpstr>
      <vt:lpstr>outcomes_by_month</vt:lpstr>
      <vt:lpstr>percent_by_month</vt:lpstr>
      <vt:lpstr>outcomes_by_goal</vt:lpstr>
      <vt:lpstr>outcomes_by_goal_technology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2018-11-19T21:47:54Z</dcterms:modified>
</cp:coreProperties>
</file>