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600"/>
  </bookViews>
  <sheets>
    <sheet name="方案1" sheetId="1" r:id="rId1"/>
    <sheet name="Sheet2" sheetId="2" r:id="rId2"/>
    <sheet name="方案2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<sst xmlns="http://schemas.openxmlformats.org/spreadsheetml/2006/main" count="322" uniqueCount="188">
  <si>
    <t>所有可供选择的管径</t>
  </si>
  <si>
    <t>200, 250, 300, 350, 400, 450, 500, 600, 700, 800, 900,1000, 1100, 1200, 1300, 1400, 1500, 1600, 1700, 1800, 1900, 2000</t>
  </si>
  <si>
    <t>验算表</t>
  </si>
  <si>
    <r>
      <rPr>
        <sz val="11"/>
        <color theme="1"/>
        <rFont val="宋体"/>
        <charset val="134"/>
        <scheme val="minor"/>
      </rPr>
      <t>污水干管水力计算表（n=0.014）</t>
    </r>
    <r>
      <rPr>
        <b/>
        <sz val="11"/>
        <color rgb="FFFF0000"/>
        <rFont val="宋体"/>
        <charset val="134"/>
        <scheme val="minor"/>
      </rPr>
      <t>(均按管底平接进行！流速递增！最小流速0.6，穿河管最小0.9）（20L/s以下为不计算管段，可自由调节充满度，3‰最小坡度</t>
    </r>
  </si>
  <si>
    <t>n</t>
  </si>
  <si>
    <t>COS</t>
  </si>
  <si>
    <t>管段编号</t>
  </si>
  <si>
    <t>管道长度L(m)</t>
  </si>
  <si>
    <t>设计流量Q(L/s)</t>
  </si>
  <si>
    <t>管径D(mm)</t>
  </si>
  <si>
    <t>坡度I</t>
  </si>
  <si>
    <t>坡度I（‰）</t>
  </si>
  <si>
    <t>流速v(m/s)</t>
  </si>
  <si>
    <t>充满度</t>
  </si>
  <si>
    <t>降落量I·L(m)</t>
  </si>
  <si>
    <t>标高（m）</t>
  </si>
  <si>
    <t>埋设深度（m）</t>
  </si>
  <si>
    <t>θ</t>
  </si>
  <si>
    <t>A</t>
  </si>
  <si>
    <t>ρ</t>
  </si>
  <si>
    <t>R</t>
  </si>
  <si>
    <t>ACOS(theta)</t>
  </si>
  <si>
    <t>h/D</t>
  </si>
  <si>
    <t>h(m)</t>
  </si>
  <si>
    <t>地面</t>
  </si>
  <si>
    <t>水面</t>
  </si>
  <si>
    <t>管内顶</t>
  </si>
  <si>
    <t>管内底</t>
  </si>
  <si>
    <t>上端</t>
  </si>
  <si>
    <t>下端</t>
  </si>
  <si>
    <t>街道管</t>
  </si>
  <si>
    <t>—</t>
  </si>
  <si>
    <t>D</t>
  </si>
  <si>
    <t>i（‰）</t>
  </si>
  <si>
    <t>Q</t>
  </si>
  <si>
    <t>v</t>
  </si>
  <si>
    <t>Ⅰ区</t>
  </si>
  <si>
    <t>(已计入)干管1 3-4</t>
  </si>
  <si>
    <t>Ⅳ区</t>
  </si>
  <si>
    <t>街坊管</t>
  </si>
  <si>
    <t>83-84</t>
  </si>
  <si>
    <t>84-85</t>
  </si>
  <si>
    <t>85-86</t>
  </si>
  <si>
    <t>86-87</t>
  </si>
  <si>
    <t>88-89</t>
  </si>
  <si>
    <t>89-90</t>
  </si>
  <si>
    <t>90-91</t>
  </si>
  <si>
    <t>92-93</t>
  </si>
  <si>
    <t>93-94</t>
  </si>
  <si>
    <t>94-95</t>
  </si>
  <si>
    <t>(已计入)干管11 86-87</t>
  </si>
  <si>
    <t>87-91</t>
  </si>
  <si>
    <t>91-95</t>
  </si>
  <si>
    <t>95-96</t>
  </si>
  <si>
    <t>(已计入)Ⅳ区主干管 95-96</t>
  </si>
  <si>
    <t>(穿铁路管)96-97</t>
  </si>
  <si>
    <t>Ⅲ区</t>
  </si>
  <si>
    <t>100-101</t>
  </si>
  <si>
    <t>101-102</t>
  </si>
  <si>
    <t>103-104</t>
  </si>
  <si>
    <t>104-105</t>
  </si>
  <si>
    <t>106-107</t>
  </si>
  <si>
    <t>107-108</t>
  </si>
  <si>
    <t>109-110</t>
  </si>
  <si>
    <t>110-111</t>
  </si>
  <si>
    <t>(已计入)穿铁路管 96-97</t>
  </si>
  <si>
    <t>97-98</t>
  </si>
  <si>
    <t>98-99</t>
  </si>
  <si>
    <t>99-102</t>
  </si>
  <si>
    <t>102-105</t>
  </si>
  <si>
    <t>105-108</t>
  </si>
  <si>
    <t>108-111</t>
  </si>
  <si>
    <t>111-112</t>
  </si>
  <si>
    <t>(已计入)Ⅲ区主干管111-112</t>
  </si>
  <si>
    <t>(穿河管)112-113</t>
  </si>
  <si>
    <t>Ⅱ区</t>
  </si>
  <si>
    <t>56-57</t>
  </si>
  <si>
    <t>57-58</t>
  </si>
  <si>
    <t>58-59</t>
  </si>
  <si>
    <t>59-60</t>
  </si>
  <si>
    <t>61-62</t>
  </si>
  <si>
    <t>62-63</t>
  </si>
  <si>
    <t>63-64</t>
  </si>
  <si>
    <t>64-65</t>
  </si>
  <si>
    <t>65-66</t>
  </si>
  <si>
    <t>66-67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</si>
  <si>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</si>
  <si>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</si>
  <si>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</si>
  <si>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</si>
  <si>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</si>
  <si>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</si>
  <si>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</si>
  <si>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</si>
  <si>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</si>
  <si>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78-79</t>
  </si>
  <si>
    <t>79-80</t>
  </si>
  <si>
    <t>80-81</t>
  </si>
  <si>
    <t>82-113</t>
  </si>
  <si>
    <t>(已计入)穿铁路管 54-55</t>
  </si>
  <si>
    <t>55-60</t>
  </si>
  <si>
    <t>60-67</t>
  </si>
  <si>
    <t>67-77</t>
  </si>
  <si>
    <t>77-81</t>
  </si>
  <si>
    <t>81-113</t>
  </si>
  <si>
    <t>113-114</t>
  </si>
  <si>
    <r>
      <rPr>
        <sz val="11"/>
        <color theme="1"/>
        <rFont val="宋体"/>
        <charset val="134"/>
        <scheme val="minor"/>
      </rPr>
      <t>污水干管水力计算表（n=0.014）</t>
    </r>
    <r>
      <rPr>
        <b/>
        <sz val="11"/>
        <color rgb="FFFF0000"/>
        <rFont val="宋体"/>
        <charset val="134"/>
        <scheme val="minor"/>
      </rPr>
      <t>(均按管底平接进行！流速递增（最小流速0.6m/s，穿河管最小流速0.9m/s）！）（20L/s以下为不计算管段，可自由调节充满度（尽量保证‰3最小坡度，不用考虑流速））</t>
    </r>
  </si>
  <si>
    <t>1-2</t>
  </si>
  <si>
    <t>2-3</t>
  </si>
  <si>
    <t>3-4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</si>
  <si>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</si>
  <si>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</si>
  <si>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</si>
  <si>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</si>
  <si>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</si>
  <si>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</si>
  <si>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</si>
  <si>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</si>
  <si>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</si>
  <si>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</si>
  <si>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</si>
  <si>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17-18</t>
  </si>
  <si>
    <t>18-19</t>
  </si>
  <si>
    <t>19-20</t>
  </si>
  <si>
    <t>20-21</t>
  </si>
  <si>
    <t>21-22</t>
  </si>
  <si>
    <t>22-23</t>
  </si>
  <si>
    <t>23-24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</si>
  <si>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</si>
  <si>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</si>
  <si>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</si>
  <si>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</si>
  <si>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</si>
  <si>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</si>
  <si>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</si>
  <si>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</si>
  <si>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</si>
  <si>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</si>
  <si>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</si>
  <si>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</si>
  <si>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38-39</t>
  </si>
  <si>
    <t>39-40</t>
  </si>
  <si>
    <t>40-41</t>
  </si>
  <si>
    <t>41-42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</si>
  <si>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</si>
  <si>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</si>
  <si>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</si>
  <si>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</si>
  <si>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</si>
  <si>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</si>
  <si>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</si>
  <si>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</si>
  <si>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50-51</t>
  </si>
  <si>
    <t>4-16</t>
  </si>
  <si>
    <t>16-24</t>
  </si>
  <si>
    <t>24-37</t>
  </si>
  <si>
    <t>37-51</t>
  </si>
  <si>
    <t>51-52</t>
  </si>
  <si>
    <t>(已计入)Ⅰ区主干管 51-52</t>
  </si>
  <si>
    <t>(穿铁路管)52-53</t>
  </si>
  <si>
    <t>54-55</t>
  </si>
  <si>
    <t>55-56</t>
  </si>
  <si>
    <t>60-61</t>
  </si>
  <si>
    <t>67-68</t>
  </si>
  <si>
    <t>(已计入)干管11 56-57</t>
  </si>
  <si>
    <t>57-63</t>
  </si>
  <si>
    <t>63-68</t>
  </si>
  <si>
    <t>70-86</t>
  </si>
  <si>
    <t>(已计入)Ⅳ区主干管68-69</t>
  </si>
  <si>
    <t>(穿铁路管)69-70</t>
  </si>
  <si>
    <t>82-83</t>
  </si>
  <si>
    <t>(已计入)干管17 72-73</t>
  </si>
  <si>
    <t>73-77</t>
  </si>
  <si>
    <t>81-85</t>
  </si>
  <si>
    <t>(已计入)Ⅳ区主干管70-86与Ⅲ区主干管85-86</t>
  </si>
  <si>
    <t>(穿河管)86-87</t>
  </si>
  <si>
    <t>91-92</t>
  </si>
  <si>
    <t>96-97</t>
  </si>
  <si>
    <t>99-100</t>
  </si>
  <si>
    <t>102-103</t>
  </si>
  <si>
    <t>108-109</t>
  </si>
  <si>
    <t>(已计入)穿铁路管52-53</t>
  </si>
  <si>
    <t>53-87</t>
  </si>
  <si>
    <t>87-90</t>
  </si>
  <si>
    <t>90-97</t>
  </si>
  <si>
    <t>97-105</t>
  </si>
  <si>
    <t>105-109</t>
  </si>
  <si>
    <t>109-111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</si>
</sst>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);[Red]\(0.000\)"/>
    <numFmt numFmtId="178" formatCode="0.000_ "/>
    <numFmt numFmtId="179" formatCode="0_);[Red]\(0\)"/>
    <numFmt numFmtId="180" formatCode="0.0000_);[Red]\(0.0000\)"/>
    <numFmt numFmtId="181" formatCode="0.00_);[Red]\(0.00\)"/>
    <numFmt numFmtId="182" formatCode="0.0000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6" fillId="8" borderId="15" applyNumberFormat="0" applyAlignment="0" applyProtection="0">
      <alignment vertical="center"/>
    </xf>
    <xf numFmtId="0" fontId="17" fillId="9" borderId="17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2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2" fillId="4" borderId="3" xfId="0" applyNumberFormat="1" applyFont="1" applyFill="1" applyBorder="1" applyAlignment="1">
      <alignment horizontal="center" vertical="center"/>
    </xf>
    <xf numFmtId="179" fontId="1" fillId="4" borderId="4" xfId="0" applyNumberFormat="1" applyFont="1" applyFill="1" applyBorder="1" applyAlignment="1">
      <alignment horizontal="center" vertical="center"/>
    </xf>
    <xf numFmtId="179" fontId="1" fillId="4" borderId="5" xfId="0" applyNumberFormat="1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9" fontId="0" fillId="2" borderId="2" xfId="0" applyNumberForma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178" fontId="0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81" fontId="1" fillId="0" borderId="2" xfId="0" applyNumberFormat="1" applyFont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/>
    </xf>
    <xf numFmtId="181" fontId="1" fillId="0" borderId="2" xfId="0" applyNumberFormat="1" applyFont="1" applyFill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0" fillId="3" borderId="0" xfId="0" applyNumberFormat="1" applyFont="1" applyFill="1" applyAlignment="1">
      <alignment horizontal="center"/>
    </xf>
    <xf numFmtId="181" fontId="0" fillId="0" borderId="2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9" fontId="1" fillId="4" borderId="10" xfId="0" applyNumberFormat="1" applyFont="1" applyFill="1" applyBorder="1" applyAlignment="1">
      <alignment horizontal="center" vertical="center"/>
    </xf>
    <xf numFmtId="179" fontId="1" fillId="4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17" fontId="0" fillId="0" borderId="6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4903;&#21306;&#38754;&#31215;&#19982;&#31649;&#27573;&#27719;&#27700;&#38754;&#31215;&#35745;&#31639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街区面积"/>
      <sheetName val="排水管计算-01"/>
      <sheetName val="排水管计算-02"/>
      <sheetName val="雨水管计算-01"/>
      <sheetName val="雨水管计算-02"/>
      <sheetName val="面积汇总"/>
    </sheetNames>
    <sheetDataSet>
      <sheetData sheetId="0"/>
      <sheetData sheetId="1"/>
      <sheetData sheetId="2">
        <row r="2">
          <cell r="D2" t="str">
            <v>街坊管</v>
          </cell>
          <cell r="E2">
            <v>854.605</v>
          </cell>
        </row>
        <row r="2">
          <cell r="N2">
            <v>40.6949909922896</v>
          </cell>
          <cell r="O2">
            <v>20.1052</v>
          </cell>
          <cell r="P2">
            <v>19.3765</v>
          </cell>
        </row>
        <row r="3">
          <cell r="D3" t="str">
            <v>1-2</v>
          </cell>
          <cell r="E3">
            <v>959.09</v>
          </cell>
        </row>
        <row r="3">
          <cell r="N3">
            <v>87.0038232141495</v>
          </cell>
          <cell r="O3">
            <v>19.3765</v>
          </cell>
          <cell r="P3">
            <v>19.4229</v>
          </cell>
        </row>
        <row r="4">
          <cell r="D4" t="str">
            <v>2-3</v>
          </cell>
          <cell r="E4">
            <v>232.196</v>
          </cell>
        </row>
        <row r="4">
          <cell r="N4">
            <v>97.8500879782223</v>
          </cell>
          <cell r="O4">
            <v>19.4229</v>
          </cell>
          <cell r="P4">
            <v>19.4845</v>
          </cell>
        </row>
        <row r="5">
          <cell r="D5" t="str">
            <v>3-4</v>
          </cell>
          <cell r="E5">
            <v>209.003</v>
          </cell>
        </row>
        <row r="5">
          <cell r="N5">
            <v>105.458517224421</v>
          </cell>
          <cell r="O5">
            <v>19.4845</v>
          </cell>
          <cell r="P5">
            <v>19.457</v>
          </cell>
        </row>
        <row r="8">
          <cell r="D8" t="str">
            <v>街坊管</v>
          </cell>
          <cell r="E8">
            <v>618.803</v>
          </cell>
        </row>
        <row r="8">
          <cell r="N8">
            <v>83.1689930626839</v>
          </cell>
          <cell r="O8">
            <v>22.5937</v>
          </cell>
          <cell r="P8">
            <v>22.3442</v>
          </cell>
        </row>
        <row r="9">
          <cell r="D9" t="str">
            <v>5-6</v>
          </cell>
          <cell r="E9">
            <v>141.799</v>
          </cell>
        </row>
        <row r="9">
          <cell r="N9">
            <v>93.4278933144388</v>
          </cell>
          <cell r="O9">
            <v>22.3442</v>
          </cell>
          <cell r="P9">
            <v>22.1925</v>
          </cell>
        </row>
        <row r="10">
          <cell r="D10" t="str">
            <v>6-7</v>
          </cell>
          <cell r="E10">
            <v>204.33</v>
          </cell>
        </row>
        <row r="10">
          <cell r="N10">
            <v>105.100559493247</v>
          </cell>
          <cell r="O10">
            <v>22.1925</v>
          </cell>
          <cell r="P10">
            <v>21.952</v>
          </cell>
        </row>
        <row r="11">
          <cell r="D11" t="str">
            <v>7-8</v>
          </cell>
          <cell r="E11">
            <v>209.449</v>
          </cell>
        </row>
        <row r="11">
          <cell r="N11">
            <v>112.426185917797</v>
          </cell>
          <cell r="O11">
            <v>21.952</v>
          </cell>
          <cell r="P11">
            <v>21.959</v>
          </cell>
        </row>
        <row r="12">
          <cell r="D12" t="str">
            <v>8-9</v>
          </cell>
          <cell r="E12">
            <v>152.326</v>
          </cell>
        </row>
        <row r="12">
          <cell r="N12">
            <v>120.065683200368</v>
          </cell>
          <cell r="O12">
            <v>21.959</v>
          </cell>
          <cell r="P12">
            <v>21.6768</v>
          </cell>
        </row>
        <row r="13">
          <cell r="D13" t="str">
            <v>9-10</v>
          </cell>
          <cell r="E13">
            <v>157.715</v>
          </cell>
        </row>
        <row r="13">
          <cell r="N13">
            <v>133.376048385888</v>
          </cell>
          <cell r="O13">
            <v>21.6768</v>
          </cell>
          <cell r="P13">
            <v>21.386</v>
          </cell>
        </row>
        <row r="14">
          <cell r="D14" t="str">
            <v>10-11</v>
          </cell>
          <cell r="E14">
            <v>162.784</v>
          </cell>
        </row>
        <row r="14">
          <cell r="N14">
            <v>139.547584633371</v>
          </cell>
          <cell r="O14">
            <v>21.386</v>
          </cell>
          <cell r="P14">
            <v>21.0854</v>
          </cell>
        </row>
        <row r="15">
          <cell r="D15" t="str">
            <v>11-12</v>
          </cell>
          <cell r="E15">
            <v>160.171</v>
          </cell>
        </row>
        <row r="15">
          <cell r="N15">
            <v>148.067764360864</v>
          </cell>
          <cell r="O15">
            <v>21.0854</v>
          </cell>
          <cell r="P15">
            <v>20.8009</v>
          </cell>
        </row>
        <row r="16">
          <cell r="D16" t="str">
            <v>12-13</v>
          </cell>
          <cell r="E16">
            <v>154.196</v>
          </cell>
        </row>
        <row r="16">
          <cell r="N16">
            <v>155.808415703556</v>
          </cell>
          <cell r="O16">
            <v>20.8009</v>
          </cell>
          <cell r="P16">
            <v>20.5316</v>
          </cell>
        </row>
        <row r="17">
          <cell r="D17" t="str">
            <v>13-14</v>
          </cell>
          <cell r="E17">
            <v>152.911</v>
          </cell>
        </row>
        <row r="17">
          <cell r="N17">
            <v>162.658382836807</v>
          </cell>
          <cell r="O17">
            <v>20.5316</v>
          </cell>
          <cell r="P17">
            <v>20.2651</v>
          </cell>
        </row>
        <row r="18">
          <cell r="D18" t="str">
            <v>14-15</v>
          </cell>
          <cell r="E18">
            <v>138.283</v>
          </cell>
        </row>
        <row r="18">
          <cell r="N18">
            <v>168.615513896255</v>
          </cell>
          <cell r="O18">
            <v>20.2651</v>
          </cell>
          <cell r="P18">
            <v>20.0253</v>
          </cell>
        </row>
        <row r="19">
          <cell r="D19" t="str">
            <v>15-16</v>
          </cell>
          <cell r="E19">
            <v>143.043</v>
          </cell>
        </row>
        <row r="19">
          <cell r="N19">
            <v>173.816797912229</v>
          </cell>
          <cell r="O19">
            <v>20.0253</v>
          </cell>
          <cell r="P19">
            <v>19.5063</v>
          </cell>
        </row>
        <row r="22">
          <cell r="D22" t="str">
            <v>街坊管</v>
          </cell>
          <cell r="E22">
            <v>551.616</v>
          </cell>
        </row>
        <row r="22">
          <cell r="N22">
            <v>13.2113275700093</v>
          </cell>
          <cell r="O22">
            <v>21.9585</v>
          </cell>
          <cell r="P22">
            <v>21.6762</v>
          </cell>
        </row>
        <row r="23">
          <cell r="D23" t="str">
            <v>17-18</v>
          </cell>
          <cell r="E23">
            <v>150.726</v>
          </cell>
        </row>
        <row r="23">
          <cell r="N23">
            <v>20.3735131693726</v>
          </cell>
          <cell r="O23">
            <v>21.6762</v>
          </cell>
          <cell r="P23">
            <v>21.3933</v>
          </cell>
        </row>
        <row r="24">
          <cell r="D24" t="str">
            <v>18-19</v>
          </cell>
          <cell r="E24">
            <v>160.473</v>
          </cell>
        </row>
        <row r="24">
          <cell r="N24">
            <v>27.517497355149</v>
          </cell>
          <cell r="O24">
            <v>21.3933</v>
          </cell>
          <cell r="P24">
            <v>21.0758</v>
          </cell>
        </row>
        <row r="25">
          <cell r="D25" t="str">
            <v>19-20</v>
          </cell>
          <cell r="E25">
            <v>161.617</v>
          </cell>
        </row>
        <row r="25">
          <cell r="N25">
            <v>34.4662096482055</v>
          </cell>
          <cell r="O25">
            <v>21.0758</v>
          </cell>
          <cell r="P25">
            <v>20.7344</v>
          </cell>
        </row>
        <row r="26">
          <cell r="D26" t="str">
            <v>20-21</v>
          </cell>
          <cell r="E26">
            <v>154.895</v>
          </cell>
        </row>
        <row r="26">
          <cell r="N26">
            <v>40.7759770701679</v>
          </cell>
          <cell r="O26">
            <v>20.7344</v>
          </cell>
          <cell r="P26">
            <v>20.5342</v>
          </cell>
        </row>
        <row r="27">
          <cell r="D27" t="str">
            <v>21-22</v>
          </cell>
          <cell r="E27">
            <v>146.025</v>
          </cell>
        </row>
        <row r="27">
          <cell r="N27">
            <v>46.5073606913765</v>
          </cell>
          <cell r="O27">
            <v>20.5342</v>
          </cell>
          <cell r="P27">
            <v>20.2906</v>
          </cell>
        </row>
        <row r="28">
          <cell r="D28" t="str">
            <v>22-23</v>
          </cell>
          <cell r="E28">
            <v>161.408</v>
          </cell>
        </row>
        <row r="28">
          <cell r="N28">
            <v>52.9792722152733</v>
          </cell>
          <cell r="O28">
            <v>20.2906</v>
          </cell>
          <cell r="P28">
            <v>20.0253</v>
          </cell>
        </row>
        <row r="29">
          <cell r="D29" t="str">
            <v>23-24</v>
          </cell>
          <cell r="E29">
            <v>137.831</v>
          </cell>
        </row>
        <row r="29">
          <cell r="N29">
            <v>58.3415301799957</v>
          </cell>
          <cell r="O29">
            <v>20.0253</v>
          </cell>
          <cell r="P29">
            <v>19.5435</v>
          </cell>
        </row>
        <row r="32">
          <cell r="D32" t="str">
            <v>街坊管</v>
          </cell>
          <cell r="E32">
            <v>542.57</v>
          </cell>
        </row>
        <row r="32">
          <cell r="N32">
            <v>16.2761453336187</v>
          </cell>
          <cell r="O32">
            <v>22.6087</v>
          </cell>
          <cell r="P32">
            <v>22.244</v>
          </cell>
        </row>
        <row r="33">
          <cell r="D33" t="str">
            <v>25-26</v>
          </cell>
          <cell r="E33">
            <v>221.236</v>
          </cell>
        </row>
        <row r="33">
          <cell r="N33">
            <v>32.2514889137752</v>
          </cell>
          <cell r="O33">
            <v>22.244</v>
          </cell>
          <cell r="P33">
            <v>21.944</v>
          </cell>
        </row>
        <row r="34">
          <cell r="D34" t="str">
            <v>26-27</v>
          </cell>
          <cell r="E34">
            <v>152.889</v>
          </cell>
        </row>
        <row r="34">
          <cell r="N34">
            <v>46.8281236582852</v>
          </cell>
          <cell r="O34">
            <v>21.944</v>
          </cell>
          <cell r="P34">
            <v>21.9086</v>
          </cell>
        </row>
        <row r="35">
          <cell r="D35" t="str">
            <v>27-28</v>
          </cell>
          <cell r="E35">
            <v>152.334</v>
          </cell>
        </row>
        <row r="35">
          <cell r="N35">
            <v>56.6677519322625</v>
          </cell>
          <cell r="O35">
            <v>21.9086</v>
          </cell>
          <cell r="P35">
            <v>21.6409</v>
          </cell>
        </row>
        <row r="36">
          <cell r="D36" t="str">
            <v>28-29</v>
          </cell>
          <cell r="E36">
            <v>149.161</v>
          </cell>
        </row>
        <row r="36">
          <cell r="N36">
            <v>64.0716769243907</v>
          </cell>
          <cell r="O36">
            <v>21.6409</v>
          </cell>
          <cell r="P36">
            <v>21.3659</v>
          </cell>
        </row>
        <row r="37">
          <cell r="D37" t="str">
            <v>29-30</v>
          </cell>
          <cell r="E37">
            <v>163.906</v>
          </cell>
        </row>
        <row r="37">
          <cell r="N37">
            <v>72.9178121762496</v>
          </cell>
          <cell r="O37">
            <v>21.3659</v>
          </cell>
          <cell r="P37">
            <v>21.0992</v>
          </cell>
        </row>
        <row r="38">
          <cell r="D38" t="str">
            <v>30-31</v>
          </cell>
          <cell r="E38">
            <v>143.795</v>
          </cell>
        </row>
        <row r="38">
          <cell r="N38">
            <v>79.7675244862422</v>
          </cell>
          <cell r="O38">
            <v>21.0992</v>
          </cell>
          <cell r="P38">
            <v>20.8691</v>
          </cell>
        </row>
        <row r="39">
          <cell r="D39" t="str">
            <v>31-32</v>
          </cell>
          <cell r="E39">
            <v>146.315</v>
          </cell>
        </row>
        <row r="39">
          <cell r="N39">
            <v>86.9970438283894</v>
          </cell>
          <cell r="O39">
            <v>20.8691</v>
          </cell>
          <cell r="P39">
            <v>20.657</v>
          </cell>
        </row>
        <row r="40">
          <cell r="D40" t="str">
            <v>32-33</v>
          </cell>
          <cell r="E40">
            <v>113.786</v>
          </cell>
        </row>
        <row r="40">
          <cell r="N40">
            <v>91.7930819854576</v>
          </cell>
          <cell r="O40">
            <v>20.657</v>
          </cell>
          <cell r="P40">
            <v>20.497</v>
          </cell>
        </row>
        <row r="41">
          <cell r="D41" t="str">
            <v>33-34</v>
          </cell>
          <cell r="E41">
            <v>107.125</v>
          </cell>
        </row>
        <row r="41">
          <cell r="N41">
            <v>98.5175641514402</v>
          </cell>
          <cell r="O41">
            <v>20.497</v>
          </cell>
          <cell r="P41">
            <v>20.3573</v>
          </cell>
        </row>
        <row r="42">
          <cell r="D42" t="str">
            <v>34-35</v>
          </cell>
          <cell r="E42">
            <v>177.93</v>
          </cell>
        </row>
        <row r="42">
          <cell r="N42">
            <v>106.538930082046</v>
          </cell>
          <cell r="O42">
            <v>20.3573</v>
          </cell>
          <cell r="P42">
            <v>20.1386</v>
          </cell>
        </row>
        <row r="43">
          <cell r="D43" t="str">
            <v>35-36</v>
          </cell>
          <cell r="E43">
            <v>178.978</v>
          </cell>
        </row>
        <row r="43">
          <cell r="N43">
            <v>113.937811739998</v>
          </cell>
          <cell r="O43">
            <v>20.1386</v>
          </cell>
          <cell r="P43">
            <v>19.8844</v>
          </cell>
        </row>
        <row r="44">
          <cell r="D44" t="str">
            <v>36-37</v>
          </cell>
          <cell r="E44">
            <v>140.217</v>
          </cell>
        </row>
        <row r="44">
          <cell r="N44">
            <v>119.280446354615</v>
          </cell>
          <cell r="O44">
            <v>19.8844</v>
          </cell>
          <cell r="P44">
            <v>19.5</v>
          </cell>
        </row>
        <row r="47">
          <cell r="D47" t="str">
            <v>街坊管</v>
          </cell>
          <cell r="E47">
            <v>620.752</v>
          </cell>
        </row>
        <row r="47">
          <cell r="N47">
            <v>6.43382231090321</v>
          </cell>
          <cell r="O47">
            <v>22.262</v>
          </cell>
          <cell r="P47">
            <v>21.8326</v>
          </cell>
        </row>
        <row r="48">
          <cell r="D48" t="str">
            <v>38-39</v>
          </cell>
          <cell r="E48">
            <v>140.399</v>
          </cell>
        </row>
        <row r="48">
          <cell r="N48">
            <v>18.7547051499977</v>
          </cell>
          <cell r="O48">
            <v>21.8326</v>
          </cell>
          <cell r="P48">
            <v>21.6169</v>
          </cell>
        </row>
        <row r="49">
          <cell r="D49" t="str">
            <v>39-40</v>
          </cell>
          <cell r="E49">
            <v>138.517</v>
          </cell>
        </row>
        <row r="49">
          <cell r="N49">
            <v>25.0428360092391</v>
          </cell>
          <cell r="O49">
            <v>21.6169</v>
          </cell>
          <cell r="P49">
            <v>21.4054</v>
          </cell>
        </row>
        <row r="50">
          <cell r="D50" t="str">
            <v>40-41</v>
          </cell>
          <cell r="E50">
            <v>148.55</v>
          </cell>
        </row>
        <row r="50">
          <cell r="N50">
            <v>31.3113030890232</v>
          </cell>
          <cell r="O50">
            <v>21.4054</v>
          </cell>
          <cell r="P50">
            <v>21.1818</v>
          </cell>
        </row>
        <row r="51">
          <cell r="D51" t="str">
            <v>41-42</v>
          </cell>
          <cell r="E51">
            <v>124.909</v>
          </cell>
        </row>
        <row r="51">
          <cell r="N51">
            <v>37.5198639422908</v>
          </cell>
          <cell r="O51">
            <v>21.1818</v>
          </cell>
          <cell r="P51">
            <v>20.9965</v>
          </cell>
        </row>
        <row r="52">
          <cell r="D52" t="str">
            <v>42-43</v>
          </cell>
          <cell r="E52">
            <v>130.804</v>
          </cell>
        </row>
        <row r="52">
          <cell r="N52">
            <v>43.7695073281368</v>
          </cell>
          <cell r="O52">
            <v>20.9965</v>
          </cell>
          <cell r="P52">
            <v>20.8355</v>
          </cell>
        </row>
        <row r="53">
          <cell r="D53" t="str">
            <v>43-44</v>
          </cell>
          <cell r="E53">
            <v>151.605</v>
          </cell>
        </row>
        <row r="53">
          <cell r="N53">
            <v>49.5759011145678</v>
          </cell>
          <cell r="O53">
            <v>20.8355</v>
          </cell>
          <cell r="P53">
            <v>20.6659</v>
          </cell>
        </row>
        <row r="54">
          <cell r="D54" t="str">
            <v>44-45</v>
          </cell>
          <cell r="E54">
            <v>151.85</v>
          </cell>
        </row>
        <row r="54">
          <cell r="N54">
            <v>56.7038521955877</v>
          </cell>
          <cell r="O54">
            <v>20.6659</v>
          </cell>
          <cell r="P54">
            <v>20.4974</v>
          </cell>
        </row>
        <row r="55">
          <cell r="D55" t="str">
            <v>45-46</v>
          </cell>
          <cell r="E55">
            <v>323.044</v>
          </cell>
        </row>
        <row r="55">
          <cell r="N55">
            <v>63.1568261769483</v>
          </cell>
          <cell r="O55">
            <v>20.4974</v>
          </cell>
          <cell r="P55">
            <v>20.2219</v>
          </cell>
        </row>
        <row r="56">
          <cell r="D56" t="str">
            <v>46-47</v>
          </cell>
          <cell r="E56">
            <v>166.629</v>
          </cell>
        </row>
        <row r="56">
          <cell r="N56">
            <v>69.5983944314127</v>
          </cell>
          <cell r="O56">
            <v>20.2219</v>
          </cell>
          <cell r="P56">
            <v>20.0839</v>
          </cell>
        </row>
        <row r="57">
          <cell r="D57" t="str">
            <v>47-48</v>
          </cell>
          <cell r="E57">
            <v>189.046</v>
          </cell>
        </row>
        <row r="57">
          <cell r="N57">
            <v>77.5835219104204</v>
          </cell>
          <cell r="O57">
            <v>20.0839</v>
          </cell>
          <cell r="P57">
            <v>19.9691</v>
          </cell>
        </row>
        <row r="58">
          <cell r="D58" t="str">
            <v>48-49</v>
          </cell>
          <cell r="E58">
            <v>149.014</v>
          </cell>
        </row>
        <row r="58">
          <cell r="N58">
            <v>85.7197935599479</v>
          </cell>
          <cell r="O58">
            <v>19.9691</v>
          </cell>
          <cell r="P58">
            <v>19.8543</v>
          </cell>
        </row>
        <row r="59">
          <cell r="D59" t="str">
            <v>49-50</v>
          </cell>
          <cell r="E59">
            <v>109.913</v>
          </cell>
        </row>
        <row r="59">
          <cell r="N59">
            <v>93.899807433923</v>
          </cell>
          <cell r="O59">
            <v>19.8543</v>
          </cell>
          <cell r="P59">
            <v>19.7086</v>
          </cell>
        </row>
        <row r="60">
          <cell r="D60" t="str">
            <v>50-51</v>
          </cell>
          <cell r="E60">
            <v>84.6624</v>
          </cell>
        </row>
        <row r="60">
          <cell r="N60">
            <v>99.4484186163009</v>
          </cell>
          <cell r="O60">
            <v>19.7086</v>
          </cell>
          <cell r="P60">
            <v>19.3621</v>
          </cell>
        </row>
        <row r="63">
          <cell r="E63">
            <v>209.003</v>
          </cell>
        </row>
        <row r="63">
          <cell r="N63">
            <v>105.458517224421</v>
          </cell>
          <cell r="O63">
            <v>19.4845</v>
          </cell>
          <cell r="P63">
            <v>19.457</v>
          </cell>
        </row>
        <row r="64">
          <cell r="D64" t="str">
            <v>4-16</v>
          </cell>
          <cell r="E64">
            <v>264.948</v>
          </cell>
        </row>
        <row r="64">
          <cell r="N64">
            <v>105.458517224421</v>
          </cell>
          <cell r="O64">
            <v>19.457</v>
          </cell>
          <cell r="P64">
            <v>19.5063</v>
          </cell>
        </row>
        <row r="65">
          <cell r="D65" t="str">
            <v>16-24</v>
          </cell>
          <cell r="E65">
            <v>180.042</v>
          </cell>
        </row>
        <row r="65">
          <cell r="N65">
            <v>260.07974476087</v>
          </cell>
          <cell r="O65">
            <v>19.5063</v>
          </cell>
          <cell r="P65">
            <v>19.5435</v>
          </cell>
        </row>
        <row r="66">
          <cell r="D66" t="str">
            <v>24-37</v>
          </cell>
          <cell r="E66">
            <v>294.527</v>
          </cell>
        </row>
        <row r="66">
          <cell r="N66">
            <v>303.094330742546</v>
          </cell>
          <cell r="O66">
            <v>19.5435</v>
          </cell>
          <cell r="P66">
            <v>19.5</v>
          </cell>
        </row>
        <row r="67">
          <cell r="D67" t="str">
            <v>37-51</v>
          </cell>
          <cell r="E67">
            <v>533.403</v>
          </cell>
        </row>
        <row r="67">
          <cell r="N67">
            <v>396.526762996183</v>
          </cell>
          <cell r="O67">
            <v>19.5</v>
          </cell>
          <cell r="P67">
            <v>19.3621</v>
          </cell>
        </row>
        <row r="68">
          <cell r="D68" t="str">
            <v>51-52</v>
          </cell>
          <cell r="E68">
            <v>581.848</v>
          </cell>
        </row>
        <row r="68">
          <cell r="N68">
            <v>470.758039520748</v>
          </cell>
          <cell r="O68">
            <v>19.3621</v>
          </cell>
          <cell r="P68">
            <v>19.3042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72"/>
  <sheetViews>
    <sheetView tabSelected="1" zoomScale="85" zoomScaleNormal="85" workbookViewId="0">
      <selection activeCell="M83" sqref="M83"/>
    </sheetView>
  </sheetViews>
  <sheetFormatPr defaultColWidth="8.87272727272727" defaultRowHeight="14"/>
  <cols>
    <col min="1" max="1" width="20.8454545454545" style="1" customWidth="1"/>
    <col min="2" max="2" width="8.87272727272727" style="1" customWidth="1"/>
    <col min="3" max="3" width="12.8181818181818" style="1"/>
    <col min="4" max="4" width="9.54545454545454" style="2"/>
    <col min="5" max="6" width="9.37272727272727" style="1" customWidth="1"/>
    <col min="7" max="7" width="8.87272727272727" style="1"/>
    <col min="8" max="8" width="8.87272727272727" style="2"/>
    <col min="9" max="9" width="8.87272727272727" style="1"/>
    <col min="10" max="10" width="10.3727272727273" style="1"/>
    <col min="11" max="12" width="9.54545454545454" style="3"/>
    <col min="13" max="14" width="8.87272727272727" style="1" customWidth="1"/>
    <col min="15" max="15" width="10.6363636363636" style="1"/>
    <col min="16" max="16" width="8.87272727272727" style="1" customWidth="1"/>
    <col min="17" max="17" width="10.6363636363636" style="1"/>
    <col min="18" max="18" width="8.87272727272727" style="1" customWidth="1"/>
    <col min="19" max="20" width="9.54545454545454" style="1"/>
    <col min="21" max="24" width="12.8181818181818" style="1"/>
    <col min="25" max="25" width="8.87272727272727" style="1"/>
    <col min="26" max="28" width="12.8181818181818" style="1"/>
    <col min="29" max="16383" width="8.87272727272727" style="1"/>
  </cols>
  <sheetData>
    <row r="1" spans="1:26">
      <c r="A1" s="4" t="s">
        <v>0</v>
      </c>
      <c r="B1" s="4"/>
      <c r="C1" s="4"/>
      <c r="D1" s="5" t="s">
        <v>1</v>
      </c>
      <c r="E1" s="4"/>
      <c r="F1" s="4"/>
      <c r="G1" s="4"/>
      <c r="H1" s="5"/>
      <c r="I1" s="4"/>
      <c r="J1" s="4"/>
      <c r="K1" s="43"/>
      <c r="L1" s="43"/>
      <c r="M1" s="4"/>
      <c r="N1" s="4"/>
      <c r="O1" s="4"/>
      <c r="P1" s="4"/>
      <c r="Q1" s="4"/>
      <c r="R1" s="4"/>
      <c r="S1" s="4"/>
      <c r="T1" s="4"/>
      <c r="Z1" s="54" t="s">
        <v>2</v>
      </c>
    </row>
    <row r="2" spans="1:27">
      <c r="A2" s="6" t="s">
        <v>3</v>
      </c>
      <c r="B2" s="7"/>
      <c r="C2" s="7"/>
      <c r="D2" s="8"/>
      <c r="E2" s="7"/>
      <c r="F2" s="7"/>
      <c r="G2" s="7"/>
      <c r="H2" s="8"/>
      <c r="I2" s="7"/>
      <c r="J2" s="7"/>
      <c r="K2" s="44"/>
      <c r="L2" s="44"/>
      <c r="M2" s="7"/>
      <c r="N2" s="7"/>
      <c r="O2" s="7"/>
      <c r="P2" s="7"/>
      <c r="Q2" s="7"/>
      <c r="R2" s="7"/>
      <c r="S2" s="7"/>
      <c r="T2" s="7"/>
      <c r="U2" s="54" t="s">
        <v>4</v>
      </c>
      <c r="V2" s="1">
        <v>0.014</v>
      </c>
      <c r="W2" s="1">
        <v>0.013</v>
      </c>
      <c r="Z2" s="1" t="s">
        <v>5</v>
      </c>
      <c r="AA2" s="1">
        <f>(AB9/2-Z15*AB9)/(AB9/2)</f>
        <v>-0.2</v>
      </c>
    </row>
    <row r="3" spans="1:27">
      <c r="A3" s="9" t="s">
        <v>6</v>
      </c>
      <c r="B3" s="9" t="s">
        <v>7</v>
      </c>
      <c r="C3" s="9" t="s">
        <v>8</v>
      </c>
      <c r="D3" s="10" t="s">
        <v>9</v>
      </c>
      <c r="E3" s="9" t="s">
        <v>10</v>
      </c>
      <c r="F3" s="11" t="s">
        <v>11</v>
      </c>
      <c r="G3" s="9" t="s">
        <v>12</v>
      </c>
      <c r="H3" s="8" t="s">
        <v>13</v>
      </c>
      <c r="I3" s="7"/>
      <c r="J3" s="9" t="s">
        <v>14</v>
      </c>
      <c r="K3" s="45" t="s">
        <v>15</v>
      </c>
      <c r="L3" s="46"/>
      <c r="M3" s="47"/>
      <c r="N3" s="47"/>
      <c r="O3" s="47"/>
      <c r="P3" s="47"/>
      <c r="Q3" s="47"/>
      <c r="R3" s="55"/>
      <c r="S3" s="7" t="s">
        <v>16</v>
      </c>
      <c r="T3" s="7"/>
      <c r="U3" s="56" t="s">
        <v>17</v>
      </c>
      <c r="V3" s="54" t="s">
        <v>18</v>
      </c>
      <c r="W3" s="57" t="s">
        <v>19</v>
      </c>
      <c r="X3" s="54" t="s">
        <v>20</v>
      </c>
      <c r="Y3" s="60"/>
      <c r="Z3" s="1" t="s">
        <v>21</v>
      </c>
      <c r="AA3" s="1">
        <f>ACOS(AA2)</f>
        <v>1.77215424758523</v>
      </c>
    </row>
    <row r="4" spans="1:27">
      <c r="A4" s="9"/>
      <c r="B4" s="9"/>
      <c r="C4" s="9"/>
      <c r="D4" s="10"/>
      <c r="E4" s="9"/>
      <c r="F4" s="9"/>
      <c r="G4" s="9"/>
      <c r="H4" s="8" t="s">
        <v>22</v>
      </c>
      <c r="I4" s="7" t="s">
        <v>23</v>
      </c>
      <c r="J4" s="9"/>
      <c r="K4" s="44" t="s">
        <v>24</v>
      </c>
      <c r="L4" s="44"/>
      <c r="M4" s="7" t="s">
        <v>25</v>
      </c>
      <c r="N4" s="7"/>
      <c r="O4" s="6" t="s">
        <v>26</v>
      </c>
      <c r="P4" s="7"/>
      <c r="Q4" s="6" t="s">
        <v>27</v>
      </c>
      <c r="R4" s="7"/>
      <c r="S4" s="7"/>
      <c r="T4" s="7"/>
      <c r="U4" s="56"/>
      <c r="V4" s="54"/>
      <c r="W4" s="57"/>
      <c r="X4" s="54"/>
      <c r="Y4" s="61"/>
      <c r="Z4" s="1" t="s">
        <v>18</v>
      </c>
      <c r="AA4" s="1">
        <f>((AB9^2)/4)*(AA3-(SIN(2*AA3)/2))</f>
        <v>0.0787245370803153</v>
      </c>
    </row>
    <row r="5" spans="1:28">
      <c r="A5" s="9"/>
      <c r="B5" s="9"/>
      <c r="C5" s="9"/>
      <c r="D5" s="10"/>
      <c r="E5" s="9"/>
      <c r="F5" s="9"/>
      <c r="G5" s="9"/>
      <c r="H5" s="8"/>
      <c r="I5" s="7"/>
      <c r="J5" s="9"/>
      <c r="K5" s="44" t="s">
        <v>28</v>
      </c>
      <c r="L5" s="44" t="s">
        <v>29</v>
      </c>
      <c r="M5" s="7" t="s">
        <v>28</v>
      </c>
      <c r="N5" s="7" t="s">
        <v>29</v>
      </c>
      <c r="O5" s="7" t="s">
        <v>28</v>
      </c>
      <c r="P5" s="7" t="s">
        <v>29</v>
      </c>
      <c r="Q5" s="7" t="s">
        <v>28</v>
      </c>
      <c r="R5" s="7" t="s">
        <v>29</v>
      </c>
      <c r="S5" s="7" t="s">
        <v>28</v>
      </c>
      <c r="T5" s="7" t="s">
        <v>29</v>
      </c>
      <c r="U5" s="56"/>
      <c r="V5" s="54"/>
      <c r="W5" s="57"/>
      <c r="X5" s="54"/>
      <c r="Y5" s="61"/>
      <c r="Z5" s="62" t="s">
        <v>19</v>
      </c>
      <c r="AA5" s="1">
        <f>AA3*AB9</f>
        <v>0.708861699034091</v>
      </c>
      <c r="AB5" s="62"/>
    </row>
    <row r="6" spans="1:28">
      <c r="A6" s="12" t="s">
        <v>30</v>
      </c>
      <c r="B6" s="13">
        <v>500</v>
      </c>
      <c r="C6" s="14">
        <v>1.2192346825831</v>
      </c>
      <c r="D6" s="15">
        <v>200</v>
      </c>
      <c r="E6" s="16">
        <v>0.004</v>
      </c>
      <c r="F6" s="17">
        <f t="shared" ref="F6:F12" si="0">E6*1000</f>
        <v>4</v>
      </c>
      <c r="G6" s="18" t="s">
        <v>31</v>
      </c>
      <c r="H6" s="8">
        <v>0.17</v>
      </c>
      <c r="I6" s="17">
        <f>H6*D6/1000</f>
        <v>0.034</v>
      </c>
      <c r="J6" s="48">
        <f>E6*B6</f>
        <v>2</v>
      </c>
      <c r="K6" s="44">
        <v>100</v>
      </c>
      <c r="L6" s="44">
        <v>99.9</v>
      </c>
      <c r="M6" s="48">
        <f>Q6+I6</f>
        <v>98.934</v>
      </c>
      <c r="N6" s="48">
        <f>M6-J6</f>
        <v>96.934</v>
      </c>
      <c r="O6" s="17">
        <f>K6-S6</f>
        <v>99.1</v>
      </c>
      <c r="P6" s="17">
        <f>O6-J6</f>
        <v>97.1</v>
      </c>
      <c r="Q6" s="17">
        <f>O6-D6/1000</f>
        <v>98.9</v>
      </c>
      <c r="R6" s="17">
        <f>P6-D6/1000</f>
        <v>96.9</v>
      </c>
      <c r="S6" s="48">
        <f>0.7+D6/1000</f>
        <v>0.9</v>
      </c>
      <c r="T6" s="48">
        <f>L6-P6</f>
        <v>2.80000000000001</v>
      </c>
      <c r="U6" s="1">
        <f t="shared" ref="U6:U12" si="1">ACOS((D6/2-D6*H6)/(D6/2))</f>
        <v>0.849977565924807</v>
      </c>
      <c r="V6" s="1">
        <f t="shared" ref="V6:V12" si="2">(U6-SIN(U6)*COS(U6))*((D6/1000)/2)^2</f>
        <v>0.00354142270690593</v>
      </c>
      <c r="W6" s="1">
        <f t="shared" ref="W6:W12" si="3">U6*(D6/1000)</f>
        <v>0.169995513184961</v>
      </c>
      <c r="X6" s="1">
        <f>V6/W6</f>
        <v>0.0208324481073376</v>
      </c>
      <c r="Z6" s="62" t="s">
        <v>20</v>
      </c>
      <c r="AA6" s="1">
        <f>AA4/AA5</f>
        <v>0.111057681897029</v>
      </c>
      <c r="AB6" s="62"/>
    </row>
    <row r="7" spans="1:24">
      <c r="A7" s="19">
        <v>1</v>
      </c>
      <c r="B7" s="13">
        <v>250</v>
      </c>
      <c r="C7" s="14">
        <v>5.96476884780841</v>
      </c>
      <c r="D7" s="15">
        <v>300</v>
      </c>
      <c r="E7" s="16">
        <v>0.003</v>
      </c>
      <c r="F7" s="17">
        <f t="shared" si="0"/>
        <v>3</v>
      </c>
      <c r="G7" s="18" t="s">
        <v>31</v>
      </c>
      <c r="H7" s="8">
        <v>0.24</v>
      </c>
      <c r="I7" s="17">
        <f>H7*D7/1000</f>
        <v>0.072</v>
      </c>
      <c r="J7" s="48">
        <f t="shared" ref="J7:J12" si="4">E7*B7</f>
        <v>0.75</v>
      </c>
      <c r="K7" s="44">
        <f>L6</f>
        <v>99.9</v>
      </c>
      <c r="L7" s="44">
        <v>99.7</v>
      </c>
      <c r="M7" s="48">
        <f>IF(Q7+I7&lt;=N6,Q7+I7)</f>
        <v>96.934</v>
      </c>
      <c r="N7" s="48">
        <f>M7-J7</f>
        <v>96.184</v>
      </c>
      <c r="O7" s="17">
        <f>P6-I7+I6+(D7-D6)/1000</f>
        <v>97.162</v>
      </c>
      <c r="P7" s="17">
        <f t="shared" ref="P7:P12" si="5">O7-J7</f>
        <v>96.412</v>
      </c>
      <c r="Q7" s="17">
        <f>IF(O7-D7/1000&lt;=R6,O7-D7/1000)</f>
        <v>96.862</v>
      </c>
      <c r="R7" s="17">
        <f t="shared" ref="R7:R12" si="6">P7-D7/1000</f>
        <v>96.112</v>
      </c>
      <c r="S7" s="48">
        <f>K7-O7</f>
        <v>2.73800000000001</v>
      </c>
      <c r="T7" s="48">
        <f>L7-P7</f>
        <v>3.28800000000001</v>
      </c>
      <c r="U7" s="1">
        <f t="shared" si="1"/>
        <v>1.02394537609895</v>
      </c>
      <c r="V7" s="1">
        <f t="shared" si="2"/>
        <v>0.0130450257183251</v>
      </c>
      <c r="W7" s="1">
        <f t="shared" si="3"/>
        <v>0.307183612829686</v>
      </c>
      <c r="X7" s="1">
        <f t="shared" ref="X7:X12" si="7">V7/W7</f>
        <v>0.0424665417473222</v>
      </c>
    </row>
    <row r="8" spans="1:27">
      <c r="A8" s="19">
        <v>2</v>
      </c>
      <c r="B8" s="13">
        <v>250</v>
      </c>
      <c r="C8" s="14">
        <v>10.9600960813717</v>
      </c>
      <c r="D8" s="15">
        <v>300</v>
      </c>
      <c r="E8" s="16">
        <v>0.003</v>
      </c>
      <c r="F8" s="17">
        <f t="shared" si="0"/>
        <v>3</v>
      </c>
      <c r="G8" s="18" t="s">
        <v>31</v>
      </c>
      <c r="H8" s="8">
        <v>0.32</v>
      </c>
      <c r="I8" s="17">
        <f t="shared" ref="I8:I12" si="8">H8*D8/1000</f>
        <v>0.096</v>
      </c>
      <c r="J8" s="48">
        <f t="shared" si="4"/>
        <v>0.75</v>
      </c>
      <c r="K8" s="44">
        <f t="shared" ref="K8:K12" si="9">L7</f>
        <v>99.7</v>
      </c>
      <c r="L8" s="44">
        <v>99.6</v>
      </c>
      <c r="M8" s="48">
        <f t="shared" ref="M8:M9" si="10">IF(Q8+I8&lt;=N7,Q8+I8)</f>
        <v>96.184</v>
      </c>
      <c r="N8" s="48">
        <f t="shared" ref="N8:N12" si="11">M8-J8</f>
        <v>95.434</v>
      </c>
      <c r="O8" s="17">
        <f t="shared" ref="O8:O12" si="12">P7-I8+I7+(D8-D7)/1000</f>
        <v>96.388</v>
      </c>
      <c r="P8" s="17">
        <f t="shared" si="5"/>
        <v>95.638</v>
      </c>
      <c r="Q8" s="17">
        <f t="shared" ref="Q8:Q12" si="13">IF(O8-D8/1000&lt;=R7,O8-D8/1000)</f>
        <v>96.088</v>
      </c>
      <c r="R8" s="17">
        <f t="shared" si="6"/>
        <v>95.338</v>
      </c>
      <c r="S8" s="48">
        <f t="shared" ref="S8:S12" si="14">K8-O8</f>
        <v>3.31200000000001</v>
      </c>
      <c r="T8" s="48">
        <f t="shared" ref="T8:T12" si="15">L8-P8</f>
        <v>3.962</v>
      </c>
      <c r="U8" s="1">
        <f t="shared" si="1"/>
        <v>1.20252843335826</v>
      </c>
      <c r="V8" s="1">
        <f t="shared" si="2"/>
        <v>0.0194999760948413</v>
      </c>
      <c r="W8" s="1">
        <f t="shared" si="3"/>
        <v>0.360758530007477</v>
      </c>
      <c r="X8" s="1">
        <f t="shared" si="7"/>
        <v>0.0540527097015201</v>
      </c>
      <c r="Z8" s="1" t="s">
        <v>4</v>
      </c>
      <c r="AA8" s="33">
        <v>0.014</v>
      </c>
    </row>
    <row r="9" spans="1:28">
      <c r="A9" s="19">
        <v>3</v>
      </c>
      <c r="B9" s="13">
        <v>250</v>
      </c>
      <c r="C9" s="14">
        <v>15.8658145104223</v>
      </c>
      <c r="D9" s="15">
        <v>300</v>
      </c>
      <c r="E9" s="16">
        <v>0.003</v>
      </c>
      <c r="F9" s="17">
        <f t="shared" si="0"/>
        <v>3</v>
      </c>
      <c r="G9" s="17">
        <v>0.62</v>
      </c>
      <c r="H9" s="8">
        <v>0.39</v>
      </c>
      <c r="I9" s="17">
        <f t="shared" si="8"/>
        <v>0.117</v>
      </c>
      <c r="J9" s="48">
        <f t="shared" si="4"/>
        <v>0.75</v>
      </c>
      <c r="K9" s="44">
        <f t="shared" si="9"/>
        <v>99.6</v>
      </c>
      <c r="L9" s="44">
        <v>99.5</v>
      </c>
      <c r="M9" s="48">
        <f t="shared" si="10"/>
        <v>95.434</v>
      </c>
      <c r="N9" s="48">
        <f t="shared" si="11"/>
        <v>94.684</v>
      </c>
      <c r="O9" s="17">
        <f t="shared" si="12"/>
        <v>95.617</v>
      </c>
      <c r="P9" s="17">
        <f t="shared" si="5"/>
        <v>94.867</v>
      </c>
      <c r="Q9" s="17">
        <f t="shared" si="13"/>
        <v>95.317</v>
      </c>
      <c r="R9" s="17">
        <f t="shared" si="6"/>
        <v>94.567</v>
      </c>
      <c r="S9" s="48">
        <f t="shared" si="14"/>
        <v>3.983</v>
      </c>
      <c r="T9" s="48">
        <f t="shared" si="15"/>
        <v>4.63300000000001</v>
      </c>
      <c r="U9" s="1">
        <f t="shared" si="1"/>
        <v>1.3489818562981</v>
      </c>
      <c r="V9" s="1">
        <f t="shared" si="2"/>
        <v>0.0255233674009974</v>
      </c>
      <c r="W9" s="1">
        <f t="shared" si="3"/>
        <v>0.404694556889431</v>
      </c>
      <c r="X9" s="1">
        <f t="shared" si="7"/>
        <v>0.063068225076155</v>
      </c>
      <c r="Z9" s="1" t="s">
        <v>32</v>
      </c>
      <c r="AA9" s="33">
        <v>400</v>
      </c>
      <c r="AB9" s="1">
        <f>AA9/1000</f>
        <v>0.4</v>
      </c>
    </row>
    <row r="10" spans="1:27">
      <c r="A10" s="19">
        <v>4</v>
      </c>
      <c r="B10" s="13">
        <v>250</v>
      </c>
      <c r="C10" s="14">
        <v>72.9395593167879</v>
      </c>
      <c r="D10" s="15">
        <v>400</v>
      </c>
      <c r="E10" s="20">
        <f>(($V$2*G10)/((V10/W10)^(2/3)))^2</f>
        <v>0.00315183861092099</v>
      </c>
      <c r="F10" s="17">
        <f t="shared" si="0"/>
        <v>3.15183861092099</v>
      </c>
      <c r="G10" s="17">
        <f>IF(((C10/1000)/V10)&gt;G9,(C10/1000)/V10,G9)</f>
        <v>0.926516204755507</v>
      </c>
      <c r="H10" s="8">
        <f t="shared" ref="H10:H12" si="16">IF(D10&lt;350,0.5,IF(D10&lt;500,0.6,IF(D10&lt;1000,0.675,0.725)))</f>
        <v>0.6</v>
      </c>
      <c r="I10" s="17">
        <f t="shared" si="8"/>
        <v>0.24</v>
      </c>
      <c r="J10" s="48">
        <f t="shared" si="4"/>
        <v>0.787959652730246</v>
      </c>
      <c r="K10" s="44">
        <f t="shared" si="9"/>
        <v>99.5</v>
      </c>
      <c r="L10" s="44">
        <v>99.4</v>
      </c>
      <c r="M10" s="48">
        <f t="shared" ref="M10:M12" si="17">Q10+I10</f>
        <v>94.684</v>
      </c>
      <c r="N10" s="48">
        <f t="shared" si="11"/>
        <v>93.8960403472697</v>
      </c>
      <c r="O10" s="17">
        <f t="shared" si="12"/>
        <v>94.844</v>
      </c>
      <c r="P10" s="17">
        <f t="shared" si="5"/>
        <v>94.0560403472697</v>
      </c>
      <c r="Q10" s="17">
        <f t="shared" si="13"/>
        <v>94.444</v>
      </c>
      <c r="R10" s="17">
        <f t="shared" si="6"/>
        <v>93.6560403472697</v>
      </c>
      <c r="S10" s="48">
        <f t="shared" si="14"/>
        <v>4.65600000000001</v>
      </c>
      <c r="T10" s="48">
        <f t="shared" si="15"/>
        <v>5.34395965273026</v>
      </c>
      <c r="U10" s="1">
        <f t="shared" si="1"/>
        <v>1.77215424758523</v>
      </c>
      <c r="V10" s="1">
        <f t="shared" si="2"/>
        <v>0.0787245370803153</v>
      </c>
      <c r="W10" s="1">
        <f t="shared" si="3"/>
        <v>0.708861699034091</v>
      </c>
      <c r="X10" s="1">
        <f t="shared" si="7"/>
        <v>0.111057681897029</v>
      </c>
      <c r="Z10" s="1" t="s">
        <v>22</v>
      </c>
      <c r="AA10" s="1" t="s">
        <v>33</v>
      </c>
    </row>
    <row r="11" spans="1:28">
      <c r="A11" s="19">
        <v>5</v>
      </c>
      <c r="B11" s="13">
        <v>250</v>
      </c>
      <c r="C11" s="14">
        <v>77.1654182864127</v>
      </c>
      <c r="D11" s="15">
        <v>400</v>
      </c>
      <c r="E11" s="20">
        <f t="shared" ref="E11:E12" si="18">(($V$2*G11)/((V11/W11)^(2/3)))^2</f>
        <v>0.00352763083940341</v>
      </c>
      <c r="F11" s="17">
        <f t="shared" si="0"/>
        <v>3.52763083940341</v>
      </c>
      <c r="G11" s="17">
        <f t="shared" ref="G11:G12" si="19">IF(((C11/1000)/V11)&gt;G10,(C11/1000)/V11,G10)</f>
        <v>0.980195262471827</v>
      </c>
      <c r="H11" s="8">
        <f t="shared" si="16"/>
        <v>0.6</v>
      </c>
      <c r="I11" s="17">
        <f t="shared" si="8"/>
        <v>0.24</v>
      </c>
      <c r="J11" s="48">
        <f t="shared" si="4"/>
        <v>0.881907709850852</v>
      </c>
      <c r="K11" s="44">
        <f t="shared" si="9"/>
        <v>99.4</v>
      </c>
      <c r="L11" s="44">
        <v>99.3</v>
      </c>
      <c r="M11" s="48">
        <f t="shared" si="17"/>
        <v>93.8960403472697</v>
      </c>
      <c r="N11" s="48">
        <f t="shared" si="11"/>
        <v>93.0141326374189</v>
      </c>
      <c r="O11" s="17">
        <f t="shared" si="12"/>
        <v>94.0560403472697</v>
      </c>
      <c r="P11" s="17">
        <f t="shared" si="5"/>
        <v>93.1741326374189</v>
      </c>
      <c r="Q11" s="17">
        <f t="shared" si="13"/>
        <v>93.6560403472697</v>
      </c>
      <c r="R11" s="17">
        <f t="shared" si="6"/>
        <v>92.7741326374189</v>
      </c>
      <c r="S11" s="48">
        <f t="shared" si="14"/>
        <v>5.34395965273026</v>
      </c>
      <c r="T11" s="48">
        <f t="shared" si="15"/>
        <v>6.1258673625811</v>
      </c>
      <c r="U11" s="1">
        <f t="shared" si="1"/>
        <v>1.77215424758523</v>
      </c>
      <c r="V11" s="1">
        <f t="shared" si="2"/>
        <v>0.0787245370803153</v>
      </c>
      <c r="W11" s="1">
        <f t="shared" si="3"/>
        <v>0.708861699034091</v>
      </c>
      <c r="X11" s="1">
        <f t="shared" si="7"/>
        <v>0.111057681897029</v>
      </c>
      <c r="AA11" s="33">
        <v>3.15</v>
      </c>
      <c r="AB11" s="33"/>
    </row>
    <row r="12" spans="1:28">
      <c r="A12" s="19">
        <v>6</v>
      </c>
      <c r="B12" s="13">
        <v>250</v>
      </c>
      <c r="C12" s="14">
        <v>82.6729029931278</v>
      </c>
      <c r="D12" s="15">
        <v>400</v>
      </c>
      <c r="E12" s="20">
        <f t="shared" si="18"/>
        <v>0.0040491519715572</v>
      </c>
      <c r="F12" s="17">
        <f t="shared" si="0"/>
        <v>4.0491519715572</v>
      </c>
      <c r="G12" s="17">
        <f t="shared" si="19"/>
        <v>1.05015419663611</v>
      </c>
      <c r="H12" s="8">
        <f t="shared" si="16"/>
        <v>0.6</v>
      </c>
      <c r="I12" s="17">
        <f t="shared" si="8"/>
        <v>0.24</v>
      </c>
      <c r="J12" s="48">
        <f t="shared" si="4"/>
        <v>1.0122879928893</v>
      </c>
      <c r="K12" s="44">
        <f t="shared" si="9"/>
        <v>99.3</v>
      </c>
      <c r="L12" s="44">
        <v>99.2</v>
      </c>
      <c r="M12" s="48">
        <f t="shared" si="17"/>
        <v>93.0141326374189</v>
      </c>
      <c r="N12" s="48">
        <f t="shared" si="11"/>
        <v>92.0018446445296</v>
      </c>
      <c r="O12" s="17">
        <f t="shared" si="12"/>
        <v>93.1741326374189</v>
      </c>
      <c r="P12" s="17">
        <f t="shared" si="5"/>
        <v>92.1618446445296</v>
      </c>
      <c r="Q12" s="17">
        <f t="shared" si="13"/>
        <v>92.7741326374189</v>
      </c>
      <c r="R12" s="17">
        <f t="shared" si="6"/>
        <v>91.7618446445296</v>
      </c>
      <c r="S12" s="48">
        <f t="shared" si="14"/>
        <v>6.1258673625811</v>
      </c>
      <c r="T12" s="48">
        <f t="shared" si="15"/>
        <v>7.03815535547041</v>
      </c>
      <c r="U12" s="1">
        <f t="shared" si="1"/>
        <v>1.77215424758523</v>
      </c>
      <c r="V12" s="1">
        <f t="shared" si="2"/>
        <v>0.0787245370803153</v>
      </c>
      <c r="W12" s="1">
        <f t="shared" si="3"/>
        <v>0.708861699034091</v>
      </c>
      <c r="X12" s="1">
        <f t="shared" si="7"/>
        <v>0.111057681897029</v>
      </c>
      <c r="AA12" s="1" t="s">
        <v>34</v>
      </c>
      <c r="AB12" s="1" t="s">
        <v>35</v>
      </c>
    </row>
    <row r="13" spans="1:20">
      <c r="A13" s="21" t="s">
        <v>36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58"/>
    </row>
    <row r="14" spans="1:20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59"/>
    </row>
    <row r="15" spans="1:28">
      <c r="A15" s="19" t="str">
        <f>'[1]排水管计算-02'!D2</f>
        <v>街坊管</v>
      </c>
      <c r="B15" s="26">
        <f>'[1]排水管计算-02'!E2</f>
        <v>854.605</v>
      </c>
      <c r="C15" s="27">
        <f>'[1]排水管计算-02'!N2</f>
        <v>40.6949909922896</v>
      </c>
      <c r="D15" s="15">
        <v>400</v>
      </c>
      <c r="E15" s="20">
        <f>(($V$2*G15)/((V15/W15)^(2/3)))^2</f>
        <v>0.000981114320203328</v>
      </c>
      <c r="F15" s="17">
        <f>E15*1000</f>
        <v>0.981114320203328</v>
      </c>
      <c r="G15" s="17">
        <f t="shared" ref="G15:G18" si="20">C15/V15/1000</f>
        <v>0.516928933488327</v>
      </c>
      <c r="H15" s="8">
        <f>IF(D15&lt;350,0.5,IF(D15&lt;500,0.6,IF(D15&lt;1000,0.675,0.725)))</f>
        <v>0.6</v>
      </c>
      <c r="I15" s="17">
        <f>H15*D15/1000</f>
        <v>0.24</v>
      </c>
      <c r="J15" s="48">
        <f>E15*B15</f>
        <v>0.838465203617365</v>
      </c>
      <c r="K15" s="49">
        <f>'[1]排水管计算-02'!O2</f>
        <v>20.1052</v>
      </c>
      <c r="L15" s="44">
        <f>'[1]排水管计算-02'!P2</f>
        <v>19.3765</v>
      </c>
      <c r="M15" s="48">
        <f>Q15+I15</f>
        <v>18.8452</v>
      </c>
      <c r="N15" s="48">
        <f>M15-J15</f>
        <v>18.0067347963826</v>
      </c>
      <c r="O15" s="17">
        <f>K15-S15</f>
        <v>19.0052</v>
      </c>
      <c r="P15" s="17">
        <f>O15-J15</f>
        <v>18.1667347963826</v>
      </c>
      <c r="Q15" s="17">
        <f>O15-D15/1000</f>
        <v>18.6052</v>
      </c>
      <c r="R15" s="17">
        <f>P15-D15/1000</f>
        <v>17.7667347963826</v>
      </c>
      <c r="S15" s="48">
        <f>0.7+D15/1000</f>
        <v>1.1</v>
      </c>
      <c r="T15" s="48">
        <f>L15-P15</f>
        <v>1.20976520361737</v>
      </c>
      <c r="U15" s="1">
        <f>ACOS((D15/2-D15*H15)/(D15/2))</f>
        <v>1.77215424758523</v>
      </c>
      <c r="V15" s="1">
        <f>(U15-SIN(U15)*COS(U15))*((D15/1000)/2)^2</f>
        <v>0.0787245370803153</v>
      </c>
      <c r="W15" s="1">
        <f>U15*(D15/1000)</f>
        <v>0.708861699034091</v>
      </c>
      <c r="X15" s="1">
        <f>V15/W15</f>
        <v>0.111057681897029</v>
      </c>
      <c r="Z15" s="33">
        <v>0.6</v>
      </c>
      <c r="AA15" s="1">
        <f>AB15*AA4*1000</f>
        <v>72.9182817308542</v>
      </c>
      <c r="AB15" s="1">
        <f>(1/AA8)*AA6^(2/3)*(AA11/1000)^(0.5)</f>
        <v>0.926245925796458</v>
      </c>
    </row>
    <row r="16" ht="13.5" customHeight="1" spans="1:24">
      <c r="A16" s="19" t="str">
        <f>'[1]排水管计算-02'!D3</f>
        <v>1-2</v>
      </c>
      <c r="B16" s="26">
        <f>'[1]排水管计算-02'!E3</f>
        <v>959.09</v>
      </c>
      <c r="C16" s="27">
        <f>'[1]排水管计算-02'!N3</f>
        <v>87.0038232141495</v>
      </c>
      <c r="D16" s="15">
        <v>500</v>
      </c>
      <c r="E16" s="20">
        <f>(($V$2*G16)/((V16/W16)^(2/3)))^2</f>
        <v>0.000968280734970657</v>
      </c>
      <c r="F16" s="17">
        <f>E16*1000</f>
        <v>0.968280734970657</v>
      </c>
      <c r="G16" s="17">
        <f t="shared" si="20"/>
        <v>0.616985537458067</v>
      </c>
      <c r="H16" s="8">
        <f>IF(D16&lt;350,0.5,IF(D16&lt;500,0.6,IF(D16&lt;1000,0.675,0.725)))</f>
        <v>0.675</v>
      </c>
      <c r="I16" s="17">
        <f>H16*D16/1000</f>
        <v>0.3375</v>
      </c>
      <c r="J16" s="48">
        <f>E16*B16</f>
        <v>0.928668370103007</v>
      </c>
      <c r="K16" s="49">
        <f>'[1]排水管计算-02'!O3</f>
        <v>19.3765</v>
      </c>
      <c r="L16" s="44">
        <f>'[1]排水管计算-02'!P3</f>
        <v>19.4229</v>
      </c>
      <c r="M16" s="48">
        <f t="shared" ref="M16:M17" si="21">IF(Q16+I16&lt;=N15,Q16+I16)</f>
        <v>18.0067347963826</v>
      </c>
      <c r="N16" s="48">
        <f>M16-J16</f>
        <v>17.0780664262796</v>
      </c>
      <c r="O16" s="17">
        <f>P15-I16+I15+(D16-D15)/1000</f>
        <v>18.1692347963826</v>
      </c>
      <c r="P16" s="17">
        <f>O16-J16</f>
        <v>17.2405664262796</v>
      </c>
      <c r="Q16" s="17">
        <f>IF(O16-D16/1000&lt;=R15,O16-D16/1000)</f>
        <v>17.6692347963826</v>
      </c>
      <c r="R16" s="17">
        <f>P16-D16/1000</f>
        <v>16.7405664262796</v>
      </c>
      <c r="S16" s="48">
        <f>K16-O16</f>
        <v>1.20726520361736</v>
      </c>
      <c r="T16" s="48">
        <f>L16-P16</f>
        <v>2.18233357372037</v>
      </c>
      <c r="U16" s="1">
        <f>ACOS((D16/2-D16*H16)/(D16/2))</f>
        <v>1.92836743044041</v>
      </c>
      <c r="V16" s="1">
        <f>(U16-SIN(U16)*COS(U16))*((D16/1000)/2)^2</f>
        <v>0.14101436408477</v>
      </c>
      <c r="W16" s="1">
        <f>U16*(D16/1000)</f>
        <v>0.964183715220203</v>
      </c>
      <c r="X16" s="1">
        <f>V16/W16</f>
        <v>0.146252588442198</v>
      </c>
    </row>
    <row r="17" spans="1:24">
      <c r="A17" s="19" t="str">
        <f>'[1]排水管计算-02'!D4</f>
        <v>2-3</v>
      </c>
      <c r="B17" s="26">
        <f>'[1]排水管计算-02'!E4</f>
        <v>232.196</v>
      </c>
      <c r="C17" s="27">
        <f>'[1]排水管计算-02'!N4</f>
        <v>97.8500879782223</v>
      </c>
      <c r="D17" s="15">
        <v>500</v>
      </c>
      <c r="E17" s="20">
        <f>(($V$2*G17)/((V17/W17)^(2/3)))^2</f>
        <v>0.00122474889861742</v>
      </c>
      <c r="F17" s="17">
        <f>E17*1000</f>
        <v>1.22474889861742</v>
      </c>
      <c r="G17" s="17">
        <f t="shared" si="20"/>
        <v>0.69390156537103</v>
      </c>
      <c r="H17" s="8">
        <f>IF(D17&lt;350,0.5,IF(D17&lt;500,0.6,IF(D17&lt;1000,0.675,0.725)))</f>
        <v>0.675</v>
      </c>
      <c r="I17" s="17">
        <f>H17*D17/1000</f>
        <v>0.3375</v>
      </c>
      <c r="J17" s="48">
        <f>E17*B17</f>
        <v>0.284381795263372</v>
      </c>
      <c r="K17" s="49">
        <f>'[1]排水管计算-02'!O4</f>
        <v>19.4229</v>
      </c>
      <c r="L17" s="44">
        <f>'[1]排水管计算-02'!P4</f>
        <v>19.4845</v>
      </c>
      <c r="M17" s="48">
        <f t="shared" si="21"/>
        <v>17.0780664262796</v>
      </c>
      <c r="N17" s="48">
        <f>M17-J17</f>
        <v>16.7936846310163</v>
      </c>
      <c r="O17" s="17">
        <f>P16-I17+I16+(D17-D16)/1000</f>
        <v>17.2405664262796</v>
      </c>
      <c r="P17" s="17">
        <f>O17-J17</f>
        <v>16.9561846310163</v>
      </c>
      <c r="Q17" s="17">
        <f>IF(O17-D17/1000&lt;=R16,O17-D17/1000)</f>
        <v>16.7405664262796</v>
      </c>
      <c r="R17" s="17">
        <f>P17-D17/1000</f>
        <v>16.4561846310163</v>
      </c>
      <c r="S17" s="48">
        <f>K17-O17</f>
        <v>2.18233357372037</v>
      </c>
      <c r="T17" s="48">
        <f>L17-P17</f>
        <v>2.52831536898374</v>
      </c>
      <c r="U17" s="1">
        <f>ACOS((D17/2-D17*H17)/(D17/2))</f>
        <v>1.92836743044041</v>
      </c>
      <c r="V17" s="1">
        <f>(U17-SIN(U17)*COS(U17))*((D17/1000)/2)^2</f>
        <v>0.14101436408477</v>
      </c>
      <c r="W17" s="1">
        <f>U17*(D17/1000)</f>
        <v>0.964183715220203</v>
      </c>
      <c r="X17" s="1">
        <f>V17/W17</f>
        <v>0.146252588442198</v>
      </c>
    </row>
    <row r="18" spans="1:24">
      <c r="A18" s="19" t="str">
        <f>'[1]排水管计算-02'!D5</f>
        <v>3-4</v>
      </c>
      <c r="B18" s="26">
        <f>'[1]排水管计算-02'!E5</f>
        <v>209.003</v>
      </c>
      <c r="C18" s="27">
        <f>'[1]排水管计算-02'!N5</f>
        <v>105.458517224421</v>
      </c>
      <c r="D18" s="15">
        <v>500</v>
      </c>
      <c r="E18" s="20">
        <f>(($V$2*G18)/((V18/W18)^(2/3)))^2</f>
        <v>0.00142261681650247</v>
      </c>
      <c r="F18" s="17">
        <f>E18*1000</f>
        <v>1.42261681650247</v>
      </c>
      <c r="G18" s="17">
        <f t="shared" si="20"/>
        <v>0.747856559924811</v>
      </c>
      <c r="H18" s="8">
        <f>IF(D18&lt;350,0.5,IF(D18&lt;500,0.6,IF(D18&lt;1000,0.675,0.725)))</f>
        <v>0.675</v>
      </c>
      <c r="I18" s="17">
        <f>H18*D18/1000</f>
        <v>0.3375</v>
      </c>
      <c r="J18" s="48">
        <f>E18*B18</f>
        <v>0.297331182499467</v>
      </c>
      <c r="K18" s="49">
        <f>'[1]排水管计算-02'!O5</f>
        <v>19.4845</v>
      </c>
      <c r="L18" s="44">
        <f>'[1]排水管计算-02'!P5</f>
        <v>19.457</v>
      </c>
      <c r="M18" s="48">
        <f>Q18+I18</f>
        <v>16.7936846310163</v>
      </c>
      <c r="N18" s="48">
        <f>M18-J18</f>
        <v>16.4963534485168</v>
      </c>
      <c r="O18" s="17">
        <f>P17-I18+I17+(D18-D17)/1000</f>
        <v>16.9561846310163</v>
      </c>
      <c r="P18" s="17">
        <f>O18-J18</f>
        <v>16.6588534485168</v>
      </c>
      <c r="Q18" s="17">
        <f>IF(O18-D18/1000&lt;=R17,O18-D18/1000)</f>
        <v>16.4561846310163</v>
      </c>
      <c r="R18" s="17">
        <f>P18-D18/1000</f>
        <v>16.1588534485168</v>
      </c>
      <c r="S18" s="48">
        <f>K18-O18</f>
        <v>2.52831536898374</v>
      </c>
      <c r="T18" s="48">
        <f>L18-P18</f>
        <v>2.79814655148321</v>
      </c>
      <c r="U18" s="1">
        <f>ACOS((D18/2-D18*H18)/(D18/2))</f>
        <v>1.92836743044041</v>
      </c>
      <c r="V18" s="1">
        <f>(U18-SIN(U18)*COS(U18))*((D18/1000)/2)^2</f>
        <v>0.14101436408477</v>
      </c>
      <c r="W18" s="1">
        <f>U18*(D18/1000)</f>
        <v>0.964183715220203</v>
      </c>
      <c r="X18" s="1">
        <f>V18/W18</f>
        <v>0.146252588442198</v>
      </c>
    </row>
    <row r="19" spans="1:20">
      <c r="A19" s="19"/>
      <c r="B19" s="26"/>
      <c r="C19" s="27"/>
      <c r="D19" s="30"/>
      <c r="E19" s="20"/>
      <c r="F19" s="17"/>
      <c r="G19" s="17"/>
      <c r="H19" s="8"/>
      <c r="I19" s="17"/>
      <c r="J19" s="48"/>
      <c r="K19" s="49"/>
      <c r="L19" s="44"/>
      <c r="M19" s="48"/>
      <c r="N19" s="48"/>
      <c r="O19" s="17"/>
      <c r="P19" s="17"/>
      <c r="Q19" s="17"/>
      <c r="R19" s="17"/>
      <c r="S19" s="48"/>
      <c r="T19" s="48"/>
    </row>
    <row r="20" spans="1:24">
      <c r="A20" s="19" t="str">
        <f>'[1]排水管计算-02'!D8</f>
        <v>街坊管</v>
      </c>
      <c r="B20" s="26">
        <f>'[1]排水管计算-02'!E8</f>
        <v>618.803</v>
      </c>
      <c r="C20" s="27">
        <f>'[1]排水管计算-02'!N8</f>
        <v>83.1689930626839</v>
      </c>
      <c r="D20" s="30">
        <v>200</v>
      </c>
      <c r="E20" s="20">
        <f>(($V$2*G20)/((V20/W20)^(2/3)))^2</f>
        <v>0.50533772061193</v>
      </c>
      <c r="F20" s="17">
        <f t="shared" ref="F20:F29" si="22">E20*1000</f>
        <v>505.33772061193</v>
      </c>
      <c r="G20" s="17">
        <f t="shared" ref="G19:G26" si="23">C20/V20/1000</f>
        <v>6.43865532745498</v>
      </c>
      <c r="H20" s="8">
        <v>0.43</v>
      </c>
      <c r="I20" s="17">
        <f t="shared" ref="I20:I29" si="24">H20*D20/1000</f>
        <v>0.086</v>
      </c>
      <c r="J20" s="48">
        <f t="shared" ref="J20:J29" si="25">E20*B20</f>
        <v>312.704497527824</v>
      </c>
      <c r="K20" s="49">
        <f>'[1]排水管计算-02'!O8</f>
        <v>22.5937</v>
      </c>
      <c r="L20" s="44">
        <f>'[1]排水管计算-02'!P8</f>
        <v>22.3442</v>
      </c>
      <c r="M20" s="48">
        <f>Q20+I20</f>
        <v>0</v>
      </c>
      <c r="N20" s="48">
        <f t="shared" ref="N20:N29" si="26">M20-J20</f>
        <v>-312.704497527824</v>
      </c>
      <c r="O20" s="17">
        <f t="shared" ref="O20:O29" si="27">P19-I20+I19+(D20-D19)/1000</f>
        <v>0.114</v>
      </c>
      <c r="P20" s="17">
        <f t="shared" ref="P20:P29" si="28">O20-J20</f>
        <v>-312.590497527824</v>
      </c>
      <c r="Q20" s="17">
        <f t="shared" ref="Q20:Q23" si="29">IF(O20-D20/1000&lt;=R19,O20-D20/1000)</f>
        <v>-0.086</v>
      </c>
      <c r="R20" s="17">
        <f t="shared" ref="R20:R29" si="30">P20-D20/1000</f>
        <v>-312.790497527824</v>
      </c>
      <c r="S20" s="48">
        <f>K20-O20</f>
        <v>22.4797</v>
      </c>
      <c r="T20" s="48">
        <f t="shared" ref="T20:T29" si="31">L20-P20</f>
        <v>334.934697527824</v>
      </c>
      <c r="U20" s="1">
        <f t="shared" ref="U20:U29" si="32">ACOS((D20/2-D20*H20)/(D20/2))</f>
        <v>1.43033491208504</v>
      </c>
      <c r="V20" s="1">
        <f t="shared" ref="V20:V29" si="33">(U20-SIN(U20)*COS(U20))*((D20/1000)/2)^2</f>
        <v>0.0129171370158679</v>
      </c>
      <c r="W20" s="1">
        <f t="shared" ref="W20:W29" si="34">U20*(D20/1000)</f>
        <v>0.286066982417008</v>
      </c>
      <c r="X20" s="1">
        <f t="shared" ref="X20:X29" si="35">V20/W20</f>
        <v>0.0451542394257798</v>
      </c>
    </row>
    <row r="21" spans="1:24">
      <c r="A21" s="19" t="str">
        <f>'[1]排水管计算-02'!D9</f>
        <v>5-6</v>
      </c>
      <c r="B21" s="26">
        <f>'[1]排水管计算-02'!E9</f>
        <v>141.799</v>
      </c>
      <c r="C21" s="27">
        <f>'[1]排水管计算-02'!N9</f>
        <v>93.4278933144388</v>
      </c>
      <c r="D21" s="30">
        <v>250</v>
      </c>
      <c r="E21" s="20">
        <f>(($V$2*G21)/((V21/W21)^(2/3)))^2</f>
        <v>0.178685322322768</v>
      </c>
      <c r="F21" s="17">
        <f t="shared" si="22"/>
        <v>178.685322322768</v>
      </c>
      <c r="G21" s="17">
        <f t="shared" si="23"/>
        <v>4.49114003284289</v>
      </c>
      <c r="H21" s="8">
        <v>0.44</v>
      </c>
      <c r="I21" s="17">
        <f t="shared" si="24"/>
        <v>0.11</v>
      </c>
      <c r="J21" s="48">
        <f t="shared" si="25"/>
        <v>25.3374000200462</v>
      </c>
      <c r="K21" s="49">
        <f>'[1]排水管计算-02'!O9</f>
        <v>22.3442</v>
      </c>
      <c r="L21" s="44">
        <f>'[1]排水管计算-02'!P9</f>
        <v>22.1925</v>
      </c>
      <c r="M21" s="48">
        <f t="shared" ref="M21:M23" si="36">Q21+I21</f>
        <v>-312.704497527824</v>
      </c>
      <c r="N21" s="48">
        <f t="shared" si="26"/>
        <v>-338.04189754787</v>
      </c>
      <c r="O21" s="17">
        <f t="shared" si="27"/>
        <v>-312.564497527824</v>
      </c>
      <c r="P21" s="17">
        <f t="shared" si="28"/>
        <v>-337.90189754787</v>
      </c>
      <c r="Q21" s="17">
        <f t="shared" si="29"/>
        <v>-312.814497527824</v>
      </c>
      <c r="R21" s="17">
        <f t="shared" si="30"/>
        <v>-338.15189754787</v>
      </c>
      <c r="S21" s="48">
        <f>K21-O21</f>
        <v>334.908697527824</v>
      </c>
      <c r="T21" s="48">
        <f t="shared" si="31"/>
        <v>360.09439754787</v>
      </c>
      <c r="U21" s="1">
        <f t="shared" si="32"/>
        <v>1.45050644440011</v>
      </c>
      <c r="V21" s="1">
        <f t="shared" si="33"/>
        <v>0.0208027121468531</v>
      </c>
      <c r="W21" s="1">
        <f t="shared" si="34"/>
        <v>0.362626611100027</v>
      </c>
      <c r="X21" s="1">
        <f t="shared" si="35"/>
        <v>0.0573667555278088</v>
      </c>
    </row>
    <row r="22" spans="1:24">
      <c r="A22" s="19" t="str">
        <f>'[1]排水管计算-02'!D10</f>
        <v>6-7</v>
      </c>
      <c r="B22" s="26">
        <f>'[1]排水管计算-02'!E10</f>
        <v>204.33</v>
      </c>
      <c r="C22" s="27">
        <f>'[1]排水管计算-02'!N10</f>
        <v>105.100559493247</v>
      </c>
      <c r="D22" s="30">
        <v>300</v>
      </c>
      <c r="E22" s="20">
        <f>(($V$2*G22)/((V22/W22)^(2/3)))^2</f>
        <v>0.0928358043224045</v>
      </c>
      <c r="F22" s="17">
        <f t="shared" si="22"/>
        <v>92.8358043224045</v>
      </c>
      <c r="G22" s="17">
        <f t="shared" si="23"/>
        <v>3.61623165546625</v>
      </c>
      <c r="H22" s="8">
        <v>0.43</v>
      </c>
      <c r="I22" s="17">
        <f t="shared" si="24"/>
        <v>0.129</v>
      </c>
      <c r="J22" s="48">
        <f t="shared" si="25"/>
        <v>18.9691398971969</v>
      </c>
      <c r="K22" s="49">
        <f>'[1]排水管计算-02'!O10</f>
        <v>22.1925</v>
      </c>
      <c r="L22" s="44">
        <f>'[1]排水管计算-02'!P10</f>
        <v>21.952</v>
      </c>
      <c r="M22" s="48">
        <f t="shared" si="36"/>
        <v>-338.04189754787</v>
      </c>
      <c r="N22" s="48">
        <f t="shared" si="26"/>
        <v>-357.011037445067</v>
      </c>
      <c r="O22" s="17">
        <f t="shared" si="27"/>
        <v>-337.87089754787</v>
      </c>
      <c r="P22" s="17">
        <f t="shared" si="28"/>
        <v>-356.840037445067</v>
      </c>
      <c r="Q22" s="17">
        <f t="shared" si="29"/>
        <v>-338.17089754787</v>
      </c>
      <c r="R22" s="17">
        <f t="shared" si="30"/>
        <v>-357.140037445067</v>
      </c>
      <c r="S22" s="48">
        <f>K22-O22</f>
        <v>360.06339754787</v>
      </c>
      <c r="T22" s="48">
        <f t="shared" si="31"/>
        <v>378.792037445067</v>
      </c>
      <c r="U22" s="1">
        <f t="shared" si="32"/>
        <v>1.43033491208504</v>
      </c>
      <c r="V22" s="1">
        <f t="shared" si="33"/>
        <v>0.0290635582857028</v>
      </c>
      <c r="W22" s="1">
        <f t="shared" si="34"/>
        <v>0.429100473625512</v>
      </c>
      <c r="X22" s="1">
        <f t="shared" si="35"/>
        <v>0.0677313591386696</v>
      </c>
    </row>
    <row r="23" spans="1:24">
      <c r="A23" s="19" t="str">
        <f>'[1]排水管计算-02'!D11</f>
        <v>7-8</v>
      </c>
      <c r="B23" s="26">
        <f>'[1]排水管计算-02'!E11</f>
        <v>209.449</v>
      </c>
      <c r="C23" s="27">
        <f>'[1]排水管计算-02'!N11</f>
        <v>112.426185917797</v>
      </c>
      <c r="D23" s="30">
        <v>300</v>
      </c>
      <c r="E23" s="20">
        <f>(($V$2*G23)/((V23/W23)^(2/3)))^2</f>
        <v>0.0627053435083683</v>
      </c>
      <c r="F23" s="17">
        <f t="shared" si="22"/>
        <v>62.7053435083683</v>
      </c>
      <c r="G23" s="17">
        <f t="shared" si="23"/>
        <v>3.1810103505397</v>
      </c>
      <c r="H23" s="8">
        <f t="shared" ref="H23:H33" si="37">IF(D23&lt;350,0.5,IF(D23&lt;500,0.6,IF(D23&lt;1000,0.675,0.725)))</f>
        <v>0.5</v>
      </c>
      <c r="I23" s="17">
        <f t="shared" si="24"/>
        <v>0.15</v>
      </c>
      <c r="J23" s="48">
        <f t="shared" si="25"/>
        <v>13.1335714924842</v>
      </c>
      <c r="K23" s="49">
        <f>'[1]排水管计算-02'!O11</f>
        <v>21.952</v>
      </c>
      <c r="L23" s="44">
        <f>'[1]排水管计算-02'!P11</f>
        <v>21.959</v>
      </c>
      <c r="M23" s="48">
        <f t="shared" ref="M23:M40" si="38">Q23+I23</f>
        <v>-357.011037445067</v>
      </c>
      <c r="N23" s="48">
        <f t="shared" si="26"/>
        <v>-370.144608937552</v>
      </c>
      <c r="O23" s="17">
        <f t="shared" si="27"/>
        <v>-356.861037445067</v>
      </c>
      <c r="P23" s="17">
        <f t="shared" si="28"/>
        <v>-369.994608937552</v>
      </c>
      <c r="Q23" s="17">
        <f t="shared" si="29"/>
        <v>-357.161037445067</v>
      </c>
      <c r="R23" s="17">
        <f t="shared" si="30"/>
        <v>-370.294608937552</v>
      </c>
      <c r="S23" s="48">
        <f>K23-O23</f>
        <v>378.813037445067</v>
      </c>
      <c r="T23" s="48">
        <f t="shared" si="31"/>
        <v>391.953608937552</v>
      </c>
      <c r="U23" s="1">
        <f t="shared" si="32"/>
        <v>1.5707963267949</v>
      </c>
      <c r="V23" s="1">
        <f t="shared" si="33"/>
        <v>0.0353429173528852</v>
      </c>
      <c r="W23" s="1">
        <f t="shared" si="34"/>
        <v>0.471238898038469</v>
      </c>
      <c r="X23" s="1">
        <f t="shared" si="35"/>
        <v>0.075</v>
      </c>
    </row>
    <row r="24" spans="1:24">
      <c r="A24" s="19" t="str">
        <f>'[1]排水管计算-02'!D12</f>
        <v>8-9</v>
      </c>
      <c r="B24" s="26">
        <f>'[1]排水管计算-02'!E12</f>
        <v>152.326</v>
      </c>
      <c r="C24" s="27">
        <f>'[1]排水管计算-02'!N12</f>
        <v>120.065683200368</v>
      </c>
      <c r="D24" s="30">
        <v>300</v>
      </c>
      <c r="E24" s="20">
        <f>(($V$2*G24)/((V24/W24)^(2/3)))^2</f>
        <v>0.0715166872980552</v>
      </c>
      <c r="F24" s="17">
        <f t="shared" si="22"/>
        <v>71.5166872980552</v>
      </c>
      <c r="G24" s="17">
        <f t="shared" si="23"/>
        <v>3.39716390703006</v>
      </c>
      <c r="H24" s="8">
        <f t="shared" si="37"/>
        <v>0.5</v>
      </c>
      <c r="I24" s="17">
        <f t="shared" si="24"/>
        <v>0.15</v>
      </c>
      <c r="J24" s="48">
        <f t="shared" si="25"/>
        <v>10.8938509093636</v>
      </c>
      <c r="K24" s="49">
        <f>'[1]排水管计算-02'!O12</f>
        <v>21.959</v>
      </c>
      <c r="L24" s="44">
        <f>'[1]排水管计算-02'!P12</f>
        <v>21.6768</v>
      </c>
      <c r="M24" s="48">
        <f t="shared" si="38"/>
        <v>-370.144608937552</v>
      </c>
      <c r="N24" s="50">
        <f t="shared" ref="N24:N33" si="39">M24-J24</f>
        <v>-381.038459846915</v>
      </c>
      <c r="O24" s="17">
        <f t="shared" si="27"/>
        <v>-369.994608937552</v>
      </c>
      <c r="P24" s="17">
        <f t="shared" si="28"/>
        <v>-380.888459846915</v>
      </c>
      <c r="Q24" s="17">
        <f t="shared" ref="Q24:Q40" si="40">IF(O24-D24/1000&lt;=R23,O24-D24/1000)</f>
        <v>-370.294608937552</v>
      </c>
      <c r="R24" s="17">
        <f t="shared" si="30"/>
        <v>-381.188459846915</v>
      </c>
      <c r="S24" s="48">
        <f t="shared" ref="S24:S40" si="41">K24-O24</f>
        <v>391.953608937552</v>
      </c>
      <c r="T24" s="50">
        <f t="shared" si="31"/>
        <v>402.565259846915</v>
      </c>
      <c r="U24" s="1">
        <f t="shared" si="32"/>
        <v>1.5707963267949</v>
      </c>
      <c r="V24" s="1">
        <f t="shared" si="33"/>
        <v>0.0353429173528852</v>
      </c>
      <c r="W24" s="1">
        <f t="shared" si="34"/>
        <v>0.471238898038469</v>
      </c>
      <c r="X24" s="1">
        <f t="shared" si="35"/>
        <v>0.075</v>
      </c>
    </row>
    <row r="25" spans="1:24">
      <c r="A25" s="19" t="str">
        <f>'[1]排水管计算-02'!D13</f>
        <v>9-10</v>
      </c>
      <c r="B25" s="26">
        <f>'[1]排水管计算-02'!E13</f>
        <v>157.715</v>
      </c>
      <c r="C25" s="27">
        <f>'[1]排水管计算-02'!N13</f>
        <v>133.376048385888</v>
      </c>
      <c r="D25" s="30">
        <v>300</v>
      </c>
      <c r="E25" s="20">
        <f>(($V$2*G25)/((V25/W25)^(2/3)))^2</f>
        <v>0.0882521488625366</v>
      </c>
      <c r="F25" s="17">
        <f t="shared" si="22"/>
        <v>88.2521488625366</v>
      </c>
      <c r="G25" s="17">
        <f t="shared" si="23"/>
        <v>3.77377020278718</v>
      </c>
      <c r="H25" s="8">
        <f t="shared" si="37"/>
        <v>0.5</v>
      </c>
      <c r="I25" s="17">
        <f t="shared" si="24"/>
        <v>0.15</v>
      </c>
      <c r="J25" s="48">
        <f t="shared" si="25"/>
        <v>13.918687657855</v>
      </c>
      <c r="K25" s="49">
        <f>'[1]排水管计算-02'!O13</f>
        <v>21.6768</v>
      </c>
      <c r="L25" s="44">
        <f>'[1]排水管计算-02'!P13</f>
        <v>21.386</v>
      </c>
      <c r="M25" s="48">
        <f t="shared" si="38"/>
        <v>-381.038459846915</v>
      </c>
      <c r="N25" s="48">
        <f t="shared" si="26"/>
        <v>-394.95714750477</v>
      </c>
      <c r="O25" s="17">
        <f t="shared" si="27"/>
        <v>-380.888459846915</v>
      </c>
      <c r="P25" s="17">
        <f t="shared" si="28"/>
        <v>-394.80714750477</v>
      </c>
      <c r="Q25" s="17">
        <f t="shared" si="40"/>
        <v>-381.188459846915</v>
      </c>
      <c r="R25" s="17">
        <f t="shared" si="30"/>
        <v>-395.10714750477</v>
      </c>
      <c r="S25" s="48">
        <f t="shared" si="41"/>
        <v>402.565259846915</v>
      </c>
      <c r="T25" s="48">
        <f t="shared" si="31"/>
        <v>416.19314750477</v>
      </c>
      <c r="U25" s="1">
        <f t="shared" si="32"/>
        <v>1.5707963267949</v>
      </c>
      <c r="V25" s="1">
        <f t="shared" si="33"/>
        <v>0.0353429173528852</v>
      </c>
      <c r="W25" s="1">
        <f t="shared" si="34"/>
        <v>0.471238898038469</v>
      </c>
      <c r="X25" s="1">
        <f t="shared" si="35"/>
        <v>0.075</v>
      </c>
    </row>
    <row r="26" spans="1:24">
      <c r="A26" s="19" t="str">
        <f>'[1]排水管计算-02'!D14</f>
        <v>10-11</v>
      </c>
      <c r="B26" s="26">
        <f>'[1]排水管计算-02'!E14</f>
        <v>162.784</v>
      </c>
      <c r="C26" s="27">
        <f>'[1]排水管计算-02'!N14</f>
        <v>139.547584633371</v>
      </c>
      <c r="D26" s="30">
        <v>450</v>
      </c>
      <c r="E26" s="20">
        <f>(($V$2*G26)/((V26/W26)^(2/3)))^2</f>
        <v>0.00615557881043439</v>
      </c>
      <c r="F26" s="17">
        <f t="shared" si="22"/>
        <v>6.15557881043439</v>
      </c>
      <c r="G26" s="17">
        <f t="shared" si="23"/>
        <v>1.40057755874441</v>
      </c>
      <c r="H26" s="8">
        <f t="shared" si="37"/>
        <v>0.6</v>
      </c>
      <c r="I26" s="17">
        <f t="shared" si="24"/>
        <v>0.27</v>
      </c>
      <c r="J26" s="48">
        <f t="shared" si="25"/>
        <v>1.00202974107775</v>
      </c>
      <c r="K26" s="49">
        <f>'[1]排水管计算-02'!O14</f>
        <v>21.386</v>
      </c>
      <c r="L26" s="44">
        <f>'[1]排水管计算-02'!P14</f>
        <v>21.0854</v>
      </c>
      <c r="M26" s="48">
        <f>Q26+I26</f>
        <v>-394.95714750477</v>
      </c>
      <c r="N26" s="48">
        <f>M26-J26</f>
        <v>-395.959177245848</v>
      </c>
      <c r="O26" s="17">
        <f>P25-I26+I25+(D26-D25)/1000</f>
        <v>-394.77714750477</v>
      </c>
      <c r="P26" s="17">
        <f>O26-J26</f>
        <v>-395.779177245848</v>
      </c>
      <c r="Q26" s="17">
        <f>IF(O26-D26/1000&lt;=R25,O26-D26/1000)</f>
        <v>-395.22714750477</v>
      </c>
      <c r="R26" s="17">
        <f>P26-D26/1000</f>
        <v>-396.229177245848</v>
      </c>
      <c r="S26" s="48">
        <f>K26-O26</f>
        <v>416.16314750477</v>
      </c>
      <c r="T26" s="48">
        <f>L26-P26</f>
        <v>416.864577245848</v>
      </c>
      <c r="U26" s="1">
        <f>ACOS((D26/2-D26*H26)/(D26/2))</f>
        <v>1.77215424758523</v>
      </c>
      <c r="V26" s="1">
        <f>(U26-SIN(U26)*COS(U26))*((D26/1000)/2)^2</f>
        <v>0.099635742242274</v>
      </c>
      <c r="W26" s="1">
        <f>U26*(D26/1000)</f>
        <v>0.797469411413352</v>
      </c>
      <c r="X26" s="1">
        <f>V26/W26</f>
        <v>0.124939892134157</v>
      </c>
    </row>
    <row r="27" spans="1:24">
      <c r="A27" s="19" t="str">
        <f>'[1]排水管计算-02'!D15</f>
        <v>11-12</v>
      </c>
      <c r="B27" s="26">
        <f>'[1]排水管计算-02'!E15</f>
        <v>160.171</v>
      </c>
      <c r="C27" s="27">
        <f>'[1]排水管计算-02'!N15</f>
        <v>148.067764360864</v>
      </c>
      <c r="D27" s="30">
        <v>150</v>
      </c>
      <c r="E27" s="20">
        <f>(($V$2*G27)/((V27/W27)^(2/3)))^2</f>
        <v>28.586450669314</v>
      </c>
      <c r="F27" s="17">
        <f>E27*1000</f>
        <v>28586.450669314</v>
      </c>
      <c r="G27" s="17">
        <f>C27/V27/1000</f>
        <v>33.2080744403028</v>
      </c>
      <c r="H27" s="8">
        <v>0.3</v>
      </c>
      <c r="I27" s="17">
        <f>H27*D27/1000</f>
        <v>0.045</v>
      </c>
      <c r="J27" s="48">
        <f>E27*B27</f>
        <v>4578.72039015469</v>
      </c>
      <c r="K27" s="49">
        <f>'[1]排水管计算-02'!O15</f>
        <v>21.0854</v>
      </c>
      <c r="L27" s="44">
        <f>'[1]排水管计算-02'!P15</f>
        <v>20.8009</v>
      </c>
      <c r="M27" s="48">
        <f>Q27+J27</f>
        <v>4598.80579015469</v>
      </c>
      <c r="N27" s="48">
        <f t="shared" si="39"/>
        <v>20.0853999999999</v>
      </c>
      <c r="O27" s="17">
        <f>K27-S27</f>
        <v>20.2354</v>
      </c>
      <c r="P27" s="17">
        <f>O27-J27</f>
        <v>-4558.48499015469</v>
      </c>
      <c r="Q27" s="53">
        <f>O27-D27/1000</f>
        <v>20.0854</v>
      </c>
      <c r="R27" s="53">
        <f>P27-D27/1000</f>
        <v>-4558.63499015469</v>
      </c>
      <c r="S27" s="50">
        <f>0.7+D27/1000</f>
        <v>0.85</v>
      </c>
      <c r="T27" s="50">
        <f>L27-P27</f>
        <v>4579.2858901547</v>
      </c>
      <c r="U27" s="1">
        <f>ACOS((D27/2-D27*H27)/(D27/2))</f>
        <v>1.15927948072741</v>
      </c>
      <c r="V27" s="1">
        <f>(U27-SIN(U27)*COS(U27))*((D27/1000)/2)^2</f>
        <v>0.00445878801636154</v>
      </c>
      <c r="W27" s="1">
        <f>U27*(D27/1000)</f>
        <v>0.173891922109111</v>
      </c>
      <c r="X27" s="1">
        <f>V27/W27</f>
        <v>0.0256411451566094</v>
      </c>
    </row>
    <row r="28" spans="1:24">
      <c r="A28" s="19" t="str">
        <f>'[1]排水管计算-02'!D16</f>
        <v>12-13</v>
      </c>
      <c r="B28" s="26">
        <f>'[1]排水管计算-02'!E16</f>
        <v>154.196</v>
      </c>
      <c r="C28" s="27">
        <f>'[1]排水管计算-02'!N16</f>
        <v>155.808415703556</v>
      </c>
      <c r="D28" s="30">
        <v>400</v>
      </c>
      <c r="E28" s="20">
        <f>(($V$2*G28)/((V28/W28)^(2/3)))^2</f>
        <v>0.014382007948918</v>
      </c>
      <c r="F28" s="17">
        <f>E28*1000</f>
        <v>14.382007948918</v>
      </c>
      <c r="G28" s="17">
        <f>C28/V28/1000</f>
        <v>1.97915950327659</v>
      </c>
      <c r="H28" s="8">
        <f t="shared" si="37"/>
        <v>0.6</v>
      </c>
      <c r="I28" s="17">
        <f>H28*D28/1000</f>
        <v>0.24</v>
      </c>
      <c r="J28" s="48">
        <f>E28*B28</f>
        <v>2.21764809769135</v>
      </c>
      <c r="K28" s="49">
        <f>'[1]排水管计算-02'!O16</f>
        <v>20.8009</v>
      </c>
      <c r="L28" s="44">
        <f>'[1]排水管计算-02'!P16</f>
        <v>20.5316</v>
      </c>
      <c r="M28" s="48">
        <f t="shared" si="38"/>
        <v>-4558.58999015469</v>
      </c>
      <c r="N28" s="48">
        <f t="shared" si="39"/>
        <v>-4560.80763825239</v>
      </c>
      <c r="O28" s="17">
        <f>P27-I28+I27+(D28-D27)/1000</f>
        <v>-4558.42999015469</v>
      </c>
      <c r="P28" s="17">
        <f>O28-J28</f>
        <v>-4560.64763825239</v>
      </c>
      <c r="Q28" s="53">
        <f t="shared" si="40"/>
        <v>-4558.82999015469</v>
      </c>
      <c r="R28" s="53">
        <f>P28-D28/1000</f>
        <v>-4561.04763825239</v>
      </c>
      <c r="S28" s="50">
        <f t="shared" si="41"/>
        <v>4579.23089015469</v>
      </c>
      <c r="T28" s="50">
        <f>L28-P28</f>
        <v>4581.17923825239</v>
      </c>
      <c r="U28" s="1">
        <f>ACOS((D28/2-D28*H28)/(D28/2))</f>
        <v>1.77215424758523</v>
      </c>
      <c r="V28" s="1">
        <f>(U28-SIN(U28)*COS(U28))*((D28/1000)/2)^2</f>
        <v>0.0787245370803153</v>
      </c>
      <c r="W28" s="1">
        <f>U28*(D28/1000)</f>
        <v>0.708861699034091</v>
      </c>
      <c r="X28" s="1">
        <f>V28/W28</f>
        <v>0.111057681897029</v>
      </c>
    </row>
    <row r="29" spans="1:24">
      <c r="A29" s="19" t="str">
        <f>'[1]排水管计算-02'!D17</f>
        <v>13-14</v>
      </c>
      <c r="B29" s="26">
        <f>'[1]排水管计算-02'!E17</f>
        <v>152.911</v>
      </c>
      <c r="C29" s="27">
        <f>'[1]排水管计算-02'!N17</f>
        <v>162.658382836807</v>
      </c>
      <c r="D29" s="30">
        <v>450</v>
      </c>
      <c r="E29" s="20">
        <f>(($V$2*G29)/((V29/W29)^(2/3)))^2</f>
        <v>0.0083632898509489</v>
      </c>
      <c r="F29" s="17">
        <f>E29*1000</f>
        <v>8.3632898509489</v>
      </c>
      <c r="G29" s="17">
        <f>C29/V29/1000</f>
        <v>1.63253044716912</v>
      </c>
      <c r="H29" s="8">
        <f t="shared" si="37"/>
        <v>0.6</v>
      </c>
      <c r="I29" s="17">
        <f>H29*D29/1000</f>
        <v>0.27</v>
      </c>
      <c r="J29" s="48">
        <f>E29*B29</f>
        <v>1.27883901439845</v>
      </c>
      <c r="K29" s="49">
        <f>'[1]排水管计算-02'!O17</f>
        <v>20.5316</v>
      </c>
      <c r="L29" s="44">
        <f>'[1]排水管计算-02'!P17</f>
        <v>20.2651</v>
      </c>
      <c r="M29" s="48">
        <f t="shared" si="38"/>
        <v>-4560.80763825239</v>
      </c>
      <c r="N29" s="48">
        <f t="shared" si="39"/>
        <v>-4562.08647726678</v>
      </c>
      <c r="O29" s="17">
        <f>P28-I29+I28+(D29-D28)/1000</f>
        <v>-4560.62763825239</v>
      </c>
      <c r="P29" s="17">
        <f>O29-J29</f>
        <v>-4561.90647726679</v>
      </c>
      <c r="Q29" s="53">
        <f t="shared" si="40"/>
        <v>-4561.07763825239</v>
      </c>
      <c r="R29" s="53">
        <f>P29-D29/1000</f>
        <v>-4562.35647726679</v>
      </c>
      <c r="S29" s="50">
        <f t="shared" si="41"/>
        <v>4581.15923825239</v>
      </c>
      <c r="T29" s="50">
        <f>L29-P29</f>
        <v>4582.17157726678</v>
      </c>
      <c r="U29" s="1">
        <f>ACOS((D29/2-D29*H29)/(D29/2))</f>
        <v>1.77215424758523</v>
      </c>
      <c r="V29" s="1">
        <f>(U29-SIN(U29)*COS(U29))*((D29/1000)/2)^2</f>
        <v>0.099635742242274</v>
      </c>
      <c r="W29" s="1">
        <f>U29*(D29/1000)</f>
        <v>0.797469411413352</v>
      </c>
      <c r="X29" s="1">
        <f>V29/W29</f>
        <v>0.124939892134157</v>
      </c>
    </row>
    <row r="30" spans="1:24">
      <c r="A30" s="19" t="str">
        <f>'[1]排水管计算-02'!D18</f>
        <v>14-15</v>
      </c>
      <c r="B30" s="26">
        <f>'[1]排水管计算-02'!E18</f>
        <v>138.283</v>
      </c>
      <c r="C30" s="27">
        <f>'[1]排水管计算-02'!N18</f>
        <v>168.615513896255</v>
      </c>
      <c r="D30" s="30">
        <v>450</v>
      </c>
      <c r="E30" s="20">
        <f>(($V$2*G30)/((V30/W30)^(2/3)))^2</f>
        <v>0.00898709451762972</v>
      </c>
      <c r="F30" s="17">
        <f>E30*1000</f>
        <v>8.98709451762972</v>
      </c>
      <c r="G30" s="17">
        <f>C30/V30/1000</f>
        <v>1.69231954418777</v>
      </c>
      <c r="H30" s="8">
        <f t="shared" si="37"/>
        <v>0.6</v>
      </c>
      <c r="I30" s="17">
        <f>H30*D30/1000</f>
        <v>0.27</v>
      </c>
      <c r="J30" s="48">
        <f>E30*B30</f>
        <v>1.24276239118139</v>
      </c>
      <c r="K30" s="49">
        <f>'[1]排水管计算-02'!O18</f>
        <v>20.2651</v>
      </c>
      <c r="L30" s="44">
        <f>'[1]排水管计算-02'!P18</f>
        <v>20.0253</v>
      </c>
      <c r="M30" s="48">
        <f t="shared" si="38"/>
        <v>-4562.08647726678</v>
      </c>
      <c r="N30" s="48">
        <f t="shared" si="39"/>
        <v>-4563.32923965797</v>
      </c>
      <c r="O30" s="17">
        <f>P29-I30+I29+(D30-D29)/1000</f>
        <v>-4561.90647726679</v>
      </c>
      <c r="P30" s="17">
        <f>O30-J30</f>
        <v>-4563.14923965797</v>
      </c>
      <c r="Q30" s="53">
        <f t="shared" si="40"/>
        <v>-4562.35647726679</v>
      </c>
      <c r="R30" s="53">
        <f>P30-D30/1000</f>
        <v>-4563.59923965797</v>
      </c>
      <c r="S30" s="50">
        <f t="shared" si="41"/>
        <v>4582.17157726678</v>
      </c>
      <c r="T30" s="50">
        <f>L30-P30</f>
        <v>4583.17453965797</v>
      </c>
      <c r="U30" s="1">
        <f>ACOS((D30/2-D30*H30)/(D30/2))</f>
        <v>1.77215424758523</v>
      </c>
      <c r="V30" s="1">
        <f>(U30-SIN(U30)*COS(U30))*((D30/1000)/2)^2</f>
        <v>0.099635742242274</v>
      </c>
      <c r="W30" s="1">
        <f>U30*(D30/1000)</f>
        <v>0.797469411413352</v>
      </c>
      <c r="X30" s="1">
        <f>V30/W30</f>
        <v>0.124939892134157</v>
      </c>
    </row>
    <row r="31" spans="1:24">
      <c r="A31" s="19" t="str">
        <f>'[1]排水管计算-02'!D19</f>
        <v>15-16</v>
      </c>
      <c r="B31" s="26">
        <f>'[1]排水管计算-02'!E19</f>
        <v>143.043</v>
      </c>
      <c r="C31" s="27">
        <f>'[1]排水管计算-02'!N19</f>
        <v>173.816797912229</v>
      </c>
      <c r="D31" s="30">
        <v>450</v>
      </c>
      <c r="E31" s="20">
        <f>(($V$2*G31)/((V31/W31)^(2/3)))^2</f>
        <v>0.00955009602175954</v>
      </c>
      <c r="F31" s="17">
        <f>E31*1000</f>
        <v>9.55009602175954</v>
      </c>
      <c r="G31" s="17">
        <f>C31/V31/1000</f>
        <v>1.74452253780151</v>
      </c>
      <c r="H31" s="8">
        <f t="shared" si="37"/>
        <v>0.6</v>
      </c>
      <c r="I31" s="17">
        <f>H31*D31/1000</f>
        <v>0.27</v>
      </c>
      <c r="J31" s="48">
        <f>E31*B31</f>
        <v>1.36607438524055</v>
      </c>
      <c r="K31" s="49">
        <f>'[1]排水管计算-02'!O19</f>
        <v>20.0253</v>
      </c>
      <c r="L31" s="44">
        <f>'[1]排水管计算-02'!P19</f>
        <v>19.5063</v>
      </c>
      <c r="M31" s="48">
        <f t="shared" si="38"/>
        <v>-4563.32923965797</v>
      </c>
      <c r="N31" s="48">
        <f t="shared" si="39"/>
        <v>-4564.69531404321</v>
      </c>
      <c r="O31" s="17">
        <f>P30-I31+I30+(D31-D30)/1000</f>
        <v>-4563.14923965797</v>
      </c>
      <c r="P31" s="17">
        <f>O31-J31</f>
        <v>-4564.51531404321</v>
      </c>
      <c r="Q31" s="53">
        <f t="shared" si="40"/>
        <v>-4563.59923965797</v>
      </c>
      <c r="R31" s="53">
        <f>P31-D31/1000</f>
        <v>-4564.96531404321</v>
      </c>
      <c r="S31" s="50">
        <f t="shared" si="41"/>
        <v>4583.17453965797</v>
      </c>
      <c r="T31" s="50">
        <f>L31-P31</f>
        <v>4584.02161404321</v>
      </c>
      <c r="U31" s="1">
        <f>ACOS((D31/2-D31*H31)/(D31/2))</f>
        <v>1.77215424758523</v>
      </c>
      <c r="V31" s="1">
        <f>(U31-SIN(U31)*COS(U31))*((D31/1000)/2)^2</f>
        <v>0.099635742242274</v>
      </c>
      <c r="W31" s="1">
        <f>U31*(D31/1000)</f>
        <v>0.797469411413352</v>
      </c>
      <c r="X31" s="1">
        <f>V31/W31</f>
        <v>0.124939892134157</v>
      </c>
    </row>
    <row r="32" spans="1:20">
      <c r="A32" s="19"/>
      <c r="B32" s="26"/>
      <c r="C32" s="27"/>
      <c r="D32" s="30"/>
      <c r="E32" s="20"/>
      <c r="F32" s="17"/>
      <c r="G32" s="17"/>
      <c r="H32" s="8"/>
      <c r="I32" s="17"/>
      <c r="J32" s="48"/>
      <c r="K32" s="49"/>
      <c r="L32" s="44"/>
      <c r="M32" s="48"/>
      <c r="N32" s="48"/>
      <c r="O32" s="17"/>
      <c r="P32" s="17"/>
      <c r="Q32" s="53"/>
      <c r="R32" s="53"/>
      <c r="S32" s="50"/>
      <c r="T32" s="50"/>
    </row>
    <row r="33" spans="1:24">
      <c r="A33" s="19" t="str">
        <f>'[1]排水管计算-02'!D22</f>
        <v>街坊管</v>
      </c>
      <c r="B33" s="26">
        <f>'[1]排水管计算-02'!E22</f>
        <v>551.616</v>
      </c>
      <c r="C33" s="27">
        <f>'[1]排水管计算-02'!N22</f>
        <v>13.2113275700093</v>
      </c>
      <c r="D33" s="30">
        <v>450</v>
      </c>
      <c r="E33" s="20">
        <f>(($V$2*G33)/((V33/W33)^(2/3)))^2</f>
        <v>5.51718021292198e-5</v>
      </c>
      <c r="F33" s="17">
        <f t="shared" ref="F32:F39" si="42">E33*1000</f>
        <v>0.0551718021292198</v>
      </c>
      <c r="G33" s="17">
        <f t="shared" ref="G32:G39" si="43">C33/V33/1000</f>
        <v>0.132596267892346</v>
      </c>
      <c r="H33" s="8">
        <f t="shared" ref="H33:H39" si="44">IF(D33&lt;350,0.5,IF(D33&lt;500,0.6,IF(D33&lt;1000,0.675,0.725)))</f>
        <v>0.6</v>
      </c>
      <c r="I33" s="17">
        <f t="shared" ref="I32:I39" si="45">H33*D33/1000</f>
        <v>0.27</v>
      </c>
      <c r="J33" s="48">
        <f t="shared" ref="J32:J39" si="46">E33*B33</f>
        <v>0.0304336488033117</v>
      </c>
      <c r="K33" s="49">
        <f>'[1]排水管计算-02'!O22</f>
        <v>21.9585</v>
      </c>
      <c r="L33" s="44">
        <f>'[1]排水管计算-02'!P22</f>
        <v>21.6762</v>
      </c>
      <c r="M33" s="48">
        <f>Q33+I33</f>
        <v>0</v>
      </c>
      <c r="N33" s="48">
        <f t="shared" ref="N33:N39" si="47">M33-J33</f>
        <v>-0.0304336488033117</v>
      </c>
      <c r="O33" s="17">
        <f t="shared" ref="O32:O39" si="48">P32-I33+I32+(D33-D32)/1000</f>
        <v>0.18</v>
      </c>
      <c r="P33" s="17">
        <f t="shared" ref="P32:P39" si="49">O33-J33</f>
        <v>0.149566351196688</v>
      </c>
      <c r="Q33" s="53">
        <f>IF(O33-D33/1000&lt;=R32,O33-D33/1000)</f>
        <v>-0.27</v>
      </c>
      <c r="R33" s="53">
        <f t="shared" ref="R32:R39" si="50">P33-D33/1000</f>
        <v>-0.300433648803312</v>
      </c>
      <c r="S33" s="50">
        <f>K33-O33</f>
        <v>21.7785</v>
      </c>
      <c r="T33" s="50">
        <f t="shared" ref="T32:T39" si="51">L33-P33</f>
        <v>21.5266336488033</v>
      </c>
      <c r="U33" s="1">
        <f t="shared" ref="U32:U39" si="52">ACOS((D33/2-D33*H33)/(D33/2))</f>
        <v>1.77215424758523</v>
      </c>
      <c r="V33" s="1">
        <f t="shared" ref="V32:V39" si="53">(U33-SIN(U33)*COS(U33))*((D33/1000)/2)^2</f>
        <v>0.099635742242274</v>
      </c>
      <c r="W33" s="1">
        <f t="shared" ref="W32:W39" si="54">U33*(D33/1000)</f>
        <v>0.797469411413352</v>
      </c>
      <c r="X33" s="1">
        <f t="shared" ref="X32:X39" si="55">V33/W33</f>
        <v>0.124939892134157</v>
      </c>
    </row>
    <row r="34" spans="1:24">
      <c r="A34" s="19" t="str">
        <f>'[1]排水管计算-02'!D23</f>
        <v>17-18</v>
      </c>
      <c r="B34" s="26">
        <f>'[1]排水管计算-02'!E23</f>
        <v>150.726</v>
      </c>
      <c r="C34" s="27">
        <f>'[1]排水管计算-02'!N23</f>
        <v>20.3735131693726</v>
      </c>
      <c r="D34" s="30">
        <v>450</v>
      </c>
      <c r="E34" s="20">
        <f>(($V$2*G34)/((V34/W34)^(2/3)))^2</f>
        <v>0.000131206725478349</v>
      </c>
      <c r="F34" s="17">
        <f t="shared" si="42"/>
        <v>0.131206725478349</v>
      </c>
      <c r="G34" s="17">
        <f t="shared" si="43"/>
        <v>0.204479965832265</v>
      </c>
      <c r="H34" s="8">
        <f t="shared" si="44"/>
        <v>0.6</v>
      </c>
      <c r="I34" s="17">
        <f t="shared" si="45"/>
        <v>0.27</v>
      </c>
      <c r="J34" s="48">
        <f t="shared" si="46"/>
        <v>0.0197762649044496</v>
      </c>
      <c r="K34" s="49">
        <f>'[1]排水管计算-02'!O23</f>
        <v>21.6762</v>
      </c>
      <c r="L34" s="44">
        <f>'[1]排水管计算-02'!P23</f>
        <v>21.3933</v>
      </c>
      <c r="M34" s="48">
        <f>Q34+I34</f>
        <v>-0.0304336488033117</v>
      </c>
      <c r="N34" s="48">
        <f t="shared" si="47"/>
        <v>-0.0502099137077613</v>
      </c>
      <c r="O34" s="17">
        <f t="shared" si="48"/>
        <v>0.149566351196688</v>
      </c>
      <c r="P34" s="17">
        <f t="shared" si="49"/>
        <v>0.129790086292239</v>
      </c>
      <c r="Q34" s="53">
        <f>IF(O34-D34/1000&lt;=R33,O34-D34/1000)</f>
        <v>-0.300433648803312</v>
      </c>
      <c r="R34" s="53">
        <f t="shared" si="50"/>
        <v>-0.320209913707761</v>
      </c>
      <c r="S34" s="50">
        <f>K34-O34</f>
        <v>21.5266336488033</v>
      </c>
      <c r="T34" s="50">
        <f t="shared" si="51"/>
        <v>21.2635099137078</v>
      </c>
      <c r="U34" s="1">
        <f t="shared" si="52"/>
        <v>1.77215424758523</v>
      </c>
      <c r="V34" s="1">
        <f t="shared" si="53"/>
        <v>0.099635742242274</v>
      </c>
      <c r="W34" s="1">
        <f t="shared" si="54"/>
        <v>0.797469411413352</v>
      </c>
      <c r="X34" s="1">
        <f t="shared" si="55"/>
        <v>0.124939892134157</v>
      </c>
    </row>
    <row r="35" spans="1:24">
      <c r="A35" s="19" t="str">
        <f>'[1]排水管计算-02'!D24</f>
        <v>18-19</v>
      </c>
      <c r="B35" s="26">
        <f>'[1]排水管计算-02'!E24</f>
        <v>160.473</v>
      </c>
      <c r="C35" s="27">
        <f>'[1]排水管计算-02'!N24</f>
        <v>27.517497355149</v>
      </c>
      <c r="D35" s="30">
        <v>450</v>
      </c>
      <c r="E35" s="20">
        <f>(($V$2*G35)/((V35/W35)^(2/3)))^2</f>
        <v>0.000239354785578724</v>
      </c>
      <c r="F35" s="17">
        <f t="shared" si="42"/>
        <v>0.239354785578724</v>
      </c>
      <c r="G35" s="17">
        <f t="shared" si="43"/>
        <v>0.276180984211846</v>
      </c>
      <c r="H35" s="8">
        <f t="shared" si="44"/>
        <v>0.6</v>
      </c>
      <c r="I35" s="17">
        <f t="shared" si="45"/>
        <v>0.27</v>
      </c>
      <c r="J35" s="48">
        <f t="shared" si="46"/>
        <v>0.0384099805061745</v>
      </c>
      <c r="K35" s="49">
        <f>'[1]排水管计算-02'!O24</f>
        <v>21.3933</v>
      </c>
      <c r="L35" s="44">
        <f>'[1]排水管计算-02'!P24</f>
        <v>21.0758</v>
      </c>
      <c r="M35" s="48">
        <f>Q35+I35</f>
        <v>-0.0502099137077613</v>
      </c>
      <c r="N35" s="48">
        <f t="shared" si="47"/>
        <v>-0.0886198942139358</v>
      </c>
      <c r="O35" s="17">
        <f t="shared" si="48"/>
        <v>0.129790086292239</v>
      </c>
      <c r="P35" s="17">
        <f t="shared" si="49"/>
        <v>0.0913801057860642</v>
      </c>
      <c r="Q35" s="53">
        <f>IF(O35-D35/1000&lt;=R34,O35-D35/1000)</f>
        <v>-0.320209913707761</v>
      </c>
      <c r="R35" s="53">
        <f t="shared" si="50"/>
        <v>-0.358619894213936</v>
      </c>
      <c r="S35" s="50">
        <f>K35-O35</f>
        <v>21.2635099137078</v>
      </c>
      <c r="T35" s="50">
        <f t="shared" si="51"/>
        <v>20.9844198942139</v>
      </c>
      <c r="U35" s="1">
        <f t="shared" si="52"/>
        <v>1.77215424758523</v>
      </c>
      <c r="V35" s="1">
        <f t="shared" si="53"/>
        <v>0.099635742242274</v>
      </c>
      <c r="W35" s="1">
        <f t="shared" si="54"/>
        <v>0.797469411413352</v>
      </c>
      <c r="X35" s="1">
        <f t="shared" si="55"/>
        <v>0.124939892134157</v>
      </c>
    </row>
    <row r="36" spans="1:24">
      <c r="A36" s="19" t="str">
        <f>'[1]排水管计算-02'!D25</f>
        <v>19-20</v>
      </c>
      <c r="B36" s="26">
        <f>'[1]排水管计算-02'!E25</f>
        <v>161.617</v>
      </c>
      <c r="C36" s="27">
        <f>'[1]排水管计算-02'!N25</f>
        <v>34.4662096482055</v>
      </c>
      <c r="D36" s="30">
        <v>450</v>
      </c>
      <c r="E36" s="20">
        <f>(($V$2*G36)/((V36/W36)^(2/3)))^2</f>
        <v>0.000375501173847192</v>
      </c>
      <c r="F36" s="17">
        <f t="shared" si="42"/>
        <v>0.375501173847192</v>
      </c>
      <c r="G36" s="17">
        <f t="shared" si="43"/>
        <v>0.345922144729926</v>
      </c>
      <c r="H36" s="8">
        <f t="shared" si="44"/>
        <v>0.6</v>
      </c>
      <c r="I36" s="17">
        <f t="shared" si="45"/>
        <v>0.27</v>
      </c>
      <c r="J36" s="48">
        <f t="shared" si="46"/>
        <v>0.0606873732136616</v>
      </c>
      <c r="K36" s="49">
        <f>'[1]排水管计算-02'!O25</f>
        <v>21.0758</v>
      </c>
      <c r="L36" s="44">
        <f>'[1]排水管计算-02'!P25</f>
        <v>20.7344</v>
      </c>
      <c r="M36" s="48">
        <f>Q36+I36</f>
        <v>-0.0886198942139358</v>
      </c>
      <c r="N36" s="48">
        <f t="shared" si="47"/>
        <v>-0.149307267427597</v>
      </c>
      <c r="O36" s="17">
        <f t="shared" si="48"/>
        <v>0.0913801057860642</v>
      </c>
      <c r="P36" s="17">
        <f t="shared" si="49"/>
        <v>0.0306927325724025</v>
      </c>
      <c r="Q36" s="53">
        <f>IF(O36-D36/1000&lt;=R35,O36-D36/1000)</f>
        <v>-0.358619894213936</v>
      </c>
      <c r="R36" s="53">
        <f t="shared" si="50"/>
        <v>-0.419307267427597</v>
      </c>
      <c r="S36" s="50">
        <f>K36-O36</f>
        <v>20.9844198942139</v>
      </c>
      <c r="T36" s="50">
        <f t="shared" si="51"/>
        <v>20.7037072674276</v>
      </c>
      <c r="U36" s="1">
        <f t="shared" si="52"/>
        <v>1.77215424758523</v>
      </c>
      <c r="V36" s="1">
        <f t="shared" si="53"/>
        <v>0.099635742242274</v>
      </c>
      <c r="W36" s="1">
        <f t="shared" si="54"/>
        <v>0.797469411413352</v>
      </c>
      <c r="X36" s="1">
        <f t="shared" si="55"/>
        <v>0.124939892134157</v>
      </c>
    </row>
    <row r="37" spans="1:24">
      <c r="A37" s="19" t="str">
        <f>'[1]排水管计算-02'!D26</f>
        <v>20-21</v>
      </c>
      <c r="B37" s="26">
        <f>'[1]排水管计算-02'!E26</f>
        <v>154.895</v>
      </c>
      <c r="C37" s="27">
        <f>'[1]排水管计算-02'!N26</f>
        <v>40.7759770701679</v>
      </c>
      <c r="D37" s="30">
        <v>450</v>
      </c>
      <c r="E37" s="20">
        <f>(($V$2*G37)/((V37/W37)^(2/3)))^2</f>
        <v>0.000525572945085265</v>
      </c>
      <c r="F37" s="17">
        <f t="shared" si="42"/>
        <v>0.525572945085265</v>
      </c>
      <c r="G37" s="17">
        <f t="shared" si="43"/>
        <v>0.409250497386943</v>
      </c>
      <c r="H37" s="8">
        <f t="shared" si="44"/>
        <v>0.6</v>
      </c>
      <c r="I37" s="17">
        <f t="shared" si="45"/>
        <v>0.27</v>
      </c>
      <c r="J37" s="48">
        <f t="shared" si="46"/>
        <v>0.0814086213289822</v>
      </c>
      <c r="K37" s="49">
        <f>'[1]排水管计算-02'!O26</f>
        <v>20.7344</v>
      </c>
      <c r="L37" s="44">
        <f>'[1]排水管计算-02'!P26</f>
        <v>20.5342</v>
      </c>
      <c r="M37" s="48">
        <f>Q37+I37</f>
        <v>-0.149307267427597</v>
      </c>
      <c r="N37" s="48">
        <f t="shared" si="47"/>
        <v>-0.23071588875658</v>
      </c>
      <c r="O37" s="17">
        <f t="shared" si="48"/>
        <v>0.0306927325724025</v>
      </c>
      <c r="P37" s="17">
        <f t="shared" si="49"/>
        <v>-0.0507158887565797</v>
      </c>
      <c r="Q37" s="53">
        <f>IF(O37-D37/1000&lt;=R36,O37-D37/1000)</f>
        <v>-0.419307267427597</v>
      </c>
      <c r="R37" s="53">
        <f t="shared" si="50"/>
        <v>-0.50071588875658</v>
      </c>
      <c r="S37" s="50">
        <f>K37-O37</f>
        <v>20.7037072674276</v>
      </c>
      <c r="T37" s="50">
        <f t="shared" si="51"/>
        <v>20.5849158887566</v>
      </c>
      <c r="U37" s="1">
        <f t="shared" si="52"/>
        <v>1.77215424758523</v>
      </c>
      <c r="V37" s="1">
        <f t="shared" si="53"/>
        <v>0.099635742242274</v>
      </c>
      <c r="W37" s="1">
        <f t="shared" si="54"/>
        <v>0.797469411413352</v>
      </c>
      <c r="X37" s="1">
        <f t="shared" si="55"/>
        <v>0.124939892134157</v>
      </c>
    </row>
    <row r="38" spans="1:24">
      <c r="A38" s="19" t="str">
        <f>'[1]排水管计算-02'!D27</f>
        <v>21-22</v>
      </c>
      <c r="B38" s="26">
        <f>'[1]排水管计算-02'!E27</f>
        <v>146.025</v>
      </c>
      <c r="C38" s="27">
        <f>'[1]排水管计算-02'!N27</f>
        <v>46.5073606913765</v>
      </c>
      <c r="D38" s="30">
        <v>450</v>
      </c>
      <c r="E38" s="20">
        <f>(($V$2*G38)/((V38/W38)^(2/3)))^2</f>
        <v>0.000683703236772702</v>
      </c>
      <c r="F38" s="17">
        <f t="shared" si="42"/>
        <v>0.683703236772702</v>
      </c>
      <c r="G38" s="17">
        <f t="shared" si="43"/>
        <v>0.466773866935114</v>
      </c>
      <c r="H38" s="8">
        <f t="shared" si="44"/>
        <v>0.6</v>
      </c>
      <c r="I38" s="17">
        <f t="shared" si="45"/>
        <v>0.27</v>
      </c>
      <c r="J38" s="48">
        <f t="shared" si="46"/>
        <v>0.0998377651497338</v>
      </c>
      <c r="K38" s="49">
        <f>'[1]排水管计算-02'!O27</f>
        <v>20.5342</v>
      </c>
      <c r="L38" s="44">
        <f>'[1]排水管计算-02'!P27</f>
        <v>20.2906</v>
      </c>
      <c r="M38" s="48">
        <f>Q38+I38</f>
        <v>-0.23071588875658</v>
      </c>
      <c r="N38" s="50">
        <f t="shared" si="47"/>
        <v>-0.330553653906313</v>
      </c>
      <c r="O38" s="17">
        <f t="shared" si="48"/>
        <v>-0.0507158887565797</v>
      </c>
      <c r="P38" s="17">
        <f t="shared" si="49"/>
        <v>-0.150553653906313</v>
      </c>
      <c r="Q38" s="53">
        <f>IF(O38-D38/1000&lt;=R37,O38-D38/1000)</f>
        <v>-0.50071588875658</v>
      </c>
      <c r="R38" s="53">
        <f t="shared" si="50"/>
        <v>-0.600553653906313</v>
      </c>
      <c r="S38" s="50">
        <f>K38-O38</f>
        <v>20.5849158887566</v>
      </c>
      <c r="T38" s="50">
        <f t="shared" si="51"/>
        <v>20.4411536539063</v>
      </c>
      <c r="U38" s="1">
        <f t="shared" si="52"/>
        <v>1.77215424758523</v>
      </c>
      <c r="V38" s="1">
        <f t="shared" si="53"/>
        <v>0.099635742242274</v>
      </c>
      <c r="W38" s="1">
        <f t="shared" si="54"/>
        <v>0.797469411413352</v>
      </c>
      <c r="X38" s="1">
        <f t="shared" si="55"/>
        <v>0.124939892134157</v>
      </c>
    </row>
    <row r="39" spans="1:24">
      <c r="A39" s="19" t="str">
        <f>'[1]排水管计算-02'!D28</f>
        <v>22-23</v>
      </c>
      <c r="B39" s="26">
        <f>'[1]排水管计算-02'!E28</f>
        <v>161.408</v>
      </c>
      <c r="C39" s="27">
        <f>'[1]排水管计算-02'!N28</f>
        <v>52.9792722152733</v>
      </c>
      <c r="D39" s="30">
        <v>450</v>
      </c>
      <c r="E39" s="20">
        <f>(($V$2*G39)/((V39/W39)^(2/3)))^2</f>
        <v>0.000887230012373061</v>
      </c>
      <c r="F39" s="17">
        <f t="shared" si="42"/>
        <v>0.887230012373061</v>
      </c>
      <c r="G39" s="17">
        <f t="shared" si="43"/>
        <v>0.531729588428709</v>
      </c>
      <c r="H39" s="8">
        <f t="shared" si="44"/>
        <v>0.6</v>
      </c>
      <c r="I39" s="17">
        <f t="shared" si="45"/>
        <v>0.27</v>
      </c>
      <c r="J39" s="48">
        <f t="shared" si="46"/>
        <v>0.143206021837111</v>
      </c>
      <c r="K39" s="49">
        <f>'[1]排水管计算-02'!O28</f>
        <v>20.2906</v>
      </c>
      <c r="L39" s="44">
        <f>'[1]排水管计算-02'!P28</f>
        <v>20.0253</v>
      </c>
      <c r="M39" s="48">
        <f>Q39+I39</f>
        <v>-0.330553653906313</v>
      </c>
      <c r="N39" s="48">
        <f t="shared" si="47"/>
        <v>-0.473759675743424</v>
      </c>
      <c r="O39" s="17">
        <f t="shared" si="48"/>
        <v>-0.150553653906313</v>
      </c>
      <c r="P39" s="17">
        <f t="shared" si="49"/>
        <v>-0.293759675743424</v>
      </c>
      <c r="Q39" s="53">
        <f>IF(O39-D39/1000&lt;=R38,O39-D39/1000)</f>
        <v>-0.600553653906313</v>
      </c>
      <c r="R39" s="53">
        <f t="shared" si="50"/>
        <v>-0.743759675743424</v>
      </c>
      <c r="S39" s="50">
        <f>K39-O39</f>
        <v>20.4411536539063</v>
      </c>
      <c r="T39" s="50">
        <f t="shared" si="51"/>
        <v>20.3190596757434</v>
      </c>
      <c r="U39" s="1">
        <f t="shared" si="52"/>
        <v>1.77215424758523</v>
      </c>
      <c r="V39" s="1">
        <f t="shared" si="53"/>
        <v>0.099635742242274</v>
      </c>
      <c r="W39" s="1">
        <f t="shared" si="54"/>
        <v>0.797469411413352</v>
      </c>
      <c r="X39" s="1">
        <f t="shared" si="55"/>
        <v>0.124939892134157</v>
      </c>
    </row>
    <row r="40" spans="1:24">
      <c r="A40" s="19" t="str">
        <f>'[1]排水管计算-02'!D29</f>
        <v>23-24</v>
      </c>
      <c r="B40" s="26">
        <f>'[1]排水管计算-02'!E29</f>
        <v>137.831</v>
      </c>
      <c r="C40" s="27">
        <f>'[1]排水管计算-02'!N29</f>
        <v>58.3415301799957</v>
      </c>
      <c r="E40" s="20" t="e">
        <f>(($V$2*G40)/((V40/W40)^(2/3)))^2</f>
        <v>#DIV/0!</v>
      </c>
      <c r="F40" s="17" t="e">
        <f>E40*1000</f>
        <v>#DIV/0!</v>
      </c>
      <c r="G40" s="17" t="e">
        <f>C40/V40/1000</f>
        <v>#DIV/0!</v>
      </c>
      <c r="H40" s="8">
        <f>IF(D40&lt;350,0.5,IF(D40&lt;500,0.6,IF(D40&lt;1000,0.675,0.725)))</f>
        <v>0.5</v>
      </c>
      <c r="I40" s="17">
        <f>H40*D40/1000</f>
        <v>0</v>
      </c>
      <c r="J40" s="48" t="e">
        <f>E40*B40</f>
        <v>#DIV/0!</v>
      </c>
      <c r="K40" s="49">
        <f>'[1]排水管计算-02'!O29</f>
        <v>20.0253</v>
      </c>
      <c r="L40" s="44">
        <f>'[1]排水管计算-02'!P29</f>
        <v>19.5435</v>
      </c>
      <c r="M40" s="48">
        <f>Q40+I40</f>
        <v>0</v>
      </c>
      <c r="N40" s="48" t="e">
        <f>M40-J40</f>
        <v>#DIV/0!</v>
      </c>
      <c r="O40" s="17">
        <f>P39-I40+I39+(D40-D39)/1000</f>
        <v>-0.473759675743424</v>
      </c>
      <c r="P40" s="17" t="e">
        <f>O40-J40</f>
        <v>#DIV/0!</v>
      </c>
      <c r="Q40" s="53" t="b">
        <f>IF(O40-D40/1000&lt;=R39,O40-D40/1000)</f>
        <v>0</v>
      </c>
      <c r="R40" s="53" t="e">
        <f>P40-D40/1000</f>
        <v>#DIV/0!</v>
      </c>
      <c r="S40" s="50">
        <f>K40-O40</f>
        <v>20.4990596757434</v>
      </c>
      <c r="T40" s="50" t="e">
        <f>L40-P40</f>
        <v>#DIV/0!</v>
      </c>
      <c r="U40" s="1" t="e">
        <f>ACOS((D40/2-D40*H40)/(D40/2))</f>
        <v>#DIV/0!</v>
      </c>
      <c r="V40" s="1" t="e">
        <f>(U40-SIN(U40)*COS(U40))*((D40/1000)/2)^2</f>
        <v>#DIV/0!</v>
      </c>
      <c r="W40" s="1" t="e">
        <f>U40*(D40/1000)</f>
        <v>#DIV/0!</v>
      </c>
      <c r="X40" s="1" t="e">
        <f>V40/W40</f>
        <v>#DIV/0!</v>
      </c>
    </row>
    <row r="41" spans="1:20">
      <c r="A41" s="19"/>
      <c r="B41" s="26"/>
      <c r="C41" s="27"/>
      <c r="D41" s="30"/>
      <c r="E41" s="20"/>
      <c r="F41" s="17"/>
      <c r="G41" s="17"/>
      <c r="H41" s="8"/>
      <c r="I41" s="17"/>
      <c r="J41" s="48"/>
      <c r="K41" s="49"/>
      <c r="L41" s="44"/>
      <c r="M41" s="48"/>
      <c r="N41" s="50"/>
      <c r="O41" s="53"/>
      <c r="P41" s="53"/>
      <c r="Q41" s="53"/>
      <c r="R41" s="53"/>
      <c r="S41" s="50"/>
      <c r="T41" s="50"/>
    </row>
    <row r="42" spans="1:24">
      <c r="A42" s="19" t="str">
        <f>'[1]排水管计算-02'!D32</f>
        <v>街坊管</v>
      </c>
      <c r="B42" s="26">
        <f>'[1]排水管计算-02'!E32</f>
        <v>542.57</v>
      </c>
      <c r="C42" s="27">
        <f>'[1]排水管计算-02'!N32</f>
        <v>16.2761453336187</v>
      </c>
      <c r="D42" s="30">
        <v>300</v>
      </c>
      <c r="E42" s="20">
        <f>(($V$2*G42)/((V42/W42)^(2/3)))^2</f>
        <v>0.00530270067215022</v>
      </c>
      <c r="F42" s="17">
        <f t="shared" ref="F41:F57" si="56">E42*1000</f>
        <v>5.30270067215022</v>
      </c>
      <c r="G42" s="17">
        <f t="shared" ref="G41:G53" si="57">C42/V42/1000</f>
        <v>0.768010871274162</v>
      </c>
      <c r="H42" s="8">
        <v>0.34</v>
      </c>
      <c r="I42" s="17">
        <f t="shared" ref="I41:I57" si="58">H42*D42/1000</f>
        <v>0.102</v>
      </c>
      <c r="J42" s="48">
        <f t="shared" ref="J41:J57" si="59">E42*B42</f>
        <v>2.87708630368854</v>
      </c>
      <c r="K42" s="49">
        <f>'[1]排水管计算-02'!O32</f>
        <v>22.6087</v>
      </c>
      <c r="L42" s="44">
        <f>'[1]排水管计算-02'!P32</f>
        <v>22.244</v>
      </c>
      <c r="M42" s="48">
        <f t="shared" ref="M42:M53" si="60">Q42+I42</f>
        <v>0</v>
      </c>
      <c r="N42" s="50">
        <f t="shared" ref="N41:N57" si="61">M42-J42</f>
        <v>-2.87708630368854</v>
      </c>
      <c r="O42" s="53">
        <f t="shared" ref="O41:O57" si="62">P41-I42+I41+(D42-D41)/1000</f>
        <v>0.198</v>
      </c>
      <c r="P42" s="53">
        <f t="shared" ref="P41:P57" si="63">O42-J42</f>
        <v>-2.67908630368854</v>
      </c>
      <c r="Q42" s="53">
        <f t="shared" ref="Q41:Q57" si="64">IF(O42-D42/1000&lt;=R41,O42-D42/1000)</f>
        <v>-0.102</v>
      </c>
      <c r="R42" s="53">
        <f t="shared" ref="R41:R57" si="65">P42-D42/1000</f>
        <v>-2.97908630368854</v>
      </c>
      <c r="S42" s="50">
        <f t="shared" ref="S41:S57" si="66">K42-O42</f>
        <v>22.4107</v>
      </c>
      <c r="T42" s="50">
        <f t="shared" ref="T41:T57" si="67">L42-P42</f>
        <v>24.9230863036885</v>
      </c>
      <c r="U42" s="1">
        <f t="shared" ref="U41:U57" si="68">ACOS((D42/2-D42*H42)/(D42/2))</f>
        <v>1.24506683950027</v>
      </c>
      <c r="V42" s="1">
        <f t="shared" ref="V41:V57" si="69">(U42-SIN(U42)*COS(U42))*((D42/1000)/2)^2</f>
        <v>0.0211925975821356</v>
      </c>
      <c r="W42" s="1">
        <f t="shared" ref="W41:W57" si="70">U42*(D42/1000)</f>
        <v>0.37352005185008</v>
      </c>
      <c r="X42" s="1">
        <f t="shared" ref="X41:X57" si="71">V42/W42</f>
        <v>0.0567375097459071</v>
      </c>
    </row>
    <row r="43" spans="1:24">
      <c r="A43" s="19" t="str">
        <f>'[1]排水管计算-02'!D33</f>
        <v>25-26</v>
      </c>
      <c r="B43" s="26">
        <f>'[1]排水管计算-02'!E33</f>
        <v>221.236</v>
      </c>
      <c r="C43" s="27">
        <f>'[1]排水管计算-02'!N33</f>
        <v>32.2514889137752</v>
      </c>
      <c r="D43" s="30">
        <v>300</v>
      </c>
      <c r="E43" s="20">
        <f>(($V$2*G43)/((V43/W43)^(2/3)))^2</f>
        <v>0.00376047314022702</v>
      </c>
      <c r="F43" s="17">
        <f t="shared" si="56"/>
        <v>3.76047314022701</v>
      </c>
      <c r="G43" s="17">
        <f t="shared" si="57"/>
        <v>0.809618681008694</v>
      </c>
      <c r="H43" s="8">
        <v>0.55</v>
      </c>
      <c r="I43" s="17">
        <f t="shared" si="58"/>
        <v>0.165</v>
      </c>
      <c r="J43" s="48">
        <f t="shared" si="59"/>
        <v>0.831952035651264</v>
      </c>
      <c r="K43" s="49">
        <f>'[1]排水管计算-02'!O33</f>
        <v>22.244</v>
      </c>
      <c r="L43" s="44">
        <f>'[1]排水管计算-02'!P33</f>
        <v>21.944</v>
      </c>
      <c r="M43" s="48">
        <f t="shared" si="60"/>
        <v>-2.87708630368854</v>
      </c>
      <c r="N43" s="50">
        <f t="shared" si="61"/>
        <v>-3.70903833933981</v>
      </c>
      <c r="O43" s="53">
        <f t="shared" si="62"/>
        <v>-2.74208630368854</v>
      </c>
      <c r="P43" s="53">
        <f t="shared" si="63"/>
        <v>-3.57403833933981</v>
      </c>
      <c r="Q43" s="53">
        <f t="shared" si="64"/>
        <v>-3.04208630368854</v>
      </c>
      <c r="R43" s="53">
        <f t="shared" si="65"/>
        <v>-3.87403833933981</v>
      </c>
      <c r="S43" s="50">
        <f t="shared" si="66"/>
        <v>24.9860863036885</v>
      </c>
      <c r="T43" s="50">
        <f t="shared" si="67"/>
        <v>25.5180383393398</v>
      </c>
      <c r="U43" s="1">
        <f t="shared" si="68"/>
        <v>1.67096374795646</v>
      </c>
      <c r="V43" s="1">
        <f t="shared" si="69"/>
        <v>0.0398354060625102</v>
      </c>
      <c r="W43" s="1">
        <f t="shared" si="70"/>
        <v>0.501289124386937</v>
      </c>
      <c r="X43" s="1">
        <f t="shared" si="71"/>
        <v>0.0794659291905201</v>
      </c>
    </row>
    <row r="44" spans="1:24">
      <c r="A44" s="19" t="str">
        <f>'[1]排水管计算-02'!D34</f>
        <v>26-27</v>
      </c>
      <c r="B44" s="26">
        <f>'[1]排水管计算-02'!E34</f>
        <v>152.889</v>
      </c>
      <c r="C44" s="27">
        <f>'[1]排水管计算-02'!N34</f>
        <v>46.8281236582852</v>
      </c>
      <c r="D44" s="30">
        <v>350</v>
      </c>
      <c r="E44" s="20">
        <f>(($V$2*G44)/((V44/W44)^(2/3)))^2</f>
        <v>0.00328768746225399</v>
      </c>
      <c r="F44" s="17">
        <f t="shared" si="56"/>
        <v>3.28768746225399</v>
      </c>
      <c r="G44" s="17">
        <f t="shared" si="57"/>
        <v>0.844694219033002</v>
      </c>
      <c r="H44" s="8">
        <v>0.56</v>
      </c>
      <c r="I44" s="17">
        <f t="shared" si="58"/>
        <v>0.196</v>
      </c>
      <c r="J44" s="48">
        <f t="shared" si="59"/>
        <v>0.50265124841655</v>
      </c>
      <c r="K44" s="49">
        <f>'[1]排水管计算-02'!O34</f>
        <v>21.944</v>
      </c>
      <c r="L44" s="44">
        <f>'[1]排水管计算-02'!P34</f>
        <v>21.9086</v>
      </c>
      <c r="M44" s="48">
        <f t="shared" si="60"/>
        <v>-3.70903833933981</v>
      </c>
      <c r="N44" s="50">
        <f t="shared" si="61"/>
        <v>-4.21168958775636</v>
      </c>
      <c r="O44" s="53">
        <f t="shared" si="62"/>
        <v>-3.55503833933981</v>
      </c>
      <c r="P44" s="53">
        <f t="shared" si="63"/>
        <v>-4.05768958775636</v>
      </c>
      <c r="Q44" s="53">
        <f t="shared" si="64"/>
        <v>-3.90503833933981</v>
      </c>
      <c r="R44" s="53">
        <f t="shared" si="65"/>
        <v>-4.40768958775636</v>
      </c>
      <c r="S44" s="50">
        <f t="shared" si="66"/>
        <v>25.4990383393398</v>
      </c>
      <c r="T44" s="50">
        <f t="shared" si="67"/>
        <v>25.9662895877564</v>
      </c>
      <c r="U44" s="1">
        <f t="shared" si="68"/>
        <v>1.69108620918968</v>
      </c>
      <c r="V44" s="1">
        <f t="shared" si="69"/>
        <v>0.0554379592083554</v>
      </c>
      <c r="W44" s="1">
        <f t="shared" si="70"/>
        <v>0.59188017321639</v>
      </c>
      <c r="X44" s="1">
        <f t="shared" si="71"/>
        <v>0.0936641599381425</v>
      </c>
    </row>
    <row r="45" spans="1:24">
      <c r="A45" s="19" t="str">
        <f>'[1]排水管计算-02'!D35</f>
        <v>27-28</v>
      </c>
      <c r="B45" s="26">
        <f>'[1]排水管计算-02'!E35</f>
        <v>152.334</v>
      </c>
      <c r="C45" s="27">
        <f>'[1]排水管计算-02'!N35</f>
        <v>56.6677519322625</v>
      </c>
      <c r="D45" s="30">
        <v>350</v>
      </c>
      <c r="E45" s="20">
        <f>(($V$2*G45)/((V45/W45)^(2/3)))^2</f>
        <v>0.00387793078485189</v>
      </c>
      <c r="F45" s="17">
        <f t="shared" si="56"/>
        <v>3.87793078485189</v>
      </c>
      <c r="G45" s="17">
        <f t="shared" si="57"/>
        <v>0.940177302743922</v>
      </c>
      <c r="H45" s="8">
        <f t="shared" ref="H41:H53" si="72">IF(D45&lt;350,0.5,IF(D45&lt;500,0.6,IF(D45&lt;1000,0.675,0.725)))</f>
        <v>0.6</v>
      </c>
      <c r="I45" s="17">
        <f t="shared" si="58"/>
        <v>0.21</v>
      </c>
      <c r="J45" s="48">
        <f t="shared" si="59"/>
        <v>0.590740708179627</v>
      </c>
      <c r="K45" s="49">
        <f>'[1]排水管计算-02'!O35</f>
        <v>21.9086</v>
      </c>
      <c r="L45" s="44">
        <f>'[1]排水管计算-02'!P35</f>
        <v>21.6409</v>
      </c>
      <c r="M45" s="48">
        <f t="shared" si="60"/>
        <v>-4.21168958775636</v>
      </c>
      <c r="N45" s="50">
        <f t="shared" si="61"/>
        <v>-4.80243029593598</v>
      </c>
      <c r="O45" s="53">
        <f t="shared" si="62"/>
        <v>-4.07168958775636</v>
      </c>
      <c r="P45" s="53">
        <f t="shared" si="63"/>
        <v>-4.66243029593598</v>
      </c>
      <c r="Q45" s="53">
        <f t="shared" si="64"/>
        <v>-4.42168958775636</v>
      </c>
      <c r="R45" s="53">
        <f t="shared" si="65"/>
        <v>-5.01243029593598</v>
      </c>
      <c r="S45" s="50">
        <f t="shared" si="66"/>
        <v>25.9802895877564</v>
      </c>
      <c r="T45" s="50">
        <f t="shared" si="67"/>
        <v>26.303330295936</v>
      </c>
      <c r="U45" s="1">
        <f t="shared" si="68"/>
        <v>1.77215424758523</v>
      </c>
      <c r="V45" s="1">
        <f t="shared" si="69"/>
        <v>0.0602734737021164</v>
      </c>
      <c r="W45" s="1">
        <f t="shared" si="70"/>
        <v>0.62025398665483</v>
      </c>
      <c r="X45" s="1">
        <f t="shared" si="71"/>
        <v>0.0971754716599</v>
      </c>
    </row>
    <row r="46" spans="1:24">
      <c r="A46" s="19" t="str">
        <f>'[1]排水管计算-02'!D36</f>
        <v>28-29</v>
      </c>
      <c r="B46" s="26">
        <f>'[1]排水管计算-02'!E36</f>
        <v>149.161</v>
      </c>
      <c r="C46" s="27">
        <f>'[1]排水管计算-02'!N36</f>
        <v>64.0716769243907</v>
      </c>
      <c r="D46" s="30">
        <v>350</v>
      </c>
      <c r="E46" s="20">
        <f>(($V$2*G46)/((V46/W46)^(2/3)))^2</f>
        <v>0.00495747196271176</v>
      </c>
      <c r="F46" s="17">
        <f t="shared" si="56"/>
        <v>4.95747196271176</v>
      </c>
      <c r="G46" s="17">
        <f t="shared" si="57"/>
        <v>1.0630161659679</v>
      </c>
      <c r="H46" s="8">
        <f t="shared" si="72"/>
        <v>0.6</v>
      </c>
      <c r="I46" s="17">
        <f t="shared" si="58"/>
        <v>0.21</v>
      </c>
      <c r="J46" s="48">
        <f t="shared" si="59"/>
        <v>0.739461475430049</v>
      </c>
      <c r="K46" s="49">
        <f>'[1]排水管计算-02'!O36</f>
        <v>21.6409</v>
      </c>
      <c r="L46" s="44">
        <f>'[1]排水管计算-02'!P36</f>
        <v>21.3659</v>
      </c>
      <c r="M46" s="48">
        <f t="shared" si="60"/>
        <v>-4.80243029593598</v>
      </c>
      <c r="N46" s="50">
        <f t="shared" si="61"/>
        <v>-5.54189177136603</v>
      </c>
      <c r="O46" s="53">
        <f t="shared" si="62"/>
        <v>-4.66243029593598</v>
      </c>
      <c r="P46" s="53">
        <f t="shared" si="63"/>
        <v>-5.40189177136603</v>
      </c>
      <c r="Q46" s="53">
        <f t="shared" si="64"/>
        <v>-5.01243029593598</v>
      </c>
      <c r="R46" s="53">
        <f t="shared" si="65"/>
        <v>-5.75189177136603</v>
      </c>
      <c r="S46" s="50">
        <f t="shared" si="66"/>
        <v>26.303330295936</v>
      </c>
      <c r="T46" s="50">
        <f t="shared" si="67"/>
        <v>26.767791771366</v>
      </c>
      <c r="U46" s="1">
        <f t="shared" si="68"/>
        <v>1.77215424758523</v>
      </c>
      <c r="V46" s="1">
        <f t="shared" si="69"/>
        <v>0.0602734737021164</v>
      </c>
      <c r="W46" s="1">
        <f t="shared" si="70"/>
        <v>0.62025398665483</v>
      </c>
      <c r="X46" s="1">
        <f t="shared" si="71"/>
        <v>0.0971754716599</v>
      </c>
    </row>
    <row r="47" spans="1:24">
      <c r="A47" s="19" t="str">
        <f>'[1]排水管计算-02'!D37</f>
        <v>29-30</v>
      </c>
      <c r="B47" s="26">
        <f>'[1]排水管计算-02'!E37</f>
        <v>163.906</v>
      </c>
      <c r="C47" s="27">
        <f>'[1]排水管计算-02'!N37</f>
        <v>72.9178121762496</v>
      </c>
      <c r="D47" s="30">
        <v>350</v>
      </c>
      <c r="E47" s="20">
        <f>(($V$2*G47)/((V47/W47)^(2/3)))^2</f>
        <v>0.00642089169397807</v>
      </c>
      <c r="F47" s="17">
        <f t="shared" si="56"/>
        <v>6.42089169397807</v>
      </c>
      <c r="G47" s="17">
        <f t="shared" si="57"/>
        <v>1.2097828065564</v>
      </c>
      <c r="H47" s="8">
        <f t="shared" si="72"/>
        <v>0.6</v>
      </c>
      <c r="I47" s="17">
        <f t="shared" si="58"/>
        <v>0.21</v>
      </c>
      <c r="J47" s="48">
        <f t="shared" si="59"/>
        <v>1.05242267399317</v>
      </c>
      <c r="K47" s="49">
        <f>'[1]排水管计算-02'!O37</f>
        <v>21.3659</v>
      </c>
      <c r="L47" s="44">
        <f>'[1]排水管计算-02'!P37</f>
        <v>21.0992</v>
      </c>
      <c r="M47" s="48">
        <f t="shared" si="60"/>
        <v>-5.54189177136603</v>
      </c>
      <c r="N47" s="50">
        <f t="shared" si="61"/>
        <v>-6.5943144453592</v>
      </c>
      <c r="O47" s="53">
        <f t="shared" si="62"/>
        <v>-5.40189177136603</v>
      </c>
      <c r="P47" s="53">
        <f t="shared" si="63"/>
        <v>-6.4543144453592</v>
      </c>
      <c r="Q47" s="53">
        <f t="shared" si="64"/>
        <v>-5.75189177136603</v>
      </c>
      <c r="R47" s="53">
        <f t="shared" si="65"/>
        <v>-6.8043144453592</v>
      </c>
      <c r="S47" s="50">
        <f t="shared" si="66"/>
        <v>26.767791771366</v>
      </c>
      <c r="T47" s="50">
        <f t="shared" si="67"/>
        <v>27.5535144453592</v>
      </c>
      <c r="U47" s="1">
        <f t="shared" si="68"/>
        <v>1.77215424758523</v>
      </c>
      <c r="V47" s="1">
        <f t="shared" si="69"/>
        <v>0.0602734737021164</v>
      </c>
      <c r="W47" s="1">
        <f t="shared" si="70"/>
        <v>0.62025398665483</v>
      </c>
      <c r="X47" s="1">
        <f t="shared" si="71"/>
        <v>0.0971754716599</v>
      </c>
    </row>
    <row r="48" spans="1:24">
      <c r="A48" s="19" t="str">
        <f>'[1]排水管计算-02'!D38</f>
        <v>30-31</v>
      </c>
      <c r="B48" s="26">
        <f>'[1]排水管计算-02'!E38</f>
        <v>143.795</v>
      </c>
      <c r="C48" s="27">
        <f>'[1]排水管计算-02'!N38</f>
        <v>79.7675244862422</v>
      </c>
      <c r="D48" s="30">
        <v>350</v>
      </c>
      <c r="E48" s="20">
        <f>(($V$2*G48)/((V48/W48)^(2/3)))^2</f>
        <v>0.0076838753996363</v>
      </c>
      <c r="F48" s="17">
        <f t="shared" si="56"/>
        <v>7.6838753996363</v>
      </c>
      <c r="G48" s="17">
        <f t="shared" si="57"/>
        <v>1.3234267014453</v>
      </c>
      <c r="H48" s="8">
        <f t="shared" si="72"/>
        <v>0.6</v>
      </c>
      <c r="I48" s="17">
        <f t="shared" si="58"/>
        <v>0.21</v>
      </c>
      <c r="J48" s="48">
        <f t="shared" si="59"/>
        <v>1.1049028630907</v>
      </c>
      <c r="K48" s="49">
        <f>'[1]排水管计算-02'!O38</f>
        <v>21.0992</v>
      </c>
      <c r="L48" s="44">
        <f>'[1]排水管计算-02'!P38</f>
        <v>20.8691</v>
      </c>
      <c r="M48" s="48">
        <f t="shared" si="60"/>
        <v>-6.5943144453592</v>
      </c>
      <c r="N48" s="50">
        <f t="shared" si="61"/>
        <v>-7.6992173084499</v>
      </c>
      <c r="O48" s="53">
        <f t="shared" si="62"/>
        <v>-6.4543144453592</v>
      </c>
      <c r="P48" s="53">
        <f t="shared" si="63"/>
        <v>-7.55921730844991</v>
      </c>
      <c r="Q48" s="53">
        <f t="shared" si="64"/>
        <v>-6.8043144453592</v>
      </c>
      <c r="R48" s="53">
        <f t="shared" si="65"/>
        <v>-7.90921730844991</v>
      </c>
      <c r="S48" s="50">
        <f t="shared" si="66"/>
        <v>27.5535144453592</v>
      </c>
      <c r="T48" s="50">
        <f t="shared" si="67"/>
        <v>28.4283173084499</v>
      </c>
      <c r="U48" s="1">
        <f t="shared" si="68"/>
        <v>1.77215424758523</v>
      </c>
      <c r="V48" s="1">
        <f t="shared" si="69"/>
        <v>0.0602734737021164</v>
      </c>
      <c r="W48" s="1">
        <f t="shared" si="70"/>
        <v>0.62025398665483</v>
      </c>
      <c r="X48" s="1">
        <f t="shared" si="71"/>
        <v>0.0971754716599</v>
      </c>
    </row>
    <row r="49" spans="1:24">
      <c r="A49" s="19" t="str">
        <f>'[1]排水管计算-02'!D39</f>
        <v>31-32</v>
      </c>
      <c r="B49" s="26">
        <f>'[1]排水管计算-02'!E39</f>
        <v>146.315</v>
      </c>
      <c r="C49" s="27">
        <f>'[1]排水管计算-02'!N39</f>
        <v>86.9970438283894</v>
      </c>
      <c r="D49" s="30">
        <v>350</v>
      </c>
      <c r="E49" s="20">
        <f>(($V$2*G49)/((V49/W49)^(2/3)))^2</f>
        <v>0.00913980807423267</v>
      </c>
      <c r="F49" s="17">
        <f t="shared" si="56"/>
        <v>9.13980807423267</v>
      </c>
      <c r="G49" s="17">
        <f t="shared" si="57"/>
        <v>1.44337199243479</v>
      </c>
      <c r="H49" s="8">
        <f t="shared" si="72"/>
        <v>0.6</v>
      </c>
      <c r="I49" s="17">
        <f t="shared" si="58"/>
        <v>0.21</v>
      </c>
      <c r="J49" s="48">
        <f t="shared" si="59"/>
        <v>1.33729101838135</v>
      </c>
      <c r="K49" s="49">
        <f>'[1]排水管计算-02'!O39</f>
        <v>20.8691</v>
      </c>
      <c r="L49" s="44">
        <f>'[1]排水管计算-02'!P39</f>
        <v>20.657</v>
      </c>
      <c r="M49" s="48">
        <f t="shared" si="60"/>
        <v>-7.69921730844991</v>
      </c>
      <c r="N49" s="50">
        <f t="shared" si="61"/>
        <v>-9.03650832683126</v>
      </c>
      <c r="O49" s="53">
        <f t="shared" si="62"/>
        <v>-7.55921730844991</v>
      </c>
      <c r="P49" s="53">
        <f t="shared" si="63"/>
        <v>-8.89650832683126</v>
      </c>
      <c r="Q49" s="53">
        <f t="shared" si="64"/>
        <v>-7.90921730844991</v>
      </c>
      <c r="R49" s="53">
        <f t="shared" si="65"/>
        <v>-9.24650832683126</v>
      </c>
      <c r="S49" s="50">
        <f t="shared" si="66"/>
        <v>28.4283173084499</v>
      </c>
      <c r="T49" s="50">
        <f t="shared" si="67"/>
        <v>29.5535083268313</v>
      </c>
      <c r="U49" s="1">
        <f t="shared" si="68"/>
        <v>1.77215424758523</v>
      </c>
      <c r="V49" s="1">
        <f t="shared" si="69"/>
        <v>0.0602734737021164</v>
      </c>
      <c r="W49" s="1">
        <f t="shared" si="70"/>
        <v>0.62025398665483</v>
      </c>
      <c r="X49" s="1">
        <f t="shared" si="71"/>
        <v>0.0971754716599</v>
      </c>
    </row>
    <row r="50" spans="1:24">
      <c r="A50" s="19" t="str">
        <f>'[1]排水管计算-02'!D40</f>
        <v>32-33</v>
      </c>
      <c r="B50" s="26">
        <f>'[1]排水管计算-02'!E40</f>
        <v>113.786</v>
      </c>
      <c r="C50" s="27">
        <f>'[1]排水管计算-02'!N40</f>
        <v>91.7930819854576</v>
      </c>
      <c r="D50" s="30">
        <v>350</v>
      </c>
      <c r="E50" s="20">
        <f>(($V$2*G50)/((V50/W50)^(2/3)))^2</f>
        <v>0.0101753179491964</v>
      </c>
      <c r="F50" s="17">
        <f t="shared" si="56"/>
        <v>10.1753179491964</v>
      </c>
      <c r="G50" s="17">
        <f t="shared" si="57"/>
        <v>1.52294328412392</v>
      </c>
      <c r="H50" s="8">
        <f t="shared" si="72"/>
        <v>0.6</v>
      </c>
      <c r="I50" s="17">
        <f t="shared" si="58"/>
        <v>0.21</v>
      </c>
      <c r="J50" s="48">
        <f t="shared" si="59"/>
        <v>1.15780872816726</v>
      </c>
      <c r="K50" s="49">
        <f>'[1]排水管计算-02'!O40</f>
        <v>20.657</v>
      </c>
      <c r="L50" s="44">
        <f>'[1]排水管计算-02'!P40</f>
        <v>20.497</v>
      </c>
      <c r="M50" s="48">
        <f t="shared" si="60"/>
        <v>-9.03650832683126</v>
      </c>
      <c r="N50" s="50">
        <f t="shared" si="61"/>
        <v>-10.1943170549985</v>
      </c>
      <c r="O50" s="53">
        <f t="shared" si="62"/>
        <v>-8.89650832683126</v>
      </c>
      <c r="P50" s="53">
        <f t="shared" si="63"/>
        <v>-10.0543170549985</v>
      </c>
      <c r="Q50" s="53">
        <f t="shared" si="64"/>
        <v>-9.24650832683126</v>
      </c>
      <c r="R50" s="53">
        <f t="shared" si="65"/>
        <v>-10.4043170549985</v>
      </c>
      <c r="S50" s="50">
        <f t="shared" si="66"/>
        <v>29.5535083268313</v>
      </c>
      <c r="T50" s="50">
        <f t="shared" si="67"/>
        <v>30.5513170549985</v>
      </c>
      <c r="U50" s="1">
        <f t="shared" si="68"/>
        <v>1.77215424758523</v>
      </c>
      <c r="V50" s="1">
        <f t="shared" si="69"/>
        <v>0.0602734737021164</v>
      </c>
      <c r="W50" s="1">
        <f t="shared" si="70"/>
        <v>0.62025398665483</v>
      </c>
      <c r="X50" s="1">
        <f t="shared" si="71"/>
        <v>0.0971754716599</v>
      </c>
    </row>
    <row r="51" spans="1:24">
      <c r="A51" s="19" t="str">
        <f>'[1]排水管计算-02'!D41</f>
        <v>33-34</v>
      </c>
      <c r="B51" s="26">
        <f>'[1]排水管计算-02'!E41</f>
        <v>107.125</v>
      </c>
      <c r="C51" s="27">
        <f>'[1]排水管计算-02'!N41</f>
        <v>98.5175641514402</v>
      </c>
      <c r="D51" s="30">
        <v>350</v>
      </c>
      <c r="E51" s="20">
        <f>(($V$2*G51)/((V51/W51)^(2/3)))^2</f>
        <v>0.0117207503565516</v>
      </c>
      <c r="F51" s="17">
        <f t="shared" si="56"/>
        <v>11.7207503565516</v>
      </c>
      <c r="G51" s="17">
        <f t="shared" si="57"/>
        <v>1.63450947988055</v>
      </c>
      <c r="H51" s="8">
        <f t="shared" si="72"/>
        <v>0.6</v>
      </c>
      <c r="I51" s="17">
        <f t="shared" si="58"/>
        <v>0.21</v>
      </c>
      <c r="J51" s="48">
        <f t="shared" si="59"/>
        <v>1.25558538194559</v>
      </c>
      <c r="K51" s="49">
        <f>'[1]排水管计算-02'!O41</f>
        <v>20.497</v>
      </c>
      <c r="L51" s="44">
        <f>'[1]排水管计算-02'!P41</f>
        <v>20.3573</v>
      </c>
      <c r="M51" s="48">
        <f t="shared" si="60"/>
        <v>-10.1943170549985</v>
      </c>
      <c r="N51" s="50">
        <f t="shared" si="61"/>
        <v>-11.4499024369441</v>
      </c>
      <c r="O51" s="53">
        <f t="shared" si="62"/>
        <v>-10.0543170549985</v>
      </c>
      <c r="P51" s="53">
        <f t="shared" si="63"/>
        <v>-11.3099024369441</v>
      </c>
      <c r="Q51" s="53">
        <f t="shared" si="64"/>
        <v>-10.4043170549985</v>
      </c>
      <c r="R51" s="53">
        <f t="shared" si="65"/>
        <v>-11.6599024369441</v>
      </c>
      <c r="S51" s="50">
        <f t="shared" si="66"/>
        <v>30.5513170549985</v>
      </c>
      <c r="T51" s="50">
        <f t="shared" si="67"/>
        <v>31.6672024369441</v>
      </c>
      <c r="U51" s="1">
        <f t="shared" si="68"/>
        <v>1.77215424758523</v>
      </c>
      <c r="V51" s="1">
        <f t="shared" si="69"/>
        <v>0.0602734737021164</v>
      </c>
      <c r="W51" s="1">
        <f t="shared" si="70"/>
        <v>0.62025398665483</v>
      </c>
      <c r="X51" s="1">
        <f t="shared" si="71"/>
        <v>0.0971754716599</v>
      </c>
    </row>
    <row r="52" spans="1:24">
      <c r="A52" s="19" t="str">
        <f>'[1]排水管计算-02'!D42</f>
        <v>34-35</v>
      </c>
      <c r="B52" s="26">
        <f>'[1]排水管计算-02'!E42</f>
        <v>177.93</v>
      </c>
      <c r="C52" s="27">
        <f>'[1]排水管计算-02'!N42</f>
        <v>106.538930082046</v>
      </c>
      <c r="D52" s="30">
        <v>350</v>
      </c>
      <c r="E52" s="20">
        <f>(($V$2*G52)/((V52/W52)^(2/3)))^2</f>
        <v>0.0137070736812379</v>
      </c>
      <c r="F52" s="17">
        <f t="shared" si="56"/>
        <v>13.7070736812379</v>
      </c>
      <c r="G52" s="17">
        <f t="shared" si="57"/>
        <v>1.76759233437553</v>
      </c>
      <c r="H52" s="8">
        <f t="shared" si="72"/>
        <v>0.6</v>
      </c>
      <c r="I52" s="17">
        <f t="shared" si="58"/>
        <v>0.21</v>
      </c>
      <c r="J52" s="48">
        <f t="shared" si="59"/>
        <v>2.43889962010266</v>
      </c>
      <c r="K52" s="49">
        <f>'[1]排水管计算-02'!O42</f>
        <v>20.3573</v>
      </c>
      <c r="L52" s="44">
        <f>'[1]排水管计算-02'!P42</f>
        <v>20.1386</v>
      </c>
      <c r="M52" s="48">
        <f t="shared" si="60"/>
        <v>-11.4499024369441</v>
      </c>
      <c r="N52" s="50">
        <f t="shared" si="61"/>
        <v>-13.8888020570468</v>
      </c>
      <c r="O52" s="53">
        <f t="shared" si="62"/>
        <v>-11.3099024369441</v>
      </c>
      <c r="P52" s="53">
        <f t="shared" si="63"/>
        <v>-13.7488020570468</v>
      </c>
      <c r="Q52" s="53">
        <f t="shared" si="64"/>
        <v>-11.6599024369441</v>
      </c>
      <c r="R52" s="53">
        <f t="shared" si="65"/>
        <v>-14.0988020570468</v>
      </c>
      <c r="S52" s="50">
        <f t="shared" si="66"/>
        <v>31.6672024369441</v>
      </c>
      <c r="T52" s="50">
        <f t="shared" si="67"/>
        <v>33.8874020570468</v>
      </c>
      <c r="U52" s="1">
        <f t="shared" si="68"/>
        <v>1.77215424758523</v>
      </c>
      <c r="V52" s="1">
        <f t="shared" si="69"/>
        <v>0.0602734737021164</v>
      </c>
      <c r="W52" s="1">
        <f t="shared" si="70"/>
        <v>0.62025398665483</v>
      </c>
      <c r="X52" s="1">
        <f t="shared" si="71"/>
        <v>0.0971754716599</v>
      </c>
    </row>
    <row r="53" spans="1:24">
      <c r="A53" s="19" t="str">
        <f>'[1]排水管计算-02'!D43</f>
        <v>35-36</v>
      </c>
      <c r="B53" s="26">
        <f>'[1]排水管计算-02'!E43</f>
        <v>178.978</v>
      </c>
      <c r="C53" s="27">
        <f>'[1]排水管计算-02'!N43</f>
        <v>113.937811739998</v>
      </c>
      <c r="D53" s="30">
        <v>350</v>
      </c>
      <c r="E53" s="20">
        <f>(($V$2*G53)/((V53/W53)^(2/3)))^2</f>
        <v>0.0156770315973857</v>
      </c>
      <c r="F53" s="17">
        <f t="shared" si="56"/>
        <v>15.6770315973857</v>
      </c>
      <c r="G53" s="17">
        <f t="shared" si="57"/>
        <v>1.89034752340808</v>
      </c>
      <c r="H53" s="8">
        <f t="shared" si="72"/>
        <v>0.6</v>
      </c>
      <c r="I53" s="17">
        <f t="shared" si="58"/>
        <v>0.21</v>
      </c>
      <c r="J53" s="48">
        <f t="shared" si="59"/>
        <v>2.8058437612369</v>
      </c>
      <c r="K53" s="49">
        <f>'[1]排水管计算-02'!O43</f>
        <v>20.1386</v>
      </c>
      <c r="L53" s="44">
        <f>'[1]排水管计算-02'!P43</f>
        <v>19.8844</v>
      </c>
      <c r="M53" s="48">
        <f t="shared" si="60"/>
        <v>-13.8888020570468</v>
      </c>
      <c r="N53" s="50">
        <f t="shared" si="61"/>
        <v>-16.6946458182837</v>
      </c>
      <c r="O53" s="53">
        <f t="shared" si="62"/>
        <v>-13.7488020570468</v>
      </c>
      <c r="P53" s="53">
        <f t="shared" si="63"/>
        <v>-16.5546458182837</v>
      </c>
      <c r="Q53" s="53">
        <f t="shared" si="64"/>
        <v>-14.0988020570468</v>
      </c>
      <c r="R53" s="53">
        <f t="shared" si="65"/>
        <v>-16.9046458182837</v>
      </c>
      <c r="S53" s="50">
        <f t="shared" si="66"/>
        <v>33.8874020570468</v>
      </c>
      <c r="T53" s="50">
        <f t="shared" si="67"/>
        <v>36.4390458182837</v>
      </c>
      <c r="U53" s="1">
        <f t="shared" si="68"/>
        <v>1.77215424758523</v>
      </c>
      <c r="V53" s="1">
        <f t="shared" si="69"/>
        <v>0.0602734737021164</v>
      </c>
      <c r="W53" s="1">
        <f t="shared" si="70"/>
        <v>0.62025398665483</v>
      </c>
      <c r="X53" s="1">
        <f t="shared" si="71"/>
        <v>0.0971754716599</v>
      </c>
    </row>
    <row r="54" spans="1:24">
      <c r="A54" s="19" t="str">
        <f>'[1]排水管计算-02'!D44</f>
        <v>36-37</v>
      </c>
      <c r="B54" s="26">
        <f>'[1]排水管计算-02'!E44</f>
        <v>140.217</v>
      </c>
      <c r="C54" s="27">
        <f>'[1]排水管计算-02'!N44</f>
        <v>119.280446354615</v>
      </c>
      <c r="E54" s="20" t="e">
        <f>(($V$2*G54)/((V54/W54)^(2/3)))^2</f>
        <v>#DIV/0!</v>
      </c>
      <c r="F54" s="17" t="e">
        <f>E54*1000</f>
        <v>#DIV/0!</v>
      </c>
      <c r="G54" s="17" t="e">
        <f>C54/V54/1000</f>
        <v>#DIV/0!</v>
      </c>
      <c r="H54" s="8">
        <f>IF(D54&lt;350,0.5,IF(D54&lt;500,0.6,IF(D54&lt;1000,0.675,0.725)))</f>
        <v>0.5</v>
      </c>
      <c r="I54" s="17">
        <f>H54*D54/1000</f>
        <v>0</v>
      </c>
      <c r="J54" s="48" t="e">
        <f>E54*B54</f>
        <v>#DIV/0!</v>
      </c>
      <c r="K54" s="49">
        <f>'[1]排水管计算-02'!O44</f>
        <v>19.8844</v>
      </c>
      <c r="L54" s="44">
        <f>'[1]排水管计算-02'!P44</f>
        <v>19.5</v>
      </c>
      <c r="M54" s="48">
        <f>Q54+I54</f>
        <v>0</v>
      </c>
      <c r="N54" s="50" t="e">
        <f>M54-J54</f>
        <v>#DIV/0!</v>
      </c>
      <c r="O54" s="53">
        <f>P53-I54+I53+(D54-D53)/1000</f>
        <v>-16.6946458182837</v>
      </c>
      <c r="P54" s="53" t="e">
        <f>O54-J54</f>
        <v>#DIV/0!</v>
      </c>
      <c r="Q54" s="53" t="b">
        <f>IF(O54-D54/1000&lt;=R53,O54-D54/1000)</f>
        <v>0</v>
      </c>
      <c r="R54" s="53" t="e">
        <f>P54-D54/1000</f>
        <v>#DIV/0!</v>
      </c>
      <c r="S54" s="50">
        <f>K54-O54</f>
        <v>36.5790458182837</v>
      </c>
      <c r="T54" s="50" t="e">
        <f>L54-P54</f>
        <v>#DIV/0!</v>
      </c>
      <c r="U54" s="1" t="e">
        <f>ACOS((D54/2-D54*H54)/(D54/2))</f>
        <v>#DIV/0!</v>
      </c>
      <c r="V54" s="1" t="e">
        <f>(U54-SIN(U54)*COS(U54))*((D54/1000)/2)^2</f>
        <v>#DIV/0!</v>
      </c>
      <c r="W54" s="1" t="e">
        <f>U54*(D54/1000)</f>
        <v>#DIV/0!</v>
      </c>
      <c r="X54" s="1" t="e">
        <f>V54/W54</f>
        <v>#DIV/0!</v>
      </c>
    </row>
    <row r="55" spans="1:20">
      <c r="A55" s="19"/>
      <c r="B55" s="26"/>
      <c r="C55" s="27"/>
      <c r="D55" s="30"/>
      <c r="E55" s="20"/>
      <c r="F55" s="17"/>
      <c r="G55" s="17"/>
      <c r="H55" s="8"/>
      <c r="I55" s="17"/>
      <c r="J55" s="48"/>
      <c r="K55" s="49"/>
      <c r="L55" s="44"/>
      <c r="M55" s="48"/>
      <c r="N55" s="50"/>
      <c r="O55" s="53"/>
      <c r="P55" s="53"/>
      <c r="Q55" s="53"/>
      <c r="R55" s="53"/>
      <c r="S55" s="50"/>
      <c r="T55" s="50"/>
    </row>
    <row r="56" spans="1:24">
      <c r="A56" s="19" t="str">
        <f>'[1]排水管计算-02'!D47</f>
        <v>街坊管</v>
      </c>
      <c r="B56" s="26">
        <f>'[1]排水管计算-02'!E47</f>
        <v>620.752</v>
      </c>
      <c r="C56" s="27">
        <f>'[1]排水管计算-02'!N47</f>
        <v>6.43382231090321</v>
      </c>
      <c r="D56" s="30">
        <v>250</v>
      </c>
      <c r="E56" s="20">
        <f>(($V$2*G56)/((V56/W56)^(2/3)))^2</f>
        <v>0.000671761054687938</v>
      </c>
      <c r="F56" s="17">
        <f t="shared" ref="F55:F70" si="73">E56*1000</f>
        <v>0.671761054687938</v>
      </c>
      <c r="G56" s="17">
        <f t="shared" ref="G55:G66" si="74">C56/V56/1000</f>
        <v>0.283805641935031</v>
      </c>
      <c r="H56" s="8">
        <v>0.47</v>
      </c>
      <c r="I56" s="17">
        <f t="shared" ref="I55:I70" si="75">H56*D56/1000</f>
        <v>0.1175</v>
      </c>
      <c r="J56" s="48">
        <f t="shared" ref="J55:J70" si="76">E56*B56</f>
        <v>0.416997018219647</v>
      </c>
      <c r="K56" s="49">
        <f>'[1]排水管计算-02'!O47</f>
        <v>22.262</v>
      </c>
      <c r="L56" s="44">
        <f>'[1]排水管计算-02'!P47</f>
        <v>21.8326</v>
      </c>
      <c r="M56" s="48">
        <f t="shared" ref="M55:M66" si="77">Q56+J56</f>
        <v>0.299497018219647</v>
      </c>
      <c r="N56" s="50">
        <f t="shared" ref="N55:N70" si="78">M56-J56</f>
        <v>-0.1175</v>
      </c>
      <c r="O56" s="53">
        <f t="shared" ref="O55:O70" si="79">P55-I56+I55+(D56-D55)/1000</f>
        <v>0.1325</v>
      </c>
      <c r="P56" s="53">
        <f t="shared" ref="P55:P70" si="80">O56-J56</f>
        <v>-0.284497018219647</v>
      </c>
      <c r="Q56" s="53">
        <f t="shared" ref="Q55:Q70" si="81">IF(O56-D56/1000&lt;=R55,O56-D56/1000)</f>
        <v>-0.1175</v>
      </c>
      <c r="R56" s="53">
        <f t="shared" ref="R55:R70" si="82">P56-D56/1000</f>
        <v>-0.534497018219647</v>
      </c>
      <c r="S56" s="50">
        <f t="shared" ref="S55:S70" si="83">K56-O56</f>
        <v>22.1295</v>
      </c>
      <c r="T56" s="50">
        <f t="shared" ref="T55:T70" si="84">L56-P56</f>
        <v>22.1170970182196</v>
      </c>
      <c r="U56" s="1">
        <f t="shared" ref="U55:U70" si="85">ACOS((D56/2-D56*H56)/(D56/2))</f>
        <v>1.51076026834962</v>
      </c>
      <c r="V56" s="1">
        <f t="shared" ref="V55:V70" si="86">(U56-SIN(U56)*COS(U56))*((D56/1000)/2)^2</f>
        <v>0.0226698182144527</v>
      </c>
      <c r="W56" s="1">
        <f t="shared" ref="W55:W70" si="87">U56*(D56/1000)</f>
        <v>0.377690067087405</v>
      </c>
      <c r="X56" s="1">
        <f t="shared" ref="X55:X70" si="88">V56/W56</f>
        <v>0.0600222780261957</v>
      </c>
    </row>
    <row r="57" spans="1:24">
      <c r="A57" s="19" t="str">
        <f>'[1]排水管计算-02'!D48</f>
        <v>38-39</v>
      </c>
      <c r="B57" s="26">
        <f>'[1]排水管计算-02'!E48</f>
        <v>140.399</v>
      </c>
      <c r="C57" s="27">
        <f>'[1]排水管计算-02'!N48</f>
        <v>18.7547051499977</v>
      </c>
      <c r="D57" s="30">
        <v>300</v>
      </c>
      <c r="E57" s="20">
        <f>(($V$2*G57)/((V57/W57)^(2/3)))^2</f>
        <v>0.00335969175524499</v>
      </c>
      <c r="F57" s="17">
        <f t="shared" si="73"/>
        <v>3.35969175524499</v>
      </c>
      <c r="G57" s="17">
        <f t="shared" si="74"/>
        <v>0.676334476147011</v>
      </c>
      <c r="H57" s="8">
        <v>0.415</v>
      </c>
      <c r="I57" s="17">
        <f t="shared" si="75"/>
        <v>0.1245</v>
      </c>
      <c r="J57" s="48">
        <f t="shared" si="76"/>
        <v>0.471697362744642</v>
      </c>
      <c r="K57" s="49">
        <f>'[1]排水管计算-02'!O48</f>
        <v>21.8326</v>
      </c>
      <c r="L57" s="44">
        <f>'[1]排水管计算-02'!P48</f>
        <v>21.6169</v>
      </c>
      <c r="M57" s="48">
        <f t="shared" si="77"/>
        <v>-0.0697996554750054</v>
      </c>
      <c r="N57" s="50">
        <f t="shared" si="78"/>
        <v>-0.541497018219647</v>
      </c>
      <c r="O57" s="53">
        <f t="shared" si="79"/>
        <v>-0.241497018219647</v>
      </c>
      <c r="P57" s="53">
        <f t="shared" si="80"/>
        <v>-0.713194380964288</v>
      </c>
      <c r="Q57" s="53">
        <f t="shared" si="81"/>
        <v>-0.541497018219647</v>
      </c>
      <c r="R57" s="53">
        <f t="shared" si="82"/>
        <v>-1.01319438096429</v>
      </c>
      <c r="S57" s="50">
        <f t="shared" si="83"/>
        <v>22.0740970182196</v>
      </c>
      <c r="T57" s="50">
        <f t="shared" si="84"/>
        <v>22.3300943809643</v>
      </c>
      <c r="U57" s="1">
        <f t="shared" si="85"/>
        <v>1.39996665766579</v>
      </c>
      <c r="V57" s="1">
        <f t="shared" si="86"/>
        <v>0.0277299262590321</v>
      </c>
      <c r="W57" s="1">
        <f t="shared" si="87"/>
        <v>0.419989997299738</v>
      </c>
      <c r="X57" s="1">
        <f t="shared" si="88"/>
        <v>0.0660252064032893</v>
      </c>
    </row>
    <row r="58" spans="1:24">
      <c r="A58" s="19" t="str">
        <f>'[1]排水管计算-02'!D49</f>
        <v>39-40</v>
      </c>
      <c r="B58" s="26">
        <f>'[1]排水管计算-02'!E49</f>
        <v>138.517</v>
      </c>
      <c r="C58" s="27">
        <f>'[1]排水管计算-02'!N49</f>
        <v>25.0428360092391</v>
      </c>
      <c r="D58" s="30">
        <v>300</v>
      </c>
      <c r="E58" s="20">
        <f>(($V$2*G58)/((V58/W58)^(2/3)))^2</f>
        <v>0.00311126222233251</v>
      </c>
      <c r="F58" s="17">
        <f t="shared" si="73"/>
        <v>3.11126222233251</v>
      </c>
      <c r="G58" s="17">
        <f t="shared" si="74"/>
        <v>0.708567313761798</v>
      </c>
      <c r="H58" s="8">
        <v>0.5</v>
      </c>
      <c r="I58" s="17">
        <f t="shared" si="75"/>
        <v>0.15</v>
      </c>
      <c r="J58" s="48">
        <f t="shared" si="76"/>
        <v>0.430962709250832</v>
      </c>
      <c r="K58" s="49">
        <f>'[1]排水管计算-02'!O49</f>
        <v>21.6169</v>
      </c>
      <c r="L58" s="44">
        <f>'[1]排水管计算-02'!P49</f>
        <v>21.4054</v>
      </c>
      <c r="M58" s="48">
        <f t="shared" si="77"/>
        <v>-0.607731671713456</v>
      </c>
      <c r="N58" s="50">
        <f t="shared" si="78"/>
        <v>-1.03869438096429</v>
      </c>
      <c r="O58" s="53">
        <f t="shared" si="79"/>
        <v>-0.738694380964289</v>
      </c>
      <c r="P58" s="53">
        <f t="shared" si="80"/>
        <v>-1.16965709021512</v>
      </c>
      <c r="Q58" s="53">
        <f t="shared" si="81"/>
        <v>-1.03869438096429</v>
      </c>
      <c r="R58" s="53">
        <f t="shared" si="82"/>
        <v>-1.46965709021512</v>
      </c>
      <c r="S58" s="50">
        <f t="shared" si="83"/>
        <v>22.3555943809643</v>
      </c>
      <c r="T58" s="50">
        <f t="shared" si="84"/>
        <v>22.5750570902151</v>
      </c>
      <c r="U58" s="1">
        <f t="shared" si="85"/>
        <v>1.5707963267949</v>
      </c>
      <c r="V58" s="1">
        <f t="shared" si="86"/>
        <v>0.0353429173528852</v>
      </c>
      <c r="W58" s="1">
        <f t="shared" si="87"/>
        <v>0.471238898038469</v>
      </c>
      <c r="X58" s="1">
        <f t="shared" si="88"/>
        <v>0.075</v>
      </c>
    </row>
    <row r="59" spans="1:24">
      <c r="A59" s="19" t="str">
        <f>'[1]排水管计算-02'!D50</f>
        <v>40-41</v>
      </c>
      <c r="B59" s="26">
        <f>'[1]排水管计算-02'!E50</f>
        <v>148.55</v>
      </c>
      <c r="C59" s="27">
        <f>'[1]排水管计算-02'!N50</f>
        <v>31.3113030890232</v>
      </c>
      <c r="D59" s="30">
        <v>350</v>
      </c>
      <c r="E59" s="20">
        <f>(($V$2*G59)/((V59/W59)^(2/3)))^2</f>
        <v>0.00285077921171927</v>
      </c>
      <c r="F59" s="17">
        <f t="shared" si="73"/>
        <v>2.85077921171927</v>
      </c>
      <c r="G59" s="17">
        <f t="shared" si="74"/>
        <v>0.724616367731445</v>
      </c>
      <c r="H59" s="8">
        <v>0.46</v>
      </c>
      <c r="I59" s="17">
        <f t="shared" si="75"/>
        <v>0.161</v>
      </c>
      <c r="J59" s="48">
        <f t="shared" si="76"/>
        <v>0.423483251900898</v>
      </c>
      <c r="K59" s="49">
        <f>'[1]排水管计算-02'!O50</f>
        <v>21.4054</v>
      </c>
      <c r="L59" s="44">
        <f>'[1]排水管计算-02'!P50</f>
        <v>21.1818</v>
      </c>
      <c r="M59" s="48">
        <f t="shared" si="77"/>
        <v>-1.05717383831422</v>
      </c>
      <c r="N59" s="50">
        <f t="shared" si="78"/>
        <v>-1.48065709021512</v>
      </c>
      <c r="O59" s="53">
        <f t="shared" si="79"/>
        <v>-1.13065709021512</v>
      </c>
      <c r="P59" s="53">
        <f t="shared" si="80"/>
        <v>-1.55414034211602</v>
      </c>
      <c r="Q59" s="53">
        <f t="shared" si="81"/>
        <v>-1.48065709021512</v>
      </c>
      <c r="R59" s="53">
        <f t="shared" si="82"/>
        <v>-1.90414034211602</v>
      </c>
      <c r="S59" s="50">
        <f t="shared" si="83"/>
        <v>22.5360570902151</v>
      </c>
      <c r="T59" s="50">
        <f t="shared" si="84"/>
        <v>22.735940342116</v>
      </c>
      <c r="U59" s="1">
        <f t="shared" si="85"/>
        <v>1.49071074676124</v>
      </c>
      <c r="V59" s="1">
        <f t="shared" si="86"/>
        <v>0.043210869203865</v>
      </c>
      <c r="W59" s="1">
        <f t="shared" si="87"/>
        <v>0.521748761366433</v>
      </c>
      <c r="X59" s="1">
        <f t="shared" si="88"/>
        <v>0.0828193038555529</v>
      </c>
    </row>
    <row r="60" spans="1:24">
      <c r="A60" s="19" t="str">
        <f>'[1]排水管计算-02'!D51</f>
        <v>41-42</v>
      </c>
      <c r="B60" s="26">
        <f>'[1]排水管计算-02'!E51</f>
        <v>124.909</v>
      </c>
      <c r="C60" s="27">
        <f>'[1]排水管计算-02'!N51</f>
        <v>37.5198639422908</v>
      </c>
      <c r="D60" s="30">
        <v>350</v>
      </c>
      <c r="E60" s="20">
        <f>(($V$2*G60)/((V60/W60)^(2/3)))^2</f>
        <v>0.00252494611018725</v>
      </c>
      <c r="F60" s="17">
        <f t="shared" si="73"/>
        <v>2.52494611018725</v>
      </c>
      <c r="G60" s="17">
        <f t="shared" si="74"/>
        <v>0.72462341922665</v>
      </c>
      <c r="H60" s="8">
        <v>0.53</v>
      </c>
      <c r="I60" s="17">
        <f t="shared" si="75"/>
        <v>0.1855</v>
      </c>
      <c r="J60" s="48">
        <f t="shared" si="76"/>
        <v>0.315388493677379</v>
      </c>
      <c r="K60" s="49">
        <f>'[1]排水管计算-02'!O51</f>
        <v>21.1818</v>
      </c>
      <c r="L60" s="44">
        <f>'[1]排水管计算-02'!P51</f>
        <v>20.9965</v>
      </c>
      <c r="M60" s="48">
        <f t="shared" si="77"/>
        <v>-1.61325184843864</v>
      </c>
      <c r="N60" s="50">
        <f t="shared" si="78"/>
        <v>-1.92864034211602</v>
      </c>
      <c r="O60" s="53">
        <f t="shared" si="79"/>
        <v>-1.57864034211602</v>
      </c>
      <c r="P60" s="53">
        <f t="shared" si="80"/>
        <v>-1.8940288357934</v>
      </c>
      <c r="Q60" s="53">
        <f t="shared" si="81"/>
        <v>-1.92864034211602</v>
      </c>
      <c r="R60" s="53">
        <f t="shared" si="82"/>
        <v>-2.2440288357934</v>
      </c>
      <c r="S60" s="50">
        <f t="shared" si="83"/>
        <v>22.760440342116</v>
      </c>
      <c r="T60" s="50">
        <f t="shared" si="84"/>
        <v>22.8905288357934</v>
      </c>
      <c r="U60" s="1">
        <f t="shared" si="85"/>
        <v>1.63083238524017</v>
      </c>
      <c r="V60" s="1">
        <f t="shared" si="86"/>
        <v>0.0517784313158601</v>
      </c>
      <c r="W60" s="1">
        <f t="shared" si="87"/>
        <v>0.570791334834061</v>
      </c>
      <c r="X60" s="1">
        <f t="shared" si="88"/>
        <v>0.090713415141302</v>
      </c>
    </row>
    <row r="61" spans="1:24">
      <c r="A61" s="19" t="str">
        <f>'[1]排水管计算-02'!D52</f>
        <v>42-43</v>
      </c>
      <c r="B61" s="26">
        <f>'[1]排水管计算-02'!E52</f>
        <v>130.804</v>
      </c>
      <c r="C61" s="27">
        <f>'[1]排水管计算-02'!N52</f>
        <v>43.7695073281368</v>
      </c>
      <c r="D61" s="30">
        <v>350</v>
      </c>
      <c r="E61" s="20">
        <f>(($V$2*G61)/((V61/W61)^(2/3)))^2</f>
        <v>0.00256978052275682</v>
      </c>
      <c r="F61" s="17">
        <f t="shared" si="73"/>
        <v>2.56978052275682</v>
      </c>
      <c r="G61" s="17">
        <f t="shared" si="74"/>
        <v>0.756424770239632</v>
      </c>
      <c r="H61" s="8">
        <v>0.58</v>
      </c>
      <c r="I61" s="17">
        <f t="shared" si="75"/>
        <v>0.203</v>
      </c>
      <c r="J61" s="48">
        <f t="shared" si="76"/>
        <v>0.336137571498683</v>
      </c>
      <c r="K61" s="49">
        <f>'[1]排水管计算-02'!O52</f>
        <v>20.9965</v>
      </c>
      <c r="L61" s="44">
        <f>'[1]排水管计算-02'!P52</f>
        <v>20.8355</v>
      </c>
      <c r="M61" s="48">
        <f t="shared" si="77"/>
        <v>-1.92539126429472</v>
      </c>
      <c r="N61" s="50">
        <f t="shared" si="78"/>
        <v>-2.2615288357934</v>
      </c>
      <c r="O61" s="53">
        <f t="shared" si="79"/>
        <v>-1.9115288357934</v>
      </c>
      <c r="P61" s="53">
        <f t="shared" si="80"/>
        <v>-2.24766640729208</v>
      </c>
      <c r="Q61" s="53">
        <f t="shared" si="81"/>
        <v>-2.2615288357934</v>
      </c>
      <c r="R61" s="53">
        <f t="shared" si="82"/>
        <v>-2.59766640729208</v>
      </c>
      <c r="S61" s="50">
        <f t="shared" si="83"/>
        <v>22.9080288357934</v>
      </c>
      <c r="T61" s="50">
        <f t="shared" si="84"/>
        <v>23.0831664072921</v>
      </c>
      <c r="U61" s="1">
        <f t="shared" si="85"/>
        <v>1.73148697974681</v>
      </c>
      <c r="V61" s="1">
        <f t="shared" si="86"/>
        <v>0.0578636621250132</v>
      </c>
      <c r="W61" s="1">
        <f t="shared" si="87"/>
        <v>0.606020442911383</v>
      </c>
      <c r="X61" s="1">
        <f t="shared" si="88"/>
        <v>0.0954813699799142</v>
      </c>
    </row>
    <row r="62" spans="1:24">
      <c r="A62" s="19" t="str">
        <f>'[1]排水管计算-02'!D53</f>
        <v>43-44</v>
      </c>
      <c r="B62" s="26">
        <f>'[1]排水管计算-02'!E53</f>
        <v>151.605</v>
      </c>
      <c r="C62" s="27">
        <f>'[1]排水管计算-02'!N53</f>
        <v>49.5759011145678</v>
      </c>
      <c r="D62" s="30">
        <v>350</v>
      </c>
      <c r="E62" s="20">
        <f>(($V$2*G62)/((V62/W62)^(2/3)))^2</f>
        <v>0.00296803705684116</v>
      </c>
      <c r="F62" s="17">
        <f t="shared" si="73"/>
        <v>2.96803705684116</v>
      </c>
      <c r="G62" s="17">
        <f t="shared" si="74"/>
        <v>0.822516076634008</v>
      </c>
      <c r="H62" s="8">
        <f>IF(D62&lt;350,0.5,IF(D62&lt;500,0.6,IF(D62&lt;1000,0.675,0.725)))</f>
        <v>0.6</v>
      </c>
      <c r="I62" s="17">
        <f t="shared" si="75"/>
        <v>0.21</v>
      </c>
      <c r="J62" s="48">
        <f t="shared" si="76"/>
        <v>0.449969258002404</v>
      </c>
      <c r="K62" s="49">
        <f>'[1]排水管计算-02'!O53</f>
        <v>20.8355</v>
      </c>
      <c r="L62" s="44">
        <f>'[1]排水管计算-02'!P53</f>
        <v>20.6659</v>
      </c>
      <c r="M62" s="48">
        <f t="shared" si="77"/>
        <v>-2.15469714928968</v>
      </c>
      <c r="N62" s="50">
        <f t="shared" si="78"/>
        <v>-2.60466640729208</v>
      </c>
      <c r="O62" s="53">
        <f t="shared" si="79"/>
        <v>-2.25466640729208</v>
      </c>
      <c r="P62" s="53">
        <f t="shared" si="80"/>
        <v>-2.70463566529448</v>
      </c>
      <c r="Q62" s="53">
        <f t="shared" si="81"/>
        <v>-2.60466640729208</v>
      </c>
      <c r="R62" s="53">
        <f t="shared" si="82"/>
        <v>-3.05463566529448</v>
      </c>
      <c r="S62" s="50">
        <f t="shared" si="83"/>
        <v>23.0901664072921</v>
      </c>
      <c r="T62" s="50">
        <f t="shared" si="84"/>
        <v>23.3705356652945</v>
      </c>
      <c r="U62" s="1">
        <f t="shared" si="85"/>
        <v>1.77215424758523</v>
      </c>
      <c r="V62" s="1">
        <f t="shared" si="86"/>
        <v>0.0602734737021164</v>
      </c>
      <c r="W62" s="1">
        <f t="shared" si="87"/>
        <v>0.62025398665483</v>
      </c>
      <c r="X62" s="1">
        <f t="shared" si="88"/>
        <v>0.0971754716599</v>
      </c>
    </row>
    <row r="63" spans="1:24">
      <c r="A63" s="19" t="str">
        <f>'[1]排水管计算-02'!D54</f>
        <v>44-45</v>
      </c>
      <c r="B63" s="26">
        <f>'[1]排水管计算-02'!E54</f>
        <v>151.85</v>
      </c>
      <c r="C63" s="27">
        <f>'[1]排水管计算-02'!N54</f>
        <v>56.7038521955877</v>
      </c>
      <c r="D63" s="30">
        <v>350</v>
      </c>
      <c r="E63" s="20">
        <f>(($V$2*G63)/((V63/W63)^(2/3)))^2</f>
        <v>0.00388287324011067</v>
      </c>
      <c r="F63" s="17">
        <f t="shared" si="73"/>
        <v>3.88287324011067</v>
      </c>
      <c r="G63" s="17">
        <f t="shared" si="74"/>
        <v>0.940776243888473</v>
      </c>
      <c r="H63" s="8">
        <f t="shared" ref="H63:H68" si="89">IF(D63&lt;350,0.5,IF(D63&lt;500,0.6,IF(D63&lt;1000,0.675,0.725)))</f>
        <v>0.6</v>
      </c>
      <c r="I63" s="17">
        <f t="shared" si="75"/>
        <v>0.21</v>
      </c>
      <c r="J63" s="48">
        <f t="shared" si="76"/>
        <v>0.589614301510805</v>
      </c>
      <c r="K63" s="49">
        <f>'[1]排水管计算-02'!O54</f>
        <v>20.6659</v>
      </c>
      <c r="L63" s="44">
        <f>'[1]排水管计算-02'!P54</f>
        <v>20.4974</v>
      </c>
      <c r="M63" s="48">
        <f t="shared" si="77"/>
        <v>-2.46502136378368</v>
      </c>
      <c r="N63" s="50">
        <f t="shared" si="78"/>
        <v>-3.05463566529448</v>
      </c>
      <c r="O63" s="53">
        <f t="shared" si="79"/>
        <v>-2.70463566529448</v>
      </c>
      <c r="P63" s="53">
        <f t="shared" si="80"/>
        <v>-3.29424996680529</v>
      </c>
      <c r="Q63" s="53">
        <f t="shared" si="81"/>
        <v>-3.05463566529448</v>
      </c>
      <c r="R63" s="53">
        <f t="shared" si="82"/>
        <v>-3.64424996680529</v>
      </c>
      <c r="S63" s="50">
        <f t="shared" si="83"/>
        <v>23.3705356652945</v>
      </c>
      <c r="T63" s="50">
        <f t="shared" si="84"/>
        <v>23.7916499668053</v>
      </c>
      <c r="U63" s="1">
        <f t="shared" si="85"/>
        <v>1.77215424758523</v>
      </c>
      <c r="V63" s="1">
        <f t="shared" si="86"/>
        <v>0.0602734737021164</v>
      </c>
      <c r="W63" s="1">
        <f t="shared" si="87"/>
        <v>0.62025398665483</v>
      </c>
      <c r="X63" s="1">
        <f t="shared" si="88"/>
        <v>0.0971754716599</v>
      </c>
    </row>
    <row r="64" spans="1:24">
      <c r="A64" s="19" t="str">
        <f>'[1]排水管计算-02'!D55</f>
        <v>45-46</v>
      </c>
      <c r="B64" s="26">
        <f>'[1]排水管计算-02'!E55</f>
        <v>323.044</v>
      </c>
      <c r="C64" s="27">
        <f>'[1]排水管计算-02'!N55</f>
        <v>63.1568261769483</v>
      </c>
      <c r="D64" s="30">
        <v>350</v>
      </c>
      <c r="E64" s="20">
        <f>(($V$2*G64)/((V64/W64)^(2/3)))^2</f>
        <v>0.00481691163858741</v>
      </c>
      <c r="F64" s="17">
        <f t="shared" si="73"/>
        <v>4.81691163858741</v>
      </c>
      <c r="G64" s="17">
        <f t="shared" si="74"/>
        <v>1.04783783475102</v>
      </c>
      <c r="H64" s="8">
        <f t="shared" si="89"/>
        <v>0.6</v>
      </c>
      <c r="I64" s="17">
        <f t="shared" si="75"/>
        <v>0.21</v>
      </c>
      <c r="J64" s="48">
        <f t="shared" si="76"/>
        <v>1.55607440337583</v>
      </c>
      <c r="K64" s="49">
        <f>'[1]排水管计算-02'!O55</f>
        <v>20.4974</v>
      </c>
      <c r="L64" s="44">
        <f>'[1]排水管计算-02'!P55</f>
        <v>20.2219</v>
      </c>
      <c r="M64" s="48">
        <f t="shared" si="77"/>
        <v>-2.08817556342946</v>
      </c>
      <c r="N64" s="50">
        <f t="shared" si="78"/>
        <v>-3.64424996680529</v>
      </c>
      <c r="O64" s="53">
        <f t="shared" si="79"/>
        <v>-3.29424996680529</v>
      </c>
      <c r="P64" s="53">
        <f t="shared" si="80"/>
        <v>-4.85032437018112</v>
      </c>
      <c r="Q64" s="53">
        <f t="shared" si="81"/>
        <v>-3.64424996680529</v>
      </c>
      <c r="R64" s="53">
        <f t="shared" si="82"/>
        <v>-5.20032437018112</v>
      </c>
      <c r="S64" s="50">
        <f t="shared" si="83"/>
        <v>23.7916499668053</v>
      </c>
      <c r="T64" s="50">
        <f t="shared" si="84"/>
        <v>25.0722243701811</v>
      </c>
      <c r="U64" s="1">
        <f t="shared" si="85"/>
        <v>1.77215424758523</v>
      </c>
      <c r="V64" s="1">
        <f t="shared" si="86"/>
        <v>0.0602734737021164</v>
      </c>
      <c r="W64" s="1">
        <f t="shared" si="87"/>
        <v>0.62025398665483</v>
      </c>
      <c r="X64" s="1">
        <f t="shared" si="88"/>
        <v>0.0971754716599</v>
      </c>
    </row>
    <row r="65" spans="1:24">
      <c r="A65" s="19" t="str">
        <f>'[1]排水管计算-02'!D56</f>
        <v>46-47</v>
      </c>
      <c r="B65" s="26">
        <f>'[1]排水管计算-02'!E56</f>
        <v>166.629</v>
      </c>
      <c r="C65" s="27">
        <f>'[1]排水管计算-02'!N56</f>
        <v>69.5983944314127</v>
      </c>
      <c r="D65" s="30">
        <v>350</v>
      </c>
      <c r="E65" s="20">
        <f>(($V$2*G65)/((V65/W65)^(2/3)))^2</f>
        <v>0.00584960481363102</v>
      </c>
      <c r="F65" s="17">
        <f t="shared" si="73"/>
        <v>5.84960481363102</v>
      </c>
      <c r="G65" s="17">
        <f t="shared" si="74"/>
        <v>1.1547101926692</v>
      </c>
      <c r="H65" s="8">
        <f t="shared" si="89"/>
        <v>0.6</v>
      </c>
      <c r="I65" s="17">
        <f t="shared" si="75"/>
        <v>0.21</v>
      </c>
      <c r="J65" s="48">
        <f t="shared" si="76"/>
        <v>0.974713800490523</v>
      </c>
      <c r="K65" s="49">
        <f>'[1]排水管计算-02'!O56</f>
        <v>20.2219</v>
      </c>
      <c r="L65" s="44">
        <f>'[1]排水管计算-02'!P56</f>
        <v>20.0839</v>
      </c>
      <c r="M65" s="48">
        <f t="shared" si="77"/>
        <v>-4.2256105696906</v>
      </c>
      <c r="N65" s="50">
        <f t="shared" si="78"/>
        <v>-5.20032437018112</v>
      </c>
      <c r="O65" s="53">
        <f t="shared" si="79"/>
        <v>-4.85032437018112</v>
      </c>
      <c r="P65" s="53">
        <f t="shared" si="80"/>
        <v>-5.82503817067164</v>
      </c>
      <c r="Q65" s="53">
        <f t="shared" si="81"/>
        <v>-5.20032437018112</v>
      </c>
      <c r="R65" s="53">
        <f t="shared" si="82"/>
        <v>-6.17503817067164</v>
      </c>
      <c r="S65" s="50">
        <f t="shared" si="83"/>
        <v>25.0722243701811</v>
      </c>
      <c r="T65" s="50">
        <f t="shared" si="84"/>
        <v>25.9089381706716</v>
      </c>
      <c r="U65" s="1">
        <f t="shared" si="85"/>
        <v>1.77215424758523</v>
      </c>
      <c r="V65" s="1">
        <f t="shared" si="86"/>
        <v>0.0602734737021164</v>
      </c>
      <c r="W65" s="1">
        <f t="shared" si="87"/>
        <v>0.62025398665483</v>
      </c>
      <c r="X65" s="1">
        <f t="shared" si="88"/>
        <v>0.0971754716599</v>
      </c>
    </row>
    <row r="66" spans="1:24">
      <c r="A66" s="19" t="str">
        <f>'[1]排水管计算-02'!D57</f>
        <v>47-48</v>
      </c>
      <c r="B66" s="26">
        <f>'[1]排水管计算-02'!E57</f>
        <v>189.046</v>
      </c>
      <c r="C66" s="27">
        <f>'[1]排水管计算-02'!N57</f>
        <v>77.5835219104204</v>
      </c>
      <c r="D66" s="30">
        <v>350</v>
      </c>
      <c r="E66" s="20">
        <f>(($V$2*G66)/((V66/W66)^(2/3)))^2</f>
        <v>0.00726887275264774</v>
      </c>
      <c r="F66" s="17">
        <f t="shared" si="73"/>
        <v>7.26887275264774</v>
      </c>
      <c r="G66" s="17">
        <f t="shared" si="74"/>
        <v>1.28719181333158</v>
      </c>
      <c r="H66" s="8">
        <f t="shared" si="89"/>
        <v>0.6</v>
      </c>
      <c r="I66" s="17">
        <f t="shared" si="75"/>
        <v>0.21</v>
      </c>
      <c r="J66" s="48">
        <f t="shared" si="76"/>
        <v>1.37415131839704</v>
      </c>
      <c r="K66" s="49">
        <f>'[1]排水管计算-02'!O57</f>
        <v>20.0839</v>
      </c>
      <c r="L66" s="44">
        <f>'[1]排水管计算-02'!P57</f>
        <v>19.9691</v>
      </c>
      <c r="M66" s="48">
        <f t="shared" si="77"/>
        <v>-4.8008868522746</v>
      </c>
      <c r="N66" s="50">
        <f t="shared" si="78"/>
        <v>-6.17503817067164</v>
      </c>
      <c r="O66" s="53">
        <f t="shared" si="79"/>
        <v>-5.82503817067164</v>
      </c>
      <c r="P66" s="53">
        <f t="shared" si="80"/>
        <v>-7.19918948906869</v>
      </c>
      <c r="Q66" s="53">
        <f t="shared" si="81"/>
        <v>-6.17503817067164</v>
      </c>
      <c r="R66" s="53">
        <f t="shared" si="82"/>
        <v>-7.54918948906869</v>
      </c>
      <c r="S66" s="50">
        <f t="shared" si="83"/>
        <v>25.9089381706716</v>
      </c>
      <c r="T66" s="50">
        <f t="shared" si="84"/>
        <v>27.1682894890687</v>
      </c>
      <c r="U66" s="1">
        <f t="shared" si="85"/>
        <v>1.77215424758523</v>
      </c>
      <c r="V66" s="1">
        <f t="shared" si="86"/>
        <v>0.0602734737021164</v>
      </c>
      <c r="W66" s="1">
        <f t="shared" si="87"/>
        <v>0.62025398665483</v>
      </c>
      <c r="X66" s="1">
        <f t="shared" si="88"/>
        <v>0.0971754716599</v>
      </c>
    </row>
    <row r="67" spans="1:24">
      <c r="A67" s="19" t="str">
        <f>'[1]排水管计算-02'!D58</f>
        <v>48-49</v>
      </c>
      <c r="B67" s="26">
        <f>'[1]排水管计算-02'!E58</f>
        <v>149.014</v>
      </c>
      <c r="C67" s="27">
        <f>'[1]排水管计算-02'!N58</f>
        <v>85.7197935599479</v>
      </c>
      <c r="E67" s="20" t="e">
        <f>(($V$2*G67)/((V67/W67)^(2/3)))^2</f>
        <v>#DIV/0!</v>
      </c>
      <c r="F67" s="17" t="e">
        <f>E67*1000</f>
        <v>#DIV/0!</v>
      </c>
      <c r="G67" s="17" t="e">
        <f>C67/V67/1000</f>
        <v>#DIV/0!</v>
      </c>
      <c r="H67" s="8">
        <f>IF(D67&lt;350,0.5,IF(D67&lt;500,0.6,IF(D67&lt;1000,0.675,0.725)))</f>
        <v>0.5</v>
      </c>
      <c r="I67" s="17">
        <f>H67*D67/1000</f>
        <v>0</v>
      </c>
      <c r="J67" s="48" t="e">
        <f>E67*B67</f>
        <v>#DIV/0!</v>
      </c>
      <c r="K67" s="49">
        <f>'[1]排水管计算-02'!O58</f>
        <v>19.9691</v>
      </c>
      <c r="L67" s="44">
        <f>'[1]排水管计算-02'!P58</f>
        <v>19.8543</v>
      </c>
      <c r="M67" s="48" t="e">
        <f>Q67+J67</f>
        <v>#DIV/0!</v>
      </c>
      <c r="N67" s="50" t="e">
        <f>M67-J67</f>
        <v>#DIV/0!</v>
      </c>
      <c r="O67" s="53">
        <f>P66-I67+I66+(D67-D66)/1000</f>
        <v>-7.33918948906869</v>
      </c>
      <c r="P67" s="53" t="e">
        <f>O67-J67</f>
        <v>#DIV/0!</v>
      </c>
      <c r="Q67" s="53" t="b">
        <f>IF(O67-D67/1000&lt;=R66,O67-D67/1000)</f>
        <v>0</v>
      </c>
      <c r="R67" s="53" t="e">
        <f>P67-D67/1000</f>
        <v>#DIV/0!</v>
      </c>
      <c r="S67" s="50">
        <f>K67-O67</f>
        <v>27.3082894890687</v>
      </c>
      <c r="T67" s="50" t="e">
        <f>L67-P67</f>
        <v>#DIV/0!</v>
      </c>
      <c r="U67" s="1" t="e">
        <f>ACOS((D67/2-D67*H67)/(D67/2))</f>
        <v>#DIV/0!</v>
      </c>
      <c r="V67" s="1" t="e">
        <f>(U67-SIN(U67)*COS(U67))*((D67/1000)/2)^2</f>
        <v>#DIV/0!</v>
      </c>
      <c r="W67" s="1" t="e">
        <f>U67*(D67/1000)</f>
        <v>#DIV/0!</v>
      </c>
      <c r="X67" s="1" t="e">
        <f>V67/W67</f>
        <v>#DIV/0!</v>
      </c>
    </row>
    <row r="68" spans="1:24">
      <c r="A68" s="19" t="str">
        <f>'[1]排水管计算-02'!D59</f>
        <v>49-50</v>
      </c>
      <c r="B68" s="26">
        <f>'[1]排水管计算-02'!E59</f>
        <v>109.913</v>
      </c>
      <c r="C68" s="27">
        <f>'[1]排水管计算-02'!N59</f>
        <v>93.899807433923</v>
      </c>
      <c r="D68" s="30">
        <f t="shared" ref="C68:T68" si="90">D18</f>
        <v>500</v>
      </c>
      <c r="E68" s="20">
        <f t="shared" si="90"/>
        <v>0.00142261681650247</v>
      </c>
      <c r="F68" s="17">
        <f t="shared" si="90"/>
        <v>1.42261681650247</v>
      </c>
      <c r="G68" s="17">
        <f t="shared" si="90"/>
        <v>0.747856559924811</v>
      </c>
      <c r="H68" s="8">
        <f t="shared" si="90"/>
        <v>0.675</v>
      </c>
      <c r="I68" s="17">
        <f t="shared" si="90"/>
        <v>0.3375</v>
      </c>
      <c r="J68" s="48">
        <f t="shared" si="90"/>
        <v>0.297331182499467</v>
      </c>
      <c r="K68" s="49">
        <f>'[1]排水管计算-02'!O59</f>
        <v>19.8543</v>
      </c>
      <c r="L68" s="44">
        <f>'[1]排水管计算-02'!P59</f>
        <v>19.7086</v>
      </c>
      <c r="M68" s="48">
        <f t="shared" si="90"/>
        <v>16.7936846310163</v>
      </c>
      <c r="N68" s="50">
        <f t="shared" si="90"/>
        <v>16.4963534485168</v>
      </c>
      <c r="O68" s="53">
        <f t="shared" si="90"/>
        <v>16.9561846310163</v>
      </c>
      <c r="P68" s="53">
        <f t="shared" si="90"/>
        <v>16.6588534485168</v>
      </c>
      <c r="Q68" s="53">
        <f t="shared" si="90"/>
        <v>16.4561846310163</v>
      </c>
      <c r="R68" s="53">
        <f t="shared" si="90"/>
        <v>16.1588534485168</v>
      </c>
      <c r="S68" s="50">
        <f t="shared" si="90"/>
        <v>2.52831536898374</v>
      </c>
      <c r="T68" s="50">
        <f t="shared" si="90"/>
        <v>2.79814655148321</v>
      </c>
      <c r="U68" s="1">
        <f>ACOS((D68/2-D68*H68)/(D68/2))</f>
        <v>1.92836743044041</v>
      </c>
      <c r="V68" s="1">
        <f>(U68-SIN(U68)*COS(U68))*((D68/1000)/2)^2</f>
        <v>0.14101436408477</v>
      </c>
      <c r="W68" s="1">
        <f>U68*(D68/1000)</f>
        <v>0.964183715220203</v>
      </c>
      <c r="X68" s="1">
        <f>V68/W68</f>
        <v>0.146252588442198</v>
      </c>
    </row>
    <row r="69" spans="1:24">
      <c r="A69" s="19" t="str">
        <f>'[1]排水管计算-02'!D60</f>
        <v>50-51</v>
      </c>
      <c r="B69" s="26">
        <f>'[1]排水管计算-02'!E60</f>
        <v>84.6624</v>
      </c>
      <c r="C69" s="27">
        <f>'[1]排水管计算-02'!N60</f>
        <v>99.4484186163009</v>
      </c>
      <c r="D69" s="30">
        <v>450</v>
      </c>
      <c r="E69" s="20">
        <f>(($V$2*G69)/((V69/W69)^(2/3)))^2</f>
        <v>0.00312622341344294</v>
      </c>
      <c r="F69" s="17">
        <f>E69*1000</f>
        <v>3.12622341344294</v>
      </c>
      <c r="G69" s="17">
        <f>C69/V69/1000</f>
        <v>0.998119915386211</v>
      </c>
      <c r="H69" s="8">
        <f>IF(D69&lt;350,0.5,IF(D69&lt;500,0.6,IF(D69&lt;1000,0.675,0.725)))</f>
        <v>0.6</v>
      </c>
      <c r="I69" s="17">
        <f>H69*D69/1000</f>
        <v>0.27</v>
      </c>
      <c r="J69" s="48">
        <f>E69*B69</f>
        <v>0.264673577118271</v>
      </c>
      <c r="K69" s="49">
        <f>'[1]排水管计算-02'!O60</f>
        <v>19.7086</v>
      </c>
      <c r="L69" s="44">
        <f>'[1]排水管计算-02'!P60</f>
        <v>19.3621</v>
      </c>
      <c r="M69" s="48">
        <f>Q69+I69</f>
        <v>0.27</v>
      </c>
      <c r="N69" s="50">
        <f>M69-J69</f>
        <v>0.00532642288172874</v>
      </c>
      <c r="O69" s="53">
        <f>P68-I69+I68+(D69-D68)/1000</f>
        <v>16.6763534485168</v>
      </c>
      <c r="P69" s="53">
        <f>O69-J69</f>
        <v>16.4116798713985</v>
      </c>
      <c r="Q69" s="53" t="b">
        <f>IF(O69-D69/1000&lt;=R68,O69-D69/1000)</f>
        <v>0</v>
      </c>
      <c r="R69" s="53">
        <f>P69-D69/1000</f>
        <v>15.9616798713985</v>
      </c>
      <c r="S69" s="50">
        <f>K69-O69</f>
        <v>3.03224655148321</v>
      </c>
      <c r="T69" s="50">
        <f>L69-P69</f>
        <v>2.95042012860148</v>
      </c>
      <c r="U69" s="1">
        <f>ACOS((D69/2-D69*H69)/(D69/2))</f>
        <v>1.77215424758523</v>
      </c>
      <c r="V69" s="1">
        <f>(U69-SIN(U69)*COS(U69))*((D69/1000)/2)^2</f>
        <v>0.099635742242274</v>
      </c>
      <c r="W69" s="1">
        <f>U69*(D69/1000)</f>
        <v>0.797469411413352</v>
      </c>
      <c r="X69" s="1">
        <f>V69/W69</f>
        <v>0.124939892134157</v>
      </c>
    </row>
    <row r="70" spans="1:20">
      <c r="A70" s="19"/>
      <c r="B70" s="26"/>
      <c r="C70" s="27"/>
      <c r="D70" s="30"/>
      <c r="E70" s="20"/>
      <c r="F70" s="17"/>
      <c r="G70" s="17"/>
      <c r="H70" s="8"/>
      <c r="I70" s="17"/>
      <c r="J70" s="48"/>
      <c r="K70" s="49"/>
      <c r="L70" s="44"/>
      <c r="M70" s="48"/>
      <c r="N70" s="50"/>
      <c r="O70" s="53"/>
      <c r="P70" s="53"/>
      <c r="Q70" s="53"/>
      <c r="R70" s="53"/>
      <c r="S70" s="50"/>
      <c r="T70" s="50"/>
    </row>
    <row r="71" spans="1:24">
      <c r="A71" s="19" t="s">
        <v>37</v>
      </c>
      <c r="B71" s="26">
        <f>'[1]排水管计算-02'!E63</f>
        <v>209.003</v>
      </c>
      <c r="C71" s="27">
        <f>'[1]排水管计算-02'!N63</f>
        <v>105.458517224421</v>
      </c>
      <c r="D71" s="30">
        <v>650</v>
      </c>
      <c r="E71" s="20">
        <f>(($V$2*G71)/((V71/W71)^(2/3)))^2</f>
        <v>0.000351067041282702</v>
      </c>
      <c r="F71" s="17">
        <f t="shared" ref="F70:F76" si="91">E71*1000</f>
        <v>0.351067041282702</v>
      </c>
      <c r="G71" s="17">
        <f>C71/V71/1000</f>
        <v>0.442518674511722</v>
      </c>
      <c r="H71" s="8">
        <f>IF(D71&lt;350,0.5,IF(D71&lt;500,0.6,IF(D71&lt;1000,0.675,0.725)))</f>
        <v>0.675</v>
      </c>
      <c r="I71" s="17">
        <f t="shared" ref="I70:I76" si="92">H71*D71/1000</f>
        <v>0.43875</v>
      </c>
      <c r="J71" s="48">
        <f>E71*B71</f>
        <v>0.0733740648292086</v>
      </c>
      <c r="K71" s="49">
        <f>'[1]排水管计算-02'!O63</f>
        <v>19.4845</v>
      </c>
      <c r="L71" s="44">
        <f>'[1]排水管计算-02'!P63</f>
        <v>19.457</v>
      </c>
      <c r="M71" s="48">
        <f t="shared" ref="M71:M76" si="93">Q71+I71</f>
        <v>0</v>
      </c>
      <c r="N71" s="50">
        <f t="shared" ref="N70:N76" si="94">M71-J71</f>
        <v>-0.0733740648292086</v>
      </c>
      <c r="O71" s="53">
        <f t="shared" ref="O71:O76" si="95">P70-I71+I70+(D71-D70)/1000</f>
        <v>0.21125</v>
      </c>
      <c r="P71" s="53">
        <f t="shared" ref="P70:P76" si="96">O71-J71</f>
        <v>0.137875935170791</v>
      </c>
      <c r="Q71" s="53">
        <f t="shared" ref="Q71:Q76" si="97">IF(O71-D71/1000&lt;=R70,O71-D71/1000)</f>
        <v>-0.43875</v>
      </c>
      <c r="R71" s="53">
        <f t="shared" ref="R70:R76" si="98">P71-D71/1000</f>
        <v>-0.512124064829209</v>
      </c>
      <c r="S71" s="50">
        <f>K71-O71</f>
        <v>19.27325</v>
      </c>
      <c r="T71" s="50">
        <f>L71-P71</f>
        <v>19.3191240648292</v>
      </c>
      <c r="U71" s="1">
        <f t="shared" ref="U70:U76" si="99">ACOS((D71/2-D71*H71)/(D71/2))</f>
        <v>1.92836743044041</v>
      </c>
      <c r="V71" s="1">
        <f t="shared" ref="V70:V76" si="100">(U71-SIN(U71)*COS(U71))*((D71/1000)/2)^2</f>
        <v>0.238314275303262</v>
      </c>
      <c r="W71" s="1">
        <f t="shared" ref="W70:W76" si="101">U71*(D71/1000)</f>
        <v>1.25343882978626</v>
      </c>
      <c r="X71" s="1">
        <f t="shared" ref="X70:X76" si="102">V71/W71</f>
        <v>0.190128364974858</v>
      </c>
    </row>
    <row r="72" spans="1:24">
      <c r="A72" s="19" t="str">
        <f>'[1]排水管计算-02'!D64</f>
        <v>4-16</v>
      </c>
      <c r="B72" s="26">
        <f>'[1]排水管计算-02'!E64</f>
        <v>264.948</v>
      </c>
      <c r="C72" s="27">
        <f>'[1]排水管计算-02'!N64</f>
        <v>105.458517224421</v>
      </c>
      <c r="D72" s="30">
        <v>700</v>
      </c>
      <c r="E72" s="20">
        <f>(($V$2*G72)/((V72/W72)^(2/3)))^2</f>
        <v>0.000236449507898381</v>
      </c>
      <c r="F72" s="17">
        <f t="shared" si="91"/>
        <v>0.236449507898381</v>
      </c>
      <c r="G72" s="17">
        <f>C72/V72/1000</f>
        <v>0.381559469349393</v>
      </c>
      <c r="H72" s="8">
        <f>IF(D72&lt;350,0.5,IF(D72&lt;500,0.6,IF(D72&lt;1000,0.675,0.725)))</f>
        <v>0.675</v>
      </c>
      <c r="I72" s="17">
        <f t="shared" si="92"/>
        <v>0.4725</v>
      </c>
      <c r="J72" s="48">
        <f>E72*B72</f>
        <v>0.0626468242186602</v>
      </c>
      <c r="K72" s="49">
        <f>'[1]排水管计算-02'!O64</f>
        <v>19.457</v>
      </c>
      <c r="L72" s="44">
        <f>'[1]排水管计算-02'!P64</f>
        <v>19.5063</v>
      </c>
      <c r="M72" s="48">
        <f t="shared" si="93"/>
        <v>-0.0733740648292086</v>
      </c>
      <c r="N72" s="50">
        <f t="shared" si="94"/>
        <v>-0.136020889047869</v>
      </c>
      <c r="O72" s="53">
        <f t="shared" si="95"/>
        <v>0.154125935170791</v>
      </c>
      <c r="P72" s="53">
        <f t="shared" si="96"/>
        <v>0.0914791109521312</v>
      </c>
      <c r="Q72" s="53">
        <f t="shared" si="97"/>
        <v>-0.545874064829209</v>
      </c>
      <c r="R72" s="53">
        <f t="shared" si="98"/>
        <v>-0.608520889047869</v>
      </c>
      <c r="S72" s="50">
        <f>K72-O72</f>
        <v>19.3028740648292</v>
      </c>
      <c r="T72" s="50">
        <f>L72-P72</f>
        <v>19.4148208890479</v>
      </c>
      <c r="U72" s="1">
        <f t="shared" si="99"/>
        <v>1.92836743044041</v>
      </c>
      <c r="V72" s="1">
        <f t="shared" si="100"/>
        <v>0.27638815360615</v>
      </c>
      <c r="W72" s="1">
        <f t="shared" si="101"/>
        <v>1.34985720130828</v>
      </c>
      <c r="X72" s="1">
        <f t="shared" si="102"/>
        <v>0.204753623819078</v>
      </c>
    </row>
    <row r="73" spans="1:24">
      <c r="A73" s="19" t="str">
        <f>'[1]排水管计算-02'!D65</f>
        <v>16-24</v>
      </c>
      <c r="B73" s="26">
        <f>'[1]排水管计算-02'!E65</f>
        <v>180.042</v>
      </c>
      <c r="C73" s="27">
        <f>'[1]排水管计算-02'!N65</f>
        <v>260.07974476087</v>
      </c>
      <c r="D73" s="30">
        <v>700</v>
      </c>
      <c r="E73" s="20">
        <f>(($V$2*G73)/((V73/W73)^(2/3)))^2</f>
        <v>0.00143809691146518</v>
      </c>
      <c r="F73" s="17">
        <f t="shared" si="91"/>
        <v>1.43809691146518</v>
      </c>
      <c r="G73" s="17">
        <f>C73/V73/1000</f>
        <v>0.940994544691959</v>
      </c>
      <c r="H73" s="8">
        <f>IF(D73&lt;350,0.5,IF(D73&lt;500,0.6,IF(D73&lt;1000,0.675,0.725)))</f>
        <v>0.675</v>
      </c>
      <c r="I73" s="17">
        <f t="shared" si="92"/>
        <v>0.4725</v>
      </c>
      <c r="J73" s="48">
        <f>E73*B73</f>
        <v>0.258917844134013</v>
      </c>
      <c r="K73" s="49">
        <f>'[1]排水管计算-02'!O65</f>
        <v>19.5063</v>
      </c>
      <c r="L73" s="44">
        <f>'[1]排水管计算-02'!P65</f>
        <v>19.5435</v>
      </c>
      <c r="M73" s="48">
        <f t="shared" si="93"/>
        <v>-0.136020889047869</v>
      </c>
      <c r="N73" s="50">
        <f t="shared" si="94"/>
        <v>-0.394938733181882</v>
      </c>
      <c r="O73" s="53">
        <f t="shared" si="95"/>
        <v>0.0914791109521312</v>
      </c>
      <c r="P73" s="53">
        <f t="shared" si="96"/>
        <v>-0.167438733181882</v>
      </c>
      <c r="Q73" s="53">
        <f t="shared" si="97"/>
        <v>-0.608520889047869</v>
      </c>
      <c r="R73" s="53">
        <f t="shared" si="98"/>
        <v>-0.867438733181882</v>
      </c>
      <c r="S73" s="50">
        <f>K73-O73</f>
        <v>19.4148208890479</v>
      </c>
      <c r="T73" s="50">
        <f>L73-P73</f>
        <v>19.7109387331819</v>
      </c>
      <c r="U73" s="1">
        <f t="shared" si="99"/>
        <v>1.92836743044041</v>
      </c>
      <c r="V73" s="1">
        <f t="shared" si="100"/>
        <v>0.27638815360615</v>
      </c>
      <c r="W73" s="1">
        <f t="shared" si="101"/>
        <v>1.34985720130828</v>
      </c>
      <c r="X73" s="1">
        <f t="shared" si="102"/>
        <v>0.204753623819078</v>
      </c>
    </row>
    <row r="74" spans="1:24">
      <c r="A74" s="19" t="str">
        <f>'[1]排水管计算-02'!D66</f>
        <v>24-37</v>
      </c>
      <c r="B74" s="26">
        <f>'[1]排水管计算-02'!E66</f>
        <v>294.527</v>
      </c>
      <c r="C74" s="27">
        <f>'[1]排水管计算-02'!N66</f>
        <v>303.094330742546</v>
      </c>
      <c r="E74" s="20" t="e">
        <f>(($V$2*G74)/((V74/W74)^(2/3)))^2</f>
        <v>#DIV/0!</v>
      </c>
      <c r="F74" s="17" t="e">
        <f>E74*1000</f>
        <v>#DIV/0!</v>
      </c>
      <c r="G74" s="17" t="e">
        <f>C74/V74/1000</f>
        <v>#DIV/0!</v>
      </c>
      <c r="H74" s="8">
        <f>IF(D74&lt;350,0.5,IF(D74&lt;500,0.6,IF(D74&lt;1000,0.675,0.725)))</f>
        <v>0.5</v>
      </c>
      <c r="I74" s="17">
        <f>H74*D74/1000</f>
        <v>0</v>
      </c>
      <c r="J74" s="48" t="e">
        <f>E74*B74</f>
        <v>#DIV/0!</v>
      </c>
      <c r="K74" s="49">
        <f>'[1]排水管计算-02'!O66</f>
        <v>19.5435</v>
      </c>
      <c r="L74" s="44">
        <f>'[1]排水管计算-02'!P66</f>
        <v>19.5</v>
      </c>
      <c r="M74" s="48">
        <f>Q74+I74</f>
        <v>0</v>
      </c>
      <c r="N74" s="50" t="e">
        <f>M74-J74</f>
        <v>#DIV/0!</v>
      </c>
      <c r="O74" s="53">
        <f>P73-I74+I73+(D74-D73)/1000</f>
        <v>-0.394938733181882</v>
      </c>
      <c r="P74" s="53" t="e">
        <f>O74-J74</f>
        <v>#DIV/0!</v>
      </c>
      <c r="Q74" s="53" t="b">
        <f>IF(O74-D74/1000&lt;=R73,O74-D74/1000)</f>
        <v>0</v>
      </c>
      <c r="R74" s="53" t="e">
        <f>P74-D74/1000</f>
        <v>#DIV/0!</v>
      </c>
      <c r="S74" s="50">
        <f>K74-O74</f>
        <v>19.9384387331819</v>
      </c>
      <c r="T74" s="50" t="e">
        <f>L74-P74</f>
        <v>#DIV/0!</v>
      </c>
      <c r="U74" s="1" t="e">
        <f>ACOS((D74/2-D74*H74)/(D74/2))</f>
        <v>#DIV/0!</v>
      </c>
      <c r="V74" s="1" t="e">
        <f>(U74-SIN(U74)*COS(U74))*((D74/1000)/2)^2</f>
        <v>#DIV/0!</v>
      </c>
      <c r="W74" s="1" t="e">
        <f>U74*(D74/1000)</f>
        <v>#DIV/0!</v>
      </c>
      <c r="X74" s="1" t="e">
        <f>V74/W74</f>
        <v>#DIV/0!</v>
      </c>
    </row>
    <row r="75" spans="1:24">
      <c r="A75" s="19" t="str">
        <f>'[1]排水管计算-02'!D67</f>
        <v>37-51</v>
      </c>
      <c r="B75" s="26">
        <f>'[1]排水管计算-02'!E67</f>
        <v>533.403</v>
      </c>
      <c r="C75" s="27">
        <f>'[1]排水管计算-02'!N67</f>
        <v>396.526762996183</v>
      </c>
      <c r="D75" s="30">
        <f t="shared" ref="C75:T75" si="103">D73</f>
        <v>700</v>
      </c>
      <c r="E75" s="20">
        <f t="shared" si="103"/>
        <v>0.00143809691146518</v>
      </c>
      <c r="F75" s="17">
        <f t="shared" si="103"/>
        <v>1.43809691146518</v>
      </c>
      <c r="G75" s="17">
        <f t="shared" si="103"/>
        <v>0.940994544691959</v>
      </c>
      <c r="H75" s="8">
        <f t="shared" si="103"/>
        <v>0.675</v>
      </c>
      <c r="I75" s="17">
        <f t="shared" si="103"/>
        <v>0.4725</v>
      </c>
      <c r="J75" s="48">
        <f t="shared" si="103"/>
        <v>0.258917844134013</v>
      </c>
      <c r="K75" s="49">
        <f>'[1]排水管计算-02'!O67</f>
        <v>19.5</v>
      </c>
      <c r="L75" s="44">
        <f>'[1]排水管计算-02'!P67</f>
        <v>19.3621</v>
      </c>
      <c r="M75" s="48">
        <f t="shared" si="103"/>
        <v>-0.136020889047869</v>
      </c>
      <c r="N75" s="50">
        <f t="shared" si="103"/>
        <v>-0.394938733181882</v>
      </c>
      <c r="O75" s="53">
        <f t="shared" si="103"/>
        <v>0.0914791109521312</v>
      </c>
      <c r="P75" s="53">
        <f t="shared" si="103"/>
        <v>-0.167438733181882</v>
      </c>
      <c r="Q75" s="53">
        <f t="shared" si="103"/>
        <v>-0.608520889047869</v>
      </c>
      <c r="R75" s="53">
        <f t="shared" si="103"/>
        <v>-0.867438733181882</v>
      </c>
      <c r="S75" s="50">
        <f t="shared" si="103"/>
        <v>19.4148208890479</v>
      </c>
      <c r="T75" s="50">
        <f t="shared" si="103"/>
        <v>19.7109387331819</v>
      </c>
      <c r="U75" s="1">
        <f t="shared" ref="U75:U91" si="104">ACOS((D75/2-D75*H75)/(D75/2))</f>
        <v>1.92836743044041</v>
      </c>
      <c r="V75" s="1">
        <f t="shared" si="100"/>
        <v>0.27638815360615</v>
      </c>
      <c r="W75" s="1">
        <f t="shared" si="101"/>
        <v>1.34985720130828</v>
      </c>
      <c r="X75" s="1">
        <f t="shared" si="102"/>
        <v>0.204753623819078</v>
      </c>
    </row>
    <row r="76" spans="1:24">
      <c r="A76" s="19" t="str">
        <f>'[1]排水管计算-02'!D68</f>
        <v>51-52</v>
      </c>
      <c r="B76" s="26">
        <f>'[1]排水管计算-02'!E68</f>
        <v>581.848</v>
      </c>
      <c r="C76" s="27">
        <f>'[1]排水管计算-02'!N68</f>
        <v>470.758039520748</v>
      </c>
      <c r="D76" s="30">
        <v>700</v>
      </c>
      <c r="E76" s="20">
        <f>(($V$2*G76)/((V76/W76)^(2/3)))^2</f>
        <v>0.00471162355308501</v>
      </c>
      <c r="F76" s="17">
        <f t="shared" ref="F76:F91" si="105">E76*1000</f>
        <v>4.71162355308501</v>
      </c>
      <c r="G76" s="17">
        <f t="shared" ref="G76:G91" si="106">C76/V76/1000</f>
        <v>1.70324969930358</v>
      </c>
      <c r="H76" s="8">
        <f>IF(D76&lt;350,0.5,IF(D76&lt;500,0.6,IF(D76&lt;1000,0.675,0.725)))</f>
        <v>0.675</v>
      </c>
      <c r="I76" s="17">
        <f t="shared" si="92"/>
        <v>0.4725</v>
      </c>
      <c r="J76" s="48">
        <f t="shared" ref="J76:J91" si="107">E76*B76</f>
        <v>2.74144874111541</v>
      </c>
      <c r="K76" s="49">
        <f>'[1]排水管计算-02'!O68</f>
        <v>19.3621</v>
      </c>
      <c r="L76" s="44">
        <f>'[1]排水管计算-02'!P68</f>
        <v>19.3042</v>
      </c>
      <c r="M76" s="48">
        <f t="shared" si="93"/>
        <v>-0.394938733181882</v>
      </c>
      <c r="N76" s="50">
        <f t="shared" ref="N76:N91" si="108">M76-J76</f>
        <v>-3.13638747429729</v>
      </c>
      <c r="O76" s="53">
        <f t="shared" si="95"/>
        <v>-0.167438733181882</v>
      </c>
      <c r="P76" s="53">
        <f t="shared" ref="P76:P91" si="109">O76-J76</f>
        <v>-2.90888747429729</v>
      </c>
      <c r="Q76" s="53">
        <f t="shared" si="97"/>
        <v>-0.867438733181882</v>
      </c>
      <c r="R76" s="53">
        <f t="shared" ref="R76:R91" si="110">P76-D76/1000</f>
        <v>-3.60888747429729</v>
      </c>
      <c r="S76" s="50">
        <f>K76-O76</f>
        <v>19.5295387331819</v>
      </c>
      <c r="T76" s="50">
        <f t="shared" ref="T76:T91" si="111">L76-P76</f>
        <v>22.2130874742973</v>
      </c>
      <c r="U76" s="1">
        <f t="shared" si="104"/>
        <v>1.92836743044041</v>
      </c>
      <c r="V76" s="1">
        <f t="shared" si="100"/>
        <v>0.27638815360615</v>
      </c>
      <c r="W76" s="1">
        <f t="shared" si="101"/>
        <v>1.34985720130829</v>
      </c>
      <c r="X76" s="1">
        <f t="shared" si="102"/>
        <v>0.204753623819078</v>
      </c>
    </row>
    <row r="77" spans="1:20">
      <c r="A77" s="69" t="s">
        <v>38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</row>
    <row r="78" spans="1:20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</row>
    <row r="79" spans="1:24">
      <c r="A79" s="25" t="s">
        <v>39</v>
      </c>
      <c r="B79" s="42">
        <v>286.06</v>
      </c>
      <c r="C79" s="27">
        <v>4.348439858</v>
      </c>
      <c r="D79" s="30">
        <v>150</v>
      </c>
      <c r="E79" s="20">
        <f>(($V$2*G79)/((V79/W79)^(2/3)))^2</f>
        <v>0.00378207243657624</v>
      </c>
      <c r="F79" s="17">
        <f t="shared" si="105"/>
        <v>3.78207243657624</v>
      </c>
      <c r="G79" s="17">
        <f t="shared" si="106"/>
        <v>0.492142718676281</v>
      </c>
      <c r="H79" s="8">
        <v>0.5</v>
      </c>
      <c r="I79" s="17">
        <f>H79*D79/1000</f>
        <v>0.075</v>
      </c>
      <c r="J79" s="48">
        <f t="shared" si="107"/>
        <v>1.081899641207</v>
      </c>
      <c r="K79" s="49">
        <v>21.2543</v>
      </c>
      <c r="L79" s="44">
        <v>20.8716</v>
      </c>
      <c r="M79" s="48">
        <f>Q79+J79</f>
        <v>21.336199641207</v>
      </c>
      <c r="N79" s="50">
        <f t="shared" si="108"/>
        <v>20.2543</v>
      </c>
      <c r="O79" s="53">
        <f>K79-S79</f>
        <v>20.4043</v>
      </c>
      <c r="P79" s="53">
        <f t="shared" si="109"/>
        <v>19.322400358793</v>
      </c>
      <c r="Q79" s="53">
        <f>O79-D79/1000</f>
        <v>20.2543</v>
      </c>
      <c r="R79" s="53">
        <f t="shared" si="110"/>
        <v>19.172400358793</v>
      </c>
      <c r="S79" s="50">
        <f>0.7+D79/1000</f>
        <v>0.85</v>
      </c>
      <c r="T79" s="50">
        <f t="shared" si="111"/>
        <v>1.549199641207</v>
      </c>
      <c r="U79" s="1">
        <f t="shared" si="104"/>
        <v>1.5707963267949</v>
      </c>
      <c r="V79" s="1">
        <f>(U79-SIN(U79)*COS(U79))*((D79/1000)/2)^2</f>
        <v>0.00883572933822129</v>
      </c>
      <c r="W79" s="1">
        <f>U79*(D79/1000)</f>
        <v>0.235619449019234</v>
      </c>
      <c r="X79" s="1">
        <f>V79/W79</f>
        <v>0.0375</v>
      </c>
    </row>
    <row r="80" spans="1:24">
      <c r="A80" s="28" t="s">
        <v>40</v>
      </c>
      <c r="B80" s="26">
        <v>237.02</v>
      </c>
      <c r="C80" s="27">
        <v>10.101820792</v>
      </c>
      <c r="D80" s="30">
        <v>250</v>
      </c>
      <c r="E80" s="20">
        <f>(($V$2*G80)/((V80/W80)^(2/3)))^2</f>
        <v>0.00393029230505433</v>
      </c>
      <c r="F80" s="17">
        <f t="shared" si="105"/>
        <v>3.93029230505433</v>
      </c>
      <c r="G80" s="17">
        <f t="shared" si="106"/>
        <v>0.61181680024181</v>
      </c>
      <c r="H80" s="8">
        <v>0.37</v>
      </c>
      <c r="I80" s="17">
        <f>H80*D80/1000</f>
        <v>0.0925</v>
      </c>
      <c r="J80" s="48">
        <f t="shared" si="107"/>
        <v>0.931557882143977</v>
      </c>
      <c r="K80" s="49">
        <v>20.8716</v>
      </c>
      <c r="L80" s="44">
        <v>20.5841</v>
      </c>
      <c r="M80" s="48">
        <f>Q80+J80</f>
        <v>20.086458240937</v>
      </c>
      <c r="N80" s="50">
        <f t="shared" si="108"/>
        <v>19.154900358793</v>
      </c>
      <c r="O80" s="53">
        <f>P79-I80+I79+(D80-D79)/1000</f>
        <v>19.404900358793</v>
      </c>
      <c r="P80" s="53">
        <f t="shared" si="109"/>
        <v>18.473342476649</v>
      </c>
      <c r="Q80" s="53">
        <f>IF(O80-D80/1000&lt;=R79,O80-D80/1000)</f>
        <v>19.154900358793</v>
      </c>
      <c r="R80" s="53">
        <f t="shared" si="110"/>
        <v>18.223342476649</v>
      </c>
      <c r="S80" s="50">
        <f>K80-O80</f>
        <v>1.466699641207</v>
      </c>
      <c r="T80" s="50">
        <f t="shared" si="111"/>
        <v>2.11075752335098</v>
      </c>
      <c r="U80" s="1">
        <f t="shared" si="104"/>
        <v>1.30777412388643</v>
      </c>
      <c r="V80" s="1">
        <f>(U80-SIN(U80)*COS(U80))*((D80/1000)/2)^2</f>
        <v>0.0165111856817391</v>
      </c>
      <c r="W80" s="1">
        <f>U80*(D80/1000)</f>
        <v>0.326943530971607</v>
      </c>
      <c r="X80" s="1">
        <f>V80/W80</f>
        <v>0.050501643610049</v>
      </c>
    </row>
    <row r="81" spans="1:24">
      <c r="A81" s="28" t="s">
        <v>41</v>
      </c>
      <c r="B81" s="26">
        <v>261.173</v>
      </c>
      <c r="C81" s="27">
        <v>15.125090302</v>
      </c>
      <c r="D81" s="30">
        <v>250</v>
      </c>
      <c r="E81" s="20">
        <f>(($V$2*G81)/((V81/W81)^(2/3)))^2</f>
        <v>0.00300099676945877</v>
      </c>
      <c r="F81" s="17">
        <f t="shared" si="105"/>
        <v>3.00099676945877</v>
      </c>
      <c r="G81" s="17">
        <f t="shared" si="106"/>
        <v>0.616251618886294</v>
      </c>
      <c r="H81" s="8">
        <f>IF(D81&lt;350,0.5,IF(D81&lt;500,0.6,IF(D81&lt;1000,0.675,0.725)))</f>
        <v>0.5</v>
      </c>
      <c r="I81" s="17">
        <f>H81*D81/1000</f>
        <v>0.125</v>
      </c>
      <c r="J81" s="48">
        <f t="shared" si="107"/>
        <v>0.783779329269856</v>
      </c>
      <c r="K81" s="49">
        <v>20.5841</v>
      </c>
      <c r="L81" s="44">
        <v>20.3453</v>
      </c>
      <c r="M81" s="48">
        <f>Q81+J81</f>
        <v>18.9746218059189</v>
      </c>
      <c r="N81" s="50">
        <f t="shared" si="108"/>
        <v>18.190842476649</v>
      </c>
      <c r="O81" s="53">
        <f>P80-I81+I80+(D81-D80)/1000</f>
        <v>18.440842476649</v>
      </c>
      <c r="P81" s="53">
        <f t="shared" si="109"/>
        <v>17.6570631473792</v>
      </c>
      <c r="Q81" s="53">
        <f>IF(O81-D81/1000&lt;=R80,O81-D81/1000)</f>
        <v>18.190842476649</v>
      </c>
      <c r="R81" s="53">
        <f t="shared" si="110"/>
        <v>17.4070631473792</v>
      </c>
      <c r="S81" s="50">
        <f>K81-O81</f>
        <v>2.14325752335098</v>
      </c>
      <c r="T81" s="50">
        <f t="shared" si="111"/>
        <v>2.68823685262083</v>
      </c>
      <c r="U81" s="1">
        <f t="shared" si="104"/>
        <v>1.5707963267949</v>
      </c>
      <c r="V81" s="1">
        <f>(U81-SIN(U81)*COS(U81))*((D81/1000)/2)^2</f>
        <v>0.0245436926061703</v>
      </c>
      <c r="W81" s="1">
        <f>U81*(D81/1000)</f>
        <v>0.392699081698724</v>
      </c>
      <c r="X81" s="1">
        <f>V81/W81</f>
        <v>0.0625</v>
      </c>
    </row>
    <row r="82" spans="1:24">
      <c r="A82" s="28" t="s">
        <v>42</v>
      </c>
      <c r="B82" s="26">
        <v>249.914</v>
      </c>
      <c r="C82" s="27">
        <v>19.7214906</v>
      </c>
      <c r="D82" s="30">
        <v>300</v>
      </c>
      <c r="E82" s="20">
        <f>(($V$2*G82)/((V82/W82)^(2/3)))^2</f>
        <v>0.00278033636489574</v>
      </c>
      <c r="F82" s="17">
        <f t="shared" si="105"/>
        <v>2.78033636489574</v>
      </c>
      <c r="G82" s="17">
        <f t="shared" si="106"/>
        <v>0.639261477629696</v>
      </c>
      <c r="H82" s="8">
        <v>0.45</v>
      </c>
      <c r="I82" s="17">
        <f>H82*D82/1000</f>
        <v>0.135</v>
      </c>
      <c r="J82" s="48">
        <f t="shared" si="107"/>
        <v>0.694844982296554</v>
      </c>
      <c r="K82" s="49">
        <v>20.3453</v>
      </c>
      <c r="L82" s="44">
        <v>20.1289</v>
      </c>
      <c r="M82" s="48">
        <f>Q82+J82</f>
        <v>18.0919081296757</v>
      </c>
      <c r="N82" s="50">
        <f t="shared" si="108"/>
        <v>17.3970631473792</v>
      </c>
      <c r="O82" s="53">
        <f>P81-I82+I81+(D82-D81)/1000</f>
        <v>17.6970631473792</v>
      </c>
      <c r="P82" s="53">
        <f t="shared" si="109"/>
        <v>17.0022181650826</v>
      </c>
      <c r="Q82" s="53">
        <f>IF(O82-D82/1000&lt;=R81,O82-D82/1000)</f>
        <v>17.3970631473792</v>
      </c>
      <c r="R82" s="53">
        <f t="shared" si="110"/>
        <v>16.7022181650826</v>
      </c>
      <c r="S82" s="50">
        <f>K82-O82</f>
        <v>2.64823685262083</v>
      </c>
      <c r="T82" s="50">
        <f t="shared" si="111"/>
        <v>3.12668183491739</v>
      </c>
      <c r="U82" s="1">
        <f t="shared" si="104"/>
        <v>1.47062890563334</v>
      </c>
      <c r="V82" s="1">
        <f>(U82-SIN(U82)*COS(U82))*((D82/1000)/2)^2</f>
        <v>0.0308504286432602</v>
      </c>
      <c r="W82" s="1">
        <f>U82*(D82/1000)</f>
        <v>0.441188671690001</v>
      </c>
      <c r="X82" s="1">
        <f>V82/W82</f>
        <v>0.069925704404616</v>
      </c>
    </row>
    <row r="83" spans="1:24">
      <c r="A83" s="28" t="s">
        <v>43</v>
      </c>
      <c r="B83" s="26">
        <v>243.103</v>
      </c>
      <c r="C83" s="27">
        <v>23.065717066</v>
      </c>
      <c r="D83" s="30">
        <v>300</v>
      </c>
      <c r="E83" s="20">
        <f>(($V$2*G83)/((V83/W83)^(2/3)))^2</f>
        <v>0.00263938969969346</v>
      </c>
      <c r="F83" s="17">
        <f t="shared" si="105"/>
        <v>2.63938969969346</v>
      </c>
      <c r="G83" s="17">
        <f t="shared" si="106"/>
        <v>0.652626291024531</v>
      </c>
      <c r="H83" s="8">
        <f>IF(D83&lt;350,0.5,IF(D83&lt;500,0.6,IF(D83&lt;1000,0.675,0.725)))</f>
        <v>0.5</v>
      </c>
      <c r="I83" s="17">
        <f>H83*D83/1000</f>
        <v>0.15</v>
      </c>
      <c r="J83" s="48">
        <f t="shared" si="107"/>
        <v>0.641643554164578</v>
      </c>
      <c r="K83" s="49">
        <v>20.1289</v>
      </c>
      <c r="L83" s="44">
        <v>19.4174</v>
      </c>
      <c r="M83" s="48">
        <f>Q83+J83</f>
        <v>17.3288617192472</v>
      </c>
      <c r="N83" s="50">
        <f t="shared" si="108"/>
        <v>16.6872181650826</v>
      </c>
      <c r="O83" s="53">
        <f>P82-I83+I82+(D83-D82)/1000</f>
        <v>16.9872181650826</v>
      </c>
      <c r="P83" s="53">
        <f t="shared" si="109"/>
        <v>16.345574610918</v>
      </c>
      <c r="Q83" s="53">
        <f>IF(O83-D83/1000&lt;=R82,O83-D83/1000)</f>
        <v>16.6872181650826</v>
      </c>
      <c r="R83" s="53">
        <f t="shared" si="110"/>
        <v>16.045574610918</v>
      </c>
      <c r="S83" s="50">
        <f>K83-O83</f>
        <v>3.14168183491738</v>
      </c>
      <c r="T83" s="50">
        <f t="shared" si="111"/>
        <v>3.07182538908196</v>
      </c>
      <c r="U83" s="1">
        <f t="shared" si="104"/>
        <v>1.5707963267949</v>
      </c>
      <c r="V83" s="1">
        <f>(U83-SIN(U83)*COS(U83))*((D83/1000)/2)^2</f>
        <v>0.0353429173528852</v>
      </c>
      <c r="W83" s="1">
        <f>U83*(D83/1000)</f>
        <v>0.471238898038469</v>
      </c>
      <c r="X83" s="1">
        <f>V83/W83</f>
        <v>0.075</v>
      </c>
    </row>
    <row r="85" spans="1:24">
      <c r="A85" s="25" t="s">
        <v>39</v>
      </c>
      <c r="B85" s="42">
        <v>463.696</v>
      </c>
      <c r="C85" s="27">
        <v>4.630690246</v>
      </c>
      <c r="D85" s="30">
        <v>200</v>
      </c>
      <c r="E85" s="20">
        <f>(($V$2*G85)/((V85/W85)^(2/3)))^2</f>
        <v>0.00334381048945402</v>
      </c>
      <c r="F85" s="17">
        <f>E85*1000</f>
        <v>3.34381048945402</v>
      </c>
      <c r="G85" s="17">
        <f>C85/V85/1000</f>
        <v>0.472557066804848</v>
      </c>
      <c r="H85" s="8">
        <v>0.35</v>
      </c>
      <c r="I85" s="17">
        <f>H85*D85/1000</f>
        <v>0.07</v>
      </c>
      <c r="J85" s="48">
        <f>E85*B85</f>
        <v>1.55051154871787</v>
      </c>
      <c r="K85" s="49">
        <v>21.0487</v>
      </c>
      <c r="L85" s="44">
        <v>21.0493</v>
      </c>
      <c r="M85" s="48">
        <f>Q85+J85</f>
        <v>21.4992115487179</v>
      </c>
      <c r="N85" s="50">
        <f>M85-J85</f>
        <v>19.9487</v>
      </c>
      <c r="O85" s="53">
        <f>K85-S85</f>
        <v>20.1487</v>
      </c>
      <c r="P85" s="53">
        <f>O85-J85</f>
        <v>18.5981884512821</v>
      </c>
      <c r="Q85" s="53">
        <f>O85-D85/1000</f>
        <v>19.9487</v>
      </c>
      <c r="R85" s="53">
        <f>P85-D85/1000</f>
        <v>18.3981884512821</v>
      </c>
      <c r="S85" s="50">
        <f>0.7+D85/1000</f>
        <v>0.9</v>
      </c>
      <c r="T85" s="50">
        <f>L85-P85</f>
        <v>2.45111154871787</v>
      </c>
      <c r="U85" s="1">
        <f>ACOS((D85/2-D85*H85)/(D85/2))</f>
        <v>1.2661036727795</v>
      </c>
      <c r="V85" s="1">
        <f>(U85-SIN(U85)*COS(U85))*((D85/1000)/2)^2</f>
        <v>0.00979921912354416</v>
      </c>
      <c r="W85" s="1">
        <f>U85*(D85/1000)</f>
        <v>0.2532207345559</v>
      </c>
      <c r="X85" s="1">
        <f>V85/W85</f>
        <v>0.0386983283210598</v>
      </c>
    </row>
    <row r="86" spans="1:24">
      <c r="A86" s="28" t="s">
        <v>44</v>
      </c>
      <c r="B86" s="26">
        <v>339.816</v>
      </c>
      <c r="C86" s="27">
        <v>8.98719367</v>
      </c>
      <c r="D86" s="30">
        <v>250</v>
      </c>
      <c r="E86" s="20">
        <f>(($V$2*G86)/((V86/W86)^(2/3)))^2</f>
        <v>0.00344627393895995</v>
      </c>
      <c r="F86" s="17">
        <f>E86*1000</f>
        <v>3.44627393895995</v>
      </c>
      <c r="G86" s="17">
        <f>C86/V86/1000</f>
        <v>0.56489799859535</v>
      </c>
      <c r="H86" s="8">
        <v>0.36</v>
      </c>
      <c r="I86" s="17">
        <f>H86*D86/1000</f>
        <v>0.09</v>
      </c>
      <c r="J86" s="48">
        <f>E86*B86</f>
        <v>1.17109902484161</v>
      </c>
      <c r="K86" s="49">
        <v>21.0493</v>
      </c>
      <c r="L86" s="44">
        <v>20.6342</v>
      </c>
      <c r="M86" s="48">
        <f>Q86+J86</f>
        <v>19.5492874761237</v>
      </c>
      <c r="N86" s="50">
        <f>M86-J86</f>
        <v>18.3781884512821</v>
      </c>
      <c r="O86" s="53">
        <f>P85-I86+I85+(D86-D85)/1000</f>
        <v>18.6281884512821</v>
      </c>
      <c r="P86" s="53">
        <f>O86-J86</f>
        <v>17.4570894264405</v>
      </c>
      <c r="Q86" s="53">
        <f>IF(O86-D86/1000&lt;=R85,O86-D86/1000)</f>
        <v>18.3781884512821</v>
      </c>
      <c r="R86" s="53">
        <f>P86-D86/1000</f>
        <v>17.2070894264405</v>
      </c>
      <c r="S86" s="50">
        <f>K86-O86</f>
        <v>2.42111154871787</v>
      </c>
      <c r="T86" s="50">
        <f>L86-P86</f>
        <v>3.17711057355948</v>
      </c>
      <c r="U86" s="1">
        <f>ACOS((D86/2-D86*H86)/(D86/2))</f>
        <v>1.28700221758657</v>
      </c>
      <c r="V86" s="1">
        <f>(U86-SIN(U86)*COS(U86))*((D86/1000)/2)^2</f>
        <v>0.0159094096497901</v>
      </c>
      <c r="W86" s="1">
        <f>U86*(D86/1000)</f>
        <v>0.321750554396642</v>
      </c>
      <c r="X86" s="1">
        <f>V86/W86</f>
        <v>0.0494464094385914</v>
      </c>
    </row>
    <row r="87" spans="1:24">
      <c r="A87" s="28" t="s">
        <v>45</v>
      </c>
      <c r="B87" s="26">
        <v>238.362</v>
      </c>
      <c r="C87" s="27">
        <v>12.091649528</v>
      </c>
      <c r="D87" s="30">
        <v>250</v>
      </c>
      <c r="E87" s="20">
        <f>(($V$2*G87)/((V87/W87)^(2/3)))^2</f>
        <v>0.00422233236348256</v>
      </c>
      <c r="F87" s="17">
        <f>E87*1000</f>
        <v>4.22233236348256</v>
      </c>
      <c r="G87" s="17">
        <f>C87/V87/1000</f>
        <v>0.659462521587281</v>
      </c>
      <c r="H87" s="8">
        <v>0.4</v>
      </c>
      <c r="I87" s="17">
        <f>H87*D87/1000</f>
        <v>0.1</v>
      </c>
      <c r="J87" s="48">
        <f>E87*B87</f>
        <v>1.00644358682443</v>
      </c>
      <c r="K87" s="49">
        <v>20.6342</v>
      </c>
      <c r="L87" s="44">
        <v>20.3564</v>
      </c>
      <c r="M87" s="48">
        <f>Q87+J87</f>
        <v>18.2035330132649</v>
      </c>
      <c r="N87" s="50">
        <f>M87-J87</f>
        <v>17.1970894264405</v>
      </c>
      <c r="O87" s="53">
        <f>P86-I87+I86+(D87-D86)/1000</f>
        <v>17.4470894264405</v>
      </c>
      <c r="P87" s="53">
        <f>O87-J87</f>
        <v>16.4406458396161</v>
      </c>
      <c r="Q87" s="53">
        <f>IF(O87-D87/1000&lt;=R86,O87-D87/1000)</f>
        <v>17.1970894264405</v>
      </c>
      <c r="R87" s="53">
        <f>P87-D87/1000</f>
        <v>16.1906458396161</v>
      </c>
      <c r="S87" s="50">
        <f>K87-O87</f>
        <v>3.18711057355948</v>
      </c>
      <c r="T87" s="50">
        <f>L87-P87</f>
        <v>3.91575416038391</v>
      </c>
      <c r="U87" s="1">
        <f>ACOS((D87/2-D87*H87)/(D87/2))</f>
        <v>1.36943840600457</v>
      </c>
      <c r="V87" s="1">
        <f>(U87-SIN(U87)*COS(U87))*((D87/1000)/2)^2</f>
        <v>0.0183356129153424</v>
      </c>
      <c r="W87" s="1">
        <f>U87*(D87/1000)</f>
        <v>0.342359601501141</v>
      </c>
      <c r="X87" s="1">
        <f>V87/W87</f>
        <v>0.0535565903072277</v>
      </c>
    </row>
    <row r="88" spans="1:24">
      <c r="A88" s="32" t="s">
        <v>46</v>
      </c>
      <c r="B88" s="31">
        <v>367.533</v>
      </c>
      <c r="C88" s="27">
        <v>31.46567667</v>
      </c>
      <c r="D88" s="30">
        <v>300</v>
      </c>
      <c r="E88" s="20">
        <f>(($V$2*G88)/((V88/W88)^(2/3)))^2</f>
        <v>0.00491183475716348</v>
      </c>
      <c r="F88" s="17">
        <f>E88*1000</f>
        <v>4.91183475716348</v>
      </c>
      <c r="G88" s="17">
        <f>C88/V88/1000</f>
        <v>0.890296529735436</v>
      </c>
      <c r="H88" s="8">
        <f>IF(D88&lt;350,0.5,IF(D88&lt;500,0.6,IF(D88&lt;1000,0.675,0.725)))</f>
        <v>0.5</v>
      </c>
      <c r="I88" s="17">
        <f>H88*D88/1000</f>
        <v>0.15</v>
      </c>
      <c r="J88" s="48">
        <f>E88*B88</f>
        <v>1.80526136380457</v>
      </c>
      <c r="K88" s="49">
        <v>20.3564</v>
      </c>
      <c r="L88" s="44">
        <v>19.5684</v>
      </c>
      <c r="M88" s="48">
        <f>Q88+J88</f>
        <v>17.9459072034207</v>
      </c>
      <c r="N88" s="50">
        <f>M88-J88</f>
        <v>16.1406458396161</v>
      </c>
      <c r="O88" s="53">
        <f>P87-I88+I87+(D88-D87)/1000</f>
        <v>16.4406458396161</v>
      </c>
      <c r="P88" s="53">
        <f>O88-J88</f>
        <v>14.6353844758115</v>
      </c>
      <c r="Q88" s="53">
        <f>IF(O88-D88/1000&lt;=R87,O88-D88/1000)</f>
        <v>16.1406458396161</v>
      </c>
      <c r="R88" s="53">
        <f>P88-D88/1000</f>
        <v>14.3353844758115</v>
      </c>
      <c r="S88" s="50">
        <f>K88-O88</f>
        <v>3.91575416038391</v>
      </c>
      <c r="T88" s="50">
        <f>L88-P88</f>
        <v>4.93301552418847</v>
      </c>
      <c r="U88" s="1">
        <f>ACOS((D88/2-D88*H88)/(D88/2))</f>
        <v>1.5707963267949</v>
      </c>
      <c r="V88" s="1">
        <f>(U88-SIN(U88)*COS(U88))*((D88/1000)/2)^2</f>
        <v>0.0353429173528852</v>
      </c>
      <c r="W88" s="1">
        <f>U88*(D88/1000)</f>
        <v>0.471238898038469</v>
      </c>
      <c r="X88" s="1">
        <f>V88/W88</f>
        <v>0.075</v>
      </c>
    </row>
    <row r="90" spans="1:24">
      <c r="A90" s="25" t="s">
        <v>39</v>
      </c>
      <c r="B90" s="42">
        <v>305.638</v>
      </c>
      <c r="C90" s="27">
        <v>0.945072996</v>
      </c>
      <c r="D90" s="30">
        <v>150</v>
      </c>
      <c r="E90" s="20">
        <f>(($V$2*G90)/((V90/W90)^(2/3)))^2</f>
        <v>0.00331769773139991</v>
      </c>
      <c r="F90" s="17">
        <f>E90*1000</f>
        <v>3.31769773139991</v>
      </c>
      <c r="G90" s="17">
        <f>C90/V90/1000</f>
        <v>0.307794935836197</v>
      </c>
      <c r="H90" s="8">
        <v>0.23</v>
      </c>
      <c r="I90" s="17">
        <f>H90*D90/1000</f>
        <v>0.0345</v>
      </c>
      <c r="J90" s="48">
        <f>E90*B90</f>
        <v>1.01401449922961</v>
      </c>
      <c r="K90" s="49">
        <v>20.143</v>
      </c>
      <c r="L90" s="44">
        <v>20.6391</v>
      </c>
      <c r="M90" s="48">
        <f>Q90+J90</f>
        <v>20.1570144992296</v>
      </c>
      <c r="N90" s="50">
        <f>M90-J90</f>
        <v>19.143</v>
      </c>
      <c r="O90" s="53">
        <f>K90-S90</f>
        <v>19.293</v>
      </c>
      <c r="P90" s="53">
        <f>O90-J90</f>
        <v>18.2789855007704</v>
      </c>
      <c r="Q90" s="53">
        <f>O90-D90/1000</f>
        <v>19.143</v>
      </c>
      <c r="R90" s="53">
        <f>P90-D90/1000</f>
        <v>18.1289855007704</v>
      </c>
      <c r="S90" s="50">
        <f>0.7+D90/1000</f>
        <v>0.85</v>
      </c>
      <c r="T90" s="50">
        <f>L90-P90</f>
        <v>2.36011449922961</v>
      </c>
      <c r="U90" s="1">
        <f>ACOS((D90/2-D90*H90)/(D90/2))</f>
        <v>1.00035921739497</v>
      </c>
      <c r="V90" s="1">
        <f>(U90-SIN(U90)*COS(U90))*((D90/1000)/2)^2</f>
        <v>0.00307046311022788</v>
      </c>
      <c r="W90" s="1">
        <f>U90*(D90/1000)</f>
        <v>0.150053882609246</v>
      </c>
      <c r="X90" s="1">
        <f>V90/W90</f>
        <v>0.0204624036168637</v>
      </c>
    </row>
    <row r="91" spans="1:24">
      <c r="A91" s="71" t="s">
        <v>47</v>
      </c>
      <c r="B91" s="40">
        <v>202.126</v>
      </c>
      <c r="C91" s="27">
        <v>4.540524548</v>
      </c>
      <c r="D91" s="30">
        <v>150</v>
      </c>
      <c r="E91" s="20">
        <f>(($V$2*G91)/((V91/W91)^(2/3)))^2</f>
        <v>0.00643489040816725</v>
      </c>
      <c r="F91" s="17">
        <f>E91*1000</f>
        <v>6.43489040816725</v>
      </c>
      <c r="G91" s="17">
        <f>C91/V91/1000</f>
        <v>0.606294414874978</v>
      </c>
      <c r="H91" s="8">
        <v>0.44</v>
      </c>
      <c r="I91" s="17">
        <f>H91*D91/1000</f>
        <v>0.066</v>
      </c>
      <c r="J91" s="48">
        <f>E91*B91</f>
        <v>1.30065865864121</v>
      </c>
      <c r="K91" s="49">
        <v>20.6391</v>
      </c>
      <c r="L91" s="44">
        <v>20.3194</v>
      </c>
      <c r="M91" s="48">
        <f>Q91+J91</f>
        <v>19.3981441594116</v>
      </c>
      <c r="N91" s="50">
        <f>M91-J91</f>
        <v>18.0974855007704</v>
      </c>
      <c r="O91" s="53">
        <f>P90-I91+I90+(D91-D90)/1000</f>
        <v>18.2474855007704</v>
      </c>
      <c r="P91" s="53">
        <f>O91-J91</f>
        <v>16.9468268421292</v>
      </c>
      <c r="Q91" s="53">
        <f>IF(O91-D91/1000&lt;=R90,O91-D91/1000)</f>
        <v>18.0974855007704</v>
      </c>
      <c r="R91" s="53">
        <f>P91-D91/1000</f>
        <v>16.7968268421292</v>
      </c>
      <c r="S91" s="50">
        <f>K91-O91</f>
        <v>2.3916144992296</v>
      </c>
      <c r="T91" s="50">
        <f>L91-P91</f>
        <v>3.37257315787082</v>
      </c>
      <c r="U91" s="1">
        <f>ACOS((D91/2-D91*H91)/(D91/2))</f>
        <v>1.45050644440011</v>
      </c>
      <c r="V91" s="1">
        <f>(U91-SIN(U91)*COS(U91))*((D91/1000)/2)^2</f>
        <v>0.0074889763728671</v>
      </c>
      <c r="W91" s="1">
        <f>U91*(D91/1000)</f>
        <v>0.217575966660016</v>
      </c>
      <c r="X91" s="1">
        <f>V91/W91</f>
        <v>0.0344200533166853</v>
      </c>
    </row>
    <row r="92" spans="1:24">
      <c r="A92" s="39" t="s">
        <v>48</v>
      </c>
      <c r="B92" s="40">
        <v>198.779</v>
      </c>
      <c r="C92" s="27">
        <v>6.935220138</v>
      </c>
      <c r="D92" s="30">
        <v>200</v>
      </c>
      <c r="E92" s="20">
        <f>(($V$2*G92)/((V92/W92)^(2/3)))^2</f>
        <v>0.00551526569869446</v>
      </c>
      <c r="F92" s="17">
        <f>E92*1000</f>
        <v>5.51526569869446</v>
      </c>
      <c r="G92" s="17">
        <f>C92/V92/1000</f>
        <v>0.633096161639505</v>
      </c>
      <c r="H92" s="8">
        <v>0.38</v>
      </c>
      <c r="I92" s="17">
        <f>H92*D92/1000</f>
        <v>0.076</v>
      </c>
      <c r="J92" s="48">
        <f>E92*B92</f>
        <v>1.09631900032079</v>
      </c>
      <c r="K92" s="49">
        <v>20.3194</v>
      </c>
      <c r="L92" s="44">
        <v>20.0376</v>
      </c>
      <c r="M92" s="48">
        <f>Q92+J92</f>
        <v>17.88314584245</v>
      </c>
      <c r="N92" s="50">
        <f>M92-J92</f>
        <v>16.7868268421292</v>
      </c>
      <c r="O92" s="53">
        <f>P91-I92+I91+(D92-D91)/1000</f>
        <v>16.9868268421292</v>
      </c>
      <c r="P92" s="53">
        <f>O92-J92</f>
        <v>15.8905078418084</v>
      </c>
      <c r="Q92" s="53">
        <f>IF(O92-D92/1000&lt;=R91,O92-D92/1000)</f>
        <v>16.7868268421292</v>
      </c>
      <c r="R92" s="53">
        <f>P92-D92/1000</f>
        <v>15.6905078418084</v>
      </c>
      <c r="S92" s="50">
        <f>K92-O92</f>
        <v>3.33257315787082</v>
      </c>
      <c r="T92" s="50">
        <f>L92-P92</f>
        <v>4.14709215819161</v>
      </c>
      <c r="U92" s="1">
        <f>ACOS((D92/2-D92*H92)/(D92/2))</f>
        <v>1.32843047575593</v>
      </c>
      <c r="V92" s="1">
        <f>(U92-SIN(U92)*COS(U92))*((D92/1000)/2)^2</f>
        <v>0.0109544498264531</v>
      </c>
      <c r="W92" s="1">
        <f>U92*(D92/1000)</f>
        <v>0.265686095151187</v>
      </c>
      <c r="X92" s="1">
        <f>V92/W92</f>
        <v>0.0412307983984618</v>
      </c>
    </row>
    <row r="93" spans="1:24">
      <c r="A93" s="39" t="s">
        <v>49</v>
      </c>
      <c r="B93" s="40">
        <v>95.023</v>
      </c>
      <c r="C93" s="27">
        <v>8.76298829</v>
      </c>
      <c r="D93" s="30">
        <v>200</v>
      </c>
      <c r="E93" s="20">
        <f>(($V$2*G93)/((V93/W93)^(2/3)))^2</f>
        <v>0.00477172833648446</v>
      </c>
      <c r="F93" s="17">
        <f>E93*1000</f>
        <v>4.77172833648445</v>
      </c>
      <c r="G93" s="17">
        <f>C93/V93/1000</f>
        <v>0.639106959598354</v>
      </c>
      <c r="H93" s="8">
        <v>0.45</v>
      </c>
      <c r="I93" s="17">
        <f>H93*D93/1000</f>
        <v>0.09</v>
      </c>
      <c r="J93" s="48">
        <f>E93*B93</f>
        <v>0.453423941717762</v>
      </c>
      <c r="K93" s="49">
        <v>20.0376</v>
      </c>
      <c r="L93" s="44">
        <v>19.6394</v>
      </c>
      <c r="M93" s="48">
        <f>Q93+J93</f>
        <v>16.1299317835262</v>
      </c>
      <c r="N93" s="50">
        <f>M93-J93</f>
        <v>15.6765078418084</v>
      </c>
      <c r="O93" s="53">
        <f>P92-I93+I92+(D93-D92)/1000</f>
        <v>15.8765078418084</v>
      </c>
      <c r="P93" s="53">
        <f>O93-J93</f>
        <v>15.4230839000906</v>
      </c>
      <c r="Q93" s="53">
        <f>IF(O93-D93/1000&lt;=R92,O93-D93/1000)</f>
        <v>15.6765078418084</v>
      </c>
      <c r="R93" s="53">
        <f>P93-D93/1000</f>
        <v>15.2230839000906</v>
      </c>
      <c r="S93" s="50">
        <f>K93-O93</f>
        <v>4.16109215819161</v>
      </c>
      <c r="T93" s="50">
        <f>L93-P93</f>
        <v>4.21631609990937</v>
      </c>
      <c r="U93" s="1">
        <f>ACOS((D93/2-D93*H93)/(D93/2))</f>
        <v>1.47062890563334</v>
      </c>
      <c r="V93" s="1">
        <f>(U93-SIN(U93)*COS(U93))*((D93/1000)/2)^2</f>
        <v>0.0137113016192268</v>
      </c>
      <c r="W93" s="1">
        <f>U93*(D93/1000)</f>
        <v>0.294125781126667</v>
      </c>
      <c r="X93" s="1">
        <f>V93/W93</f>
        <v>0.046617136269744</v>
      </c>
    </row>
    <row r="95" spans="1:24">
      <c r="A95" s="25" t="s">
        <v>50</v>
      </c>
      <c r="B95" s="40">
        <f>B83</f>
        <v>243.103</v>
      </c>
      <c r="C95" s="27">
        <f t="shared" ref="C95:T95" si="112">C83</f>
        <v>23.065717066</v>
      </c>
      <c r="D95" s="30">
        <f t="shared" si="112"/>
        <v>300</v>
      </c>
      <c r="E95" s="20">
        <f t="shared" si="112"/>
        <v>0.00263938969969346</v>
      </c>
      <c r="F95" s="17">
        <f t="shared" si="112"/>
        <v>2.63938969969346</v>
      </c>
      <c r="G95" s="17">
        <f t="shared" si="112"/>
        <v>0.652626291024531</v>
      </c>
      <c r="H95" s="8">
        <f t="shared" si="112"/>
        <v>0.5</v>
      </c>
      <c r="I95" s="17">
        <f t="shared" si="112"/>
        <v>0.15</v>
      </c>
      <c r="J95" s="48">
        <f t="shared" si="112"/>
        <v>0.641643554164578</v>
      </c>
      <c r="K95" s="49">
        <f t="shared" si="112"/>
        <v>20.1289</v>
      </c>
      <c r="L95" s="44">
        <f t="shared" si="112"/>
        <v>19.4174</v>
      </c>
      <c r="M95" s="48">
        <f t="shared" si="112"/>
        <v>17.3288617192472</v>
      </c>
      <c r="N95" s="50">
        <f t="shared" si="112"/>
        <v>16.6872181650826</v>
      </c>
      <c r="O95" s="53">
        <f t="shared" si="112"/>
        <v>16.9872181650826</v>
      </c>
      <c r="P95" s="53">
        <f t="shared" si="112"/>
        <v>16.345574610918</v>
      </c>
      <c r="Q95" s="53">
        <f t="shared" si="112"/>
        <v>16.6872181650826</v>
      </c>
      <c r="R95" s="53">
        <f t="shared" si="112"/>
        <v>16.045574610918</v>
      </c>
      <c r="S95" s="50">
        <f t="shared" si="112"/>
        <v>3.14168183491738</v>
      </c>
      <c r="T95" s="50">
        <f t="shared" si="112"/>
        <v>3.07182538908196</v>
      </c>
      <c r="U95" s="1">
        <f t="shared" ref="U95:U101" si="113">ACOS((D95/2-D95*H95)/(D95/2))</f>
        <v>1.5707963267949</v>
      </c>
      <c r="V95" s="1">
        <f t="shared" ref="V95:V101" si="114">(U95-SIN(U95)*COS(U95))*((D95/1000)/2)^2</f>
        <v>0.0353429173528852</v>
      </c>
      <c r="W95" s="1">
        <f t="shared" ref="W95:W101" si="115">U95*(D95/1000)</f>
        <v>0.471238898038469</v>
      </c>
      <c r="X95" s="1">
        <f t="shared" ref="X95:X101" si="116">V95/W95</f>
        <v>0.075</v>
      </c>
    </row>
    <row r="96" spans="1:24">
      <c r="A96" s="71" t="s">
        <v>51</v>
      </c>
      <c r="B96" s="40">
        <v>595.823</v>
      </c>
      <c r="C96" s="27">
        <v>23.065717066</v>
      </c>
      <c r="D96" s="30">
        <v>300</v>
      </c>
      <c r="E96" s="20">
        <f>(($V$2*G96)/((V96/W96)^(2/3)))^2</f>
        <v>0.00263938969969346</v>
      </c>
      <c r="F96" s="17">
        <f t="shared" ref="F96:F101" si="117">E96*1000</f>
        <v>2.63938969969346</v>
      </c>
      <c r="G96" s="17">
        <f t="shared" ref="G96:G101" si="118">C96/V96/1000</f>
        <v>0.652626291024531</v>
      </c>
      <c r="H96" s="8">
        <f t="shared" ref="H95:H101" si="119">IF(D96&lt;350,0.5,IF(D96&lt;500,0.6,IF(D96&lt;1000,0.675,0.725)))</f>
        <v>0.5</v>
      </c>
      <c r="I96" s="17">
        <f t="shared" ref="I96:I101" si="120">H96*D96/1000</f>
        <v>0.15</v>
      </c>
      <c r="J96" s="48">
        <f t="shared" ref="J96:J101" si="121">E96*B96</f>
        <v>1.57260908904046</v>
      </c>
      <c r="K96" s="49">
        <v>19.4174</v>
      </c>
      <c r="L96" s="44">
        <v>19.5684</v>
      </c>
      <c r="M96" s="48">
        <f t="shared" ref="M95:M100" si="122">Q96+J96</f>
        <v>17.6181836999585</v>
      </c>
      <c r="N96" s="50">
        <f t="shared" ref="N96:N101" si="123">M96-J96</f>
        <v>16.045574610918</v>
      </c>
      <c r="O96" s="53">
        <f t="shared" ref="O96:O101" si="124">P95-I96+I95+(D96-D95)/1000</f>
        <v>16.345574610918</v>
      </c>
      <c r="P96" s="53">
        <f t="shared" ref="P96:P101" si="125">O96-J96</f>
        <v>14.7729655218776</v>
      </c>
      <c r="Q96" s="53">
        <f t="shared" ref="Q96:Q101" si="126">IF(O96-D96/1000&lt;=R95,O96-D96/1000)</f>
        <v>16.045574610918</v>
      </c>
      <c r="R96" s="53">
        <f t="shared" ref="R96:R101" si="127">P96-D96/1000</f>
        <v>14.4729655218776</v>
      </c>
      <c r="S96" s="50">
        <f t="shared" ref="S96:S101" si="128">K96-O96</f>
        <v>3.07182538908196</v>
      </c>
      <c r="T96" s="50">
        <f t="shared" ref="T96:T101" si="129">L96-P96</f>
        <v>4.79543447812242</v>
      </c>
      <c r="U96" s="1">
        <f t="shared" si="113"/>
        <v>1.5707963267949</v>
      </c>
      <c r="V96" s="1">
        <f t="shared" si="114"/>
        <v>0.0353429173528852</v>
      </c>
      <c r="W96" s="1">
        <f t="shared" si="115"/>
        <v>0.471238898038469</v>
      </c>
      <c r="X96" s="1">
        <f t="shared" si="116"/>
        <v>0.075</v>
      </c>
    </row>
    <row r="97" spans="1:24">
      <c r="A97" s="71" t="s">
        <v>52</v>
      </c>
      <c r="B97" s="40">
        <v>543.328</v>
      </c>
      <c r="C97" s="27">
        <v>54.531393736</v>
      </c>
      <c r="D97" s="30">
        <v>400</v>
      </c>
      <c r="E97" s="20">
        <f>(($V$2*G97)/((V97/W97)^(2/3)))^2</f>
        <v>0.00176169570972666</v>
      </c>
      <c r="F97" s="17">
        <f t="shared" si="117"/>
        <v>1.76169570972666</v>
      </c>
      <c r="G97" s="17">
        <f t="shared" si="118"/>
        <v>0.692686114881396</v>
      </c>
      <c r="H97" s="8">
        <f t="shared" si="119"/>
        <v>0.6</v>
      </c>
      <c r="I97" s="17">
        <f t="shared" si="120"/>
        <v>0.24</v>
      </c>
      <c r="J97" s="48">
        <f t="shared" si="121"/>
        <v>0.957178606574366</v>
      </c>
      <c r="K97" s="49">
        <v>19.5684</v>
      </c>
      <c r="L97" s="44">
        <v>19.6394</v>
      </c>
      <c r="M97" s="48">
        <f t="shared" si="122"/>
        <v>15.3401441284519</v>
      </c>
      <c r="N97" s="50">
        <f t="shared" si="123"/>
        <v>14.3829655218776</v>
      </c>
      <c r="O97" s="53">
        <f t="shared" si="124"/>
        <v>14.7829655218776</v>
      </c>
      <c r="P97" s="53">
        <f t="shared" si="125"/>
        <v>13.8257869153032</v>
      </c>
      <c r="Q97" s="53">
        <f t="shared" si="126"/>
        <v>14.3829655218776</v>
      </c>
      <c r="R97" s="53">
        <f t="shared" si="127"/>
        <v>13.4257869153032</v>
      </c>
      <c r="S97" s="50">
        <f t="shared" si="128"/>
        <v>4.78543447812242</v>
      </c>
      <c r="T97" s="50">
        <f t="shared" si="129"/>
        <v>5.81361308469679</v>
      </c>
      <c r="U97" s="1">
        <f t="shared" si="113"/>
        <v>1.77215424758523</v>
      </c>
      <c r="V97" s="1">
        <f t="shared" si="114"/>
        <v>0.0787245370803153</v>
      </c>
      <c r="W97" s="1">
        <f t="shared" si="115"/>
        <v>0.708861699034091</v>
      </c>
      <c r="X97" s="1">
        <f t="shared" si="116"/>
        <v>0.111057681897029</v>
      </c>
    </row>
    <row r="98" spans="1:24">
      <c r="A98" s="39" t="s">
        <v>53</v>
      </c>
      <c r="B98" s="40">
        <v>792.588</v>
      </c>
      <c r="C98" s="27">
        <v>63.294382026</v>
      </c>
      <c r="D98" s="30">
        <v>400</v>
      </c>
      <c r="E98" s="20">
        <f>(($V$2*G98)/((V98/W98)^(2/3)))^2</f>
        <v>0.00237338410380697</v>
      </c>
      <c r="F98" s="17">
        <f t="shared" si="117"/>
        <v>2.37338410380697</v>
      </c>
      <c r="G98" s="17">
        <f t="shared" si="118"/>
        <v>0.803998148143147</v>
      </c>
      <c r="H98" s="8">
        <f t="shared" si="119"/>
        <v>0.6</v>
      </c>
      <c r="I98" s="17">
        <f t="shared" si="120"/>
        <v>0.24</v>
      </c>
      <c r="J98" s="48">
        <f t="shared" si="121"/>
        <v>1.88111576006816</v>
      </c>
      <c r="K98" s="49">
        <v>19.6394</v>
      </c>
      <c r="L98" s="44">
        <v>19.7968</v>
      </c>
      <c r="M98" s="48">
        <f t="shared" si="122"/>
        <v>15.3069026753714</v>
      </c>
      <c r="N98" s="50">
        <f t="shared" si="123"/>
        <v>13.4257869153032</v>
      </c>
      <c r="O98" s="53">
        <f t="shared" si="124"/>
        <v>13.8257869153032</v>
      </c>
      <c r="P98" s="53">
        <f t="shared" si="125"/>
        <v>11.9446711552351</v>
      </c>
      <c r="Q98" s="53">
        <f t="shared" si="126"/>
        <v>13.4257869153032</v>
      </c>
      <c r="R98" s="53">
        <f t="shared" si="127"/>
        <v>11.5446711552351</v>
      </c>
      <c r="S98" s="50">
        <f t="shared" si="128"/>
        <v>5.81361308469679</v>
      </c>
      <c r="T98" s="50">
        <f t="shared" si="129"/>
        <v>7.85212884476495</v>
      </c>
      <c r="U98" s="1">
        <f t="shared" si="113"/>
        <v>1.77215424758523</v>
      </c>
      <c r="V98" s="1">
        <f t="shared" si="114"/>
        <v>0.0787245370803153</v>
      </c>
      <c r="W98" s="1">
        <f t="shared" si="115"/>
        <v>0.708861699034091</v>
      </c>
      <c r="X98" s="1">
        <f t="shared" si="116"/>
        <v>0.111057681897029</v>
      </c>
    </row>
    <row r="99" spans="7:7">
      <c r="G99" s="17"/>
    </row>
    <row r="100" spans="1:24">
      <c r="A100" s="25" t="s">
        <v>54</v>
      </c>
      <c r="B100" s="26">
        <f>B98</f>
        <v>792.588</v>
      </c>
      <c r="C100" s="27">
        <f t="shared" ref="C100:T100" si="130">C98</f>
        <v>63.294382026</v>
      </c>
      <c r="D100" s="30">
        <f t="shared" si="130"/>
        <v>400</v>
      </c>
      <c r="E100" s="20">
        <f t="shared" si="130"/>
        <v>0.00237338410380697</v>
      </c>
      <c r="F100" s="17">
        <f t="shared" si="130"/>
        <v>2.37338410380697</v>
      </c>
      <c r="G100" s="17">
        <f t="shared" si="130"/>
        <v>0.803998148143147</v>
      </c>
      <c r="H100" s="8">
        <f t="shared" si="130"/>
        <v>0.6</v>
      </c>
      <c r="I100" s="17">
        <f t="shared" si="130"/>
        <v>0.24</v>
      </c>
      <c r="J100" s="48">
        <f t="shared" si="130"/>
        <v>1.88111576006816</v>
      </c>
      <c r="K100" s="49">
        <f t="shared" si="130"/>
        <v>19.6394</v>
      </c>
      <c r="L100" s="49">
        <f t="shared" si="130"/>
        <v>19.7968</v>
      </c>
      <c r="M100" s="48">
        <f t="shared" si="130"/>
        <v>15.3069026753714</v>
      </c>
      <c r="N100" s="50">
        <f t="shared" si="130"/>
        <v>13.4257869153032</v>
      </c>
      <c r="O100" s="53">
        <f t="shared" si="130"/>
        <v>13.8257869153032</v>
      </c>
      <c r="P100" s="53">
        <f t="shared" si="130"/>
        <v>11.9446711552351</v>
      </c>
      <c r="Q100" s="53">
        <f t="shared" si="130"/>
        <v>13.4257869153032</v>
      </c>
      <c r="R100" s="53">
        <f t="shared" si="130"/>
        <v>11.5446711552351</v>
      </c>
      <c r="S100" s="50">
        <f t="shared" si="130"/>
        <v>5.81361308469679</v>
      </c>
      <c r="T100" s="50">
        <f t="shared" si="130"/>
        <v>7.85212884476495</v>
      </c>
      <c r="U100" s="1">
        <f t="shared" si="113"/>
        <v>1.77215424758523</v>
      </c>
      <c r="V100" s="1">
        <f t="shared" si="114"/>
        <v>0.0787245370803153</v>
      </c>
      <c r="W100" s="1">
        <f t="shared" si="115"/>
        <v>0.708861699034091</v>
      </c>
      <c r="X100" s="1">
        <f t="shared" si="116"/>
        <v>0.111057681897029</v>
      </c>
    </row>
    <row r="101" spans="1:24">
      <c r="A101" s="68" t="s">
        <v>55</v>
      </c>
      <c r="B101" s="26">
        <v>294.763</v>
      </c>
      <c r="C101" s="27">
        <v>63.294382026</v>
      </c>
      <c r="D101" s="30">
        <v>400</v>
      </c>
      <c r="E101" s="20">
        <f>(($V$2*G101)/((V101/W101)^(2/3)))^2</f>
        <v>0.00237338410380697</v>
      </c>
      <c r="F101" s="17">
        <f t="shared" si="117"/>
        <v>2.37338410380697</v>
      </c>
      <c r="G101" s="17">
        <f t="shared" si="118"/>
        <v>0.803998148143147</v>
      </c>
      <c r="H101" s="8">
        <f t="shared" si="119"/>
        <v>0.6</v>
      </c>
      <c r="I101" s="17">
        <f t="shared" si="120"/>
        <v>0.24</v>
      </c>
      <c r="J101" s="48">
        <f t="shared" si="121"/>
        <v>0.699585818590455</v>
      </c>
      <c r="K101" s="49">
        <v>19.7968</v>
      </c>
      <c r="L101" s="49">
        <v>19.8071</v>
      </c>
      <c r="M101" s="48">
        <f>Q101+I101</f>
        <v>11.7846711552351</v>
      </c>
      <c r="N101" s="50">
        <f>M101-J101</f>
        <v>11.0850853366446</v>
      </c>
      <c r="O101" s="53">
        <f t="shared" si="124"/>
        <v>11.9446711552351</v>
      </c>
      <c r="P101" s="53">
        <f t="shared" si="125"/>
        <v>11.2450853366446</v>
      </c>
      <c r="Q101" s="53">
        <f>IF(O101-D101/1000&lt;=R100,O101-D101/1000)</f>
        <v>11.5446711552351</v>
      </c>
      <c r="R101" s="53">
        <f t="shared" si="127"/>
        <v>10.8450853366446</v>
      </c>
      <c r="S101" s="50">
        <f t="shared" si="128"/>
        <v>7.85212884476495</v>
      </c>
      <c r="T101" s="50">
        <f t="shared" si="129"/>
        <v>8.5620146633554</v>
      </c>
      <c r="U101" s="1">
        <f t="shared" si="113"/>
        <v>1.77215424758523</v>
      </c>
      <c r="V101" s="1">
        <f t="shared" si="114"/>
        <v>0.0787245370803153</v>
      </c>
      <c r="W101" s="1">
        <f t="shared" si="115"/>
        <v>0.708861699034091</v>
      </c>
      <c r="X101" s="1">
        <f t="shared" si="116"/>
        <v>0.111057681897029</v>
      </c>
    </row>
    <row r="102" spans="1:20">
      <c r="A102" s="69" t="s">
        <v>56</v>
      </c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</row>
    <row r="103" spans="1:20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</row>
    <row r="104" spans="1:24">
      <c r="A104" s="25" t="s">
        <v>39</v>
      </c>
      <c r="B104" s="42">
        <v>296.184</v>
      </c>
      <c r="C104" s="27">
        <v>2.33881374</v>
      </c>
      <c r="D104" s="30">
        <v>150</v>
      </c>
      <c r="E104" s="20">
        <f>(($V$2*G104)/((V104/W104)^(2/3)))^2</f>
        <v>0.00321225590319449</v>
      </c>
      <c r="F104" s="17">
        <f>E104*1000</f>
        <v>3.21225590319449</v>
      </c>
      <c r="G104" s="17">
        <f>C104/V104/1000</f>
        <v>0.393472943649256</v>
      </c>
      <c r="H104" s="8">
        <v>0.37</v>
      </c>
      <c r="I104" s="17">
        <f>H104*D104/1000</f>
        <v>0.0555</v>
      </c>
      <c r="J104" s="48">
        <f>E104*B104</f>
        <v>0.951418802431755</v>
      </c>
      <c r="K104" s="49">
        <v>21.0222</v>
      </c>
      <c r="L104" s="44">
        <v>20.7298</v>
      </c>
      <c r="M104" s="48">
        <f>Q104+J104</f>
        <v>20.9736188024318</v>
      </c>
      <c r="N104" s="50">
        <f>M104-J104</f>
        <v>20.0222</v>
      </c>
      <c r="O104" s="53">
        <f>K104-S104</f>
        <v>20.1722</v>
      </c>
      <c r="P104" s="53">
        <f>O104-J104</f>
        <v>19.2207811975682</v>
      </c>
      <c r="Q104" s="53">
        <f>O104-D104/1000</f>
        <v>20.0222</v>
      </c>
      <c r="R104" s="53">
        <f>P104-D104/1000</f>
        <v>19.0707811975682</v>
      </c>
      <c r="S104" s="50">
        <f>0.7+D104/1000</f>
        <v>0.85</v>
      </c>
      <c r="T104" s="50">
        <f>L104-P104</f>
        <v>1.50901880243176</v>
      </c>
      <c r="U104" s="1">
        <f>ACOS((D104/2-D104*H104)/(D104/2))</f>
        <v>1.30777412388643</v>
      </c>
      <c r="V104" s="1">
        <f>(U104-SIN(U104)*COS(U104))*((D104/1000)/2)^2</f>
        <v>0.00594402684542608</v>
      </c>
      <c r="W104" s="1">
        <f>U104*(D104/1000)</f>
        <v>0.196166118582964</v>
      </c>
      <c r="X104" s="1">
        <f>V104/W104</f>
        <v>0.0303009861660294</v>
      </c>
    </row>
    <row r="105" spans="1:24">
      <c r="A105" s="68" t="s">
        <v>57</v>
      </c>
      <c r="B105" s="26">
        <v>205.219</v>
      </c>
      <c r="C105" s="27">
        <v>6.422286528</v>
      </c>
      <c r="D105" s="30">
        <v>200</v>
      </c>
      <c r="E105" s="20">
        <f>(($V$2*G105)/((V105/W105)^(2/3)))^2</f>
        <v>0.00177869847736017</v>
      </c>
      <c r="F105" s="17">
        <f>E105*1000</f>
        <v>1.77869847736017</v>
      </c>
      <c r="G105" s="17">
        <f>C105/V105/1000</f>
        <v>0.408855458753474</v>
      </c>
      <c r="H105" s="8">
        <v>0.5</v>
      </c>
      <c r="I105" s="17">
        <f>H105*D105/1000</f>
        <v>0.1</v>
      </c>
      <c r="J105" s="48">
        <f>E105*B105</f>
        <v>0.365022722825376</v>
      </c>
      <c r="K105" s="49">
        <v>20.7298</v>
      </c>
      <c r="L105" s="44">
        <v>20.437</v>
      </c>
      <c r="M105" s="48">
        <f>Q105+J105</f>
        <v>19.3913039203936</v>
      </c>
      <c r="N105" s="50">
        <f>M105-J105</f>
        <v>19.0262811975682</v>
      </c>
      <c r="O105" s="53">
        <f>P104-I105+I104+(D105-D104)/1000</f>
        <v>19.2262811975682</v>
      </c>
      <c r="P105" s="53">
        <f>O105-J105</f>
        <v>18.8612584747429</v>
      </c>
      <c r="Q105" s="53">
        <f>IF(O105-D105/1000&lt;=R104,O105-D105/1000)</f>
        <v>19.0262811975682</v>
      </c>
      <c r="R105" s="53">
        <f>P105-D105/1000</f>
        <v>18.6612584747429</v>
      </c>
      <c r="S105" s="50">
        <f>K105-O105</f>
        <v>1.50351880243176</v>
      </c>
      <c r="T105" s="50">
        <f>L105-P105</f>
        <v>1.57574152525714</v>
      </c>
      <c r="U105" s="1">
        <f>ACOS((D105/2-D105*H105)/(D105/2))</f>
        <v>1.5707963267949</v>
      </c>
      <c r="V105" s="1">
        <f>(U105-SIN(U105)*COS(U105))*((D105/1000)/2)^2</f>
        <v>0.015707963267949</v>
      </c>
      <c r="W105" s="1">
        <f>U105*(D105/1000)</f>
        <v>0.314159265358979</v>
      </c>
      <c r="X105" s="1">
        <f>V105/W105</f>
        <v>0.05</v>
      </c>
    </row>
    <row r="106" spans="1:24">
      <c r="A106" s="68" t="s">
        <v>58</v>
      </c>
      <c r="B106" s="26">
        <v>381.736</v>
      </c>
      <c r="C106" s="27">
        <v>18.871861965</v>
      </c>
      <c r="D106" s="30">
        <v>300</v>
      </c>
      <c r="E106" s="20">
        <f>(($V$2*G106)/((V106/W106)^(2/3)))^2</f>
        <v>0.00176684763364655</v>
      </c>
      <c r="F106" s="17">
        <f>E106*1000</f>
        <v>1.76684763364655</v>
      </c>
      <c r="G106" s="17">
        <f>C106/V106/1000</f>
        <v>0.533964465258254</v>
      </c>
      <c r="H106" s="8">
        <f>IF(D106&lt;350,0.5,IF(D106&lt;500,0.6,IF(D106&lt;1000,0.675,0.725)))</f>
        <v>0.5</v>
      </c>
      <c r="I106" s="17">
        <f>H106*D106/1000</f>
        <v>0.15</v>
      </c>
      <c r="J106" s="48">
        <f>E106*B106</f>
        <v>0.6744693482777</v>
      </c>
      <c r="K106" s="49">
        <v>20.437</v>
      </c>
      <c r="L106" s="44">
        <v>19.7498</v>
      </c>
      <c r="M106" s="48">
        <f>Q106+J106</f>
        <v>19.2857278230206</v>
      </c>
      <c r="N106" s="50">
        <f>M106-J106</f>
        <v>18.6112584747429</v>
      </c>
      <c r="O106" s="53">
        <f>P105-I106+I105+(D106-D105)/1000</f>
        <v>18.9112584747429</v>
      </c>
      <c r="P106" s="53">
        <f>O106-J106</f>
        <v>18.2367891264652</v>
      </c>
      <c r="Q106" s="53">
        <f>IF(O106-D106/1000&lt;=R105,O106-D106/1000)</f>
        <v>18.6112584747429</v>
      </c>
      <c r="R106" s="53">
        <f>P106-D106/1000</f>
        <v>17.9367891264652</v>
      </c>
      <c r="S106" s="50">
        <f>K106-O106</f>
        <v>1.52574152525713</v>
      </c>
      <c r="T106" s="50">
        <f>L106-P106</f>
        <v>1.51301087353483</v>
      </c>
      <c r="U106" s="1">
        <f>ACOS((D106/2-D106*H106)/(D106/2))</f>
        <v>1.5707963267949</v>
      </c>
      <c r="V106" s="1">
        <f>(U106-SIN(U106)*COS(U106))*((D106/1000)/2)^2</f>
        <v>0.0353429173528852</v>
      </c>
      <c r="W106" s="1">
        <f>U106*(D106/1000)</f>
        <v>0.471238898038469</v>
      </c>
      <c r="X106" s="1">
        <f>V106/W106</f>
        <v>0.075</v>
      </c>
    </row>
    <row r="108" spans="1:24">
      <c r="A108" s="25" t="s">
        <v>39</v>
      </c>
      <c r="B108" s="42">
        <v>522.045</v>
      </c>
      <c r="C108" s="27">
        <v>2.916723384</v>
      </c>
      <c r="D108" s="30">
        <v>150</v>
      </c>
      <c r="E108" s="20">
        <f>(($V$2*G108)/((V108/W108)^(2/3)))^2</f>
        <v>0.00313728931470469</v>
      </c>
      <c r="F108" s="17">
        <f>E108*1000</f>
        <v>3.13728931470469</v>
      </c>
      <c r="G108" s="17">
        <f>C108/V108/1000</f>
        <v>0.414105004894706</v>
      </c>
      <c r="H108" s="8">
        <v>0.42</v>
      </c>
      <c r="I108" s="17">
        <f>H108*D108/1000</f>
        <v>0.063</v>
      </c>
      <c r="J108" s="48">
        <f>E108*B108</f>
        <v>1.63780620029501</v>
      </c>
      <c r="K108" s="49">
        <v>21.2939</v>
      </c>
      <c r="L108" s="44">
        <v>20.6829</v>
      </c>
      <c r="M108" s="48">
        <f>Q108+J108</f>
        <v>21.931706200295</v>
      </c>
      <c r="N108" s="50">
        <f>M108-J108</f>
        <v>20.2939</v>
      </c>
      <c r="O108" s="53">
        <f>K108-S108</f>
        <v>20.4439</v>
      </c>
      <c r="P108" s="53">
        <f>O108-J108</f>
        <v>18.806093799705</v>
      </c>
      <c r="Q108" s="53">
        <f>O108-D108/1000</f>
        <v>20.2939</v>
      </c>
      <c r="R108" s="53">
        <f>P108-D108/1000</f>
        <v>18.656093799705</v>
      </c>
      <c r="S108" s="50">
        <f>0.7+D108/1000</f>
        <v>0.85</v>
      </c>
      <c r="T108" s="50">
        <f>L108-P108</f>
        <v>1.87680620029501</v>
      </c>
      <c r="U108" s="1">
        <f>ACOS((D108/2-D108*H108)/(D108/2))</f>
        <v>1.41010567384299</v>
      </c>
      <c r="V108" s="1">
        <f>(U108-SIN(U108)*COS(U108))*((D108/1000)/2)^2</f>
        <v>0.00704343910246058</v>
      </c>
      <c r="W108" s="1">
        <f>U108*(D108/1000)</f>
        <v>0.211515851076448</v>
      </c>
      <c r="X108" s="1">
        <f>V108/W108</f>
        <v>0.0332998168535127</v>
      </c>
    </row>
    <row r="109" spans="1:24">
      <c r="A109" s="68" t="s">
        <v>59</v>
      </c>
      <c r="B109" s="26">
        <v>199.772</v>
      </c>
      <c r="C109" s="27">
        <v>8.831289282</v>
      </c>
      <c r="D109" s="30">
        <v>250</v>
      </c>
      <c r="E109" s="20">
        <f>(($V$2*G109)/((V109/W109)^(2/3)))^2</f>
        <v>0.00300381895448783</v>
      </c>
      <c r="F109" s="17">
        <f>E109*1000</f>
        <v>3.00381895448783</v>
      </c>
      <c r="G109" s="17">
        <f>C109/V109/1000</f>
        <v>0.534867056323348</v>
      </c>
      <c r="H109" s="8">
        <v>0.37</v>
      </c>
      <c r="I109" s="17">
        <f>H109*D109/1000</f>
        <v>0.0925</v>
      </c>
      <c r="J109" s="48">
        <f>E109*B109</f>
        <v>0.600078920175942</v>
      </c>
      <c r="K109" s="49">
        <v>20.6829</v>
      </c>
      <c r="L109" s="44">
        <v>20.3964</v>
      </c>
      <c r="M109" s="48">
        <f>Q109+J109</f>
        <v>19.2266727198809</v>
      </c>
      <c r="N109" s="50">
        <f>M109-J109</f>
        <v>18.626593799705</v>
      </c>
      <c r="O109" s="53">
        <f>P108-I109+I108+(D109-D108)/1000</f>
        <v>18.876593799705</v>
      </c>
      <c r="P109" s="53">
        <f>O109-J109</f>
        <v>18.276514879529</v>
      </c>
      <c r="Q109" s="53">
        <f>IF(O109-D109/1000&lt;=R108,O109-D109/1000)</f>
        <v>18.626593799705</v>
      </c>
      <c r="R109" s="53">
        <f>P109-D109/1000</f>
        <v>18.026514879529</v>
      </c>
      <c r="S109" s="50">
        <f>K109-O109</f>
        <v>1.80630620029501</v>
      </c>
      <c r="T109" s="50">
        <f>L109-P109</f>
        <v>2.11988512047095</v>
      </c>
      <c r="U109" s="1">
        <f>ACOS((D109/2-D109*H109)/(D109/2))</f>
        <v>1.30777412388643</v>
      </c>
      <c r="V109" s="1">
        <f>(U109-SIN(U109)*COS(U109))*((D109/1000)/2)^2</f>
        <v>0.0165111856817391</v>
      </c>
      <c r="W109" s="1">
        <f>U109*(D109/1000)</f>
        <v>0.326943530971607</v>
      </c>
      <c r="X109" s="1">
        <f>V109/W109</f>
        <v>0.050501643610049</v>
      </c>
    </row>
    <row r="110" spans="1:24">
      <c r="A110" s="68" t="s">
        <v>60</v>
      </c>
      <c r="B110" s="26">
        <v>383.073</v>
      </c>
      <c r="C110" s="27">
        <v>14.856019368</v>
      </c>
      <c r="D110" s="30">
        <v>250</v>
      </c>
      <c r="E110" s="20">
        <f>(($V$2*G110)/((V110/W110)^(2/3)))^2</f>
        <v>0.00289517279588469</v>
      </c>
      <c r="F110" s="17">
        <f>E110*1000</f>
        <v>2.89517279588469</v>
      </c>
      <c r="G110" s="17">
        <f>C110/V110/1000</f>
        <v>0.605288682774051</v>
      </c>
      <c r="H110" s="8">
        <f>IF(D110&lt;350,0.5,IF(D110&lt;500,0.6,IF(D110&lt;1000,0.675,0.725)))</f>
        <v>0.5</v>
      </c>
      <c r="I110" s="17">
        <f>H110*D110/1000</f>
        <v>0.125</v>
      </c>
      <c r="J110" s="48">
        <f>E110*B110</f>
        <v>1.10906252843793</v>
      </c>
      <c r="K110" s="49">
        <v>20.3964</v>
      </c>
      <c r="L110" s="44">
        <v>19.7499</v>
      </c>
      <c r="M110" s="48">
        <f>Q110+J110</f>
        <v>19.103077407967</v>
      </c>
      <c r="N110" s="50">
        <f>M110-J110</f>
        <v>17.994014879529</v>
      </c>
      <c r="O110" s="53">
        <f>P109-I110+I109+(D110-D109)/1000</f>
        <v>18.244014879529</v>
      </c>
      <c r="P110" s="53">
        <f>O110-J110</f>
        <v>17.1349523510911</v>
      </c>
      <c r="Q110" s="53">
        <f>IF(O110-D110/1000&lt;=R109,O110-D110/1000)</f>
        <v>17.994014879529</v>
      </c>
      <c r="R110" s="53">
        <f>P110-D110/1000</f>
        <v>16.8849523510911</v>
      </c>
      <c r="S110" s="50">
        <f>K110-O110</f>
        <v>2.15238512047095</v>
      </c>
      <c r="T110" s="50">
        <f>L110-P110</f>
        <v>2.61494764890889</v>
      </c>
      <c r="U110" s="1">
        <f>ACOS((D110/2-D110*H110)/(D110/2))</f>
        <v>1.5707963267949</v>
      </c>
      <c r="V110" s="1">
        <f>(U110-SIN(U110)*COS(U110))*((D110/1000)/2)^2</f>
        <v>0.0245436926061703</v>
      </c>
      <c r="W110" s="1">
        <f>U110*(D110/1000)</f>
        <v>0.392699081698724</v>
      </c>
      <c r="X110" s="1">
        <f>V110/W110</f>
        <v>0.0625</v>
      </c>
    </row>
    <row r="112" spans="1:24">
      <c r="A112" s="25" t="s">
        <v>39</v>
      </c>
      <c r="B112" s="42">
        <v>641.101</v>
      </c>
      <c r="C112" s="27">
        <v>9.745448154</v>
      </c>
      <c r="D112" s="30">
        <v>250</v>
      </c>
      <c r="E112" s="20">
        <f>(($V$2*G112)/((V112/W112)^(2/3)))^2</f>
        <v>0.00124587137089919</v>
      </c>
      <c r="F112" s="17">
        <f>E112*1000</f>
        <v>1.24587137089919</v>
      </c>
      <c r="G112" s="17">
        <f>C112/V112/1000</f>
        <v>0.397065279066851</v>
      </c>
      <c r="H112" s="8">
        <v>0.5</v>
      </c>
      <c r="I112" s="17">
        <f>H112*D112/1000</f>
        <v>0.125</v>
      </c>
      <c r="J112" s="48">
        <f>E112*B112</f>
        <v>0.79872938175484</v>
      </c>
      <c r="K112" s="49">
        <v>21.2648</v>
      </c>
      <c r="L112" s="44">
        <v>20.7952</v>
      </c>
      <c r="M112" s="48">
        <f>Q112+J112</f>
        <v>20.8635293817548</v>
      </c>
      <c r="N112" s="50">
        <f>M112-J112</f>
        <v>20.0648</v>
      </c>
      <c r="O112" s="53">
        <f>K112-S112</f>
        <v>20.3148</v>
      </c>
      <c r="P112" s="53">
        <f>O112-J112</f>
        <v>19.5160706182452</v>
      </c>
      <c r="Q112" s="53">
        <f>O112-D112/1000</f>
        <v>20.0648</v>
      </c>
      <c r="R112" s="53">
        <f>P112-D112/1000</f>
        <v>19.2660706182452</v>
      </c>
      <c r="S112" s="50">
        <f>0.7+D112/1000</f>
        <v>0.95</v>
      </c>
      <c r="T112" s="50">
        <f>L112-P112</f>
        <v>1.27912938175484</v>
      </c>
      <c r="U112" s="1">
        <f>ACOS((D112/2-D112*H112)/(D112/2))</f>
        <v>1.5707963267949</v>
      </c>
      <c r="V112" s="1">
        <f>(U112-SIN(U112)*COS(U112))*((D112/1000)/2)^2</f>
        <v>0.0245436926061703</v>
      </c>
      <c r="W112" s="1">
        <f>U112*(D112/1000)</f>
        <v>0.392699081698724</v>
      </c>
      <c r="X112" s="1">
        <f>V112/W112</f>
        <v>0.0625</v>
      </c>
    </row>
    <row r="113" spans="1:24">
      <c r="A113" s="39" t="s">
        <v>61</v>
      </c>
      <c r="B113" s="40">
        <v>295.963</v>
      </c>
      <c r="C113" s="27">
        <v>16.568273601</v>
      </c>
      <c r="D113" s="30">
        <v>250</v>
      </c>
      <c r="E113" s="20">
        <f>(($V$2*G113)/((V113/W113)^(2/3)))^2</f>
        <v>0.00360100803852736</v>
      </c>
      <c r="F113" s="17">
        <f>E113*1000</f>
        <v>3.60100803852736</v>
      </c>
      <c r="G113" s="17">
        <f>C113/V113/1000</f>
        <v>0.675052196377115</v>
      </c>
      <c r="H113" s="8">
        <v>0.5</v>
      </c>
      <c r="I113" s="17">
        <f>H113*D113/1000</f>
        <v>0.125</v>
      </c>
      <c r="J113" s="48">
        <f>E113*B113</f>
        <v>1.06576514210667</v>
      </c>
      <c r="K113" s="49">
        <v>20.7952</v>
      </c>
      <c r="L113" s="44">
        <v>20.3728</v>
      </c>
      <c r="M113" s="48">
        <f>Q113+J113</f>
        <v>20.3318357603518</v>
      </c>
      <c r="N113" s="50">
        <f>M113-J113</f>
        <v>19.2660706182452</v>
      </c>
      <c r="O113" s="53">
        <f>P112-I113+I112+(D113-D112)/1000</f>
        <v>19.5160706182452</v>
      </c>
      <c r="P113" s="53">
        <f>O113-J113</f>
        <v>18.4503054761385</v>
      </c>
      <c r="Q113" s="53">
        <f>IF(O113-D113/1000&lt;=R112,O113-D113/1000)</f>
        <v>19.2660706182452</v>
      </c>
      <c r="R113" s="53">
        <f>P113-D113/1000</f>
        <v>18.2003054761385</v>
      </c>
      <c r="S113" s="50">
        <f>K113-O113</f>
        <v>1.27912938175484</v>
      </c>
      <c r="T113" s="50">
        <f>L113-P113</f>
        <v>1.92249452386151</v>
      </c>
      <c r="U113" s="1">
        <f>ACOS((D113/2-D113*H113)/(D113/2))</f>
        <v>1.5707963267949</v>
      </c>
      <c r="V113" s="1">
        <f>(U113-SIN(U113)*COS(U113))*((D113/1000)/2)^2</f>
        <v>0.0245436926061703</v>
      </c>
      <c r="W113" s="1">
        <f>U113*(D113/1000)</f>
        <v>0.392699081698724</v>
      </c>
      <c r="X113" s="1">
        <f>V113/W113</f>
        <v>0.0625</v>
      </c>
    </row>
    <row r="114" spans="1:24">
      <c r="A114" s="39" t="s">
        <v>62</v>
      </c>
      <c r="B114" s="40">
        <v>388.181</v>
      </c>
      <c r="C114" s="27">
        <v>27.81784476</v>
      </c>
      <c r="D114" s="30">
        <v>300</v>
      </c>
      <c r="E114" s="20">
        <f>(($V$2*G114)/((V114/W114)^(2/3)))^2</f>
        <v>0.0038389862348213</v>
      </c>
      <c r="F114" s="17">
        <f>E114*1000</f>
        <v>3.8389862348213</v>
      </c>
      <c r="G114" s="17">
        <f>C114/V114/1000</f>
        <v>0.787083999949685</v>
      </c>
      <c r="H114" s="8">
        <f>IF(D114&lt;350,0.5,IF(D114&lt;500,0.6,IF(D114&lt;1000,0.675,0.725)))</f>
        <v>0.5</v>
      </c>
      <c r="I114" s="17">
        <f>H114*D114/1000</f>
        <v>0.15</v>
      </c>
      <c r="J114" s="48">
        <f>E114*B114</f>
        <v>1.49022151561917</v>
      </c>
      <c r="K114" s="49">
        <v>20.3728</v>
      </c>
      <c r="L114" s="44">
        <v>19.7363</v>
      </c>
      <c r="M114" s="48">
        <f>Q114+J114</f>
        <v>19.6655269917577</v>
      </c>
      <c r="N114" s="50">
        <f>M114-J114</f>
        <v>18.1753054761385</v>
      </c>
      <c r="O114" s="53">
        <f>P113-I114+I113+(D114-D113)/1000</f>
        <v>18.4753054761385</v>
      </c>
      <c r="P114" s="53">
        <f>O114-J114</f>
        <v>16.9850839605193</v>
      </c>
      <c r="Q114" s="53">
        <f>IF(O114-D114/1000&lt;=R113,O114-D114/1000)</f>
        <v>18.1753054761385</v>
      </c>
      <c r="R114" s="53">
        <f>P114-D114/1000</f>
        <v>16.6850839605193</v>
      </c>
      <c r="S114" s="50">
        <f>K114-O114</f>
        <v>1.8974945238615</v>
      </c>
      <c r="T114" s="50">
        <f>L114-P114</f>
        <v>2.75121603948066</v>
      </c>
      <c r="U114" s="1">
        <f>ACOS((D114/2-D114*H114)/(D114/2))</f>
        <v>1.5707963267949</v>
      </c>
      <c r="V114" s="1">
        <f>(U114-SIN(U114)*COS(U114))*((D114/1000)/2)^2</f>
        <v>0.0353429173528852</v>
      </c>
      <c r="W114" s="1">
        <f>U114*(D114/1000)</f>
        <v>0.471238898038469</v>
      </c>
      <c r="X114" s="1">
        <f>V114/W114</f>
        <v>0.075</v>
      </c>
    </row>
    <row r="116" spans="1:24">
      <c r="A116" s="25" t="s">
        <v>39</v>
      </c>
      <c r="B116" s="42">
        <v>718.245</v>
      </c>
      <c r="C116" s="27">
        <v>6.113149191</v>
      </c>
      <c r="D116" s="30">
        <v>200</v>
      </c>
      <c r="E116" s="20">
        <f>(($V$2*G116)/((V116/W116)^(2/3)))^2</f>
        <v>0.00161158407742919</v>
      </c>
      <c r="F116" s="17">
        <f>E116*1000</f>
        <v>1.61158407742919</v>
      </c>
      <c r="G116" s="17">
        <f>C116/V116/1000</f>
        <v>0.389175164642348</v>
      </c>
      <c r="H116" s="8">
        <v>0.5</v>
      </c>
      <c r="I116" s="17">
        <f>H116*D116/1000</f>
        <v>0.1</v>
      </c>
      <c r="J116" s="48">
        <f>E116*B116</f>
        <v>1.15751220569313</v>
      </c>
      <c r="K116" s="49">
        <v>21.2321</v>
      </c>
      <c r="L116" s="44">
        <v>20.3456</v>
      </c>
      <c r="M116" s="48">
        <f>Q116+J116</f>
        <v>21.2896122056931</v>
      </c>
      <c r="N116" s="50">
        <f>M116-J116</f>
        <v>20.1321</v>
      </c>
      <c r="O116" s="53">
        <f>K116-S116</f>
        <v>20.3321</v>
      </c>
      <c r="P116" s="53">
        <f>O116-J116</f>
        <v>19.1745877943069</v>
      </c>
      <c r="Q116" s="53">
        <f>O116-D116/1000</f>
        <v>20.1321</v>
      </c>
      <c r="R116" s="53">
        <f>P116-D116/1000</f>
        <v>18.9745877943069</v>
      </c>
      <c r="S116" s="50">
        <f>0.7+D116/1000</f>
        <v>0.9</v>
      </c>
      <c r="T116" s="50">
        <f>L116-P116</f>
        <v>1.17101220569313</v>
      </c>
      <c r="U116" s="1">
        <f>ACOS((D116/2-D116*H116)/(D116/2))</f>
        <v>1.5707963267949</v>
      </c>
      <c r="V116" s="1">
        <f>(U116-SIN(U116)*COS(U116))*((D116/1000)/2)^2</f>
        <v>0.015707963267949</v>
      </c>
      <c r="W116" s="1">
        <f>U116*(D116/1000)</f>
        <v>0.314159265358979</v>
      </c>
      <c r="X116" s="1">
        <f>V116/W116</f>
        <v>0.05</v>
      </c>
    </row>
    <row r="117" spans="1:24">
      <c r="A117" s="68" t="s">
        <v>63</v>
      </c>
      <c r="B117" s="26">
        <v>194.351</v>
      </c>
      <c r="C117" s="27">
        <v>63.56618888</v>
      </c>
      <c r="D117" s="30">
        <v>400</v>
      </c>
      <c r="E117" s="20">
        <f>(($V$2*G117)/((V117/W117)^(2/3)))^2</f>
        <v>0.00239381205288922</v>
      </c>
      <c r="F117" s="17">
        <f>E117*1000</f>
        <v>2.39381205288922</v>
      </c>
      <c r="G117" s="17">
        <f>C117/V117/1000</f>
        <v>0.807450780118902</v>
      </c>
      <c r="H117" s="8">
        <f>IF(D117&lt;350,0.5,IF(D117&lt;500,0.6,IF(D117&lt;1000,0.675,0.725)))</f>
        <v>0.6</v>
      </c>
      <c r="I117" s="17">
        <f>H117*D117/1000</f>
        <v>0.24</v>
      </c>
      <c r="J117" s="48">
        <f>E117*B117</f>
        <v>0.465239766291074</v>
      </c>
      <c r="K117" s="49">
        <v>20.3456</v>
      </c>
      <c r="L117" s="44">
        <v>20.0856</v>
      </c>
      <c r="M117" s="48">
        <f>Q117+J117</f>
        <v>19.299827560598</v>
      </c>
      <c r="N117" s="50">
        <f>M117-J117</f>
        <v>18.8345877943069</v>
      </c>
      <c r="O117" s="53">
        <f>P116-I117+I116+(D117-D116)/1000</f>
        <v>19.2345877943069</v>
      </c>
      <c r="P117" s="53">
        <f>O117-J117</f>
        <v>18.7693480280158</v>
      </c>
      <c r="Q117" s="53">
        <f>IF(O117-D117/1000&lt;=R116,O117-D117/1000)</f>
        <v>18.8345877943069</v>
      </c>
      <c r="R117" s="53">
        <f>P117-D117/1000</f>
        <v>18.3693480280158</v>
      </c>
      <c r="S117" s="50">
        <f>K117-O117</f>
        <v>1.11101220569313</v>
      </c>
      <c r="T117" s="50">
        <f>L117-P117</f>
        <v>1.3162519719842</v>
      </c>
      <c r="U117" s="1">
        <f>ACOS((D117/2-D117*H117)/(D117/2))</f>
        <v>1.77215424758523</v>
      </c>
      <c r="V117" s="1">
        <f>(U117-SIN(U117)*COS(U117))*((D117/1000)/2)^2</f>
        <v>0.0787245370803153</v>
      </c>
      <c r="W117" s="1">
        <f>U117*(D117/1000)</f>
        <v>0.708861699034091</v>
      </c>
      <c r="X117" s="1">
        <f>V117/W117</f>
        <v>0.111057681897029</v>
      </c>
    </row>
    <row r="118" spans="1:24">
      <c r="A118" s="68" t="s">
        <v>64</v>
      </c>
      <c r="B118" s="26">
        <v>205.733</v>
      </c>
      <c r="C118" s="27">
        <v>65.569424636</v>
      </c>
      <c r="D118" s="30">
        <v>400</v>
      </c>
      <c r="E118" s="20">
        <f>(($V$2*G118)/((V118/W118)^(2/3)))^2</f>
        <v>0.00254706745602613</v>
      </c>
      <c r="F118" s="17">
        <f>E118*1000</f>
        <v>2.54706745602613</v>
      </c>
      <c r="G118" s="17">
        <f>C118/V118/1000</f>
        <v>0.832896922202358</v>
      </c>
      <c r="H118" s="8">
        <f>IF(D118&lt;350,0.5,IF(D118&lt;500,0.6,IF(D118&lt;1000,0.675,0.725)))</f>
        <v>0.6</v>
      </c>
      <c r="I118" s="17">
        <f>H118*D118/1000</f>
        <v>0.24</v>
      </c>
      <c r="J118" s="48">
        <f>E118*B118</f>
        <v>0.524015828930624</v>
      </c>
      <c r="K118" s="49">
        <v>20.0856</v>
      </c>
      <c r="L118" s="44">
        <v>19.6989</v>
      </c>
      <c r="M118" s="48">
        <f>Q118+J118</f>
        <v>18.8933638569464</v>
      </c>
      <c r="N118" s="50">
        <f>M118-J118</f>
        <v>18.3693480280158</v>
      </c>
      <c r="O118" s="53">
        <f>P117-I118+I117+(D118-D117)/1000</f>
        <v>18.7693480280158</v>
      </c>
      <c r="P118" s="53">
        <f>O118-J118</f>
        <v>18.2453321990852</v>
      </c>
      <c r="Q118" s="53">
        <f>IF(O118-D118/1000&lt;=R117,O118-D118/1000)</f>
        <v>18.3693480280158</v>
      </c>
      <c r="R118" s="53">
        <f>P118-D118/1000</f>
        <v>17.8453321990852</v>
      </c>
      <c r="S118" s="50">
        <f>K118-O118</f>
        <v>1.3162519719842</v>
      </c>
      <c r="T118" s="50">
        <f>L118-P118</f>
        <v>1.45356780091482</v>
      </c>
      <c r="U118" s="1">
        <f>ACOS((D118/2-D118*H118)/(D118/2))</f>
        <v>1.77215424758523</v>
      </c>
      <c r="V118" s="1">
        <f>(U118-SIN(U118)*COS(U118))*((D118/1000)/2)^2</f>
        <v>0.0787245370803153</v>
      </c>
      <c r="W118" s="1">
        <f>U118*(D118/1000)</f>
        <v>0.708861699034091</v>
      </c>
      <c r="X118" s="1">
        <f>V118/W118</f>
        <v>0.111057681897029</v>
      </c>
    </row>
    <row r="120" spans="1:24">
      <c r="A120" s="25" t="s">
        <v>65</v>
      </c>
      <c r="B120" s="26">
        <f>B101</f>
        <v>294.763</v>
      </c>
      <c r="C120" s="27">
        <f t="shared" ref="C120:T120" si="131">C101</f>
        <v>63.294382026</v>
      </c>
      <c r="D120" s="30">
        <f t="shared" si="131"/>
        <v>400</v>
      </c>
      <c r="E120" s="20">
        <f t="shared" si="131"/>
        <v>0.00237338410380697</v>
      </c>
      <c r="F120" s="17">
        <f t="shared" si="131"/>
        <v>2.37338410380697</v>
      </c>
      <c r="G120" s="17">
        <f t="shared" si="131"/>
        <v>0.803998148143147</v>
      </c>
      <c r="H120" s="8">
        <f t="shared" si="131"/>
        <v>0.6</v>
      </c>
      <c r="I120" s="17">
        <f t="shared" si="131"/>
        <v>0.24</v>
      </c>
      <c r="J120" s="48">
        <f t="shared" si="131"/>
        <v>0.699585818590455</v>
      </c>
      <c r="K120" s="49">
        <f t="shared" si="131"/>
        <v>19.7968</v>
      </c>
      <c r="L120" s="44">
        <f t="shared" si="131"/>
        <v>19.8071</v>
      </c>
      <c r="M120" s="48">
        <f t="shared" si="131"/>
        <v>11.7846711552351</v>
      </c>
      <c r="N120" s="50">
        <f t="shared" si="131"/>
        <v>11.0850853366446</v>
      </c>
      <c r="O120" s="53">
        <f t="shared" si="131"/>
        <v>11.9446711552351</v>
      </c>
      <c r="P120" s="53">
        <f t="shared" si="131"/>
        <v>11.2450853366446</v>
      </c>
      <c r="Q120" s="53">
        <f t="shared" si="131"/>
        <v>11.5446711552351</v>
      </c>
      <c r="R120" s="53">
        <f t="shared" si="131"/>
        <v>10.8450853366446</v>
      </c>
      <c r="S120" s="50">
        <f t="shared" si="131"/>
        <v>7.85212884476495</v>
      </c>
      <c r="T120" s="50">
        <f t="shared" si="131"/>
        <v>8.5620146633554</v>
      </c>
      <c r="U120" s="1">
        <f t="shared" ref="U120:U128" si="132">ACOS((D120/2-D120*H120)/(D120/2))</f>
        <v>1.77215424758523</v>
      </c>
      <c r="V120" s="1">
        <f t="shared" ref="V120:V128" si="133">(U120-SIN(U120)*COS(U120))*((D120/1000)/2)^2</f>
        <v>0.0787245370803153</v>
      </c>
      <c r="W120" s="1">
        <f t="shared" ref="W120:W128" si="134">U120*(D120/1000)</f>
        <v>0.708861699034091</v>
      </c>
      <c r="X120" s="1">
        <f t="shared" ref="X120:X128" si="135">V120/W120</f>
        <v>0.111057681897029</v>
      </c>
    </row>
    <row r="121" spans="1:24">
      <c r="A121" s="68" t="s">
        <v>66</v>
      </c>
      <c r="B121" s="26">
        <v>338.61</v>
      </c>
      <c r="C121" s="27">
        <v>63.294382026</v>
      </c>
      <c r="D121" s="30">
        <v>400</v>
      </c>
      <c r="E121" s="20">
        <f>(($V$2*G121)/((V121/W121)^(2/3)))^2</f>
        <v>0.00237338410380697</v>
      </c>
      <c r="F121" s="17">
        <f t="shared" ref="F120:F128" si="136">E121*1000</f>
        <v>2.37338410380697</v>
      </c>
      <c r="G121" s="17">
        <f t="shared" ref="G120:G128" si="137">C121/V121/1000</f>
        <v>0.803998148143147</v>
      </c>
      <c r="H121" s="8">
        <f>IF(D121&lt;350,0.5,IF(D121&lt;500,0.6,IF(D121&lt;1000,0.675,0.725)))</f>
        <v>0.6</v>
      </c>
      <c r="I121" s="17">
        <f t="shared" ref="I120:I128" si="138">H121*D121/1000</f>
        <v>0.24</v>
      </c>
      <c r="J121" s="48">
        <f t="shared" ref="J120:J128" si="139">E121*B121</f>
        <v>0.803651591390079</v>
      </c>
      <c r="K121" s="49">
        <v>19.8071</v>
      </c>
      <c r="L121" s="44">
        <v>19.4121</v>
      </c>
      <c r="M121" s="48">
        <f t="shared" ref="M120:M128" si="140">Q121+J121</f>
        <v>11.6487369280347</v>
      </c>
      <c r="N121" s="50">
        <f t="shared" ref="N120:N128" si="141">M121-J121</f>
        <v>10.8450853366446</v>
      </c>
      <c r="O121" s="53">
        <f t="shared" ref="O121:O128" si="142">P120-I121+I120+(D121-D120)/1000</f>
        <v>11.2450853366446</v>
      </c>
      <c r="P121" s="53">
        <f t="shared" ref="P120:P128" si="143">O121-J121</f>
        <v>10.4414337452545</v>
      </c>
      <c r="Q121" s="53">
        <f t="shared" ref="Q121:Q128" si="144">IF(O121-D121/1000&lt;=R120,O121-D121/1000)</f>
        <v>10.8450853366446</v>
      </c>
      <c r="R121" s="53">
        <f t="shared" ref="R120:R128" si="145">P121-D121/1000</f>
        <v>10.0414337452545</v>
      </c>
      <c r="S121" s="50">
        <f t="shared" ref="S121:S128" si="146">K121-O121</f>
        <v>8.5620146633554</v>
      </c>
      <c r="T121" s="50">
        <f t="shared" ref="T120:T128" si="147">L121-P121</f>
        <v>8.97066625474548</v>
      </c>
      <c r="U121" s="1">
        <f t="shared" si="132"/>
        <v>1.77215424758523</v>
      </c>
      <c r="V121" s="1">
        <f t="shared" si="133"/>
        <v>0.0787245370803153</v>
      </c>
      <c r="W121" s="1">
        <f t="shared" si="134"/>
        <v>0.708861699034091</v>
      </c>
      <c r="X121" s="1">
        <f t="shared" si="135"/>
        <v>0.111057681897029</v>
      </c>
    </row>
    <row r="122" spans="1:24">
      <c r="A122" s="68" t="s">
        <v>67</v>
      </c>
      <c r="B122" s="26">
        <v>497.124</v>
      </c>
      <c r="C122" s="27">
        <v>63.294382026</v>
      </c>
      <c r="D122" s="30">
        <v>400</v>
      </c>
      <c r="E122" s="20">
        <f>(($V$2*G122)/((V122/W122)^(2/3)))^2</f>
        <v>0.00237338410380697</v>
      </c>
      <c r="F122" s="17">
        <f t="shared" si="136"/>
        <v>2.37338410380697</v>
      </c>
      <c r="G122" s="17">
        <f t="shared" si="137"/>
        <v>0.803998148143147</v>
      </c>
      <c r="H122" s="8">
        <f>IF(D122&lt;350,0.5,IF(D122&lt;500,0.6,IF(D122&lt;1000,0.675,0.725)))</f>
        <v>0.6</v>
      </c>
      <c r="I122" s="17">
        <f t="shared" si="138"/>
        <v>0.24</v>
      </c>
      <c r="J122" s="48">
        <f t="shared" si="139"/>
        <v>1.17986619922094</v>
      </c>
      <c r="K122" s="49">
        <v>19.4121</v>
      </c>
      <c r="L122" s="44">
        <v>19.7243</v>
      </c>
      <c r="M122" s="48">
        <f t="shared" si="140"/>
        <v>11.2212999444755</v>
      </c>
      <c r="N122" s="50">
        <f t="shared" si="141"/>
        <v>10.0414337452545</v>
      </c>
      <c r="O122" s="53">
        <f t="shared" si="142"/>
        <v>10.4414337452545</v>
      </c>
      <c r="P122" s="53">
        <f t="shared" si="143"/>
        <v>9.26156754603358</v>
      </c>
      <c r="Q122" s="53">
        <f t="shared" si="144"/>
        <v>10.0414337452545</v>
      </c>
      <c r="R122" s="53">
        <f t="shared" si="145"/>
        <v>8.86156754603358</v>
      </c>
      <c r="S122" s="50">
        <f t="shared" si="146"/>
        <v>8.97066625474548</v>
      </c>
      <c r="T122" s="50">
        <f t="shared" si="147"/>
        <v>10.4627324539664</v>
      </c>
      <c r="U122" s="1">
        <f t="shared" si="132"/>
        <v>1.77215424758523</v>
      </c>
      <c r="V122" s="1">
        <f t="shared" si="133"/>
        <v>0.0787245370803153</v>
      </c>
      <c r="W122" s="1">
        <f t="shared" si="134"/>
        <v>0.708861699034091</v>
      </c>
      <c r="X122" s="1">
        <f t="shared" si="135"/>
        <v>0.111057681897029</v>
      </c>
    </row>
    <row r="123" spans="1:24">
      <c r="A123" s="68" t="s">
        <v>68</v>
      </c>
      <c r="B123" s="26">
        <v>278.743</v>
      </c>
      <c r="C123" s="27">
        <v>63.294382026</v>
      </c>
      <c r="D123" s="30">
        <v>400</v>
      </c>
      <c r="E123" s="20">
        <f>(($V$2*G123)/((V123/W123)^(2/3)))^2</f>
        <v>0.00237338410380697</v>
      </c>
      <c r="F123" s="17">
        <f t="shared" si="136"/>
        <v>2.37338410380697</v>
      </c>
      <c r="G123" s="17">
        <f t="shared" si="137"/>
        <v>0.803998148143147</v>
      </c>
      <c r="H123" s="8">
        <f>IF(D123&lt;350,0.5,IF(D123&lt;500,0.6,IF(D123&lt;1000,0.675,0.725)))</f>
        <v>0.6</v>
      </c>
      <c r="I123" s="17">
        <f t="shared" si="138"/>
        <v>0.24</v>
      </c>
      <c r="J123" s="48">
        <f t="shared" si="139"/>
        <v>0.661564205247467</v>
      </c>
      <c r="K123" s="49">
        <v>19.7243</v>
      </c>
      <c r="L123" s="44">
        <v>19.7498</v>
      </c>
      <c r="M123" s="48">
        <f t="shared" si="140"/>
        <v>9.52313175128104</v>
      </c>
      <c r="N123" s="50">
        <f t="shared" si="141"/>
        <v>8.86156754603358</v>
      </c>
      <c r="O123" s="53">
        <f t="shared" si="142"/>
        <v>9.26156754603358</v>
      </c>
      <c r="P123" s="53">
        <f t="shared" si="143"/>
        <v>8.60000334078611</v>
      </c>
      <c r="Q123" s="53">
        <f t="shared" si="144"/>
        <v>8.86156754603358</v>
      </c>
      <c r="R123" s="53">
        <f t="shared" si="145"/>
        <v>8.20000334078611</v>
      </c>
      <c r="S123" s="50">
        <f t="shared" si="146"/>
        <v>10.4627324539664</v>
      </c>
      <c r="T123" s="50">
        <f t="shared" si="147"/>
        <v>11.1497966592139</v>
      </c>
      <c r="U123" s="1">
        <f t="shared" si="132"/>
        <v>1.77215424758523</v>
      </c>
      <c r="V123" s="1">
        <f t="shared" si="133"/>
        <v>0.0787245370803153</v>
      </c>
      <c r="W123" s="1">
        <f t="shared" si="134"/>
        <v>0.708861699034091</v>
      </c>
      <c r="X123" s="1">
        <f t="shared" si="135"/>
        <v>0.111057681897029</v>
      </c>
    </row>
    <row r="124" spans="1:24">
      <c r="A124" s="68" t="s">
        <v>69</v>
      </c>
      <c r="B124" s="26">
        <v>526.643</v>
      </c>
      <c r="C124" s="27">
        <v>82.166243991</v>
      </c>
      <c r="D124" s="30">
        <v>450</v>
      </c>
      <c r="E124" s="20">
        <f>(($V$2*G124)/((V124/W124)^(2/3)))^2</f>
        <v>0.00213408207434294</v>
      </c>
      <c r="F124" s="17">
        <f t="shared" si="136"/>
        <v>2.13408207434294</v>
      </c>
      <c r="G124" s="17">
        <f t="shared" si="137"/>
        <v>0.824666351069125</v>
      </c>
      <c r="H124" s="8">
        <f>IF(D124&lt;350,0.5,IF(D124&lt;500,0.6,IF(D124&lt;1000,0.675,0.725)))</f>
        <v>0.6</v>
      </c>
      <c r="I124" s="17">
        <f t="shared" si="138"/>
        <v>0.27</v>
      </c>
      <c r="J124" s="48">
        <f t="shared" si="139"/>
        <v>1.12389938587819</v>
      </c>
      <c r="K124" s="49">
        <v>19.7498</v>
      </c>
      <c r="L124" s="44">
        <v>19.7499</v>
      </c>
      <c r="M124" s="48">
        <f t="shared" si="140"/>
        <v>9.2939027266643</v>
      </c>
      <c r="N124" s="50">
        <f t="shared" si="141"/>
        <v>8.17000334078611</v>
      </c>
      <c r="O124" s="53">
        <f t="shared" si="142"/>
        <v>8.62000334078611</v>
      </c>
      <c r="P124" s="53">
        <f t="shared" si="143"/>
        <v>7.49610395490792</v>
      </c>
      <c r="Q124" s="53">
        <f t="shared" si="144"/>
        <v>8.17000334078611</v>
      </c>
      <c r="R124" s="53">
        <f t="shared" si="145"/>
        <v>7.04610395490792</v>
      </c>
      <c r="S124" s="50">
        <f t="shared" si="146"/>
        <v>11.1297966592139</v>
      </c>
      <c r="T124" s="50">
        <f t="shared" si="147"/>
        <v>12.2537960450921</v>
      </c>
      <c r="U124" s="1">
        <f t="shared" si="132"/>
        <v>1.77215424758523</v>
      </c>
      <c r="V124" s="1">
        <f t="shared" si="133"/>
        <v>0.099635742242274</v>
      </c>
      <c r="W124" s="1">
        <f t="shared" si="134"/>
        <v>0.797469411413352</v>
      </c>
      <c r="X124" s="1">
        <f t="shared" si="135"/>
        <v>0.124939892134157</v>
      </c>
    </row>
    <row r="125" spans="1:24">
      <c r="A125" s="68" t="s">
        <v>70</v>
      </c>
      <c r="B125" s="26">
        <v>493.897</v>
      </c>
      <c r="C125" s="27">
        <v>97.022263359</v>
      </c>
      <c r="D125" s="30">
        <v>500</v>
      </c>
      <c r="E125" s="20">
        <f>(($V$2*G125)/((V125/W125)^(2/3)))^2</f>
        <v>0.00199052828827889</v>
      </c>
      <c r="F125" s="17">
        <f t="shared" si="136"/>
        <v>1.99052828827889</v>
      </c>
      <c r="G125" s="17">
        <f t="shared" si="137"/>
        <v>0.839166374677191</v>
      </c>
      <c r="H125" s="8">
        <v>0.57</v>
      </c>
      <c r="I125" s="17">
        <f t="shared" si="138"/>
        <v>0.285</v>
      </c>
      <c r="J125" s="48">
        <f t="shared" si="139"/>
        <v>0.983115949996079</v>
      </c>
      <c r="K125" s="49">
        <v>19.7499</v>
      </c>
      <c r="L125" s="44">
        <v>19.7363</v>
      </c>
      <c r="M125" s="48">
        <f t="shared" si="140"/>
        <v>8.014219904904</v>
      </c>
      <c r="N125" s="50">
        <f t="shared" si="141"/>
        <v>7.03110395490792</v>
      </c>
      <c r="O125" s="53">
        <f t="shared" si="142"/>
        <v>7.53110395490792</v>
      </c>
      <c r="P125" s="53">
        <f t="shared" si="143"/>
        <v>6.54798800491184</v>
      </c>
      <c r="Q125" s="53">
        <f t="shared" si="144"/>
        <v>7.03110395490792</v>
      </c>
      <c r="R125" s="53">
        <f t="shared" si="145"/>
        <v>6.04798800491184</v>
      </c>
      <c r="S125" s="50">
        <f t="shared" si="146"/>
        <v>12.2187960450921</v>
      </c>
      <c r="T125" s="50">
        <f t="shared" si="147"/>
        <v>13.1883119950882</v>
      </c>
      <c r="U125" s="1">
        <f t="shared" si="132"/>
        <v>1.71125774150475</v>
      </c>
      <c r="V125" s="1">
        <f t="shared" si="133"/>
        <v>0.115617434500188</v>
      </c>
      <c r="W125" s="1">
        <f t="shared" si="134"/>
        <v>0.855628870752376</v>
      </c>
      <c r="X125" s="1">
        <f t="shared" si="135"/>
        <v>0.135125681767286</v>
      </c>
    </row>
    <row r="126" spans="1:24">
      <c r="A126" s="68" t="s">
        <v>71</v>
      </c>
      <c r="B126" s="26">
        <v>880.582</v>
      </c>
      <c r="C126" s="27">
        <v>124.840108119</v>
      </c>
      <c r="D126" s="30">
        <v>500</v>
      </c>
      <c r="E126" s="20">
        <f>(($V$2*G126)/((V126/W126)^(2/3)))^2</f>
        <v>0.00199357642316724</v>
      </c>
      <c r="F126" s="17">
        <f t="shared" si="136"/>
        <v>1.99357642316724</v>
      </c>
      <c r="G126" s="17">
        <f t="shared" si="137"/>
        <v>0.885300649542006</v>
      </c>
      <c r="H126" s="8">
        <v>0.675</v>
      </c>
      <c r="I126" s="17">
        <f t="shared" si="138"/>
        <v>0.3375</v>
      </c>
      <c r="J126" s="48">
        <f t="shared" si="139"/>
        <v>1.75550751386545</v>
      </c>
      <c r="K126" s="49">
        <v>19.7363</v>
      </c>
      <c r="L126" s="44">
        <v>19.6989</v>
      </c>
      <c r="M126" s="48">
        <f t="shared" si="140"/>
        <v>7.75099551877729</v>
      </c>
      <c r="N126" s="50">
        <f t="shared" si="141"/>
        <v>5.99548800491184</v>
      </c>
      <c r="O126" s="53">
        <f t="shared" si="142"/>
        <v>6.49548800491184</v>
      </c>
      <c r="P126" s="53">
        <f t="shared" si="143"/>
        <v>4.73998049104639</v>
      </c>
      <c r="Q126" s="53">
        <f t="shared" si="144"/>
        <v>5.99548800491184</v>
      </c>
      <c r="R126" s="53">
        <f t="shared" si="145"/>
        <v>4.23998049104639</v>
      </c>
      <c r="S126" s="50">
        <f t="shared" si="146"/>
        <v>13.2408119950882</v>
      </c>
      <c r="T126" s="50">
        <f t="shared" si="147"/>
        <v>14.9589195089536</v>
      </c>
      <c r="U126" s="1">
        <f t="shared" si="132"/>
        <v>1.92836743044041</v>
      </c>
      <c r="V126" s="1">
        <f t="shared" si="133"/>
        <v>0.14101436408477</v>
      </c>
      <c r="W126" s="1">
        <f t="shared" si="134"/>
        <v>0.964183715220203</v>
      </c>
      <c r="X126" s="1">
        <f t="shared" si="135"/>
        <v>0.146252588442198</v>
      </c>
    </row>
    <row r="127" spans="1:24">
      <c r="A127" s="68" t="s">
        <v>72</v>
      </c>
      <c r="B127" s="26">
        <v>325.808</v>
      </c>
      <c r="C127" s="27">
        <v>190.409532755</v>
      </c>
      <c r="D127" s="30">
        <v>600</v>
      </c>
      <c r="E127" s="20">
        <f>(($V$2*G127)/((V127/W127)^(2/3)))^2</f>
        <v>0.00175388862867488</v>
      </c>
      <c r="F127" s="17">
        <f t="shared" si="136"/>
        <v>1.75388862867488</v>
      </c>
      <c r="G127" s="17">
        <f t="shared" si="137"/>
        <v>0.937697681007046</v>
      </c>
      <c r="H127" s="8">
        <f>IF(D127&lt;350,0.5,IF(D127&lt;500,0.6,IF(D127&lt;1000,0.675,0.725)))</f>
        <v>0.675</v>
      </c>
      <c r="I127" s="17">
        <f t="shared" si="138"/>
        <v>0.405</v>
      </c>
      <c r="J127" s="48">
        <f t="shared" si="139"/>
        <v>0.571430946331307</v>
      </c>
      <c r="K127" s="49">
        <v>19.6989</v>
      </c>
      <c r="L127" s="44">
        <v>19.6816</v>
      </c>
      <c r="M127" s="48">
        <f t="shared" si="140"/>
        <v>4.7439114373777</v>
      </c>
      <c r="N127" s="50">
        <f t="shared" si="141"/>
        <v>4.17248049104639</v>
      </c>
      <c r="O127" s="53">
        <f t="shared" si="142"/>
        <v>4.77248049104639</v>
      </c>
      <c r="P127" s="53">
        <f t="shared" si="143"/>
        <v>4.20104954471508</v>
      </c>
      <c r="Q127" s="53">
        <f t="shared" si="144"/>
        <v>4.17248049104639</v>
      </c>
      <c r="R127" s="53">
        <f t="shared" si="145"/>
        <v>3.60104954471508</v>
      </c>
      <c r="S127" s="50">
        <f t="shared" si="146"/>
        <v>14.9264195089536</v>
      </c>
      <c r="T127" s="50">
        <f t="shared" si="147"/>
        <v>15.4805504552849</v>
      </c>
      <c r="U127" s="1">
        <f t="shared" si="132"/>
        <v>1.92836743044041</v>
      </c>
      <c r="V127" s="1">
        <f t="shared" si="133"/>
        <v>0.203060684282069</v>
      </c>
      <c r="W127" s="1">
        <f t="shared" si="134"/>
        <v>1.15702045826424</v>
      </c>
      <c r="X127" s="1">
        <f t="shared" si="135"/>
        <v>0.175503106130638</v>
      </c>
    </row>
    <row r="129" spans="1:24">
      <c r="A129" s="25" t="s">
        <v>73</v>
      </c>
      <c r="B129" s="26">
        <f>B127</f>
        <v>325.808</v>
      </c>
      <c r="C129" s="27">
        <f t="shared" ref="C129:T129" si="148">C127</f>
        <v>190.409532755</v>
      </c>
      <c r="D129" s="30">
        <f t="shared" si="148"/>
        <v>600</v>
      </c>
      <c r="E129" s="20">
        <f t="shared" si="148"/>
        <v>0.00175388862867488</v>
      </c>
      <c r="F129" s="17">
        <f t="shared" si="148"/>
        <v>1.75388862867488</v>
      </c>
      <c r="G129" s="17">
        <f t="shared" si="148"/>
        <v>0.937697681007046</v>
      </c>
      <c r="H129" s="8">
        <f t="shared" si="148"/>
        <v>0.675</v>
      </c>
      <c r="I129" s="17">
        <f t="shared" si="148"/>
        <v>0.405</v>
      </c>
      <c r="J129" s="48">
        <f t="shared" si="148"/>
        <v>0.571430946331307</v>
      </c>
      <c r="K129" s="49">
        <f t="shared" si="148"/>
        <v>19.6989</v>
      </c>
      <c r="L129" s="44">
        <f t="shared" si="148"/>
        <v>19.6816</v>
      </c>
      <c r="M129" s="48">
        <f t="shared" si="148"/>
        <v>4.7439114373777</v>
      </c>
      <c r="N129" s="50">
        <f t="shared" si="148"/>
        <v>4.17248049104639</v>
      </c>
      <c r="O129" s="53">
        <f t="shared" si="148"/>
        <v>4.77248049104639</v>
      </c>
      <c r="P129" s="53">
        <f t="shared" si="148"/>
        <v>4.20104954471508</v>
      </c>
      <c r="Q129" s="53">
        <f t="shared" si="148"/>
        <v>4.17248049104639</v>
      </c>
      <c r="R129" s="53">
        <f t="shared" si="148"/>
        <v>3.60104954471508</v>
      </c>
      <c r="S129" s="50">
        <f t="shared" si="148"/>
        <v>14.9264195089536</v>
      </c>
      <c r="T129" s="50">
        <f t="shared" si="148"/>
        <v>15.4805504552849</v>
      </c>
      <c r="U129" s="1">
        <f t="shared" ref="U129:U145" si="149">ACOS((D129/2-D129*H129)/(D129/2))</f>
        <v>1.92836743044041</v>
      </c>
      <c r="V129" s="1">
        <f t="shared" ref="V129:V145" si="150">(U129-SIN(U129)*COS(U129))*((D129/1000)/2)^2</f>
        <v>0.203060684282069</v>
      </c>
      <c r="W129" s="1">
        <f t="shared" ref="W129:W145" si="151">U129*(D129/1000)</f>
        <v>1.15702045826424</v>
      </c>
      <c r="X129" s="1">
        <f t="shared" ref="X129:X145" si="152">V129/W129</f>
        <v>0.175503106130638</v>
      </c>
    </row>
    <row r="130" spans="1:24">
      <c r="A130" s="68" t="s">
        <v>74</v>
      </c>
      <c r="B130" s="26">
        <v>556.75</v>
      </c>
      <c r="C130" s="27">
        <v>190.409532755</v>
      </c>
      <c r="D130" s="30">
        <v>600</v>
      </c>
      <c r="E130" s="20">
        <f>(($V$2*G130)/((V130/W130)^(2/3)))^2</f>
        <v>0.00175388862867488</v>
      </c>
      <c r="F130" s="17">
        <f t="shared" ref="F130:F145" si="153">E130*1000</f>
        <v>1.75388862867488</v>
      </c>
      <c r="G130" s="17">
        <f t="shared" ref="G130:G145" si="154">C130/V130/1000</f>
        <v>0.937697681007046</v>
      </c>
      <c r="H130" s="8">
        <f>IF(D130&lt;350,0.5,IF(D130&lt;500,0.6,IF(D130&lt;1000,0.675,0.725)))</f>
        <v>0.675</v>
      </c>
      <c r="I130" s="17">
        <f t="shared" ref="I130:I145" si="155">H130*D130/1000</f>
        <v>0.405</v>
      </c>
      <c r="J130" s="48">
        <f t="shared" ref="J130:J145" si="156">E130*B130</f>
        <v>0.976477494014742</v>
      </c>
      <c r="K130" s="49">
        <v>19.6816</v>
      </c>
      <c r="L130" s="44">
        <v>19.4455</v>
      </c>
      <c r="M130" s="48">
        <f t="shared" ref="M130:M145" si="157">Q130+J130</f>
        <v>4.57752703872983</v>
      </c>
      <c r="N130" s="50">
        <f t="shared" ref="N130:N145" si="158">M130-J130</f>
        <v>3.60104954471508</v>
      </c>
      <c r="O130" s="53">
        <f>P129-I130+I129+(D130-D129)/1000</f>
        <v>4.20104954471508</v>
      </c>
      <c r="P130" s="53">
        <f t="shared" ref="P130:P145" si="159">O130-J130</f>
        <v>3.22457205070034</v>
      </c>
      <c r="Q130" s="53">
        <f>IF(O130-D130/1000&lt;=R129,O130-D130/1000)</f>
        <v>3.60104954471508</v>
      </c>
      <c r="R130" s="53">
        <f t="shared" ref="R130:R145" si="160">P130-D130/1000</f>
        <v>2.62457205070034</v>
      </c>
      <c r="S130" s="50">
        <f>K130-O130</f>
        <v>15.4805504552849</v>
      </c>
      <c r="T130" s="50">
        <f t="shared" ref="T130:T145" si="161">L130-P130</f>
        <v>16.2209279492997</v>
      </c>
      <c r="U130" s="1">
        <f t="shared" si="149"/>
        <v>1.92836743044041</v>
      </c>
      <c r="V130" s="1">
        <f t="shared" si="150"/>
        <v>0.203060684282069</v>
      </c>
      <c r="W130" s="1">
        <f t="shared" si="151"/>
        <v>1.15702045826424</v>
      </c>
      <c r="X130" s="1">
        <f t="shared" si="152"/>
        <v>0.175503106130638</v>
      </c>
    </row>
    <row r="131" spans="1:20">
      <c r="A131" s="69" t="s">
        <v>75</v>
      </c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</row>
    <row r="132" spans="1:20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</row>
    <row r="133" spans="1:24">
      <c r="A133" s="25" t="s">
        <v>39</v>
      </c>
      <c r="B133" s="42">
        <v>249.412</v>
      </c>
      <c r="C133" s="27">
        <v>1.389</v>
      </c>
      <c r="D133" s="30">
        <v>150</v>
      </c>
      <c r="E133" s="20">
        <f>(($V$2*G133)/((V133/W133)^(2/3)))^2</f>
        <v>0.00329035835670548</v>
      </c>
      <c r="F133" s="17">
        <f t="shared" si="153"/>
        <v>3.29035835670548</v>
      </c>
      <c r="G133" s="17">
        <f t="shared" si="154"/>
        <v>0.342925511041152</v>
      </c>
      <c r="H133" s="8">
        <v>0.28</v>
      </c>
      <c r="I133" s="17">
        <f t="shared" si="155"/>
        <v>0.042</v>
      </c>
      <c r="J133" s="48">
        <f t="shared" si="156"/>
        <v>0.820654858462627</v>
      </c>
      <c r="K133" s="49">
        <v>20.5596</v>
      </c>
      <c r="L133" s="44">
        <v>20.3054</v>
      </c>
      <c r="M133" s="48">
        <f t="shared" si="157"/>
        <v>20.3802548584626</v>
      </c>
      <c r="N133" s="50">
        <f t="shared" si="158"/>
        <v>19.5596</v>
      </c>
      <c r="O133" s="53">
        <f>K133-S133</f>
        <v>19.7096</v>
      </c>
      <c r="P133" s="53">
        <f t="shared" si="159"/>
        <v>18.8889451415374</v>
      </c>
      <c r="Q133" s="53">
        <f>O133-D133/1000</f>
        <v>19.5596</v>
      </c>
      <c r="R133" s="53">
        <f t="shared" si="160"/>
        <v>18.7389451415374</v>
      </c>
      <c r="S133" s="50">
        <f>0.7+D133/1000</f>
        <v>0.85</v>
      </c>
      <c r="T133" s="50">
        <f t="shared" si="161"/>
        <v>1.41645485846263</v>
      </c>
      <c r="U133" s="1">
        <f t="shared" si="149"/>
        <v>1.11519765339907</v>
      </c>
      <c r="V133" s="1">
        <f t="shared" si="150"/>
        <v>0.00405044231262607</v>
      </c>
      <c r="W133" s="1">
        <f t="shared" si="151"/>
        <v>0.167279648009861</v>
      </c>
      <c r="X133" s="1">
        <f t="shared" si="152"/>
        <v>0.024213598969238</v>
      </c>
    </row>
    <row r="134" spans="1:24">
      <c r="A134" s="68" t="s">
        <v>76</v>
      </c>
      <c r="B134" s="26">
        <v>141.163</v>
      </c>
      <c r="C134" s="27">
        <v>3.4985</v>
      </c>
      <c r="D134" s="30">
        <v>150</v>
      </c>
      <c r="E134" s="20">
        <f>(($V$2*G134)/((V134/W134)^(2/3)))^2</f>
        <v>0.00352756425220924</v>
      </c>
      <c r="F134" s="17">
        <f t="shared" si="153"/>
        <v>3.52756425220924</v>
      </c>
      <c r="G134" s="17">
        <f t="shared" si="154"/>
        <v>0.453607959935339</v>
      </c>
      <c r="H134" s="8">
        <v>0.45</v>
      </c>
      <c r="I134" s="17">
        <f t="shared" si="155"/>
        <v>0.0675</v>
      </c>
      <c r="J134" s="48">
        <f t="shared" si="156"/>
        <v>0.497961552534613</v>
      </c>
      <c r="K134" s="49">
        <v>20.3054</v>
      </c>
      <c r="L134" s="44">
        <v>20.1629</v>
      </c>
      <c r="M134" s="48">
        <f t="shared" si="157"/>
        <v>19.211406694072</v>
      </c>
      <c r="N134" s="50">
        <f t="shared" si="158"/>
        <v>18.7134451415374</v>
      </c>
      <c r="O134" s="53">
        <f>P133-I134+I133+(D134-D133)/1000</f>
        <v>18.8634451415374</v>
      </c>
      <c r="P134" s="53">
        <f t="shared" si="159"/>
        <v>18.3654835890028</v>
      </c>
      <c r="Q134" s="53">
        <f>IF(O134-D134/1000&lt;=R133,O134-D134/1000)</f>
        <v>18.7134451415374</v>
      </c>
      <c r="R134" s="53">
        <f t="shared" si="160"/>
        <v>18.2154835890028</v>
      </c>
      <c r="S134" s="50">
        <f>K134-O134</f>
        <v>1.44195485846263</v>
      </c>
      <c r="T134" s="50">
        <f t="shared" si="161"/>
        <v>1.79741641099724</v>
      </c>
      <c r="U134" s="1">
        <f t="shared" si="149"/>
        <v>1.47062890563334</v>
      </c>
      <c r="V134" s="1">
        <f t="shared" si="150"/>
        <v>0.00771260716081505</v>
      </c>
      <c r="W134" s="1">
        <f t="shared" si="151"/>
        <v>0.220594335845001</v>
      </c>
      <c r="X134" s="1">
        <f t="shared" si="152"/>
        <v>0.034962852202308</v>
      </c>
    </row>
    <row r="135" spans="1:24">
      <c r="A135" s="68" t="s">
        <v>77</v>
      </c>
      <c r="B135" s="26">
        <v>169.947</v>
      </c>
      <c r="C135" s="27">
        <v>8.8499</v>
      </c>
      <c r="D135" s="30">
        <v>200</v>
      </c>
      <c r="E135" s="20">
        <f>(($V$2*G135)/((V135/W135)^(2/3)))^2</f>
        <v>0.003377533808752</v>
      </c>
      <c r="F135" s="17">
        <f t="shared" si="153"/>
        <v>3.377533808752</v>
      </c>
      <c r="G135" s="17">
        <f t="shared" si="154"/>
        <v>0.563402132347586</v>
      </c>
      <c r="H135" s="8">
        <f>IF(D135&lt;350,0.5,IF(D135&lt;500,0.6,IF(D135&lt;1000,0.675,0.725)))</f>
        <v>0.5</v>
      </c>
      <c r="I135" s="17">
        <f t="shared" si="155"/>
        <v>0.1</v>
      </c>
      <c r="J135" s="48">
        <f t="shared" si="156"/>
        <v>0.574001738195976</v>
      </c>
      <c r="K135" s="49">
        <v>20.1629</v>
      </c>
      <c r="L135" s="44">
        <v>20.0431</v>
      </c>
      <c r="M135" s="48">
        <f t="shared" si="157"/>
        <v>18.7569853271987</v>
      </c>
      <c r="N135" s="50">
        <f t="shared" si="158"/>
        <v>18.1829835890028</v>
      </c>
      <c r="O135" s="53">
        <f>P134-I135+I134+(D135-D134)/1000</f>
        <v>18.3829835890028</v>
      </c>
      <c r="P135" s="53">
        <f t="shared" si="159"/>
        <v>17.8089818508068</v>
      </c>
      <c r="Q135" s="53">
        <f>IF(O135-D135/1000&lt;=R134,O135-D135/1000)</f>
        <v>18.1829835890028</v>
      </c>
      <c r="R135" s="53">
        <f t="shared" si="160"/>
        <v>17.6089818508068</v>
      </c>
      <c r="S135" s="50">
        <f>K135-O135</f>
        <v>1.77991641099724</v>
      </c>
      <c r="T135" s="50">
        <f t="shared" si="161"/>
        <v>2.23411814919322</v>
      </c>
      <c r="U135" s="1">
        <f t="shared" si="149"/>
        <v>1.5707963267949</v>
      </c>
      <c r="V135" s="1">
        <f t="shared" si="150"/>
        <v>0.015707963267949</v>
      </c>
      <c r="W135" s="1">
        <f t="shared" si="151"/>
        <v>0.314159265358979</v>
      </c>
      <c r="X135" s="1">
        <f t="shared" si="152"/>
        <v>0.05</v>
      </c>
    </row>
    <row r="136" spans="1:24">
      <c r="A136" s="68" t="s">
        <v>78</v>
      </c>
      <c r="B136" s="26">
        <v>156.67</v>
      </c>
      <c r="C136" s="27">
        <v>13.9334</v>
      </c>
      <c r="D136" s="30">
        <v>250</v>
      </c>
      <c r="E136" s="20">
        <f>(($V$2*G136)/((V136/W136)^(2/3)))^2</f>
        <v>0.00254673516777928</v>
      </c>
      <c r="F136" s="17">
        <f t="shared" si="153"/>
        <v>2.54673516777928</v>
      </c>
      <c r="G136" s="17">
        <f t="shared" si="154"/>
        <v>0.567697787923613</v>
      </c>
      <c r="H136" s="8">
        <f>IF(D136&lt;350,0.5,IF(D136&lt;500,0.6,IF(D136&lt;1000,0.675,0.725)))</f>
        <v>0.5</v>
      </c>
      <c r="I136" s="17">
        <f t="shared" si="155"/>
        <v>0.125</v>
      </c>
      <c r="J136" s="48">
        <f t="shared" si="156"/>
        <v>0.398996998735979</v>
      </c>
      <c r="K136" s="49">
        <v>20.0431</v>
      </c>
      <c r="L136" s="44">
        <v>19.8705</v>
      </c>
      <c r="M136" s="48">
        <f t="shared" si="157"/>
        <v>17.9829788495428</v>
      </c>
      <c r="N136" s="50">
        <f t="shared" si="158"/>
        <v>17.5839818508068</v>
      </c>
      <c r="O136" s="53">
        <f>P135-I136+I135+(D136-D135)/1000</f>
        <v>17.8339818508068</v>
      </c>
      <c r="P136" s="53">
        <f t="shared" si="159"/>
        <v>17.4349848520708</v>
      </c>
      <c r="Q136" s="53">
        <f>IF(O136-D136/1000&lt;=R135,O136-D136/1000)</f>
        <v>17.5839818508068</v>
      </c>
      <c r="R136" s="53">
        <f t="shared" si="160"/>
        <v>17.1849848520708</v>
      </c>
      <c r="S136" s="50">
        <f>K136-O136</f>
        <v>2.20911814919322</v>
      </c>
      <c r="T136" s="50">
        <f t="shared" si="161"/>
        <v>2.43551514792919</v>
      </c>
      <c r="U136" s="1">
        <f t="shared" si="149"/>
        <v>1.5707963267949</v>
      </c>
      <c r="V136" s="1">
        <f t="shared" si="150"/>
        <v>0.0245436926061703</v>
      </c>
      <c r="W136" s="1">
        <f t="shared" si="151"/>
        <v>0.392699081698724</v>
      </c>
      <c r="X136" s="1">
        <f t="shared" si="152"/>
        <v>0.0625</v>
      </c>
    </row>
    <row r="137" spans="1:24">
      <c r="A137" s="75" t="s">
        <v>79</v>
      </c>
      <c r="B137" s="26">
        <v>349.917</v>
      </c>
      <c r="C137" s="27">
        <v>28.1881</v>
      </c>
      <c r="D137" s="30">
        <v>300</v>
      </c>
      <c r="E137" s="20">
        <f>(($V$2*G137)/((V137/W137)^(2/3)))^2</f>
        <v>0.00394186007165688</v>
      </c>
      <c r="F137" s="17">
        <f t="shared" si="153"/>
        <v>3.94186007165688</v>
      </c>
      <c r="G137" s="17">
        <f t="shared" si="154"/>
        <v>0.797560080243316</v>
      </c>
      <c r="H137" s="8">
        <f>IF(D137&lt;350,0.5,IF(D137&lt;500,0.6,IF(D137&lt;1000,0.675,0.725)))</f>
        <v>0.5</v>
      </c>
      <c r="I137" s="17">
        <f t="shared" si="155"/>
        <v>0.15</v>
      </c>
      <c r="J137" s="48">
        <f t="shared" si="156"/>
        <v>1.37932385069396</v>
      </c>
      <c r="K137" s="49">
        <v>19.8705</v>
      </c>
      <c r="L137" s="44">
        <v>19.6013</v>
      </c>
      <c r="M137" s="48">
        <f t="shared" si="157"/>
        <v>18.5393087027648</v>
      </c>
      <c r="N137" s="50">
        <f t="shared" si="158"/>
        <v>17.1599848520708</v>
      </c>
      <c r="O137" s="53">
        <f>P136-I137+I136+(D137-D136)/1000</f>
        <v>17.4599848520708</v>
      </c>
      <c r="P137" s="53">
        <f t="shared" si="159"/>
        <v>16.0806610013768</v>
      </c>
      <c r="Q137" s="53">
        <f>IF(O137-D137/1000&lt;=R136,O137-D137/1000)</f>
        <v>17.1599848520708</v>
      </c>
      <c r="R137" s="53">
        <f t="shared" si="160"/>
        <v>15.7806610013768</v>
      </c>
      <c r="S137" s="50">
        <f>K137-O137</f>
        <v>2.41051514792919</v>
      </c>
      <c r="T137" s="50">
        <f t="shared" si="161"/>
        <v>3.52063899862315</v>
      </c>
      <c r="U137" s="1">
        <f t="shared" si="149"/>
        <v>1.5707963267949</v>
      </c>
      <c r="V137" s="1">
        <f t="shared" si="150"/>
        <v>0.0353429173528852</v>
      </c>
      <c r="W137" s="1">
        <f t="shared" si="151"/>
        <v>0.471238898038469</v>
      </c>
      <c r="X137" s="1">
        <f t="shared" si="152"/>
        <v>0.075</v>
      </c>
    </row>
    <row r="139" spans="1:24">
      <c r="A139" s="25" t="s">
        <v>39</v>
      </c>
      <c r="B139" s="42">
        <v>306.045</v>
      </c>
      <c r="C139" s="27">
        <v>5.824</v>
      </c>
      <c r="D139" s="30">
        <v>200</v>
      </c>
      <c r="E139" s="20">
        <f>(($V$2*G139)/((V139/W139)^(2/3)))^2</f>
        <v>0.00322015999064163</v>
      </c>
      <c r="F139" s="17">
        <f t="shared" ref="F139:F151" si="162">E139*1000</f>
        <v>3.22015999064163</v>
      </c>
      <c r="G139" s="17">
        <f t="shared" ref="G139:G151" si="163">C139/V139/1000</f>
        <v>0.496301925766853</v>
      </c>
      <c r="H139" s="8">
        <v>0.4</v>
      </c>
      <c r="I139" s="17">
        <f t="shared" ref="I139:I151" si="164">H139*D139/1000</f>
        <v>0.08</v>
      </c>
      <c r="J139" s="48">
        <f t="shared" ref="J139:J151" si="165">E139*B139</f>
        <v>0.985513864335918</v>
      </c>
      <c r="K139" s="49">
        <v>21.4399</v>
      </c>
      <c r="L139" s="44">
        <v>21.0407</v>
      </c>
      <c r="M139" s="48">
        <f t="shared" ref="M139:M151" si="166">Q139+J139</f>
        <v>21.3254138643359</v>
      </c>
      <c r="N139" s="50">
        <f t="shared" ref="N139:N151" si="167">M139-J139</f>
        <v>20.3399</v>
      </c>
      <c r="O139" s="53">
        <f>K139-S139</f>
        <v>20.5399</v>
      </c>
      <c r="P139" s="53">
        <f t="shared" ref="P139:P151" si="168">O139-J139</f>
        <v>19.5543861356641</v>
      </c>
      <c r="Q139" s="53">
        <f>O139-D139/1000</f>
        <v>20.3399</v>
      </c>
      <c r="R139" s="53">
        <f t="shared" ref="R139:R151" si="169">P139-D139/1000</f>
        <v>19.3543861356641</v>
      </c>
      <c r="S139" s="50">
        <f>0.7+D139/1000</f>
        <v>0.9</v>
      </c>
      <c r="T139" s="50">
        <f t="shared" ref="T139:T151" si="170">L139-P139</f>
        <v>1.48631386433592</v>
      </c>
      <c r="U139" s="1">
        <f t="shared" ref="U139:U151" si="171">ACOS((D139/2-D139*H139)/(D139/2))</f>
        <v>1.36943840600457</v>
      </c>
      <c r="V139" s="1">
        <f t="shared" ref="V139:V151" si="172">(U139-SIN(U139)*COS(U139))*((D139/1000)/2)^2</f>
        <v>0.0117347922658191</v>
      </c>
      <c r="W139" s="1">
        <f t="shared" ref="W139:W151" si="173">U139*(D139/1000)</f>
        <v>0.273887681200913</v>
      </c>
      <c r="X139" s="1">
        <f t="shared" ref="X139:X151" si="174">V139/W139</f>
        <v>0.0428452722457822</v>
      </c>
    </row>
    <row r="140" spans="1:24">
      <c r="A140" s="68" t="s">
        <v>80</v>
      </c>
      <c r="B140" s="40">
        <v>267.254</v>
      </c>
      <c r="C140" s="27">
        <v>13.8883</v>
      </c>
      <c r="D140" s="30">
        <v>250</v>
      </c>
      <c r="E140" s="20">
        <f>(($V$2*G140)/((V140/W140)^(2/3)))^2</f>
        <v>0.00253027516968179</v>
      </c>
      <c r="F140" s="17">
        <f t="shared" si="162"/>
        <v>2.53027516968179</v>
      </c>
      <c r="G140" s="17">
        <f t="shared" si="163"/>
        <v>0.565860248612651</v>
      </c>
      <c r="H140" s="8">
        <f>IF(D140&lt;350,0.5,IF(D140&lt;500,0.6,IF(D140&lt;1000,0.675,0.725)))</f>
        <v>0.5</v>
      </c>
      <c r="I140" s="17">
        <f t="shared" si="164"/>
        <v>0.125</v>
      </c>
      <c r="J140" s="48">
        <f t="shared" si="165"/>
        <v>0.676226160198137</v>
      </c>
      <c r="K140" s="49">
        <v>21.0407</v>
      </c>
      <c r="L140" s="44">
        <v>20.7817</v>
      </c>
      <c r="M140" s="48">
        <f t="shared" si="166"/>
        <v>19.9856122958622</v>
      </c>
      <c r="N140" s="50">
        <f t="shared" si="167"/>
        <v>19.3093861356641</v>
      </c>
      <c r="O140" s="53">
        <f t="shared" ref="O140:O151" si="175">P139-I140+I139+(D140-D139)/1000</f>
        <v>19.5593861356641</v>
      </c>
      <c r="P140" s="53">
        <f t="shared" si="168"/>
        <v>18.8831599754659</v>
      </c>
      <c r="Q140" s="53">
        <f t="shared" ref="Q140:Q151" si="176">IF(O140-D140/1000&lt;=R139,O140-D140/1000)</f>
        <v>19.3093861356641</v>
      </c>
      <c r="R140" s="53">
        <f t="shared" si="169"/>
        <v>18.6331599754659</v>
      </c>
      <c r="S140" s="50">
        <f t="shared" ref="S140:S151" si="177">K140-O140</f>
        <v>1.48131386433592</v>
      </c>
      <c r="T140" s="50">
        <f t="shared" si="170"/>
        <v>1.89854002453405</v>
      </c>
      <c r="U140" s="1">
        <f t="shared" si="171"/>
        <v>1.5707963267949</v>
      </c>
      <c r="V140" s="1">
        <f t="shared" si="172"/>
        <v>0.0245436926061703</v>
      </c>
      <c r="W140" s="1">
        <f t="shared" si="173"/>
        <v>0.392699081698724</v>
      </c>
      <c r="X140" s="1">
        <f t="shared" si="174"/>
        <v>0.0625</v>
      </c>
    </row>
    <row r="141" spans="1:24">
      <c r="A141" s="68" t="s">
        <v>81</v>
      </c>
      <c r="B141" s="40">
        <v>225.424</v>
      </c>
      <c r="C141" s="27">
        <v>26.604</v>
      </c>
      <c r="D141" s="30">
        <v>350</v>
      </c>
      <c r="E141" s="20">
        <f>(($V$2*G141)/((V141/W141)^(2/3)))^2</f>
        <v>0.0022236283366545</v>
      </c>
      <c r="F141" s="17">
        <f t="shared" si="162"/>
        <v>2.2236283366545</v>
      </c>
      <c r="G141" s="17">
        <f t="shared" si="163"/>
        <v>0.633566429315642</v>
      </c>
      <c r="H141" s="8">
        <v>0.45</v>
      </c>
      <c r="I141" s="17">
        <f t="shared" si="164"/>
        <v>0.1575</v>
      </c>
      <c r="J141" s="48">
        <f t="shared" si="165"/>
        <v>0.501259194162003</v>
      </c>
      <c r="K141" s="49">
        <v>20.7817</v>
      </c>
      <c r="L141" s="44">
        <v>20.5263</v>
      </c>
      <c r="M141" s="48">
        <f t="shared" si="166"/>
        <v>19.101919169628</v>
      </c>
      <c r="N141" s="50">
        <f t="shared" si="167"/>
        <v>18.6006599754659</v>
      </c>
      <c r="O141" s="53">
        <f t="shared" si="175"/>
        <v>18.9506599754659</v>
      </c>
      <c r="P141" s="53">
        <f t="shared" si="168"/>
        <v>18.4494007813039</v>
      </c>
      <c r="Q141" s="53">
        <f t="shared" si="176"/>
        <v>18.6006599754659</v>
      </c>
      <c r="R141" s="53">
        <f t="shared" si="169"/>
        <v>18.0994007813039</v>
      </c>
      <c r="S141" s="50">
        <f t="shared" si="177"/>
        <v>1.83104002453405</v>
      </c>
      <c r="T141" s="50">
        <f t="shared" si="170"/>
        <v>2.07689921869605</v>
      </c>
      <c r="U141" s="1">
        <f t="shared" si="171"/>
        <v>1.47062890563334</v>
      </c>
      <c r="V141" s="1">
        <f t="shared" si="172"/>
        <v>0.0419908612088819</v>
      </c>
      <c r="W141" s="1">
        <f t="shared" si="173"/>
        <v>0.514720116971668</v>
      </c>
      <c r="X141" s="1">
        <f t="shared" si="174"/>
        <v>0.081579988472052</v>
      </c>
    </row>
    <row r="142" spans="1:24">
      <c r="A142" s="68" t="s">
        <v>82</v>
      </c>
      <c r="B142" s="40">
        <v>209.171</v>
      </c>
      <c r="C142" s="27">
        <v>30.6219</v>
      </c>
      <c r="D142" s="30">
        <v>350</v>
      </c>
      <c r="E142" s="20">
        <f>(($V$2*G142)/((V142/W142)^(2/3)))^2</f>
        <v>0.00204448684118713</v>
      </c>
      <c r="F142" s="17">
        <f t="shared" si="162"/>
        <v>2.04448684118713</v>
      </c>
      <c r="G142" s="17">
        <f t="shared" si="163"/>
        <v>0.63655533085593</v>
      </c>
      <c r="H142" s="8">
        <v>0.5</v>
      </c>
      <c r="I142" s="17">
        <f t="shared" si="164"/>
        <v>0.175</v>
      </c>
      <c r="J142" s="48">
        <f t="shared" si="165"/>
        <v>0.427647357057952</v>
      </c>
      <c r="K142" s="49">
        <v>20.5263</v>
      </c>
      <c r="L142" s="44">
        <v>20.2782</v>
      </c>
      <c r="M142" s="48">
        <f t="shared" si="166"/>
        <v>18.5095481383619</v>
      </c>
      <c r="N142" s="50">
        <f t="shared" si="167"/>
        <v>18.0819007813039</v>
      </c>
      <c r="O142" s="53">
        <f t="shared" si="175"/>
        <v>18.4319007813039</v>
      </c>
      <c r="P142" s="53">
        <f t="shared" si="168"/>
        <v>18.004253424246</v>
      </c>
      <c r="Q142" s="53">
        <f t="shared" si="176"/>
        <v>18.0819007813039</v>
      </c>
      <c r="R142" s="53">
        <f t="shared" si="169"/>
        <v>17.654253424246</v>
      </c>
      <c r="S142" s="50">
        <f t="shared" si="177"/>
        <v>2.09439921869605</v>
      </c>
      <c r="T142" s="50">
        <f t="shared" si="170"/>
        <v>2.27394657575401</v>
      </c>
      <c r="U142" s="1">
        <f t="shared" si="171"/>
        <v>1.5707963267949</v>
      </c>
      <c r="V142" s="1">
        <f t="shared" si="172"/>
        <v>0.0481056375080937</v>
      </c>
      <c r="W142" s="1">
        <f t="shared" si="173"/>
        <v>0.549778714378214</v>
      </c>
      <c r="X142" s="1">
        <f t="shared" si="174"/>
        <v>0.0875</v>
      </c>
    </row>
    <row r="143" spans="1:24">
      <c r="A143" s="68" t="s">
        <v>83</v>
      </c>
      <c r="B143" s="40">
        <v>114.522</v>
      </c>
      <c r="C143" s="27">
        <v>36.7396</v>
      </c>
      <c r="D143" s="30">
        <v>350</v>
      </c>
      <c r="E143" s="20">
        <f>(($V$2*G143)/((V143/W143)^(2/3)))^2</f>
        <v>0.00214467878440485</v>
      </c>
      <c r="F143" s="17">
        <f t="shared" si="162"/>
        <v>2.14467878440485</v>
      </c>
      <c r="G143" s="17">
        <f t="shared" si="163"/>
        <v>0.677597189327423</v>
      </c>
      <c r="H143" s="8">
        <v>0.55</v>
      </c>
      <c r="I143" s="17">
        <f t="shared" si="164"/>
        <v>0.1925</v>
      </c>
      <c r="J143" s="48">
        <f t="shared" si="165"/>
        <v>0.245612903747612</v>
      </c>
      <c r="K143" s="49">
        <v>20.2782</v>
      </c>
      <c r="L143" s="44">
        <v>20.2652</v>
      </c>
      <c r="M143" s="48">
        <f t="shared" si="166"/>
        <v>17.8823663279936</v>
      </c>
      <c r="N143" s="50">
        <f t="shared" si="167"/>
        <v>17.636753424246</v>
      </c>
      <c r="O143" s="53">
        <f t="shared" si="175"/>
        <v>17.986753424246</v>
      </c>
      <c r="P143" s="53">
        <f t="shared" si="168"/>
        <v>17.7411405204984</v>
      </c>
      <c r="Q143" s="53">
        <f t="shared" si="176"/>
        <v>17.636753424246</v>
      </c>
      <c r="R143" s="53">
        <f t="shared" si="169"/>
        <v>17.3911405204984</v>
      </c>
      <c r="S143" s="50">
        <f t="shared" si="177"/>
        <v>2.291446575754</v>
      </c>
      <c r="T143" s="50">
        <f t="shared" si="170"/>
        <v>2.52405947950162</v>
      </c>
      <c r="U143" s="1">
        <f t="shared" si="171"/>
        <v>1.67096374795646</v>
      </c>
      <c r="V143" s="1">
        <f t="shared" si="172"/>
        <v>0.0542204138073055</v>
      </c>
      <c r="W143" s="1">
        <f t="shared" si="173"/>
        <v>0.58483731178476</v>
      </c>
      <c r="X143" s="1">
        <f t="shared" si="174"/>
        <v>0.0927102507222735</v>
      </c>
    </row>
    <row r="144" spans="1:24">
      <c r="A144" s="68" t="s">
        <v>84</v>
      </c>
      <c r="B144" s="40">
        <v>193.32</v>
      </c>
      <c r="C144" s="27">
        <v>47.5081</v>
      </c>
      <c r="D144" s="30">
        <v>350</v>
      </c>
      <c r="E144" s="20">
        <f>(($V$2*G144)/((V144/W144)^(2/3)))^2</f>
        <v>0.00272560808656328</v>
      </c>
      <c r="F144" s="17">
        <f t="shared" si="162"/>
        <v>2.72560808656328</v>
      </c>
      <c r="G144" s="17">
        <f t="shared" si="163"/>
        <v>0.788209092357852</v>
      </c>
      <c r="H144" s="8">
        <f>IF(D144&lt;350,0.5,IF(D144&lt;500,0.6,IF(D144&lt;1000,0.675,0.725)))</f>
        <v>0.6</v>
      </c>
      <c r="I144" s="17">
        <f t="shared" si="164"/>
        <v>0.21</v>
      </c>
      <c r="J144" s="48">
        <f t="shared" si="165"/>
        <v>0.526914555294413</v>
      </c>
      <c r="K144" s="49">
        <v>20.2652</v>
      </c>
      <c r="L144" s="44">
        <v>20.0099</v>
      </c>
      <c r="M144" s="48">
        <f t="shared" si="166"/>
        <v>17.9005550757928</v>
      </c>
      <c r="N144" s="50">
        <f t="shared" si="167"/>
        <v>17.3736405204984</v>
      </c>
      <c r="O144" s="53">
        <f t="shared" si="175"/>
        <v>17.7236405204984</v>
      </c>
      <c r="P144" s="53">
        <f t="shared" si="168"/>
        <v>17.196725965204</v>
      </c>
      <c r="Q144" s="53">
        <f t="shared" si="176"/>
        <v>17.3736405204984</v>
      </c>
      <c r="R144" s="53">
        <f t="shared" si="169"/>
        <v>16.846725965204</v>
      </c>
      <c r="S144" s="50">
        <f t="shared" si="177"/>
        <v>2.54155947950162</v>
      </c>
      <c r="T144" s="50">
        <f t="shared" si="170"/>
        <v>2.81317403479603</v>
      </c>
      <c r="U144" s="1">
        <f t="shared" si="171"/>
        <v>1.77215424758523</v>
      </c>
      <c r="V144" s="1">
        <f t="shared" si="172"/>
        <v>0.0602734737021164</v>
      </c>
      <c r="W144" s="1">
        <f t="shared" si="173"/>
        <v>0.62025398665483</v>
      </c>
      <c r="X144" s="1">
        <f t="shared" si="174"/>
        <v>0.0971754716599</v>
      </c>
    </row>
    <row r="145" spans="1:24">
      <c r="A145" s="68" t="s">
        <v>85</v>
      </c>
      <c r="B145" s="40">
        <v>172.682</v>
      </c>
      <c r="C145" s="27">
        <v>60.8899</v>
      </c>
      <c r="D145" s="30">
        <v>350</v>
      </c>
      <c r="E145" s="20">
        <f>(($V$2*G145)/((V145/W145)^(2/3)))^2</f>
        <v>0.00447732486283473</v>
      </c>
      <c r="F145" s="17">
        <f t="shared" si="162"/>
        <v>4.47732486283473</v>
      </c>
      <c r="G145" s="17">
        <f t="shared" si="163"/>
        <v>1.01022715732181</v>
      </c>
      <c r="H145" s="8">
        <f>IF(D145&lt;350,0.5,IF(D145&lt;500,0.6,IF(D145&lt;1000,0.675,0.725)))</f>
        <v>0.6</v>
      </c>
      <c r="I145" s="17">
        <f t="shared" si="164"/>
        <v>0.21</v>
      </c>
      <c r="J145" s="48">
        <f t="shared" si="165"/>
        <v>0.773153411964027</v>
      </c>
      <c r="K145" s="49">
        <v>20.0099</v>
      </c>
      <c r="L145" s="44">
        <v>19.6722</v>
      </c>
      <c r="M145" s="48">
        <f t="shared" si="166"/>
        <v>17.619879377168</v>
      </c>
      <c r="N145" s="50">
        <f t="shared" si="167"/>
        <v>16.846725965204</v>
      </c>
      <c r="O145" s="53">
        <f t="shared" si="175"/>
        <v>17.196725965204</v>
      </c>
      <c r="P145" s="53">
        <f t="shared" si="168"/>
        <v>16.4235725532399</v>
      </c>
      <c r="Q145" s="53">
        <f t="shared" si="176"/>
        <v>16.846725965204</v>
      </c>
      <c r="R145" s="53">
        <f t="shared" si="169"/>
        <v>16.0735725532399</v>
      </c>
      <c r="S145" s="50">
        <f t="shared" si="177"/>
        <v>2.81317403479603</v>
      </c>
      <c r="T145" s="50">
        <f t="shared" si="170"/>
        <v>3.24862744676006</v>
      </c>
      <c r="U145" s="1">
        <f t="shared" si="171"/>
        <v>1.77215424758523</v>
      </c>
      <c r="V145" s="1">
        <f t="shared" si="172"/>
        <v>0.0602734737021164</v>
      </c>
      <c r="W145" s="1">
        <f t="shared" si="173"/>
        <v>0.62025398665483</v>
      </c>
      <c r="X145" s="1">
        <f t="shared" si="174"/>
        <v>0.0971754716599</v>
      </c>
    </row>
    <row r="147" spans="1:24">
      <c r="A147" s="25" t="s">
        <v>39</v>
      </c>
      <c r="B147" s="42">
        <v>260.412</v>
      </c>
      <c r="C147" s="27">
        <v>2.614</v>
      </c>
      <c r="D147" s="30">
        <v>150</v>
      </c>
      <c r="E147" s="20">
        <f>(($V$2*G147)/((V147/W147)^(2/3)))^2</f>
        <v>0.00300874798343502</v>
      </c>
      <c r="F147" s="17">
        <f t="shared" ref="F147:F159" si="178">E147*1000</f>
        <v>3.00874798343502</v>
      </c>
      <c r="G147" s="17">
        <f t="shared" ref="G147:G159" si="179">C147/V147/1000</f>
        <v>0.396011365675993</v>
      </c>
      <c r="H147" s="8">
        <v>0.4</v>
      </c>
      <c r="I147" s="17">
        <f t="shared" ref="I147:I159" si="180">H147*D147/1000</f>
        <v>0.06</v>
      </c>
      <c r="J147" s="48">
        <f t="shared" ref="J147:J159" si="181">E147*B147</f>
        <v>0.78351407986228</v>
      </c>
      <c r="K147" s="49">
        <v>21.8468</v>
      </c>
      <c r="L147" s="44">
        <v>21.6901</v>
      </c>
      <c r="M147" s="48">
        <f t="shared" ref="M147:M159" si="182">Q147+J147</f>
        <v>21.6303140798623</v>
      </c>
      <c r="N147" s="50">
        <f t="shared" ref="N147:N159" si="183">M147-J147</f>
        <v>20.8468</v>
      </c>
      <c r="O147" s="53">
        <f>K147-S147</f>
        <v>20.9968</v>
      </c>
      <c r="P147" s="53">
        <f t="shared" ref="P147:P159" si="184">O147-J147</f>
        <v>20.2132859201377</v>
      </c>
      <c r="Q147" s="53">
        <f>O147-D147/1000</f>
        <v>20.8468</v>
      </c>
      <c r="R147" s="53">
        <f t="shared" ref="R147:R159" si="185">P147-D147/1000</f>
        <v>20.0632859201377</v>
      </c>
      <c r="S147" s="50">
        <f>0.7+D147/1000</f>
        <v>0.85</v>
      </c>
      <c r="T147" s="50">
        <f t="shared" ref="T147:T159" si="186">L147-P147</f>
        <v>1.47681407986228</v>
      </c>
      <c r="U147" s="1">
        <f t="shared" ref="U147:U159" si="187">ACOS((D147/2-D147*H147)/(D147/2))</f>
        <v>1.36943840600457</v>
      </c>
      <c r="V147" s="1">
        <f t="shared" ref="V147:V159" si="188">(U147-SIN(U147)*COS(U147))*((D147/1000)/2)^2</f>
        <v>0.00660082064952325</v>
      </c>
      <c r="W147" s="1">
        <f t="shared" ref="W147:W159" si="189">U147*(D147/1000)</f>
        <v>0.205415760900685</v>
      </c>
      <c r="X147" s="1">
        <f t="shared" ref="X147:X159" si="190">V147/W147</f>
        <v>0.0321339541843366</v>
      </c>
    </row>
    <row r="148" spans="1:24">
      <c r="A148" s="39" t="s">
        <v>86</v>
      </c>
      <c r="B148" s="40">
        <v>250.619</v>
      </c>
      <c r="C148" s="27">
        <v>9.301</v>
      </c>
      <c r="D148" s="30">
        <v>200</v>
      </c>
      <c r="E148" s="20">
        <f>(($V$2*G148)/((V148/W148)^(2/3)))^2</f>
        <v>0.00373063076133268</v>
      </c>
      <c r="F148" s="17">
        <f t="shared" si="178"/>
        <v>3.73063076133268</v>
      </c>
      <c r="G148" s="17">
        <f t="shared" si="179"/>
        <v>0.592120050279087</v>
      </c>
      <c r="H148" s="8">
        <f t="shared" ref="H148:H159" si="191">IF(D148&lt;350,0.5,IF(D148&lt;500,0.6,IF(D148&lt;1000,0.675,0.725)))</f>
        <v>0.5</v>
      </c>
      <c r="I148" s="17">
        <f t="shared" si="180"/>
        <v>0.1</v>
      </c>
      <c r="J148" s="48">
        <f t="shared" si="181"/>
        <v>0.934966950774434</v>
      </c>
      <c r="K148" s="49">
        <v>21.6901</v>
      </c>
      <c r="L148" s="44">
        <v>21.4097</v>
      </c>
      <c r="M148" s="48">
        <f t="shared" si="182"/>
        <v>20.9582528709122</v>
      </c>
      <c r="N148" s="50">
        <f t="shared" si="183"/>
        <v>20.0232859201377</v>
      </c>
      <c r="O148" s="53">
        <f t="shared" ref="O148:O159" si="192">P147-I148+I147+(D148-D147)/1000</f>
        <v>20.2232859201377</v>
      </c>
      <c r="P148" s="53">
        <f t="shared" si="184"/>
        <v>19.2883189693633</v>
      </c>
      <c r="Q148" s="53">
        <f t="shared" ref="Q148:Q159" si="193">IF(O148-D148/1000&lt;=R147,O148-D148/1000)</f>
        <v>20.0232859201377</v>
      </c>
      <c r="R148" s="53">
        <f t="shared" si="185"/>
        <v>19.0883189693633</v>
      </c>
      <c r="S148" s="50">
        <f t="shared" ref="S148:S159" si="194">K148-O148</f>
        <v>1.46681407986228</v>
      </c>
      <c r="T148" s="50">
        <f t="shared" si="186"/>
        <v>2.12138103063672</v>
      </c>
      <c r="U148" s="1">
        <f t="shared" si="187"/>
        <v>1.5707963267949</v>
      </c>
      <c r="V148" s="1">
        <f t="shared" si="188"/>
        <v>0.015707963267949</v>
      </c>
      <c r="W148" s="1">
        <f t="shared" si="189"/>
        <v>0.314159265358979</v>
      </c>
      <c r="X148" s="1">
        <f t="shared" si="190"/>
        <v>0.05</v>
      </c>
    </row>
    <row r="149" spans="1:24">
      <c r="A149" s="39" t="s">
        <v>87</v>
      </c>
      <c r="B149" s="40">
        <v>164.588</v>
      </c>
      <c r="C149" s="27">
        <v>16.4007</v>
      </c>
      <c r="D149" s="30">
        <v>250</v>
      </c>
      <c r="E149" s="20">
        <f>(($V$2*G149)/((V149/W149)^(2/3)))^2</f>
        <v>0.0035285343100459</v>
      </c>
      <c r="F149" s="17">
        <f t="shared" si="178"/>
        <v>3.5285343100459</v>
      </c>
      <c r="G149" s="17">
        <f t="shared" si="179"/>
        <v>0.668224633642816</v>
      </c>
      <c r="H149" s="8">
        <f t="shared" si="191"/>
        <v>0.5</v>
      </c>
      <c r="I149" s="17">
        <f t="shared" si="180"/>
        <v>0.125</v>
      </c>
      <c r="J149" s="48">
        <f t="shared" si="181"/>
        <v>0.580754405021835</v>
      </c>
      <c r="K149" s="49">
        <v>21.4097</v>
      </c>
      <c r="L149" s="44">
        <v>21.2252</v>
      </c>
      <c r="M149" s="48">
        <f t="shared" si="182"/>
        <v>19.6440733743851</v>
      </c>
      <c r="N149" s="50">
        <f t="shared" si="183"/>
        <v>19.0633189693633</v>
      </c>
      <c r="O149" s="53">
        <f t="shared" si="192"/>
        <v>19.3133189693633</v>
      </c>
      <c r="P149" s="53">
        <f t="shared" si="184"/>
        <v>18.7325645643415</v>
      </c>
      <c r="Q149" s="53">
        <f t="shared" si="193"/>
        <v>19.0633189693633</v>
      </c>
      <c r="R149" s="53">
        <f t="shared" si="185"/>
        <v>18.4825645643415</v>
      </c>
      <c r="S149" s="50">
        <f t="shared" si="194"/>
        <v>2.09638103063671</v>
      </c>
      <c r="T149" s="50">
        <f t="shared" si="186"/>
        <v>2.49263543565855</v>
      </c>
      <c r="U149" s="1">
        <f t="shared" si="187"/>
        <v>1.5707963267949</v>
      </c>
      <c r="V149" s="1">
        <f t="shared" si="188"/>
        <v>0.0245436926061703</v>
      </c>
      <c r="W149" s="1">
        <f t="shared" si="189"/>
        <v>0.392699081698724</v>
      </c>
      <c r="X149" s="1">
        <f t="shared" si="190"/>
        <v>0.0625</v>
      </c>
    </row>
    <row r="150" spans="1:24">
      <c r="A150" s="39" t="s">
        <v>88</v>
      </c>
      <c r="B150" s="40">
        <v>139.771</v>
      </c>
      <c r="C150" s="27">
        <v>19.2718</v>
      </c>
      <c r="D150" s="30">
        <v>300</v>
      </c>
      <c r="E150" s="20">
        <f>(($V$2*G150)/((V150/W150)^(2/3)))^2</f>
        <v>0.00339715476898902</v>
      </c>
      <c r="F150" s="17">
        <f t="shared" si="178"/>
        <v>3.39715476898902</v>
      </c>
      <c r="G150" s="17">
        <f t="shared" si="179"/>
        <v>0.684033741175796</v>
      </c>
      <c r="H150" s="8">
        <v>0.42</v>
      </c>
      <c r="I150" s="17">
        <f t="shared" si="180"/>
        <v>0.126</v>
      </c>
      <c r="J150" s="48">
        <f t="shared" si="181"/>
        <v>0.474823719216364</v>
      </c>
      <c r="K150" s="49">
        <v>21.2252</v>
      </c>
      <c r="L150" s="44">
        <v>21.0678</v>
      </c>
      <c r="M150" s="48">
        <f t="shared" si="182"/>
        <v>18.9563882835578</v>
      </c>
      <c r="N150" s="50">
        <f t="shared" si="183"/>
        <v>18.4815645643415</v>
      </c>
      <c r="O150" s="53">
        <f t="shared" si="192"/>
        <v>18.7815645643415</v>
      </c>
      <c r="P150" s="53">
        <f t="shared" si="184"/>
        <v>18.3067408451251</v>
      </c>
      <c r="Q150" s="53">
        <f t="shared" si="193"/>
        <v>18.4815645643415</v>
      </c>
      <c r="R150" s="53">
        <f t="shared" si="185"/>
        <v>18.0067408451251</v>
      </c>
      <c r="S150" s="50">
        <f t="shared" si="194"/>
        <v>2.44363543565855</v>
      </c>
      <c r="T150" s="50">
        <f t="shared" si="186"/>
        <v>2.76105915487491</v>
      </c>
      <c r="U150" s="1">
        <f t="shared" si="187"/>
        <v>1.41010567384299</v>
      </c>
      <c r="V150" s="1">
        <f t="shared" si="188"/>
        <v>0.0281737564098423</v>
      </c>
      <c r="W150" s="1">
        <f t="shared" si="189"/>
        <v>0.423031702152896</v>
      </c>
      <c r="X150" s="1">
        <f t="shared" si="190"/>
        <v>0.0665996337070253</v>
      </c>
    </row>
    <row r="151" spans="1:24">
      <c r="A151" s="39" t="s">
        <v>89</v>
      </c>
      <c r="B151" s="40">
        <v>178.634</v>
      </c>
      <c r="C151" s="27">
        <v>25.2602</v>
      </c>
      <c r="D151" s="30">
        <v>300</v>
      </c>
      <c r="E151" s="20">
        <f>(($V$2*G151)/((V151/W151)^(2/3)))^2</f>
        <v>0.00316550618307967</v>
      </c>
      <c r="F151" s="17">
        <f t="shared" si="178"/>
        <v>3.16550618307967</v>
      </c>
      <c r="G151" s="17">
        <f t="shared" si="179"/>
        <v>0.714717456620426</v>
      </c>
      <c r="H151" s="8">
        <f t="shared" si="191"/>
        <v>0.5</v>
      </c>
      <c r="I151" s="17">
        <f t="shared" si="180"/>
        <v>0.15</v>
      </c>
      <c r="J151" s="48">
        <f t="shared" si="181"/>
        <v>0.565467031508255</v>
      </c>
      <c r="K151" s="49">
        <v>21.0678</v>
      </c>
      <c r="L151" s="44">
        <v>20.8072</v>
      </c>
      <c r="M151" s="48">
        <f t="shared" si="182"/>
        <v>18.5482078766333</v>
      </c>
      <c r="N151" s="50">
        <f t="shared" si="183"/>
        <v>17.9827408451251</v>
      </c>
      <c r="O151" s="53">
        <f t="shared" si="192"/>
        <v>18.2827408451251</v>
      </c>
      <c r="P151" s="53">
        <f t="shared" si="184"/>
        <v>17.7172738136168</v>
      </c>
      <c r="Q151" s="53">
        <f t="shared" si="193"/>
        <v>17.9827408451251</v>
      </c>
      <c r="R151" s="53">
        <f t="shared" si="185"/>
        <v>17.4172738136168</v>
      </c>
      <c r="S151" s="50">
        <f t="shared" si="194"/>
        <v>2.78505915487491</v>
      </c>
      <c r="T151" s="50">
        <f t="shared" si="186"/>
        <v>3.08992618638317</v>
      </c>
      <c r="U151" s="1">
        <f t="shared" si="187"/>
        <v>1.5707963267949</v>
      </c>
      <c r="V151" s="1">
        <f t="shared" si="188"/>
        <v>0.0353429173528852</v>
      </c>
      <c r="W151" s="1">
        <f t="shared" si="189"/>
        <v>0.471238898038469</v>
      </c>
      <c r="X151" s="1">
        <f t="shared" si="190"/>
        <v>0.075</v>
      </c>
    </row>
    <row r="152" spans="1:24">
      <c r="A152" s="39" t="s">
        <v>90</v>
      </c>
      <c r="B152" s="40">
        <v>239.42</v>
      </c>
      <c r="C152" s="27">
        <v>33.9922</v>
      </c>
      <c r="D152" s="30">
        <v>350</v>
      </c>
      <c r="E152" s="20">
        <f>(($V$2*G152)/((V152/W152)^(2/3)))^2</f>
        <v>0.00251929252777917</v>
      </c>
      <c r="F152" s="17">
        <f t="shared" si="178"/>
        <v>2.51929252777917</v>
      </c>
      <c r="G152" s="17">
        <f t="shared" si="179"/>
        <v>0.706615726572189</v>
      </c>
      <c r="H152" s="8">
        <v>0.5</v>
      </c>
      <c r="I152" s="17">
        <f t="shared" si="180"/>
        <v>0.175</v>
      </c>
      <c r="J152" s="48">
        <f t="shared" si="181"/>
        <v>0.60316901700089</v>
      </c>
      <c r="K152" s="49">
        <v>20.8072</v>
      </c>
      <c r="L152" s="44">
        <v>20.8791</v>
      </c>
      <c r="M152" s="48">
        <f t="shared" si="182"/>
        <v>17.9954428306177</v>
      </c>
      <c r="N152" s="50">
        <f t="shared" si="183"/>
        <v>17.3922738136168</v>
      </c>
      <c r="O152" s="53">
        <f t="shared" si="192"/>
        <v>17.7422738136168</v>
      </c>
      <c r="P152" s="53">
        <f t="shared" si="184"/>
        <v>17.1391047966159</v>
      </c>
      <c r="Q152" s="53">
        <f t="shared" si="193"/>
        <v>17.3922738136168</v>
      </c>
      <c r="R152" s="53">
        <f t="shared" si="185"/>
        <v>16.7891047966159</v>
      </c>
      <c r="S152" s="50">
        <f t="shared" si="194"/>
        <v>3.06492618638317</v>
      </c>
      <c r="T152" s="50">
        <f t="shared" si="186"/>
        <v>3.73999520338406</v>
      </c>
      <c r="U152" s="1">
        <f t="shared" si="187"/>
        <v>1.5707963267949</v>
      </c>
      <c r="V152" s="1">
        <f t="shared" si="188"/>
        <v>0.0481056375080937</v>
      </c>
      <c r="W152" s="1">
        <f t="shared" si="189"/>
        <v>0.549778714378214</v>
      </c>
      <c r="X152" s="1">
        <f t="shared" si="190"/>
        <v>0.0875</v>
      </c>
    </row>
    <row r="153" spans="1:24">
      <c r="A153" s="39" t="s">
        <v>91</v>
      </c>
      <c r="B153" s="40">
        <v>227.023</v>
      </c>
      <c r="C153" s="27">
        <v>44.6639</v>
      </c>
      <c r="D153" s="30">
        <v>350</v>
      </c>
      <c r="E153" s="20">
        <f>(($V$2*G153)/((V153/W153)^(2/3)))^2</f>
        <v>0.00240902535031828</v>
      </c>
      <c r="F153" s="17">
        <f t="shared" si="178"/>
        <v>2.40902535031828</v>
      </c>
      <c r="G153" s="17">
        <f t="shared" si="179"/>
        <v>0.741020838134168</v>
      </c>
      <c r="H153" s="8">
        <f t="shared" si="191"/>
        <v>0.6</v>
      </c>
      <c r="I153" s="17">
        <f t="shared" si="180"/>
        <v>0.21</v>
      </c>
      <c r="J153" s="48">
        <f t="shared" si="181"/>
        <v>0.546904162105307</v>
      </c>
      <c r="K153" s="49">
        <v>20.8791</v>
      </c>
      <c r="L153" s="44">
        <v>20.4905</v>
      </c>
      <c r="M153" s="48">
        <f t="shared" si="182"/>
        <v>17.3010089587212</v>
      </c>
      <c r="N153" s="50">
        <f t="shared" si="183"/>
        <v>16.7541047966159</v>
      </c>
      <c r="O153" s="53">
        <f t="shared" si="192"/>
        <v>17.1041047966159</v>
      </c>
      <c r="P153" s="53">
        <f t="shared" si="184"/>
        <v>16.5572006345106</v>
      </c>
      <c r="Q153" s="53">
        <f t="shared" si="193"/>
        <v>16.7541047966159</v>
      </c>
      <c r="R153" s="53">
        <f t="shared" si="185"/>
        <v>16.2072006345106</v>
      </c>
      <c r="S153" s="50">
        <f t="shared" si="194"/>
        <v>3.77499520338406</v>
      </c>
      <c r="T153" s="50">
        <f t="shared" si="186"/>
        <v>3.93329936548936</v>
      </c>
      <c r="U153" s="1">
        <f t="shared" si="187"/>
        <v>1.77215424758523</v>
      </c>
      <c r="V153" s="1">
        <f t="shared" si="188"/>
        <v>0.0602734737021164</v>
      </c>
      <c r="W153" s="1">
        <f t="shared" si="189"/>
        <v>0.62025398665483</v>
      </c>
      <c r="X153" s="1">
        <f t="shared" si="190"/>
        <v>0.0971754716599</v>
      </c>
    </row>
    <row r="154" spans="1:24">
      <c r="A154" s="39" t="s">
        <v>92</v>
      </c>
      <c r="B154" s="40">
        <v>179.915</v>
      </c>
      <c r="C154" s="27">
        <v>54.0587</v>
      </c>
      <c r="D154" s="30">
        <v>400</v>
      </c>
      <c r="E154" s="20">
        <f>(($V$2*G154)/((V154/W154)^(2/3)))^2</f>
        <v>0.00214940286657041</v>
      </c>
      <c r="F154" s="17">
        <f t="shared" si="178"/>
        <v>2.14940286657041</v>
      </c>
      <c r="G154" s="17">
        <f t="shared" si="179"/>
        <v>0.746576763981276</v>
      </c>
      <c r="H154" s="8">
        <v>0.56</v>
      </c>
      <c r="I154" s="17">
        <f t="shared" si="180"/>
        <v>0.224</v>
      </c>
      <c r="J154" s="48">
        <f t="shared" si="181"/>
        <v>0.386709816739015</v>
      </c>
      <c r="K154" s="49">
        <v>20.4905</v>
      </c>
      <c r="L154" s="44">
        <v>20.1982</v>
      </c>
      <c r="M154" s="48">
        <f t="shared" si="182"/>
        <v>16.5799104512497</v>
      </c>
      <c r="N154" s="50">
        <f t="shared" si="183"/>
        <v>16.1932006345106</v>
      </c>
      <c r="O154" s="53">
        <f t="shared" si="192"/>
        <v>16.5932006345106</v>
      </c>
      <c r="P154" s="53">
        <f t="shared" si="184"/>
        <v>16.2064908177716</v>
      </c>
      <c r="Q154" s="53">
        <f t="shared" si="193"/>
        <v>16.1932006345106</v>
      </c>
      <c r="R154" s="53">
        <f t="shared" si="185"/>
        <v>15.8064908177716</v>
      </c>
      <c r="S154" s="50">
        <f t="shared" si="194"/>
        <v>3.89729936548936</v>
      </c>
      <c r="T154" s="50">
        <f t="shared" si="186"/>
        <v>3.99170918222838</v>
      </c>
      <c r="U154" s="1">
        <f t="shared" si="187"/>
        <v>1.69108620918968</v>
      </c>
      <c r="V154" s="1">
        <f t="shared" si="188"/>
        <v>0.0724087630476479</v>
      </c>
      <c r="W154" s="1">
        <f t="shared" si="189"/>
        <v>0.676434483675874</v>
      </c>
      <c r="X154" s="1">
        <f t="shared" si="190"/>
        <v>0.10704475421502</v>
      </c>
    </row>
    <row r="155" spans="1:24">
      <c r="A155" s="39" t="s">
        <v>93</v>
      </c>
      <c r="B155" s="40">
        <v>167.051</v>
      </c>
      <c r="C155" s="27">
        <v>61.947</v>
      </c>
      <c r="D155" s="30">
        <v>400</v>
      </c>
      <c r="E155" s="20">
        <f>(($V$2*G155)/((V155/W155)^(2/3)))^2</f>
        <v>0.00227341258221235</v>
      </c>
      <c r="F155" s="17">
        <f t="shared" si="178"/>
        <v>2.27341258221235</v>
      </c>
      <c r="G155" s="17">
        <f t="shared" si="179"/>
        <v>0.786883001125828</v>
      </c>
      <c r="H155" s="8">
        <f t="shared" si="191"/>
        <v>0.6</v>
      </c>
      <c r="I155" s="17">
        <f t="shared" si="180"/>
        <v>0.24</v>
      </c>
      <c r="J155" s="48">
        <f t="shared" si="181"/>
        <v>0.379775845271155</v>
      </c>
      <c r="K155" s="49">
        <v>20.1982</v>
      </c>
      <c r="L155" s="44">
        <v>19.9017</v>
      </c>
      <c r="M155" s="48">
        <f t="shared" si="182"/>
        <v>16.1702666630428</v>
      </c>
      <c r="N155" s="50">
        <f t="shared" si="183"/>
        <v>15.7904908177716</v>
      </c>
      <c r="O155" s="53">
        <f t="shared" si="192"/>
        <v>16.1904908177716</v>
      </c>
      <c r="P155" s="53">
        <f t="shared" si="184"/>
        <v>15.8107149725005</v>
      </c>
      <c r="Q155" s="53">
        <f t="shared" si="193"/>
        <v>15.7904908177716</v>
      </c>
      <c r="R155" s="53">
        <f t="shared" si="185"/>
        <v>15.4107149725005</v>
      </c>
      <c r="S155" s="50">
        <f t="shared" si="194"/>
        <v>4.00770918222838</v>
      </c>
      <c r="T155" s="50">
        <f t="shared" si="186"/>
        <v>4.09098502749953</v>
      </c>
      <c r="U155" s="1">
        <f t="shared" si="187"/>
        <v>1.77215424758523</v>
      </c>
      <c r="V155" s="1">
        <f t="shared" si="188"/>
        <v>0.0787245370803153</v>
      </c>
      <c r="W155" s="1">
        <f t="shared" si="189"/>
        <v>0.708861699034091</v>
      </c>
      <c r="X155" s="1">
        <f t="shared" si="190"/>
        <v>0.111057681897029</v>
      </c>
    </row>
    <row r="156" spans="1:24">
      <c r="A156" s="39" t="s">
        <v>94</v>
      </c>
      <c r="B156" s="40">
        <v>146.103</v>
      </c>
      <c r="C156" s="27">
        <v>65.467</v>
      </c>
      <c r="D156" s="30">
        <v>400</v>
      </c>
      <c r="E156" s="20">
        <f>(($V$2*G156)/((V156/W156)^(2/3)))^2</f>
        <v>0.00253911622878981</v>
      </c>
      <c r="F156" s="17">
        <f t="shared" si="178"/>
        <v>2.53911622878981</v>
      </c>
      <c r="G156" s="17">
        <f t="shared" si="179"/>
        <v>0.831595871223862</v>
      </c>
      <c r="H156" s="8">
        <f t="shared" si="191"/>
        <v>0.6</v>
      </c>
      <c r="I156" s="17">
        <f t="shared" si="180"/>
        <v>0.24</v>
      </c>
      <c r="J156" s="48">
        <f t="shared" si="181"/>
        <v>0.370972498374878</v>
      </c>
      <c r="K156" s="49">
        <v>19.9017</v>
      </c>
      <c r="L156" s="44">
        <v>19.6139</v>
      </c>
      <c r="M156" s="48">
        <f t="shared" si="182"/>
        <v>15.7816874708753</v>
      </c>
      <c r="N156" s="50">
        <f t="shared" si="183"/>
        <v>15.4107149725005</v>
      </c>
      <c r="O156" s="53">
        <f t="shared" si="192"/>
        <v>15.8107149725005</v>
      </c>
      <c r="P156" s="53">
        <f t="shared" si="184"/>
        <v>15.4397424741256</v>
      </c>
      <c r="Q156" s="53">
        <f t="shared" si="193"/>
        <v>15.4107149725005</v>
      </c>
      <c r="R156" s="53">
        <f t="shared" si="185"/>
        <v>15.0397424741256</v>
      </c>
      <c r="S156" s="50">
        <f t="shared" si="194"/>
        <v>4.09098502749953</v>
      </c>
      <c r="T156" s="50">
        <f t="shared" si="186"/>
        <v>4.17415752587441</v>
      </c>
      <c r="U156" s="1">
        <f t="shared" si="187"/>
        <v>1.77215424758523</v>
      </c>
      <c r="V156" s="1">
        <f t="shared" si="188"/>
        <v>0.0787245370803153</v>
      </c>
      <c r="W156" s="1">
        <f t="shared" si="189"/>
        <v>0.708861699034091</v>
      </c>
      <c r="X156" s="1">
        <f t="shared" si="190"/>
        <v>0.111057681897029</v>
      </c>
    </row>
    <row r="158" spans="1:24">
      <c r="A158" s="25" t="s">
        <v>39</v>
      </c>
      <c r="B158" s="42">
        <v>230.678</v>
      </c>
      <c r="C158" s="27">
        <v>3.7774</v>
      </c>
      <c r="D158" s="30">
        <v>150</v>
      </c>
      <c r="E158" s="20">
        <f>(($V$2*G158)/((V158/W158)^(2/3)))^2</f>
        <v>0.00285396641908443</v>
      </c>
      <c r="F158" s="17">
        <f>E158*1000</f>
        <v>2.85396641908443</v>
      </c>
      <c r="G158" s="17">
        <f>C158/V158/1000</f>
        <v>0.42751422722512</v>
      </c>
      <c r="H158" s="8">
        <v>0.5</v>
      </c>
      <c r="I158" s="17">
        <f>H158*D158/1000</f>
        <v>0.075</v>
      </c>
      <c r="J158" s="48">
        <f>E158*B158</f>
        <v>0.658347265621558</v>
      </c>
      <c r="K158" s="49">
        <v>20.9289</v>
      </c>
      <c r="L158" s="44">
        <v>20.6591</v>
      </c>
      <c r="M158" s="48">
        <f>Q158+J158</f>
        <v>20.5872472656216</v>
      </c>
      <c r="N158" s="50">
        <f>M158-J158</f>
        <v>19.9289</v>
      </c>
      <c r="O158" s="53">
        <f>K158-S158</f>
        <v>20.0789</v>
      </c>
      <c r="P158" s="53">
        <f>O158-J158</f>
        <v>19.4205527343784</v>
      </c>
      <c r="Q158" s="53">
        <f>O158-D158/1000</f>
        <v>19.9289</v>
      </c>
      <c r="R158" s="53">
        <f>P158-D158/1000</f>
        <v>19.2705527343784</v>
      </c>
      <c r="S158" s="50">
        <f>0.7+D158/1000</f>
        <v>0.85</v>
      </c>
      <c r="T158" s="50">
        <f>L158-P158</f>
        <v>1.23854726562156</v>
      </c>
      <c r="U158" s="1">
        <f>ACOS((D158/2-D158*H158)/(D158/2))</f>
        <v>1.5707963267949</v>
      </c>
      <c r="V158" s="1">
        <f>(U158-SIN(U158)*COS(U158))*((D158/1000)/2)^2</f>
        <v>0.00883572933822129</v>
      </c>
      <c r="W158" s="1">
        <f>U158*(D158/1000)</f>
        <v>0.235619449019234</v>
      </c>
      <c r="X158" s="1">
        <f>V158/W158</f>
        <v>0.0375</v>
      </c>
    </row>
    <row r="159" spans="1:24">
      <c r="A159" s="68" t="s">
        <v>95</v>
      </c>
      <c r="B159" s="26">
        <v>265.899</v>
      </c>
      <c r="C159" s="27">
        <v>17.6343</v>
      </c>
      <c r="D159" s="30">
        <v>250</v>
      </c>
      <c r="E159" s="20">
        <f>(($V$2*G159)/((V159/W159)^(2/3)))^2</f>
        <v>0.00407930356759724</v>
      </c>
      <c r="F159" s="17">
        <f>E159*1000</f>
        <v>4.07930356759724</v>
      </c>
      <c r="G159" s="17">
        <f>C159/V159/1000</f>
        <v>0.718486019319145</v>
      </c>
      <c r="H159" s="8">
        <f>IF(D159&lt;350,0.5,IF(D159&lt;500,0.6,IF(D159&lt;1000,0.675,0.725)))</f>
        <v>0.5</v>
      </c>
      <c r="I159" s="17">
        <f>H159*D159/1000</f>
        <v>0.125</v>
      </c>
      <c r="J159" s="48">
        <f>E159*B159</f>
        <v>1.08468273932054</v>
      </c>
      <c r="K159" s="49">
        <v>20.6591</v>
      </c>
      <c r="L159" s="44">
        <v>20.2327</v>
      </c>
      <c r="M159" s="48">
        <f>Q159+J159</f>
        <v>20.305235473699</v>
      </c>
      <c r="N159" s="50">
        <f>M159-J159</f>
        <v>19.2205527343784</v>
      </c>
      <c r="O159" s="53">
        <f>P158-I159+I158+(D159-D158)/1000</f>
        <v>19.4705527343784</v>
      </c>
      <c r="P159" s="53">
        <f>O159-J159</f>
        <v>18.3858699950579</v>
      </c>
      <c r="Q159" s="53">
        <f>IF(O159-D159/1000&lt;=R158,O159-D159/1000)</f>
        <v>19.2205527343784</v>
      </c>
      <c r="R159" s="53">
        <f>P159-D159/1000</f>
        <v>18.1358699950579</v>
      </c>
      <c r="S159" s="50">
        <f>K159-O159</f>
        <v>1.18854726562156</v>
      </c>
      <c r="T159" s="50">
        <f>L159-P159</f>
        <v>1.8468300049421</v>
      </c>
      <c r="U159" s="1">
        <f>ACOS((D159/2-D159*H159)/(D159/2))</f>
        <v>1.5707963267949</v>
      </c>
      <c r="V159" s="1">
        <f>(U159-SIN(U159)*COS(U159))*((D159/1000)/2)^2</f>
        <v>0.0245436926061703</v>
      </c>
      <c r="W159" s="1">
        <f>U159*(D159/1000)</f>
        <v>0.392699081698724</v>
      </c>
      <c r="X159" s="1">
        <f>V159/W159</f>
        <v>0.0625</v>
      </c>
    </row>
    <row r="160" spans="1:24">
      <c r="A160" s="68" t="s">
        <v>96</v>
      </c>
      <c r="B160" s="26">
        <v>177.393</v>
      </c>
      <c r="C160" s="27">
        <v>29.4227</v>
      </c>
      <c r="D160" s="30">
        <v>300</v>
      </c>
      <c r="E160" s="20">
        <f>(($V$2*G160)/((V160/W160)^(2/3)))^2</f>
        <v>0.0042947179148287</v>
      </c>
      <c r="F160" s="17">
        <f>E160*1000</f>
        <v>4.2947179148287</v>
      </c>
      <c r="G160" s="17">
        <f>C160/V160/1000</f>
        <v>0.832492114508428</v>
      </c>
      <c r="H160" s="8">
        <f>IF(D160&lt;350,0.5,IF(D160&lt;500,0.6,IF(D160&lt;1000,0.675,0.725)))</f>
        <v>0.5</v>
      </c>
      <c r="I160" s="17">
        <f>H160*D160/1000</f>
        <v>0.15</v>
      </c>
      <c r="J160" s="48">
        <f>E160*B160</f>
        <v>0.761852895065208</v>
      </c>
      <c r="K160" s="49">
        <v>20.2327</v>
      </c>
      <c r="L160" s="44">
        <v>19.9344</v>
      </c>
      <c r="M160" s="48">
        <f>Q160+J160</f>
        <v>18.8727228901231</v>
      </c>
      <c r="N160" s="50">
        <f>M160-J160</f>
        <v>18.1108699950579</v>
      </c>
      <c r="O160" s="53">
        <f>P159-I160+I159+(D160-D159)/1000</f>
        <v>18.4108699950579</v>
      </c>
      <c r="P160" s="53">
        <f>O160-J160</f>
        <v>17.6490170999927</v>
      </c>
      <c r="Q160" s="53">
        <f>IF(O160-D160/1000&lt;=R159,O160-D160/1000)</f>
        <v>18.1108699950579</v>
      </c>
      <c r="R160" s="53">
        <f>P160-D160/1000</f>
        <v>17.3490170999927</v>
      </c>
      <c r="S160" s="50">
        <f>K160-O160</f>
        <v>1.8218300049421</v>
      </c>
      <c r="T160" s="50">
        <f>L160-P160</f>
        <v>2.2853829000073</v>
      </c>
      <c r="U160" s="1">
        <f>ACOS((D160/2-D160*H160)/(D160/2))</f>
        <v>1.5707963267949</v>
      </c>
      <c r="V160" s="1">
        <f>(U160-SIN(U160)*COS(U160))*((D160/1000)/2)^2</f>
        <v>0.0353429173528852</v>
      </c>
      <c r="W160" s="1">
        <f>U160*(D160/1000)</f>
        <v>0.471238898038469</v>
      </c>
      <c r="X160" s="1">
        <f>V160/W160</f>
        <v>0.075</v>
      </c>
    </row>
    <row r="161" spans="1:24">
      <c r="A161" s="68" t="s">
        <v>97</v>
      </c>
      <c r="B161" s="26">
        <v>209.839</v>
      </c>
      <c r="C161" s="27">
        <v>41.3223</v>
      </c>
      <c r="D161" s="30">
        <v>350</v>
      </c>
      <c r="E161" s="20">
        <f>(($V$2*G161)/((V161/W161)^(2/3)))^2</f>
        <v>0.00372296561023478</v>
      </c>
      <c r="F161" s="17">
        <f>E161*1000</f>
        <v>3.72296561023478</v>
      </c>
      <c r="G161" s="17">
        <f>C161/V161/1000</f>
        <v>0.858990799010773</v>
      </c>
      <c r="H161" s="8">
        <v>0.5</v>
      </c>
      <c r="I161" s="17">
        <f>H161*D161/1000</f>
        <v>0.175</v>
      </c>
      <c r="J161" s="48">
        <f>E161*B161</f>
        <v>0.781223380686055</v>
      </c>
      <c r="K161" s="49">
        <v>19.9344</v>
      </c>
      <c r="L161" s="44">
        <v>19.517</v>
      </c>
      <c r="M161" s="48">
        <f>Q161+J161</f>
        <v>18.1052404806787</v>
      </c>
      <c r="N161" s="50">
        <f>M161-J161</f>
        <v>17.3240170999927</v>
      </c>
      <c r="O161" s="53">
        <f>P160-I161+I160+(D161-D160)/1000</f>
        <v>17.6740170999927</v>
      </c>
      <c r="P161" s="53">
        <f>O161-J161</f>
        <v>16.8927937193066</v>
      </c>
      <c r="Q161" s="53">
        <f>IF(O161-D161/1000&lt;=R160,O161-D161/1000)</f>
        <v>17.3240170999927</v>
      </c>
      <c r="R161" s="53">
        <f>P161-D161/1000</f>
        <v>16.5427937193066</v>
      </c>
      <c r="S161" s="50">
        <f>K161-O161</f>
        <v>2.2603829000073</v>
      </c>
      <c r="T161" s="50">
        <f>L161-P161</f>
        <v>2.62420628069336</v>
      </c>
      <c r="U161" s="1">
        <f>ACOS((D161/2-D161*H161)/(D161/2))</f>
        <v>1.5707963267949</v>
      </c>
      <c r="V161" s="1">
        <f>(U161-SIN(U161)*COS(U161))*((D161/1000)/2)^2</f>
        <v>0.0481056375080937</v>
      </c>
      <c r="W161" s="1">
        <f>U161*(D161/1000)</f>
        <v>0.549778714378214</v>
      </c>
      <c r="X161" s="1">
        <f>V161/W161</f>
        <v>0.0875</v>
      </c>
    </row>
    <row r="163" spans="1:24">
      <c r="A163" s="25" t="s">
        <v>39</v>
      </c>
      <c r="B163" s="42">
        <v>537.514</v>
      </c>
      <c r="C163" s="27">
        <v>14.1615</v>
      </c>
      <c r="D163" s="30">
        <v>250</v>
      </c>
      <c r="E163" s="20">
        <f>(($V$2*G163)/((V163/W163)^(2/3)))^2</f>
        <v>0.00263080154870754</v>
      </c>
      <c r="F163" s="17">
        <f>E163*1000</f>
        <v>2.63080154870754</v>
      </c>
      <c r="G163" s="17">
        <f>C163/V163/1000</f>
        <v>0.576991418008544</v>
      </c>
      <c r="H163" s="8">
        <v>0.5</v>
      </c>
      <c r="I163" s="17">
        <f>H163*D163/1000</f>
        <v>0.125</v>
      </c>
      <c r="J163" s="48">
        <f>E163*B163</f>
        <v>1.41409266365199</v>
      </c>
      <c r="K163" s="49">
        <v>20.4934</v>
      </c>
      <c r="L163" s="44">
        <v>20.0439</v>
      </c>
      <c r="M163" s="48">
        <f>Q163+J163</f>
        <v>20.707492663652</v>
      </c>
      <c r="N163" s="50">
        <f>M163-J163</f>
        <v>19.2934</v>
      </c>
      <c r="O163" s="53">
        <f>K163-S163</f>
        <v>19.5434</v>
      </c>
      <c r="P163" s="53">
        <f>O163-J163</f>
        <v>18.129307336348</v>
      </c>
      <c r="Q163" s="53">
        <f>O163-D163/1000</f>
        <v>19.2934</v>
      </c>
      <c r="R163" s="53">
        <f>P163-D163/1000</f>
        <v>17.879307336348</v>
      </c>
      <c r="S163" s="50">
        <f>0.7+D163/1000</f>
        <v>0.95</v>
      </c>
      <c r="T163" s="50">
        <f>L163-P163</f>
        <v>1.91459266365199</v>
      </c>
      <c r="U163" s="1">
        <f>ACOS((D163/2-D163*H163)/(D163/2))</f>
        <v>1.5707963267949</v>
      </c>
      <c r="V163" s="1">
        <f>(U163-SIN(U163)*COS(U163))*((D163/1000)/2)^2</f>
        <v>0.0245436926061703</v>
      </c>
      <c r="W163" s="1">
        <f>U163*(D163/1000)</f>
        <v>0.392699081698724</v>
      </c>
      <c r="X163" s="1">
        <f>V163/W163</f>
        <v>0.0625</v>
      </c>
    </row>
    <row r="164" spans="1:24">
      <c r="A164" s="68" t="s">
        <v>98</v>
      </c>
      <c r="B164" s="26">
        <v>313.897</v>
      </c>
      <c r="C164" s="27">
        <v>34.5686</v>
      </c>
      <c r="D164" s="30">
        <v>350</v>
      </c>
      <c r="E164" s="20">
        <f>(($V$2*G164)/((V164/W164)^(2/3)))^2</f>
        <v>0.00260545534699841</v>
      </c>
      <c r="F164" s="17">
        <f>E164*1000</f>
        <v>2.60545534699841</v>
      </c>
      <c r="G164" s="17">
        <f>C164/V164/1000</f>
        <v>0.718597690222563</v>
      </c>
      <c r="H164" s="8">
        <v>0.5</v>
      </c>
      <c r="I164" s="17">
        <f>H164*D164/1000</f>
        <v>0.175</v>
      </c>
      <c r="J164" s="48">
        <f>E164*B164</f>
        <v>0.81784461705676</v>
      </c>
      <c r="K164" s="49">
        <v>20.0439</v>
      </c>
      <c r="L164" s="44">
        <v>19.4455</v>
      </c>
      <c r="M164" s="48">
        <f>Q164+J164</f>
        <v>18.6471519534048</v>
      </c>
      <c r="N164" s="50">
        <f>M164-J164</f>
        <v>17.829307336348</v>
      </c>
      <c r="O164" s="53">
        <f>P163-I164+I163+(D164-D163)/1000</f>
        <v>18.179307336348</v>
      </c>
      <c r="P164" s="53">
        <f>O164-J164</f>
        <v>17.3614627192913</v>
      </c>
      <c r="Q164" s="53">
        <f>IF(O164-D164/1000&lt;=R163,O164-D164/1000)</f>
        <v>17.829307336348</v>
      </c>
      <c r="R164" s="53">
        <f>P164-D164/1000</f>
        <v>17.0114627192913</v>
      </c>
      <c r="S164" s="50">
        <f>K164-O164</f>
        <v>1.86459266365199</v>
      </c>
      <c r="T164" s="50">
        <f>L164-P164</f>
        <v>2.08403728070875</v>
      </c>
      <c r="U164" s="1">
        <f>ACOS((D164/2-D164*H164)/(D164/2))</f>
        <v>1.5707963267949</v>
      </c>
      <c r="V164" s="1">
        <f>(U164-SIN(U164)*COS(U164))*((D164/1000)/2)^2</f>
        <v>0.0481056375080937</v>
      </c>
      <c r="W164" s="1">
        <f>U164*(D164/1000)</f>
        <v>0.549778714378214</v>
      </c>
      <c r="X164" s="1">
        <f>V164/W164</f>
        <v>0.0875</v>
      </c>
    </row>
    <row r="166" spans="1:24">
      <c r="A166" s="25" t="s">
        <v>99</v>
      </c>
      <c r="B166" s="26">
        <f>B76</f>
        <v>581.848</v>
      </c>
      <c r="C166" s="27">
        <f t="shared" ref="C166:T166" si="195">C76</f>
        <v>470.758039520748</v>
      </c>
      <c r="D166" s="30">
        <f t="shared" si="195"/>
        <v>700</v>
      </c>
      <c r="E166" s="20">
        <f t="shared" si="195"/>
        <v>0.00471162355308501</v>
      </c>
      <c r="F166" s="17">
        <f t="shared" si="195"/>
        <v>4.71162355308501</v>
      </c>
      <c r="G166" s="17">
        <f t="shared" si="195"/>
        <v>1.70324969930358</v>
      </c>
      <c r="H166" s="8">
        <f t="shared" si="195"/>
        <v>0.675</v>
      </c>
      <c r="I166" s="17">
        <f t="shared" si="195"/>
        <v>0.4725</v>
      </c>
      <c r="J166" s="48">
        <f t="shared" si="195"/>
        <v>2.74144874111541</v>
      </c>
      <c r="K166" s="49">
        <f t="shared" si="195"/>
        <v>19.3621</v>
      </c>
      <c r="L166" s="44">
        <f t="shared" si="195"/>
        <v>19.3042</v>
      </c>
      <c r="M166" s="48">
        <f t="shared" si="195"/>
        <v>-0.394938733181882</v>
      </c>
      <c r="N166" s="50">
        <f t="shared" si="195"/>
        <v>-3.13638747429729</v>
      </c>
      <c r="O166" s="53">
        <f t="shared" si="195"/>
        <v>-0.167438733181882</v>
      </c>
      <c r="P166" s="53">
        <f t="shared" si="195"/>
        <v>-2.90888747429729</v>
      </c>
      <c r="Q166" s="53">
        <f t="shared" si="195"/>
        <v>-0.867438733181882</v>
      </c>
      <c r="R166" s="53">
        <f t="shared" si="195"/>
        <v>-3.60888747429729</v>
      </c>
      <c r="S166" s="50">
        <f t="shared" si="195"/>
        <v>19.5295387331819</v>
      </c>
      <c r="T166" s="50">
        <f t="shared" si="195"/>
        <v>22.2130874742973</v>
      </c>
      <c r="U166" s="1">
        <f t="shared" ref="U166:U178" si="196">ACOS((D166/2-D166*H166)/(D166/2))</f>
        <v>1.92836743044041</v>
      </c>
      <c r="V166" s="1">
        <f t="shared" ref="V166:V178" si="197">(U166-SIN(U166)*COS(U166))*((D166/1000)/2)^2</f>
        <v>0.27638815360615</v>
      </c>
      <c r="W166" s="1">
        <f t="shared" ref="W166:W178" si="198">U166*(D166/1000)</f>
        <v>1.34985720130828</v>
      </c>
      <c r="X166" s="1">
        <f t="shared" ref="X166:X178" si="199">V166/W166</f>
        <v>0.204753623819078</v>
      </c>
    </row>
    <row r="167" spans="1:24">
      <c r="A167" s="68" t="s">
        <v>100</v>
      </c>
      <c r="B167" s="26">
        <v>521.697</v>
      </c>
      <c r="C167" s="27">
        <v>323.0168</v>
      </c>
      <c r="D167" s="30">
        <v>700</v>
      </c>
      <c r="E167" s="20">
        <f>(($V$2*G167)/((V167/W167)^(2/3)))^2</f>
        <v>0.00221832571641263</v>
      </c>
      <c r="F167" s="17">
        <f t="shared" ref="F166:F178" si="200">E167*1000</f>
        <v>2.21832571641263</v>
      </c>
      <c r="G167" s="17">
        <f t="shared" ref="G166:G178" si="201">C167/V167/1000</f>
        <v>1.16870710913426</v>
      </c>
      <c r="H167" s="8">
        <f t="shared" ref="H167:H178" si="202">IF(D167&lt;350,0.5,IF(D167&lt;500,0.6,IF(D167&lt;1000,0.675,0.725)))</f>
        <v>0.675</v>
      </c>
      <c r="I167" s="17">
        <f t="shared" ref="I166:I178" si="203">H167*D167/1000</f>
        <v>0.4725</v>
      </c>
      <c r="J167" s="48">
        <f t="shared" ref="J166:J178" si="204">E167*B167</f>
        <v>1.15729387127532</v>
      </c>
      <c r="K167" s="49">
        <v>19.4197</v>
      </c>
      <c r="L167" s="44">
        <v>19.6013</v>
      </c>
      <c r="M167" s="48">
        <f t="shared" ref="M166:M178" si="205">Q167+J167</f>
        <v>-2.45159360302197</v>
      </c>
      <c r="N167" s="50">
        <f t="shared" ref="N166:N178" si="206">M167-J167</f>
        <v>-3.60888747429729</v>
      </c>
      <c r="O167" s="53">
        <f t="shared" ref="O167:O178" si="207">P166-I167+I166+(D167-D166)/1000</f>
        <v>-2.90888747429729</v>
      </c>
      <c r="P167" s="53">
        <f t="shared" ref="P166:P178" si="208">O167-J167</f>
        <v>-4.06618134557261</v>
      </c>
      <c r="Q167" s="53">
        <f t="shared" ref="Q167:Q178" si="209">IF(O167-D167/1000&lt;=R166,O167-D167/1000)</f>
        <v>-3.60888747429729</v>
      </c>
      <c r="R167" s="53">
        <f t="shared" ref="R166:R178" si="210">P167-D167/1000</f>
        <v>-4.76618134557261</v>
      </c>
      <c r="S167" s="50">
        <f t="shared" ref="S167:S178" si="211">K167-O167</f>
        <v>22.3285874742973</v>
      </c>
      <c r="T167" s="50">
        <f t="shared" ref="T166:T178" si="212">L167-P167</f>
        <v>23.6674813455726</v>
      </c>
      <c r="U167" s="1">
        <f t="shared" si="196"/>
        <v>1.92836743044041</v>
      </c>
      <c r="V167" s="1">
        <f t="shared" si="197"/>
        <v>0.27638815360615</v>
      </c>
      <c r="W167" s="1">
        <f t="shared" si="198"/>
        <v>1.34985720130828</v>
      </c>
      <c r="X167" s="1">
        <f t="shared" si="199"/>
        <v>0.204753623819078</v>
      </c>
    </row>
    <row r="168" spans="1:24">
      <c r="A168" s="68" t="s">
        <v>101</v>
      </c>
      <c r="B168" s="26">
        <v>666.11</v>
      </c>
      <c r="C168" s="27">
        <v>351.2049</v>
      </c>
      <c r="D168" s="30">
        <v>750</v>
      </c>
      <c r="E168" s="20">
        <f>(($V$2*G168)/((V168/W168)^(2/3)))^2</f>
        <v>0.00181506577627769</v>
      </c>
      <c r="F168" s="17">
        <f t="shared" si="200"/>
        <v>1.81506577627769</v>
      </c>
      <c r="G168" s="17">
        <f t="shared" si="201"/>
        <v>1.10691607681068</v>
      </c>
      <c r="H168" s="8">
        <f t="shared" si="202"/>
        <v>0.675</v>
      </c>
      <c r="I168" s="17">
        <f t="shared" si="203"/>
        <v>0.50625</v>
      </c>
      <c r="J168" s="48">
        <f t="shared" si="204"/>
        <v>1.20903346423633</v>
      </c>
      <c r="K168" s="49">
        <v>19.6013</v>
      </c>
      <c r="L168" s="44">
        <v>19.6722</v>
      </c>
      <c r="M168" s="48">
        <f t="shared" si="205"/>
        <v>-3.59089788133628</v>
      </c>
      <c r="N168" s="50">
        <f t="shared" si="206"/>
        <v>-4.79993134557261</v>
      </c>
      <c r="O168" s="53">
        <f t="shared" si="207"/>
        <v>-4.04993134557261</v>
      </c>
      <c r="P168" s="53">
        <f t="shared" si="208"/>
        <v>-5.25896480980894</v>
      </c>
      <c r="Q168" s="53">
        <f t="shared" si="209"/>
        <v>-4.79993134557261</v>
      </c>
      <c r="R168" s="53">
        <f t="shared" si="210"/>
        <v>-6.00896480980894</v>
      </c>
      <c r="S168" s="50">
        <f t="shared" si="211"/>
        <v>23.6512313455726</v>
      </c>
      <c r="T168" s="50">
        <f t="shared" si="212"/>
        <v>24.9311648098089</v>
      </c>
      <c r="U168" s="1">
        <f t="shared" si="196"/>
        <v>1.92836743044041</v>
      </c>
      <c r="V168" s="1">
        <f t="shared" si="197"/>
        <v>0.317282319190733</v>
      </c>
      <c r="W168" s="1">
        <f t="shared" si="198"/>
        <v>1.44627557283031</v>
      </c>
      <c r="X168" s="1">
        <f t="shared" si="199"/>
        <v>0.219378882663297</v>
      </c>
    </row>
    <row r="169" spans="1:24">
      <c r="A169" s="68" t="s">
        <v>102</v>
      </c>
      <c r="B169" s="26">
        <v>733.561</v>
      </c>
      <c r="C169" s="27">
        <v>412.0948</v>
      </c>
      <c r="D169" s="30">
        <v>800</v>
      </c>
      <c r="E169" s="20">
        <f>(($V$2*G169)/((V169/W169)^(2/3)))^2</f>
        <v>0.00177124638953322</v>
      </c>
      <c r="F169" s="17">
        <f t="shared" si="200"/>
        <v>1.77124638953322</v>
      </c>
      <c r="G169" s="17">
        <f t="shared" si="201"/>
        <v>1.14154704944264</v>
      </c>
      <c r="H169" s="8">
        <f t="shared" si="202"/>
        <v>0.675</v>
      </c>
      <c r="I169" s="17">
        <f t="shared" si="203"/>
        <v>0.54</v>
      </c>
      <c r="J169" s="48">
        <f t="shared" si="204"/>
        <v>1.29931727275238</v>
      </c>
      <c r="K169" s="49">
        <v>19.6722</v>
      </c>
      <c r="L169" s="44">
        <v>19.6139</v>
      </c>
      <c r="M169" s="48">
        <f t="shared" si="205"/>
        <v>-4.74339753705656</v>
      </c>
      <c r="N169" s="50">
        <f t="shared" si="206"/>
        <v>-6.04271480980894</v>
      </c>
      <c r="O169" s="53">
        <f t="shared" si="207"/>
        <v>-5.24271480980894</v>
      </c>
      <c r="P169" s="53">
        <f t="shared" si="208"/>
        <v>-6.54203208256132</v>
      </c>
      <c r="Q169" s="53">
        <f t="shared" si="209"/>
        <v>-6.04271480980894</v>
      </c>
      <c r="R169" s="53">
        <f t="shared" si="210"/>
        <v>-7.34203208256132</v>
      </c>
      <c r="S169" s="50">
        <f t="shared" si="211"/>
        <v>24.9149148098089</v>
      </c>
      <c r="T169" s="50">
        <f t="shared" si="212"/>
        <v>26.1559320825613</v>
      </c>
      <c r="U169" s="1">
        <f t="shared" si="196"/>
        <v>1.92836743044041</v>
      </c>
      <c r="V169" s="1">
        <f t="shared" si="197"/>
        <v>0.360996772057012</v>
      </c>
      <c r="W169" s="1">
        <f t="shared" si="198"/>
        <v>1.54269394435233</v>
      </c>
      <c r="X169" s="1">
        <f t="shared" si="199"/>
        <v>0.234004141507517</v>
      </c>
    </row>
    <row r="170" spans="1:24">
      <c r="A170" s="68" t="s">
        <v>103</v>
      </c>
      <c r="B170" s="26">
        <v>563.53</v>
      </c>
      <c r="C170" s="27">
        <v>477.5618</v>
      </c>
      <c r="D170" s="30">
        <v>850</v>
      </c>
      <c r="E170" s="20">
        <f>(($V$2*G170)/((V170/W170)^(2/3)))^2</f>
        <v>0.00172156277533287</v>
      </c>
      <c r="F170" s="17">
        <f t="shared" si="200"/>
        <v>1.72156277533287</v>
      </c>
      <c r="G170" s="17">
        <f t="shared" si="201"/>
        <v>1.17184017848364</v>
      </c>
      <c r="H170" s="8">
        <f t="shared" si="202"/>
        <v>0.675</v>
      </c>
      <c r="I170" s="17">
        <f t="shared" si="203"/>
        <v>0.57375</v>
      </c>
      <c r="J170" s="48">
        <f t="shared" si="204"/>
        <v>0.970152270783331</v>
      </c>
      <c r="K170" s="49">
        <v>19.6139</v>
      </c>
      <c r="L170" s="44">
        <v>19.517</v>
      </c>
      <c r="M170" s="48">
        <f t="shared" si="205"/>
        <v>-6.40562981177799</v>
      </c>
      <c r="N170" s="50">
        <f t="shared" si="206"/>
        <v>-7.37578208256132</v>
      </c>
      <c r="O170" s="53">
        <f t="shared" si="207"/>
        <v>-6.52578208256132</v>
      </c>
      <c r="P170" s="53">
        <f t="shared" si="208"/>
        <v>-7.49593435334465</v>
      </c>
      <c r="Q170" s="53">
        <f t="shared" si="209"/>
        <v>-7.37578208256132</v>
      </c>
      <c r="R170" s="53">
        <f t="shared" si="210"/>
        <v>-8.34593435334465</v>
      </c>
      <c r="S170" s="50">
        <f t="shared" si="211"/>
        <v>26.1396820825613</v>
      </c>
      <c r="T170" s="50">
        <f t="shared" si="212"/>
        <v>27.0129343533446</v>
      </c>
      <c r="U170" s="1">
        <f t="shared" si="196"/>
        <v>1.92836743044041</v>
      </c>
      <c r="V170" s="1">
        <f t="shared" si="197"/>
        <v>0.407531512204986</v>
      </c>
      <c r="W170" s="1">
        <f t="shared" si="198"/>
        <v>1.63911231587435</v>
      </c>
      <c r="X170" s="1">
        <f t="shared" si="199"/>
        <v>0.248629400351737</v>
      </c>
    </row>
    <row r="171" spans="1:24">
      <c r="A171" s="68" t="s">
        <v>104</v>
      </c>
      <c r="B171" s="26">
        <v>737.925</v>
      </c>
      <c r="C171" s="27">
        <v>518.884</v>
      </c>
      <c r="D171" s="30">
        <v>900</v>
      </c>
      <c r="E171" s="20">
        <f>(($V$2*G171)/((V171/W171)^(2/3)))^2</f>
        <v>0.00149834497118816</v>
      </c>
      <c r="F171" s="17">
        <f t="shared" si="200"/>
        <v>1.49834497118816</v>
      </c>
      <c r="G171" s="17">
        <f t="shared" si="201"/>
        <v>1.13569552829225</v>
      </c>
      <c r="H171" s="8">
        <f t="shared" si="202"/>
        <v>0.675</v>
      </c>
      <c r="I171" s="17">
        <f t="shared" si="203"/>
        <v>0.6075</v>
      </c>
      <c r="J171" s="48">
        <f t="shared" si="204"/>
        <v>1.10566621286403</v>
      </c>
      <c r="K171" s="49">
        <v>19.517</v>
      </c>
      <c r="L171" s="44">
        <v>19.4455</v>
      </c>
      <c r="M171" s="48">
        <f t="shared" si="205"/>
        <v>-7.27401814048062</v>
      </c>
      <c r="N171" s="50">
        <f t="shared" si="206"/>
        <v>-8.37968435334465</v>
      </c>
      <c r="O171" s="53">
        <f t="shared" si="207"/>
        <v>-7.47968435334465</v>
      </c>
      <c r="P171" s="53">
        <f t="shared" si="208"/>
        <v>-8.58535056620868</v>
      </c>
      <c r="Q171" s="53">
        <f t="shared" si="209"/>
        <v>-8.37968435334465</v>
      </c>
      <c r="R171" s="53">
        <f t="shared" si="210"/>
        <v>-9.48535056620868</v>
      </c>
      <c r="S171" s="50">
        <f t="shared" si="211"/>
        <v>26.9966843533446</v>
      </c>
      <c r="T171" s="50">
        <f t="shared" si="212"/>
        <v>28.0308505662087</v>
      </c>
      <c r="U171" s="1">
        <f t="shared" si="196"/>
        <v>1.92836743044041</v>
      </c>
      <c r="V171" s="1">
        <f t="shared" si="197"/>
        <v>0.456886539634655</v>
      </c>
      <c r="W171" s="1">
        <f t="shared" si="198"/>
        <v>1.73553068739637</v>
      </c>
      <c r="X171" s="1">
        <f t="shared" si="199"/>
        <v>0.263254659195957</v>
      </c>
    </row>
    <row r="172" spans="1:24">
      <c r="A172" s="68" t="s">
        <v>105</v>
      </c>
      <c r="B172" s="26">
        <v>715.554</v>
      </c>
      <c r="C172" s="27">
        <v>743.8622</v>
      </c>
      <c r="D172" s="30">
        <v>1000</v>
      </c>
      <c r="E172" s="20">
        <f>(($V$2*G172)/((V172/W172)^(2/3)))^2</f>
        <v>0.00145645618615555</v>
      </c>
      <c r="F172" s="17">
        <f t="shared" si="200"/>
        <v>1.45645618615555</v>
      </c>
      <c r="G172" s="17">
        <f t="shared" si="201"/>
        <v>1.21973390895911</v>
      </c>
      <c r="H172" s="8">
        <f t="shared" si="202"/>
        <v>0.725</v>
      </c>
      <c r="I172" s="17">
        <f t="shared" si="203"/>
        <v>0.725</v>
      </c>
      <c r="J172" s="48">
        <f t="shared" si="204"/>
        <v>1.04217304982835</v>
      </c>
      <c r="K172" s="49">
        <v>19.4455</v>
      </c>
      <c r="L172" s="44">
        <v>19.5181</v>
      </c>
      <c r="M172" s="48">
        <f t="shared" si="205"/>
        <v>-8.56067751638033</v>
      </c>
      <c r="N172" s="50">
        <f t="shared" si="206"/>
        <v>-9.60285056620868</v>
      </c>
      <c r="O172" s="53">
        <f t="shared" si="207"/>
        <v>-8.60285056620868</v>
      </c>
      <c r="P172" s="53">
        <f t="shared" si="208"/>
        <v>-9.64502361603703</v>
      </c>
      <c r="Q172" s="53">
        <f t="shared" si="209"/>
        <v>-9.60285056620868</v>
      </c>
      <c r="R172" s="53">
        <f t="shared" si="210"/>
        <v>-10.645023616037</v>
      </c>
      <c r="S172" s="50">
        <f t="shared" si="211"/>
        <v>28.0483505662087</v>
      </c>
      <c r="T172" s="50">
        <f t="shared" si="212"/>
        <v>29.163123616037</v>
      </c>
      <c r="U172" s="1">
        <f t="shared" si="196"/>
        <v>2.03756166584219</v>
      </c>
      <c r="V172" s="1">
        <f t="shared" si="197"/>
        <v>0.609856128895189</v>
      </c>
      <c r="W172" s="1">
        <f t="shared" si="198"/>
        <v>2.03756166584219</v>
      </c>
      <c r="X172" s="1">
        <f t="shared" si="199"/>
        <v>0.299306832828107</v>
      </c>
    </row>
  </sheetData>
  <mergeCells count="32">
    <mergeCell ref="A1:C1"/>
    <mergeCell ref="D1:T1"/>
    <mergeCell ref="Z1:AB1"/>
    <mergeCell ref="A2:T2"/>
    <mergeCell ref="H3:I3"/>
    <mergeCell ref="K3:R3"/>
    <mergeCell ref="K4:L4"/>
    <mergeCell ref="M4:N4"/>
    <mergeCell ref="O4:P4"/>
    <mergeCell ref="Q4:R4"/>
    <mergeCell ref="AA10:AB10"/>
    <mergeCell ref="AA11:AB11"/>
    <mergeCell ref="A3:A5"/>
    <mergeCell ref="B3:B5"/>
    <mergeCell ref="C3:C5"/>
    <mergeCell ref="D3:D5"/>
    <mergeCell ref="E3:E5"/>
    <mergeCell ref="F3:F5"/>
    <mergeCell ref="G3:G5"/>
    <mergeCell ref="H4:H5"/>
    <mergeCell ref="I4:I5"/>
    <mergeCell ref="J3:J5"/>
    <mergeCell ref="U3:U5"/>
    <mergeCell ref="V3:V5"/>
    <mergeCell ref="W3:W5"/>
    <mergeCell ref="X3:X5"/>
    <mergeCell ref="Z10:Z12"/>
    <mergeCell ref="S3:T4"/>
    <mergeCell ref="A13:T14"/>
    <mergeCell ref="A77:T78"/>
    <mergeCell ref="A102:T103"/>
    <mergeCell ref="A131:T132"/>
  </mergeCells>
  <pageMargins left="0.751388888888889" right="0.751388888888889" top="1" bottom="1" header="0.5" footer="0.5"/>
  <pageSetup paperSize="9" scale="7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8"/>
  <sheetViews>
    <sheetView workbookViewId="0">
      <selection activeCell="F6" sqref="F6"/>
    </sheetView>
  </sheetViews>
  <sheetFormatPr defaultColWidth="9" defaultRowHeight="14" outlineLevelRow="7" outlineLevelCol="3"/>
  <sheetData>
    <row r="2" spans="1:4">
      <c r="A2">
        <v>300</v>
      </c>
      <c r="D2">
        <f>IF(A2&lt;350,0.55,IF(A2&lt;500,0.65,IF(A2&lt;1000,0.7,0.75)))</f>
        <v>0.55</v>
      </c>
    </row>
    <row r="3" spans="1:4">
      <c r="A3">
        <v>350</v>
      </c>
      <c r="D3">
        <f t="shared" ref="D3:D8" si="0">IF(A3&lt;350,0.55,IF(A3&lt;500,0.65,IF(A3&lt;1000,0.7,0.75)))</f>
        <v>0.65</v>
      </c>
    </row>
    <row r="4" spans="1:4">
      <c r="A4">
        <v>450</v>
      </c>
      <c r="D4">
        <f t="shared" si="0"/>
        <v>0.65</v>
      </c>
    </row>
    <row r="5" spans="1:4">
      <c r="A5">
        <v>500</v>
      </c>
      <c r="D5">
        <f t="shared" si="0"/>
        <v>0.7</v>
      </c>
    </row>
    <row r="6" spans="1:4">
      <c r="A6">
        <v>900</v>
      </c>
      <c r="D6">
        <f t="shared" si="0"/>
        <v>0.7</v>
      </c>
    </row>
    <row r="7" spans="1:4">
      <c r="A7">
        <v>1000</v>
      </c>
      <c r="D7">
        <f t="shared" si="0"/>
        <v>0.75</v>
      </c>
    </row>
    <row r="8" spans="1:4">
      <c r="A8">
        <v>1500</v>
      </c>
      <c r="D8">
        <f t="shared" si="0"/>
        <v>0.75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5"/>
  <sheetViews>
    <sheetView zoomScale="85" zoomScaleNormal="85" topLeftCell="A46" workbookViewId="0">
      <selection activeCell="D22" sqref="D22"/>
    </sheetView>
  </sheetViews>
  <sheetFormatPr defaultColWidth="8.87272727272727" defaultRowHeight="14"/>
  <cols>
    <col min="1" max="1" width="27.5909090909091" style="1" customWidth="1"/>
    <col min="2" max="2" width="10.8" style="1" customWidth="1"/>
    <col min="3" max="3" width="12.8181818181818" style="1"/>
    <col min="4" max="4" width="10.6363636363636" style="2"/>
    <col min="5" max="6" width="9.37272727272727" style="1" customWidth="1"/>
    <col min="7" max="7" width="8.87272727272727" style="1"/>
    <col min="8" max="8" width="8.87272727272727" style="2"/>
    <col min="9" max="9" width="8.87272727272727" style="1"/>
    <col min="10" max="10" width="10.3727272727273" style="1"/>
    <col min="11" max="12" width="9.54545454545454" style="3"/>
    <col min="13" max="14" width="8.87272727272727" style="1" customWidth="1"/>
    <col min="15" max="15" width="10.6363636363636" style="1"/>
    <col min="16" max="16" width="8.87272727272727" style="1" customWidth="1"/>
    <col min="17" max="17" width="10.6363636363636" style="1"/>
    <col min="18" max="18" width="8.87272727272727" style="1" customWidth="1"/>
    <col min="19" max="20" width="9.54545454545454" style="1"/>
    <col min="21" max="24" width="12.8181818181818" style="1"/>
    <col min="25" max="25" width="8.87272727272727" style="1"/>
    <col min="26" max="28" width="12.8181818181818" style="1"/>
    <col min="29" max="16383" width="8.87272727272727" style="1"/>
  </cols>
  <sheetData>
    <row r="1" s="1" customFormat="1" spans="1:16384">
      <c r="A1" s="4" t="s">
        <v>0</v>
      </c>
      <c r="B1" s="4"/>
      <c r="C1" s="4"/>
      <c r="D1" s="5" t="s">
        <v>1</v>
      </c>
      <c r="E1" s="4"/>
      <c r="F1" s="4"/>
      <c r="G1" s="4"/>
      <c r="H1" s="5"/>
      <c r="I1" s="4"/>
      <c r="J1" s="4"/>
      <c r="K1" s="43"/>
      <c r="L1" s="43"/>
      <c r="M1" s="4"/>
      <c r="N1" s="4"/>
      <c r="O1" s="4"/>
      <c r="P1" s="4"/>
      <c r="Q1" s="4"/>
      <c r="R1" s="4"/>
      <c r="S1" s="4"/>
      <c r="T1" s="4"/>
      <c r="Z1" s="54" t="s">
        <v>2</v>
      </c>
      <c r="XFD1"/>
    </row>
    <row r="2" s="1" customFormat="1" spans="1:16384">
      <c r="A2" s="6" t="s">
        <v>106</v>
      </c>
      <c r="B2" s="7"/>
      <c r="C2" s="7"/>
      <c r="D2" s="8"/>
      <c r="E2" s="7"/>
      <c r="F2" s="7"/>
      <c r="G2" s="7"/>
      <c r="H2" s="8"/>
      <c r="I2" s="7"/>
      <c r="J2" s="7"/>
      <c r="K2" s="44"/>
      <c r="L2" s="44"/>
      <c r="M2" s="7"/>
      <c r="N2" s="7"/>
      <c r="O2" s="7"/>
      <c r="P2" s="7"/>
      <c r="Q2" s="7"/>
      <c r="R2" s="7"/>
      <c r="S2" s="7"/>
      <c r="T2" s="7"/>
      <c r="U2" s="54" t="s">
        <v>4</v>
      </c>
      <c r="V2" s="1">
        <v>0.014</v>
      </c>
      <c r="W2" s="1">
        <v>0.013</v>
      </c>
      <c r="Z2" s="1" t="s">
        <v>5</v>
      </c>
      <c r="AA2" s="1">
        <f>(AB9/2-Z15*AB9)/(AB9/2)</f>
        <v>-0.2</v>
      </c>
      <c r="XFD2"/>
    </row>
    <row r="3" s="1" customFormat="1" spans="1:16384">
      <c r="A3" s="9" t="s">
        <v>6</v>
      </c>
      <c r="B3" s="9" t="s">
        <v>7</v>
      </c>
      <c r="C3" s="9" t="s">
        <v>8</v>
      </c>
      <c r="D3" s="10" t="s">
        <v>9</v>
      </c>
      <c r="E3" s="9" t="s">
        <v>10</v>
      </c>
      <c r="F3" s="11" t="s">
        <v>11</v>
      </c>
      <c r="G3" s="9" t="s">
        <v>12</v>
      </c>
      <c r="H3" s="8" t="s">
        <v>13</v>
      </c>
      <c r="I3" s="7"/>
      <c r="J3" s="9" t="s">
        <v>14</v>
      </c>
      <c r="K3" s="45" t="s">
        <v>15</v>
      </c>
      <c r="L3" s="46"/>
      <c r="M3" s="47"/>
      <c r="N3" s="47"/>
      <c r="O3" s="47"/>
      <c r="P3" s="47"/>
      <c r="Q3" s="47"/>
      <c r="R3" s="55"/>
      <c r="S3" s="7" t="s">
        <v>16</v>
      </c>
      <c r="T3" s="7"/>
      <c r="U3" s="56" t="s">
        <v>17</v>
      </c>
      <c r="V3" s="54" t="s">
        <v>18</v>
      </c>
      <c r="W3" s="57" t="s">
        <v>19</v>
      </c>
      <c r="X3" s="54" t="s">
        <v>20</v>
      </c>
      <c r="Y3" s="60"/>
      <c r="Z3" s="1" t="s">
        <v>21</v>
      </c>
      <c r="AA3" s="1">
        <f>ACOS(AA2)</f>
        <v>1.77215424758523</v>
      </c>
      <c r="XFD3"/>
    </row>
    <row r="4" s="1" customFormat="1" spans="1:16384">
      <c r="A4" s="9"/>
      <c r="B4" s="9"/>
      <c r="C4" s="9"/>
      <c r="D4" s="10"/>
      <c r="E4" s="9"/>
      <c r="F4" s="9"/>
      <c r="G4" s="9"/>
      <c r="H4" s="8" t="s">
        <v>22</v>
      </c>
      <c r="I4" s="7" t="s">
        <v>23</v>
      </c>
      <c r="J4" s="9"/>
      <c r="K4" s="44" t="s">
        <v>24</v>
      </c>
      <c r="L4" s="44"/>
      <c r="M4" s="7" t="s">
        <v>25</v>
      </c>
      <c r="N4" s="7"/>
      <c r="O4" s="6" t="s">
        <v>26</v>
      </c>
      <c r="P4" s="7"/>
      <c r="Q4" s="6" t="s">
        <v>27</v>
      </c>
      <c r="R4" s="7"/>
      <c r="S4" s="7"/>
      <c r="T4" s="7"/>
      <c r="U4" s="56"/>
      <c r="V4" s="54"/>
      <c r="W4" s="57"/>
      <c r="X4" s="54"/>
      <c r="Y4" s="61"/>
      <c r="Z4" s="1" t="s">
        <v>18</v>
      </c>
      <c r="AA4" s="1">
        <f>((AB9^2)/4)*(AA3-(SIN(2*AA3)/2))</f>
        <v>0.0787245370803153</v>
      </c>
      <c r="XFD4"/>
    </row>
    <row r="5" s="1" customFormat="1" spans="1:16384">
      <c r="A5" s="9"/>
      <c r="B5" s="9"/>
      <c r="C5" s="9"/>
      <c r="D5" s="10"/>
      <c r="E5" s="9"/>
      <c r="F5" s="9"/>
      <c r="G5" s="9"/>
      <c r="H5" s="8"/>
      <c r="I5" s="7"/>
      <c r="J5" s="9"/>
      <c r="K5" s="44" t="s">
        <v>28</v>
      </c>
      <c r="L5" s="44" t="s">
        <v>29</v>
      </c>
      <c r="M5" s="7" t="s">
        <v>28</v>
      </c>
      <c r="N5" s="7" t="s">
        <v>29</v>
      </c>
      <c r="O5" s="7" t="s">
        <v>28</v>
      </c>
      <c r="P5" s="7" t="s">
        <v>29</v>
      </c>
      <c r="Q5" s="7" t="s">
        <v>28</v>
      </c>
      <c r="R5" s="7" t="s">
        <v>29</v>
      </c>
      <c r="S5" s="7" t="s">
        <v>28</v>
      </c>
      <c r="T5" s="7" t="s">
        <v>29</v>
      </c>
      <c r="U5" s="56"/>
      <c r="V5" s="54"/>
      <c r="W5" s="57"/>
      <c r="X5" s="54"/>
      <c r="Y5" s="61"/>
      <c r="Z5" s="62" t="s">
        <v>19</v>
      </c>
      <c r="AA5" s="1">
        <f>AA3*AB9</f>
        <v>0.708861699034091</v>
      </c>
      <c r="AB5" s="62"/>
      <c r="XFD5"/>
    </row>
    <row r="6" s="1" customFormat="1" spans="1:16384">
      <c r="A6" s="12" t="s">
        <v>30</v>
      </c>
      <c r="B6" s="13">
        <v>500</v>
      </c>
      <c r="C6" s="14">
        <v>1.2192346825831</v>
      </c>
      <c r="D6" s="15">
        <v>200</v>
      </c>
      <c r="E6" s="16">
        <v>0.004</v>
      </c>
      <c r="F6" s="17">
        <f t="shared" ref="F6:F12" si="0">E6*1000</f>
        <v>4</v>
      </c>
      <c r="G6" s="18" t="s">
        <v>31</v>
      </c>
      <c r="H6" s="8">
        <v>0.17</v>
      </c>
      <c r="I6" s="17">
        <f t="shared" ref="I6:I12" si="1">H6*D6/1000</f>
        <v>0.034</v>
      </c>
      <c r="J6" s="48">
        <f t="shared" ref="J6:J12" si="2">E6*B6</f>
        <v>2</v>
      </c>
      <c r="K6" s="44">
        <v>100</v>
      </c>
      <c r="L6" s="44">
        <v>99.9</v>
      </c>
      <c r="M6" s="48">
        <f t="shared" ref="M6:M12" si="3">Q6+I6</f>
        <v>98.934</v>
      </c>
      <c r="N6" s="48">
        <f t="shared" ref="N6:N12" si="4">M6-J6</f>
        <v>96.934</v>
      </c>
      <c r="O6" s="17">
        <f>K6-S6</f>
        <v>99.1</v>
      </c>
      <c r="P6" s="17">
        <f t="shared" ref="P6:P12" si="5">O6-J6</f>
        <v>97.1</v>
      </c>
      <c r="Q6" s="17">
        <f>O6-D6/1000</f>
        <v>98.9</v>
      </c>
      <c r="R6" s="17">
        <f t="shared" ref="R6:R12" si="6">P6-D6/1000</f>
        <v>96.9</v>
      </c>
      <c r="S6" s="48">
        <f>0.7+D6/1000</f>
        <v>0.9</v>
      </c>
      <c r="T6" s="48">
        <f t="shared" ref="T6:T12" si="7">L6-P6</f>
        <v>2.80000000000001</v>
      </c>
      <c r="U6" s="1">
        <f t="shared" ref="U6:U12" si="8">ACOS((D6/2-D6*H6)/(D6/2))</f>
        <v>0.849977565924807</v>
      </c>
      <c r="V6" s="1">
        <f t="shared" ref="V6:V12" si="9">(U6-SIN(U6)*COS(U6))*((D6/1000)/2)^2</f>
        <v>0.00354142270690593</v>
      </c>
      <c r="W6" s="1">
        <f t="shared" ref="W6:W12" si="10">U6*(D6/1000)</f>
        <v>0.169995513184961</v>
      </c>
      <c r="X6" s="1">
        <f t="shared" ref="X6:X12" si="11">V6/W6</f>
        <v>0.0208324481073376</v>
      </c>
      <c r="Z6" s="62" t="s">
        <v>20</v>
      </c>
      <c r="AA6" s="1">
        <f>AA4/AA5</f>
        <v>0.111057681897029</v>
      </c>
      <c r="AB6" s="62"/>
      <c r="XFD6"/>
    </row>
    <row r="7" s="1" customFormat="1" spans="1:16384">
      <c r="A7" s="19">
        <v>1</v>
      </c>
      <c r="B7" s="13">
        <v>250</v>
      </c>
      <c r="C7" s="14">
        <v>5.96476884780841</v>
      </c>
      <c r="D7" s="15">
        <v>300</v>
      </c>
      <c r="E7" s="16">
        <v>0.003</v>
      </c>
      <c r="F7" s="17">
        <f t="shared" si="0"/>
        <v>3</v>
      </c>
      <c r="G7" s="18" t="s">
        <v>31</v>
      </c>
      <c r="H7" s="8">
        <v>0.24</v>
      </c>
      <c r="I7" s="17">
        <f t="shared" si="1"/>
        <v>0.072</v>
      </c>
      <c r="J7" s="48">
        <f t="shared" si="2"/>
        <v>0.75</v>
      </c>
      <c r="K7" s="44">
        <f t="shared" ref="K7:K12" si="12">L6</f>
        <v>99.9</v>
      </c>
      <c r="L7" s="44">
        <v>99.7</v>
      </c>
      <c r="M7" s="48">
        <f t="shared" ref="M7:M9" si="13">IF(Q7+I7&lt;=N6,Q7+I7)</f>
        <v>96.934</v>
      </c>
      <c r="N7" s="48">
        <f t="shared" si="4"/>
        <v>96.184</v>
      </c>
      <c r="O7" s="17">
        <f t="shared" ref="O7:O12" si="14">P6-I7+I6+(D7-D6)/1000</f>
        <v>97.162</v>
      </c>
      <c r="P7" s="17">
        <f t="shared" si="5"/>
        <v>96.412</v>
      </c>
      <c r="Q7" s="17">
        <f t="shared" ref="Q7:Q12" si="15">IF(O7-D7/1000&lt;=R6,O7-D7/1000)</f>
        <v>96.862</v>
      </c>
      <c r="R7" s="17">
        <f t="shared" si="6"/>
        <v>96.112</v>
      </c>
      <c r="S7" s="48">
        <f t="shared" ref="S7:S12" si="16">K7-O7</f>
        <v>2.73800000000001</v>
      </c>
      <c r="T7" s="48">
        <f t="shared" si="7"/>
        <v>3.28800000000001</v>
      </c>
      <c r="U7" s="1">
        <f t="shared" si="8"/>
        <v>1.02394537609895</v>
      </c>
      <c r="V7" s="1">
        <f t="shared" si="9"/>
        <v>0.0130450257183251</v>
      </c>
      <c r="W7" s="1">
        <f t="shared" si="10"/>
        <v>0.307183612829686</v>
      </c>
      <c r="X7" s="1">
        <f t="shared" si="11"/>
        <v>0.0424665417473222</v>
      </c>
      <c r="XFD7"/>
    </row>
    <row r="8" s="1" customFormat="1" spans="1:16384">
      <c r="A8" s="19">
        <v>2</v>
      </c>
      <c r="B8" s="13">
        <v>250</v>
      </c>
      <c r="C8" s="14">
        <v>10.9600960813717</v>
      </c>
      <c r="D8" s="15">
        <v>300</v>
      </c>
      <c r="E8" s="16">
        <v>0.003</v>
      </c>
      <c r="F8" s="17">
        <f t="shared" si="0"/>
        <v>3</v>
      </c>
      <c r="G8" s="18" t="s">
        <v>31</v>
      </c>
      <c r="H8" s="8">
        <v>0.32</v>
      </c>
      <c r="I8" s="17">
        <f t="shared" si="1"/>
        <v>0.096</v>
      </c>
      <c r="J8" s="48">
        <f t="shared" si="2"/>
        <v>0.75</v>
      </c>
      <c r="K8" s="44">
        <f t="shared" si="12"/>
        <v>99.7</v>
      </c>
      <c r="L8" s="44">
        <v>99.6</v>
      </c>
      <c r="M8" s="48">
        <f t="shared" si="13"/>
        <v>96.184</v>
      </c>
      <c r="N8" s="48">
        <f t="shared" si="4"/>
        <v>95.434</v>
      </c>
      <c r="O8" s="17">
        <f t="shared" si="14"/>
        <v>96.388</v>
      </c>
      <c r="P8" s="17">
        <f t="shared" si="5"/>
        <v>95.638</v>
      </c>
      <c r="Q8" s="17">
        <f t="shared" si="15"/>
        <v>96.088</v>
      </c>
      <c r="R8" s="17">
        <f t="shared" si="6"/>
        <v>95.338</v>
      </c>
      <c r="S8" s="48">
        <f t="shared" si="16"/>
        <v>3.31200000000001</v>
      </c>
      <c r="T8" s="48">
        <f t="shared" si="7"/>
        <v>3.962</v>
      </c>
      <c r="U8" s="1">
        <f t="shared" si="8"/>
        <v>1.20252843335826</v>
      </c>
      <c r="V8" s="1">
        <f t="shared" si="9"/>
        <v>0.0194999760948413</v>
      </c>
      <c r="W8" s="1">
        <f t="shared" si="10"/>
        <v>0.360758530007477</v>
      </c>
      <c r="X8" s="1">
        <f t="shared" si="11"/>
        <v>0.0540527097015201</v>
      </c>
      <c r="Z8" s="1" t="s">
        <v>4</v>
      </c>
      <c r="AA8" s="33">
        <v>0.014</v>
      </c>
      <c r="XFD8"/>
    </row>
    <row r="9" s="1" customFormat="1" spans="1:16384">
      <c r="A9" s="19">
        <v>3</v>
      </c>
      <c r="B9" s="13">
        <v>250</v>
      </c>
      <c r="C9" s="14">
        <v>15.8658145104223</v>
      </c>
      <c r="D9" s="15">
        <v>300</v>
      </c>
      <c r="E9" s="16">
        <v>0.003</v>
      </c>
      <c r="F9" s="17">
        <f t="shared" si="0"/>
        <v>3</v>
      </c>
      <c r="G9" s="17">
        <v>0.62</v>
      </c>
      <c r="H9" s="8">
        <v>0.39</v>
      </c>
      <c r="I9" s="17">
        <f t="shared" si="1"/>
        <v>0.117</v>
      </c>
      <c r="J9" s="48">
        <f t="shared" si="2"/>
        <v>0.75</v>
      </c>
      <c r="K9" s="44">
        <f t="shared" si="12"/>
        <v>99.6</v>
      </c>
      <c r="L9" s="44">
        <v>99.5</v>
      </c>
      <c r="M9" s="48">
        <f t="shared" si="13"/>
        <v>95.434</v>
      </c>
      <c r="N9" s="48">
        <f t="shared" si="4"/>
        <v>94.684</v>
      </c>
      <c r="O9" s="17">
        <f t="shared" si="14"/>
        <v>95.617</v>
      </c>
      <c r="P9" s="17">
        <f t="shared" si="5"/>
        <v>94.867</v>
      </c>
      <c r="Q9" s="17">
        <f t="shared" si="15"/>
        <v>95.317</v>
      </c>
      <c r="R9" s="17">
        <f t="shared" si="6"/>
        <v>94.567</v>
      </c>
      <c r="S9" s="48">
        <f t="shared" si="16"/>
        <v>3.983</v>
      </c>
      <c r="T9" s="48">
        <f t="shared" si="7"/>
        <v>4.63300000000001</v>
      </c>
      <c r="U9" s="1">
        <f t="shared" si="8"/>
        <v>1.3489818562981</v>
      </c>
      <c r="V9" s="1">
        <f t="shared" si="9"/>
        <v>0.0255233674009974</v>
      </c>
      <c r="W9" s="1">
        <f t="shared" si="10"/>
        <v>0.404694556889431</v>
      </c>
      <c r="X9" s="1">
        <f t="shared" si="11"/>
        <v>0.063068225076155</v>
      </c>
      <c r="Z9" s="1" t="s">
        <v>32</v>
      </c>
      <c r="AA9" s="33">
        <v>400</v>
      </c>
      <c r="AB9" s="1">
        <f>AA9/1000</f>
        <v>0.4</v>
      </c>
      <c r="XFD9"/>
    </row>
    <row r="10" s="1" customFormat="1" spans="1:16384">
      <c r="A10" s="19">
        <v>4</v>
      </c>
      <c r="B10" s="13">
        <v>250</v>
      </c>
      <c r="C10" s="14">
        <v>72.9395593167879</v>
      </c>
      <c r="D10" s="15">
        <v>400</v>
      </c>
      <c r="E10" s="20">
        <f>(($V$2*G10)/((V10/W10)^(2/3)))^2</f>
        <v>0.00315183861092099</v>
      </c>
      <c r="F10" s="17">
        <f t="shared" si="0"/>
        <v>3.15183861092099</v>
      </c>
      <c r="G10" s="17">
        <f t="shared" ref="G10:G12" si="17">IF(((C10/1000)/V10)&gt;G9,(C10/1000)/V10,G9)</f>
        <v>0.926516204755507</v>
      </c>
      <c r="H10" s="8">
        <f t="shared" ref="H10:H12" si="18">IF(D10&lt;350,0.5,IF(D10&lt;500,0.6,IF(D10&lt;1000,0.675,0.725)))</f>
        <v>0.6</v>
      </c>
      <c r="I10" s="17">
        <f t="shared" si="1"/>
        <v>0.24</v>
      </c>
      <c r="J10" s="48">
        <f t="shared" si="2"/>
        <v>0.787959652730246</v>
      </c>
      <c r="K10" s="44">
        <f t="shared" si="12"/>
        <v>99.5</v>
      </c>
      <c r="L10" s="44">
        <v>99.4</v>
      </c>
      <c r="M10" s="48">
        <f t="shared" si="3"/>
        <v>94.684</v>
      </c>
      <c r="N10" s="48">
        <f t="shared" si="4"/>
        <v>93.8960403472697</v>
      </c>
      <c r="O10" s="17">
        <f t="shared" si="14"/>
        <v>94.844</v>
      </c>
      <c r="P10" s="17">
        <f t="shared" si="5"/>
        <v>94.0560403472697</v>
      </c>
      <c r="Q10" s="17">
        <f t="shared" si="15"/>
        <v>94.444</v>
      </c>
      <c r="R10" s="17">
        <f t="shared" si="6"/>
        <v>93.6560403472697</v>
      </c>
      <c r="S10" s="48">
        <f t="shared" si="16"/>
        <v>4.65600000000001</v>
      </c>
      <c r="T10" s="48">
        <f t="shared" si="7"/>
        <v>5.34395965273026</v>
      </c>
      <c r="U10" s="1">
        <f t="shared" si="8"/>
        <v>1.77215424758523</v>
      </c>
      <c r="V10" s="1">
        <f t="shared" si="9"/>
        <v>0.0787245370803153</v>
      </c>
      <c r="W10" s="1">
        <f t="shared" si="10"/>
        <v>0.708861699034091</v>
      </c>
      <c r="X10" s="1">
        <f t="shared" si="11"/>
        <v>0.111057681897029</v>
      </c>
      <c r="Z10" s="1" t="s">
        <v>22</v>
      </c>
      <c r="AA10" s="1" t="s">
        <v>33</v>
      </c>
      <c r="XFD10"/>
    </row>
    <row r="11" s="1" customFormat="1" spans="1:16384">
      <c r="A11" s="19">
        <v>5</v>
      </c>
      <c r="B11" s="13">
        <v>250</v>
      </c>
      <c r="C11" s="14">
        <v>77.1654182864127</v>
      </c>
      <c r="D11" s="15">
        <v>400</v>
      </c>
      <c r="E11" s="20">
        <f>(($V$2*G11)/((V11/W11)^(2/3)))^2</f>
        <v>0.00352763083940341</v>
      </c>
      <c r="F11" s="17">
        <f t="shared" si="0"/>
        <v>3.52763083940341</v>
      </c>
      <c r="G11" s="17">
        <f t="shared" si="17"/>
        <v>0.980195262471827</v>
      </c>
      <c r="H11" s="8">
        <f t="shared" si="18"/>
        <v>0.6</v>
      </c>
      <c r="I11" s="17">
        <f t="shared" si="1"/>
        <v>0.24</v>
      </c>
      <c r="J11" s="48">
        <f t="shared" si="2"/>
        <v>0.881907709850852</v>
      </c>
      <c r="K11" s="44">
        <f t="shared" si="12"/>
        <v>99.4</v>
      </c>
      <c r="L11" s="44">
        <v>99.3</v>
      </c>
      <c r="M11" s="48">
        <f t="shared" si="3"/>
        <v>93.8960403472697</v>
      </c>
      <c r="N11" s="48">
        <f t="shared" si="4"/>
        <v>93.0141326374189</v>
      </c>
      <c r="O11" s="17">
        <f t="shared" si="14"/>
        <v>94.0560403472697</v>
      </c>
      <c r="P11" s="17">
        <f t="shared" si="5"/>
        <v>93.1741326374189</v>
      </c>
      <c r="Q11" s="17">
        <f t="shared" si="15"/>
        <v>93.6560403472697</v>
      </c>
      <c r="R11" s="17">
        <f t="shared" si="6"/>
        <v>92.7741326374189</v>
      </c>
      <c r="S11" s="48">
        <f t="shared" si="16"/>
        <v>5.34395965273026</v>
      </c>
      <c r="T11" s="48">
        <f t="shared" si="7"/>
        <v>6.1258673625811</v>
      </c>
      <c r="U11" s="1">
        <f t="shared" si="8"/>
        <v>1.77215424758523</v>
      </c>
      <c r="V11" s="1">
        <f t="shared" si="9"/>
        <v>0.0787245370803153</v>
      </c>
      <c r="W11" s="1">
        <f t="shared" si="10"/>
        <v>0.708861699034091</v>
      </c>
      <c r="X11" s="1">
        <f t="shared" si="11"/>
        <v>0.111057681897029</v>
      </c>
      <c r="AA11" s="33">
        <v>3.15</v>
      </c>
      <c r="AB11" s="33"/>
      <c r="XFD11"/>
    </row>
    <row r="12" s="1" customFormat="1" spans="1:16384">
      <c r="A12" s="19">
        <v>6</v>
      </c>
      <c r="B12" s="13">
        <v>250</v>
      </c>
      <c r="C12" s="14">
        <v>82.6729029931278</v>
      </c>
      <c r="D12" s="15">
        <v>400</v>
      </c>
      <c r="E12" s="20">
        <f>(($V$2*G12)/((V12/W12)^(2/3)))^2</f>
        <v>0.0040491519715572</v>
      </c>
      <c r="F12" s="17">
        <f t="shared" si="0"/>
        <v>4.0491519715572</v>
      </c>
      <c r="G12" s="17">
        <f t="shared" si="17"/>
        <v>1.05015419663611</v>
      </c>
      <c r="H12" s="8">
        <f t="shared" si="18"/>
        <v>0.6</v>
      </c>
      <c r="I12" s="17">
        <f t="shared" si="1"/>
        <v>0.24</v>
      </c>
      <c r="J12" s="48">
        <f t="shared" si="2"/>
        <v>1.0122879928893</v>
      </c>
      <c r="K12" s="44">
        <f t="shared" si="12"/>
        <v>99.3</v>
      </c>
      <c r="L12" s="44">
        <v>99.2</v>
      </c>
      <c r="M12" s="48">
        <f t="shared" si="3"/>
        <v>93.0141326374189</v>
      </c>
      <c r="N12" s="48">
        <f t="shared" si="4"/>
        <v>92.0018446445296</v>
      </c>
      <c r="O12" s="17">
        <f t="shared" si="14"/>
        <v>93.1741326374189</v>
      </c>
      <c r="P12" s="17">
        <f t="shared" si="5"/>
        <v>92.1618446445296</v>
      </c>
      <c r="Q12" s="17">
        <f t="shared" si="15"/>
        <v>92.7741326374189</v>
      </c>
      <c r="R12" s="17">
        <f t="shared" si="6"/>
        <v>91.7618446445296</v>
      </c>
      <c r="S12" s="48">
        <f t="shared" si="16"/>
        <v>6.1258673625811</v>
      </c>
      <c r="T12" s="48">
        <f t="shared" si="7"/>
        <v>7.03815535547041</v>
      </c>
      <c r="U12" s="1">
        <f t="shared" si="8"/>
        <v>1.77215424758523</v>
      </c>
      <c r="V12" s="1">
        <f t="shared" si="9"/>
        <v>0.0787245370803153</v>
      </c>
      <c r="W12" s="1">
        <f t="shared" si="10"/>
        <v>0.708861699034091</v>
      </c>
      <c r="X12" s="1">
        <f t="shared" si="11"/>
        <v>0.111057681897029</v>
      </c>
      <c r="AA12" s="1" t="s">
        <v>34</v>
      </c>
      <c r="AB12" s="1" t="s">
        <v>35</v>
      </c>
      <c r="XFD12"/>
    </row>
    <row r="13" s="1" customFormat="1" spans="1:16384">
      <c r="A13" s="21" t="s">
        <v>36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58"/>
      <c r="XFD13"/>
    </row>
    <row r="14" s="1" customFormat="1" spans="1:16384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59"/>
      <c r="XFD14"/>
    </row>
    <row r="15" s="1" customFormat="1" spans="1:16384">
      <c r="A15" s="25" t="s">
        <v>39</v>
      </c>
      <c r="B15" s="26">
        <v>854.605</v>
      </c>
      <c r="C15" s="27">
        <v>20.7603</v>
      </c>
      <c r="D15" s="15">
        <v>350</v>
      </c>
      <c r="E15" s="20">
        <f>(($V$2*G15)/((V15/W15)^(2/3)))^2</f>
        <v>0.000520469560834214</v>
      </c>
      <c r="F15" s="17">
        <f t="shared" ref="F15:F18" si="19">E15*1000</f>
        <v>0.520469560834214</v>
      </c>
      <c r="G15" s="17">
        <f t="shared" ref="G15:G18" si="20">C15/V15/1000</f>
        <v>0.344435100963345</v>
      </c>
      <c r="H15" s="8">
        <f t="shared" ref="H15:H18" si="21">IF(D15&lt;350,0.5,IF(D15&lt;500,0.6,IF(D15&lt;1000,0.675,0.725)))</f>
        <v>0.6</v>
      </c>
      <c r="I15" s="17">
        <f t="shared" ref="I15:I18" si="22">H15*D15/1000</f>
        <v>0.21</v>
      </c>
      <c r="J15" s="48">
        <f t="shared" ref="J15:J18" si="23">E15*B15</f>
        <v>0.444795889036723</v>
      </c>
      <c r="K15" s="49">
        <v>20.1052</v>
      </c>
      <c r="L15" s="44">
        <v>19.3765</v>
      </c>
      <c r="M15" s="48">
        <f>Q15+I15</f>
        <v>18.9152</v>
      </c>
      <c r="N15" s="48">
        <f t="shared" ref="N15:N18" si="24">M15-J15</f>
        <v>18.4704041109633</v>
      </c>
      <c r="O15" s="17">
        <f>K15-S15</f>
        <v>19.0552</v>
      </c>
      <c r="P15" s="17">
        <f t="shared" ref="P15:P18" si="25">O15-J15</f>
        <v>18.6104041109633</v>
      </c>
      <c r="Q15" s="17">
        <f>O15-D15/1000</f>
        <v>18.7052</v>
      </c>
      <c r="R15" s="17">
        <f t="shared" ref="R15:R18" si="26">P15-D15/1000</f>
        <v>18.2604041109633</v>
      </c>
      <c r="S15" s="48">
        <f>0.7+D15/1000</f>
        <v>1.05</v>
      </c>
      <c r="T15" s="48">
        <f t="shared" ref="T15:T18" si="27">L15-P15</f>
        <v>0.766095889036723</v>
      </c>
      <c r="U15" s="1">
        <f t="shared" ref="U15:U18" si="28">ACOS((D15/2-D15*H15)/(D15/2))</f>
        <v>1.77215424758523</v>
      </c>
      <c r="V15" s="1">
        <f t="shared" ref="V15:V18" si="29">(U15-SIN(U15)*COS(U15))*((D15/1000)/2)^2</f>
        <v>0.0602734737021164</v>
      </c>
      <c r="W15" s="1">
        <f t="shared" ref="W15:W18" si="30">U15*(D15/1000)</f>
        <v>0.62025398665483</v>
      </c>
      <c r="X15" s="1">
        <f t="shared" ref="X15:X18" si="31">V15/W15</f>
        <v>0.0971754716599</v>
      </c>
      <c r="Z15" s="33">
        <v>0.6</v>
      </c>
      <c r="AA15" s="1">
        <f>AB15*AA4*1000</f>
        <v>72.9182817308542</v>
      </c>
      <c r="AB15" s="1">
        <f>(1/AA8)*AA6^(2/3)*(AA11/1000)^(0.5)</f>
        <v>0.926245925796458</v>
      </c>
      <c r="XFD15"/>
    </row>
    <row r="16" s="1" customFormat="1" ht="13.5" customHeight="1" spans="1:16384">
      <c r="A16" s="28" t="s">
        <v>107</v>
      </c>
      <c r="B16" s="26">
        <v>959.09</v>
      </c>
      <c r="C16" s="27">
        <v>48.6615</v>
      </c>
      <c r="D16" s="15">
        <v>400</v>
      </c>
      <c r="E16" s="20">
        <f>(($V$2*G16)/((V16/W16)^(2/3)))^2</f>
        <v>0.00140284175923261</v>
      </c>
      <c r="F16" s="17">
        <f t="shared" si="19"/>
        <v>1.40284175923261</v>
      </c>
      <c r="G16" s="17">
        <f t="shared" si="20"/>
        <v>0.618123672805535</v>
      </c>
      <c r="H16" s="8">
        <f t="shared" si="21"/>
        <v>0.6</v>
      </c>
      <c r="I16" s="17">
        <f t="shared" si="22"/>
        <v>0.24</v>
      </c>
      <c r="J16" s="48">
        <f t="shared" si="23"/>
        <v>1.3454515028624</v>
      </c>
      <c r="K16" s="49">
        <v>19.3765</v>
      </c>
      <c r="L16" s="44">
        <v>19.4229</v>
      </c>
      <c r="M16" s="48">
        <f>IF(Q16+I16&lt;=N15,Q16+I16)</f>
        <v>18.4704041109633</v>
      </c>
      <c r="N16" s="48">
        <f t="shared" si="24"/>
        <v>17.1249526081009</v>
      </c>
      <c r="O16" s="17">
        <f t="shared" ref="O16:O18" si="32">P15-I16+I15+(D16-D15)/1000</f>
        <v>18.6304041109633</v>
      </c>
      <c r="P16" s="17">
        <f t="shared" si="25"/>
        <v>17.2849526081009</v>
      </c>
      <c r="Q16" s="17">
        <f t="shared" ref="Q16:Q18" si="33">IF(O16-D16/1000&lt;=R15,O16-D16/1000)</f>
        <v>18.2304041109633</v>
      </c>
      <c r="R16" s="17">
        <f t="shared" si="26"/>
        <v>16.8849526081009</v>
      </c>
      <c r="S16" s="48">
        <f t="shared" ref="S16:S18" si="34">K16-O16</f>
        <v>0.74609588903672</v>
      </c>
      <c r="T16" s="48">
        <f t="shared" si="27"/>
        <v>2.13794739189912</v>
      </c>
      <c r="U16" s="1">
        <f t="shared" si="28"/>
        <v>1.77215424758523</v>
      </c>
      <c r="V16" s="1">
        <f t="shared" si="29"/>
        <v>0.0787245370803153</v>
      </c>
      <c r="W16" s="1">
        <f t="shared" si="30"/>
        <v>0.708861699034091</v>
      </c>
      <c r="X16" s="1">
        <f t="shared" si="31"/>
        <v>0.111057681897029</v>
      </c>
      <c r="XFD16"/>
    </row>
    <row r="17" s="1" customFormat="1" spans="1:16384">
      <c r="A17" s="28" t="s">
        <v>108</v>
      </c>
      <c r="B17" s="26">
        <v>232.196</v>
      </c>
      <c r="C17" s="27">
        <v>55.5119</v>
      </c>
      <c r="D17" s="15">
        <v>400</v>
      </c>
      <c r="E17" s="20">
        <f>(($V$2*G17)/((V17/W17)^(2/3)))^2</f>
        <v>0.00182561790105683</v>
      </c>
      <c r="F17" s="17">
        <f t="shared" si="19"/>
        <v>1.82561790105683</v>
      </c>
      <c r="G17" s="17">
        <f t="shared" si="20"/>
        <v>0.705141015225868</v>
      </c>
      <c r="H17" s="8">
        <f t="shared" si="21"/>
        <v>0.6</v>
      </c>
      <c r="I17" s="17">
        <f t="shared" si="22"/>
        <v>0.24</v>
      </c>
      <c r="J17" s="48">
        <f t="shared" si="23"/>
        <v>0.423901174153791</v>
      </c>
      <c r="K17" s="49">
        <v>19.4229</v>
      </c>
      <c r="L17" s="44">
        <v>19.4845</v>
      </c>
      <c r="M17" s="48">
        <f>IF(Q17+I17&lt;=N16,Q17+I17)</f>
        <v>17.1249526081009</v>
      </c>
      <c r="N17" s="48">
        <f t="shared" si="24"/>
        <v>16.7010514339471</v>
      </c>
      <c r="O17" s="17">
        <f t="shared" si="32"/>
        <v>17.2849526081009</v>
      </c>
      <c r="P17" s="17">
        <f t="shared" si="25"/>
        <v>16.8610514339471</v>
      </c>
      <c r="Q17" s="17">
        <f t="shared" si="33"/>
        <v>16.8849526081009</v>
      </c>
      <c r="R17" s="17">
        <f t="shared" si="26"/>
        <v>16.4610514339471</v>
      </c>
      <c r="S17" s="48">
        <f t="shared" si="34"/>
        <v>2.13794739189912</v>
      </c>
      <c r="T17" s="48">
        <f t="shared" si="27"/>
        <v>2.62344856605291</v>
      </c>
      <c r="U17" s="1">
        <f t="shared" si="28"/>
        <v>1.77215424758523</v>
      </c>
      <c r="V17" s="1">
        <f t="shared" si="29"/>
        <v>0.0787245370803153</v>
      </c>
      <c r="W17" s="1">
        <f t="shared" si="30"/>
        <v>0.708861699034091</v>
      </c>
      <c r="X17" s="1">
        <f t="shared" si="31"/>
        <v>0.111057681897029</v>
      </c>
      <c r="XFD17"/>
    </row>
    <row r="18" s="1" customFormat="1" spans="1:16384">
      <c r="A18" s="28" t="s">
        <v>109</v>
      </c>
      <c r="B18" s="26">
        <v>209.003</v>
      </c>
      <c r="C18" s="27">
        <v>60.3732</v>
      </c>
      <c r="D18" s="15">
        <v>400</v>
      </c>
      <c r="E18" s="20">
        <f>(($V$2*G18)/((V18/W18)^(2/3)))^2</f>
        <v>0.00215936517279092</v>
      </c>
      <c r="F18" s="17">
        <f t="shared" si="19"/>
        <v>2.15936517279092</v>
      </c>
      <c r="G18" s="17">
        <f t="shared" si="20"/>
        <v>0.766891775284837</v>
      </c>
      <c r="H18" s="8">
        <f t="shared" si="21"/>
        <v>0.6</v>
      </c>
      <c r="I18" s="17">
        <f t="shared" si="22"/>
        <v>0.24</v>
      </c>
      <c r="J18" s="48">
        <f t="shared" si="23"/>
        <v>0.451313799208821</v>
      </c>
      <c r="K18" s="49">
        <v>19.4845</v>
      </c>
      <c r="L18" s="49">
        <v>19.457</v>
      </c>
      <c r="M18" s="48">
        <f t="shared" ref="M18:M32" si="35">Q18+I18</f>
        <v>16.7010514339471</v>
      </c>
      <c r="N18" s="48">
        <f t="shared" si="24"/>
        <v>16.2497376347383</v>
      </c>
      <c r="O18" s="17">
        <f t="shared" si="32"/>
        <v>16.8610514339471</v>
      </c>
      <c r="P18" s="17">
        <f t="shared" si="25"/>
        <v>16.4097376347383</v>
      </c>
      <c r="Q18" s="17">
        <f t="shared" si="33"/>
        <v>16.4610514339471</v>
      </c>
      <c r="R18" s="17">
        <f t="shared" si="26"/>
        <v>16.0097376347383</v>
      </c>
      <c r="S18" s="48">
        <f t="shared" si="34"/>
        <v>2.62344856605291</v>
      </c>
      <c r="T18" s="48">
        <f t="shared" si="27"/>
        <v>3.04726236526173</v>
      </c>
      <c r="U18" s="1">
        <f t="shared" si="28"/>
        <v>1.77215424758523</v>
      </c>
      <c r="V18" s="1">
        <f t="shared" si="29"/>
        <v>0.0787245370803153</v>
      </c>
      <c r="W18" s="1">
        <f t="shared" si="30"/>
        <v>0.708861699034091</v>
      </c>
      <c r="X18" s="1">
        <f t="shared" si="31"/>
        <v>0.111057681897029</v>
      </c>
      <c r="XFD18"/>
    </row>
    <row r="19" s="1" customFormat="1" spans="1:16384">
      <c r="A19" s="29"/>
      <c r="C19" s="7"/>
      <c r="D19" s="30"/>
      <c r="E19" s="20"/>
      <c r="F19" s="17"/>
      <c r="G19" s="17"/>
      <c r="H19" s="8"/>
      <c r="I19" s="17"/>
      <c r="J19" s="48"/>
      <c r="K19" s="44"/>
      <c r="L19" s="44"/>
      <c r="M19" s="48"/>
      <c r="N19" s="48"/>
      <c r="O19" s="17"/>
      <c r="P19" s="17"/>
      <c r="Q19" s="17"/>
      <c r="R19" s="17"/>
      <c r="S19" s="48"/>
      <c r="T19" s="48"/>
      <c r="XFD19"/>
    </row>
    <row r="20" s="1" customFormat="1" spans="1:16384">
      <c r="A20" s="25" t="s">
        <v>39</v>
      </c>
      <c r="B20" s="26">
        <v>618.803</v>
      </c>
      <c r="C20" s="27">
        <v>46.2635</v>
      </c>
      <c r="D20" s="30">
        <v>400</v>
      </c>
      <c r="E20" s="20">
        <f>(($V$2*G20)/((V20/W20)^(2/3)))^2</f>
        <v>0.0012679866249362</v>
      </c>
      <c r="F20" s="17">
        <f t="shared" ref="F20:F32" si="36">E20*1000</f>
        <v>1.2679866249362</v>
      </c>
      <c r="G20" s="17">
        <f t="shared" ref="G20:G32" si="37">C20/V20/1000</f>
        <v>0.587663030051249</v>
      </c>
      <c r="H20" s="8">
        <f>IF(D20&lt;350,0.5,IF(D20&lt;500,0.6,IF(D20&lt;1000,0.675,0.725)))</f>
        <v>0.6</v>
      </c>
      <c r="I20" s="17">
        <f t="shared" ref="I20:I32" si="38">H20*D20/1000</f>
        <v>0.24</v>
      </c>
      <c r="J20" s="48">
        <f t="shared" ref="J20:J32" si="39">E20*B20</f>
        <v>0.784633927470392</v>
      </c>
      <c r="K20" s="49">
        <v>22.5937</v>
      </c>
      <c r="L20" s="44">
        <v>22.3442</v>
      </c>
      <c r="M20" s="48">
        <f>Q20+J20</f>
        <v>21.8783339274704</v>
      </c>
      <c r="N20" s="48">
        <f t="shared" ref="N20:N32" si="40">M20-J20</f>
        <v>21.0937</v>
      </c>
      <c r="O20" s="17">
        <f>K20-S20</f>
        <v>21.4937</v>
      </c>
      <c r="P20" s="17">
        <f t="shared" ref="P20:P32" si="41">O20-J20</f>
        <v>20.7090660725296</v>
      </c>
      <c r="Q20" s="17">
        <f>O20-D20/1000</f>
        <v>21.0937</v>
      </c>
      <c r="R20" s="17">
        <f t="shared" ref="R20:R32" si="42">P20-D20/1000</f>
        <v>20.3090660725296</v>
      </c>
      <c r="S20" s="48">
        <f>0.7+D20/1000</f>
        <v>1.1</v>
      </c>
      <c r="T20" s="48">
        <f t="shared" ref="T20:T32" si="43">L20-P20</f>
        <v>1.6351339274704</v>
      </c>
      <c r="U20" s="1">
        <f t="shared" ref="U20:U32" si="44">ACOS((D20/2-D20*H20)/(D20/2))</f>
        <v>1.77215424758523</v>
      </c>
      <c r="V20" s="1">
        <f t="shared" ref="V20:V32" si="45">(U20-SIN(U20)*COS(U20))*((D20/1000)/2)^2</f>
        <v>0.0787245370803153</v>
      </c>
      <c r="W20" s="1">
        <f t="shared" ref="W20:W32" si="46">U20*(D20/1000)</f>
        <v>0.708861699034091</v>
      </c>
      <c r="X20" s="1">
        <f t="shared" ref="X20:X32" si="47">V20/W20</f>
        <v>0.111057681897029</v>
      </c>
      <c r="XFD20"/>
    </row>
    <row r="21" s="1" customFormat="1" spans="1:16384">
      <c r="A21" s="28" t="s">
        <v>110</v>
      </c>
      <c r="B21" s="26">
        <v>141.799</v>
      </c>
      <c r="C21" s="27">
        <v>52.7072</v>
      </c>
      <c r="D21" s="30">
        <v>400</v>
      </c>
      <c r="E21" s="20">
        <f>(($V$2*G21)/((V21/W21)^(2/3)))^2</f>
        <v>0.00164580202484287</v>
      </c>
      <c r="F21" s="17">
        <f t="shared" si="36"/>
        <v>1.64580202484287</v>
      </c>
      <c r="G21" s="17">
        <f t="shared" si="37"/>
        <v>0.669514257622471</v>
      </c>
      <c r="H21" s="8">
        <f t="shared" ref="H21:H31" si="48">IF(D21&lt;350,0.5,IF(D21&lt;500,0.6,IF(D21&lt;1000,0.675,0.725)))</f>
        <v>0.6</v>
      </c>
      <c r="I21" s="17">
        <f t="shared" si="38"/>
        <v>0.24</v>
      </c>
      <c r="J21" s="48">
        <f t="shared" si="39"/>
        <v>0.233373081320695</v>
      </c>
      <c r="K21" s="49">
        <v>22.3442</v>
      </c>
      <c r="L21" s="44">
        <v>22.1925</v>
      </c>
      <c r="M21" s="48">
        <f t="shared" si="35"/>
        <v>20.5490660725296</v>
      </c>
      <c r="N21" s="48">
        <f t="shared" si="40"/>
        <v>20.3156929912089</v>
      </c>
      <c r="O21" s="17">
        <f t="shared" ref="O21:O32" si="49">P20-I21+I20+(D21-D20)/1000</f>
        <v>20.7090660725296</v>
      </c>
      <c r="P21" s="17">
        <f t="shared" si="41"/>
        <v>20.4756929912089</v>
      </c>
      <c r="Q21" s="17">
        <f t="shared" ref="Q21:Q32" si="50">IF(O21-D21/1000&lt;=R20,O21-D21/1000)</f>
        <v>20.3090660725296</v>
      </c>
      <c r="R21" s="17">
        <f t="shared" si="42"/>
        <v>20.0756929912089</v>
      </c>
      <c r="S21" s="48">
        <f t="shared" ref="S21:S32" si="51">K21-O21</f>
        <v>1.6351339274704</v>
      </c>
      <c r="T21" s="48">
        <f t="shared" si="43"/>
        <v>1.71680700879109</v>
      </c>
      <c r="U21" s="1">
        <f t="shared" si="44"/>
        <v>1.77215424758523</v>
      </c>
      <c r="V21" s="1">
        <f t="shared" si="45"/>
        <v>0.0787245370803153</v>
      </c>
      <c r="W21" s="1">
        <f t="shared" si="46"/>
        <v>0.708861699034091</v>
      </c>
      <c r="X21" s="1">
        <f t="shared" si="47"/>
        <v>0.111057681897029</v>
      </c>
      <c r="XFD21"/>
    </row>
    <row r="22" s="1" customFormat="1" spans="1:16384">
      <c r="A22" s="28" t="s">
        <v>111</v>
      </c>
      <c r="B22" s="31">
        <v>204.33</v>
      </c>
      <c r="C22" s="27">
        <v>60.1435</v>
      </c>
      <c r="D22" s="30">
        <v>450</v>
      </c>
      <c r="E22" s="20">
        <f>(($V$2*G22)/((V22/W22)^(2/3)))^2</f>
        <v>0.00150441261773102</v>
      </c>
      <c r="F22" s="17">
        <f t="shared" si="36"/>
        <v>1.50441261773102</v>
      </c>
      <c r="G22" s="17">
        <f t="shared" si="37"/>
        <v>0.671022266033858</v>
      </c>
      <c r="H22" s="8">
        <v>0.55</v>
      </c>
      <c r="I22" s="17">
        <f t="shared" si="38"/>
        <v>0.2475</v>
      </c>
      <c r="J22" s="48">
        <f t="shared" si="39"/>
        <v>0.30739663018098</v>
      </c>
      <c r="K22" s="49">
        <v>22.1925</v>
      </c>
      <c r="L22" s="44">
        <v>21.952</v>
      </c>
      <c r="M22" s="48">
        <f t="shared" si="35"/>
        <v>20.3156929912089</v>
      </c>
      <c r="N22" s="48">
        <f t="shared" si="40"/>
        <v>20.0082963610279</v>
      </c>
      <c r="O22" s="17">
        <f t="shared" si="49"/>
        <v>20.5181929912089</v>
      </c>
      <c r="P22" s="17">
        <f t="shared" si="41"/>
        <v>20.2107963610279</v>
      </c>
      <c r="Q22" s="17">
        <f t="shared" si="50"/>
        <v>20.0681929912089</v>
      </c>
      <c r="R22" s="17">
        <f t="shared" si="42"/>
        <v>19.7607963610279</v>
      </c>
      <c r="S22" s="48">
        <f t="shared" si="51"/>
        <v>1.67430700879109</v>
      </c>
      <c r="T22" s="48">
        <f t="shared" si="43"/>
        <v>1.74120363897207</v>
      </c>
      <c r="U22" s="1">
        <f t="shared" si="44"/>
        <v>1.67096374795646</v>
      </c>
      <c r="V22" s="1">
        <f t="shared" si="45"/>
        <v>0.0896296636406479</v>
      </c>
      <c r="W22" s="1">
        <f t="shared" si="46"/>
        <v>0.751933686580405</v>
      </c>
      <c r="X22" s="1">
        <f t="shared" si="47"/>
        <v>0.11919889378578</v>
      </c>
      <c r="XFD22"/>
    </row>
    <row r="23" s="1" customFormat="1" spans="1:16384">
      <c r="A23" s="32" t="s">
        <v>112</v>
      </c>
      <c r="B23" s="31">
        <v>209.449</v>
      </c>
      <c r="C23" s="27">
        <v>64.8625</v>
      </c>
      <c r="D23" s="30">
        <v>450</v>
      </c>
      <c r="E23" s="20">
        <f>(($V$2*G23)/((V23/W23)^(2/3)))^2</f>
        <v>0.00156046081504243</v>
      </c>
      <c r="F23" s="17">
        <f t="shared" si="36"/>
        <v>1.56046081504243</v>
      </c>
      <c r="G23" s="17">
        <f t="shared" si="37"/>
        <v>0.692604543942697</v>
      </c>
      <c r="H23" s="8">
        <v>0.57</v>
      </c>
      <c r="I23" s="17">
        <f t="shared" si="38"/>
        <v>0.2565</v>
      </c>
      <c r="J23" s="48">
        <f t="shared" si="39"/>
        <v>0.326836957249823</v>
      </c>
      <c r="K23" s="49">
        <v>21.952</v>
      </c>
      <c r="L23" s="44">
        <v>21.959</v>
      </c>
      <c r="M23" s="48">
        <f t="shared" si="35"/>
        <v>20.0082963610279</v>
      </c>
      <c r="N23" s="48">
        <f t="shared" si="40"/>
        <v>19.6814594037781</v>
      </c>
      <c r="O23" s="17">
        <f t="shared" si="49"/>
        <v>20.2017963610279</v>
      </c>
      <c r="P23" s="17">
        <f t="shared" si="41"/>
        <v>19.8749594037781</v>
      </c>
      <c r="Q23" s="17">
        <f t="shared" si="50"/>
        <v>19.7517963610279</v>
      </c>
      <c r="R23" s="17">
        <f t="shared" si="42"/>
        <v>19.4249594037781</v>
      </c>
      <c r="S23" s="48">
        <f t="shared" si="51"/>
        <v>1.75020363897207</v>
      </c>
      <c r="T23" s="48">
        <f t="shared" si="43"/>
        <v>2.08404059622189</v>
      </c>
      <c r="U23" s="1">
        <f t="shared" si="44"/>
        <v>1.71125774150475</v>
      </c>
      <c r="V23" s="1">
        <f t="shared" si="45"/>
        <v>0.093650121945152</v>
      </c>
      <c r="W23" s="1">
        <f t="shared" si="46"/>
        <v>0.770065983677139</v>
      </c>
      <c r="X23" s="1">
        <f t="shared" si="47"/>
        <v>0.121613113590557</v>
      </c>
      <c r="XFD23"/>
    </row>
    <row r="24" s="1" customFormat="1" spans="1:16384">
      <c r="A24" s="32" t="s">
        <v>113</v>
      </c>
      <c r="B24" s="31">
        <v>152.326</v>
      </c>
      <c r="C24" s="27">
        <v>69.8236</v>
      </c>
      <c r="D24" s="30">
        <v>450</v>
      </c>
      <c r="E24" s="20">
        <f>(($V$2*G24)/((V24/W24)^(2/3)))^2</f>
        <v>0.00154109255183353</v>
      </c>
      <c r="F24" s="17">
        <f t="shared" si="36"/>
        <v>1.54109255183353</v>
      </c>
      <c r="G24" s="17">
        <f t="shared" si="37"/>
        <v>0.700788677121681</v>
      </c>
      <c r="H24" s="8">
        <f t="shared" si="48"/>
        <v>0.6</v>
      </c>
      <c r="I24" s="17">
        <f t="shared" si="38"/>
        <v>0.27</v>
      </c>
      <c r="J24" s="48">
        <f t="shared" si="39"/>
        <v>0.234748464050594</v>
      </c>
      <c r="K24" s="49">
        <v>21.959</v>
      </c>
      <c r="L24" s="44">
        <v>21.6768</v>
      </c>
      <c r="M24" s="48">
        <f t="shared" si="35"/>
        <v>19.6814594037781</v>
      </c>
      <c r="N24" s="48">
        <f t="shared" si="40"/>
        <v>19.4467109397275</v>
      </c>
      <c r="O24" s="17">
        <f t="shared" si="49"/>
        <v>19.8614594037781</v>
      </c>
      <c r="P24" s="17">
        <f t="shared" si="41"/>
        <v>19.6267109397275</v>
      </c>
      <c r="Q24" s="17">
        <f t="shared" si="50"/>
        <v>19.4114594037781</v>
      </c>
      <c r="R24" s="17">
        <f t="shared" si="42"/>
        <v>19.1767109397275</v>
      </c>
      <c r="S24" s="48">
        <f t="shared" si="51"/>
        <v>2.09754059622189</v>
      </c>
      <c r="T24" s="48">
        <f t="shared" si="43"/>
        <v>2.05008906027249</v>
      </c>
      <c r="U24" s="1">
        <f t="shared" si="44"/>
        <v>1.77215424758523</v>
      </c>
      <c r="V24" s="1">
        <f t="shared" si="45"/>
        <v>0.099635742242274</v>
      </c>
      <c r="W24" s="1">
        <f t="shared" si="46"/>
        <v>0.797469411413352</v>
      </c>
      <c r="X24" s="1">
        <f t="shared" si="47"/>
        <v>0.124939892134157</v>
      </c>
      <c r="XFD24"/>
    </row>
    <row r="25" s="1" customFormat="1" spans="1:16384">
      <c r="A25" s="32" t="s">
        <v>114</v>
      </c>
      <c r="B25" s="31">
        <v>157.715</v>
      </c>
      <c r="C25" s="27">
        <v>78.5578</v>
      </c>
      <c r="D25" s="30">
        <v>450</v>
      </c>
      <c r="E25" s="20">
        <f>(($V$2*G25)/((V25/W25)^(2/3)))^2</f>
        <v>0.00195075564989694</v>
      </c>
      <c r="F25" s="17">
        <f t="shared" si="36"/>
        <v>1.95075564989694</v>
      </c>
      <c r="G25" s="17">
        <f t="shared" si="37"/>
        <v>0.788449990255295</v>
      </c>
      <c r="H25" s="8">
        <f t="shared" si="48"/>
        <v>0.6</v>
      </c>
      <c r="I25" s="17">
        <f t="shared" si="38"/>
        <v>0.27</v>
      </c>
      <c r="J25" s="48">
        <f t="shared" si="39"/>
        <v>0.307663427323496</v>
      </c>
      <c r="K25" s="49">
        <v>21.6768</v>
      </c>
      <c r="L25" s="44">
        <v>21.386</v>
      </c>
      <c r="M25" s="48">
        <f t="shared" si="35"/>
        <v>19.4467109397275</v>
      </c>
      <c r="N25" s="50">
        <f t="shared" si="40"/>
        <v>19.139047512404</v>
      </c>
      <c r="O25" s="17">
        <f t="shared" si="49"/>
        <v>19.6267109397275</v>
      </c>
      <c r="P25" s="17">
        <f t="shared" si="41"/>
        <v>19.319047512404</v>
      </c>
      <c r="Q25" s="17">
        <f t="shared" si="50"/>
        <v>19.1767109397275</v>
      </c>
      <c r="R25" s="17">
        <f t="shared" si="42"/>
        <v>18.869047512404</v>
      </c>
      <c r="S25" s="48">
        <f t="shared" si="51"/>
        <v>2.05008906027249</v>
      </c>
      <c r="T25" s="50">
        <f t="shared" si="43"/>
        <v>2.06695248759598</v>
      </c>
      <c r="U25" s="1">
        <f t="shared" si="44"/>
        <v>1.77215424758523</v>
      </c>
      <c r="V25" s="1">
        <f t="shared" si="45"/>
        <v>0.099635742242274</v>
      </c>
      <c r="W25" s="1">
        <f t="shared" si="46"/>
        <v>0.797469411413352</v>
      </c>
      <c r="X25" s="1">
        <f t="shared" si="47"/>
        <v>0.124939892134157</v>
      </c>
      <c r="XFD25"/>
    </row>
    <row r="26" s="1" customFormat="1" spans="1:16384">
      <c r="A26" s="32" t="s">
        <v>115</v>
      </c>
      <c r="B26" s="31">
        <v>162.784</v>
      </c>
      <c r="C26" s="27">
        <v>82.6442</v>
      </c>
      <c r="D26" s="30">
        <v>450</v>
      </c>
      <c r="E26" s="20">
        <f>(($V$2*G26)/((V26/W26)^(2/3)))^2</f>
        <v>0.00215898193424902</v>
      </c>
      <c r="F26" s="17">
        <f t="shared" si="36"/>
        <v>2.15898193424902</v>
      </c>
      <c r="G26" s="17">
        <f t="shared" si="37"/>
        <v>0.829463384726362</v>
      </c>
      <c r="H26" s="8">
        <f t="shared" si="48"/>
        <v>0.6</v>
      </c>
      <c r="I26" s="17">
        <f t="shared" si="38"/>
        <v>0.27</v>
      </c>
      <c r="J26" s="48">
        <f t="shared" si="39"/>
        <v>0.351447715184792</v>
      </c>
      <c r="K26" s="49">
        <v>21.386</v>
      </c>
      <c r="L26" s="49">
        <v>21.0854</v>
      </c>
      <c r="M26" s="48">
        <f t="shared" si="35"/>
        <v>19.139047512404</v>
      </c>
      <c r="N26" s="48">
        <f t="shared" si="40"/>
        <v>18.7875997972192</v>
      </c>
      <c r="O26" s="17">
        <f t="shared" si="49"/>
        <v>19.319047512404</v>
      </c>
      <c r="P26" s="17">
        <f t="shared" si="41"/>
        <v>18.9675997972192</v>
      </c>
      <c r="Q26" s="17">
        <f t="shared" si="50"/>
        <v>18.869047512404</v>
      </c>
      <c r="R26" s="17">
        <f t="shared" si="42"/>
        <v>18.5175997972192</v>
      </c>
      <c r="S26" s="48">
        <f t="shared" si="51"/>
        <v>2.06695248759598</v>
      </c>
      <c r="T26" s="48">
        <f t="shared" si="43"/>
        <v>2.11780020278078</v>
      </c>
      <c r="U26" s="1">
        <f t="shared" si="44"/>
        <v>1.77215424758523</v>
      </c>
      <c r="V26" s="1">
        <f t="shared" si="45"/>
        <v>0.099635742242274</v>
      </c>
      <c r="W26" s="1">
        <f t="shared" si="46"/>
        <v>0.797469411413352</v>
      </c>
      <c r="X26" s="1">
        <f t="shared" si="47"/>
        <v>0.124939892134157</v>
      </c>
      <c r="XFD26"/>
    </row>
    <row r="27" s="1" customFormat="1" spans="1:16384">
      <c r="A27" s="32" t="s">
        <v>116</v>
      </c>
      <c r="B27" s="31">
        <v>160.171</v>
      </c>
      <c r="C27" s="27">
        <v>88.3216</v>
      </c>
      <c r="D27" s="30">
        <v>450</v>
      </c>
      <c r="E27" s="20">
        <f>(($V$2*G27)/((V27/W27)^(2/3)))^2</f>
        <v>0.00246580145304514</v>
      </c>
      <c r="F27" s="17">
        <f t="shared" si="36"/>
        <v>2.46580145304514</v>
      </c>
      <c r="G27" s="17">
        <f t="shared" si="37"/>
        <v>0.886444944478232</v>
      </c>
      <c r="H27" s="8">
        <f t="shared" si="48"/>
        <v>0.6</v>
      </c>
      <c r="I27" s="17">
        <f t="shared" si="38"/>
        <v>0.27</v>
      </c>
      <c r="J27" s="48">
        <f t="shared" si="39"/>
        <v>0.394949884535694</v>
      </c>
      <c r="K27" s="49">
        <v>21.0854</v>
      </c>
      <c r="L27" s="44">
        <v>20.8009</v>
      </c>
      <c r="M27" s="48">
        <f t="shared" si="35"/>
        <v>18.7875997972192</v>
      </c>
      <c r="N27" s="48">
        <f t="shared" si="40"/>
        <v>18.3926499126835</v>
      </c>
      <c r="O27" s="17">
        <f t="shared" si="49"/>
        <v>18.9675997972192</v>
      </c>
      <c r="P27" s="17">
        <f t="shared" si="41"/>
        <v>18.5726499126835</v>
      </c>
      <c r="Q27" s="17">
        <f t="shared" si="50"/>
        <v>18.5175997972192</v>
      </c>
      <c r="R27" s="17">
        <f t="shared" si="42"/>
        <v>18.1226499126835</v>
      </c>
      <c r="S27" s="48">
        <f t="shared" si="51"/>
        <v>2.11780020278078</v>
      </c>
      <c r="T27" s="48">
        <f t="shared" si="43"/>
        <v>2.22825008731647</v>
      </c>
      <c r="U27" s="1">
        <f t="shared" si="44"/>
        <v>1.77215424758523</v>
      </c>
      <c r="V27" s="1">
        <f t="shared" si="45"/>
        <v>0.099635742242274</v>
      </c>
      <c r="W27" s="1">
        <f t="shared" si="46"/>
        <v>0.797469411413352</v>
      </c>
      <c r="X27" s="1">
        <f t="shared" si="47"/>
        <v>0.124939892134157</v>
      </c>
      <c r="XFD27"/>
    </row>
    <row r="28" s="1" customFormat="1" spans="1:16384">
      <c r="A28" s="32" t="s">
        <v>117</v>
      </c>
      <c r="B28" s="31">
        <v>154.196</v>
      </c>
      <c r="C28" s="27">
        <v>93.514</v>
      </c>
      <c r="D28" s="30">
        <v>450</v>
      </c>
      <c r="E28" s="20">
        <f>(($V$2*G28)/((V28/W28)^(2/3)))^2</f>
        <v>0.00276425126074715</v>
      </c>
      <c r="F28" s="17">
        <f t="shared" si="36"/>
        <v>2.76425126074715</v>
      </c>
      <c r="G28" s="17">
        <f t="shared" si="37"/>
        <v>0.938558773141987</v>
      </c>
      <c r="H28" s="8">
        <f t="shared" si="48"/>
        <v>0.6</v>
      </c>
      <c r="I28" s="17">
        <f t="shared" si="38"/>
        <v>0.27</v>
      </c>
      <c r="J28" s="48">
        <f t="shared" si="39"/>
        <v>0.426236487402167</v>
      </c>
      <c r="K28" s="49">
        <v>20.8009</v>
      </c>
      <c r="L28" s="44">
        <v>20.5316</v>
      </c>
      <c r="M28" s="48">
        <f t="shared" si="35"/>
        <v>18.3926499126835</v>
      </c>
      <c r="N28" s="48">
        <f t="shared" si="40"/>
        <v>17.9664134252814</v>
      </c>
      <c r="O28" s="17">
        <f t="shared" si="49"/>
        <v>18.5726499126835</v>
      </c>
      <c r="P28" s="17">
        <f t="shared" si="41"/>
        <v>18.1464134252814</v>
      </c>
      <c r="Q28" s="17">
        <f t="shared" si="50"/>
        <v>18.1226499126835</v>
      </c>
      <c r="R28" s="17">
        <f t="shared" si="42"/>
        <v>17.6964134252814</v>
      </c>
      <c r="S28" s="48">
        <f t="shared" si="51"/>
        <v>2.22825008731647</v>
      </c>
      <c r="T28" s="48">
        <f t="shared" si="43"/>
        <v>2.38518657471864</v>
      </c>
      <c r="U28" s="1">
        <f t="shared" si="44"/>
        <v>1.77215424758523</v>
      </c>
      <c r="V28" s="1">
        <f t="shared" si="45"/>
        <v>0.099635742242274</v>
      </c>
      <c r="W28" s="1">
        <f t="shared" si="46"/>
        <v>0.797469411413352</v>
      </c>
      <c r="X28" s="1">
        <f t="shared" si="47"/>
        <v>0.124939892134157</v>
      </c>
      <c r="XFD28"/>
    </row>
    <row r="29" s="1" customFormat="1" spans="1:16384">
      <c r="A29" s="32" t="s">
        <v>118</v>
      </c>
      <c r="B29" s="31">
        <v>152.911</v>
      </c>
      <c r="C29" s="27">
        <v>98.1352</v>
      </c>
      <c r="D29" s="30">
        <v>450</v>
      </c>
      <c r="E29" s="20">
        <f>(($V$2*G29)/((V29/W29)^(2/3)))^2</f>
        <v>0.00304420483950353</v>
      </c>
      <c r="F29" s="17">
        <f t="shared" si="36"/>
        <v>3.04420483950353</v>
      </c>
      <c r="G29" s="17">
        <f t="shared" si="37"/>
        <v>0.984939719336608</v>
      </c>
      <c r="H29" s="8">
        <f t="shared" si="48"/>
        <v>0.6</v>
      </c>
      <c r="I29" s="17">
        <f t="shared" si="38"/>
        <v>0.27</v>
      </c>
      <c r="J29" s="48">
        <f t="shared" si="39"/>
        <v>0.465492406213325</v>
      </c>
      <c r="K29" s="49">
        <v>20.5316</v>
      </c>
      <c r="L29" s="44">
        <v>20.2651</v>
      </c>
      <c r="M29" s="48">
        <f t="shared" si="35"/>
        <v>17.9664134252814</v>
      </c>
      <c r="N29" s="48">
        <f t="shared" si="40"/>
        <v>17.500921019068</v>
      </c>
      <c r="O29" s="17">
        <f t="shared" si="49"/>
        <v>18.1464134252814</v>
      </c>
      <c r="P29" s="17">
        <f t="shared" si="41"/>
        <v>17.680921019068</v>
      </c>
      <c r="Q29" s="17">
        <f t="shared" si="50"/>
        <v>17.6964134252814</v>
      </c>
      <c r="R29" s="17">
        <f t="shared" si="42"/>
        <v>17.230921019068</v>
      </c>
      <c r="S29" s="48">
        <f t="shared" si="51"/>
        <v>2.38518657471864</v>
      </c>
      <c r="T29" s="48">
        <f t="shared" si="43"/>
        <v>2.58417898093197</v>
      </c>
      <c r="U29" s="1">
        <f t="shared" si="44"/>
        <v>1.77215424758523</v>
      </c>
      <c r="V29" s="1">
        <f t="shared" si="45"/>
        <v>0.099635742242274</v>
      </c>
      <c r="W29" s="1">
        <f t="shared" si="46"/>
        <v>0.797469411413352</v>
      </c>
      <c r="X29" s="1">
        <f t="shared" si="47"/>
        <v>0.124939892134157</v>
      </c>
      <c r="XFD29"/>
    </row>
    <row r="30" s="1" customFormat="1" spans="1:16384">
      <c r="A30" s="32" t="s">
        <v>119</v>
      </c>
      <c r="B30" s="31">
        <v>138.283</v>
      </c>
      <c r="C30" s="27">
        <v>102.1732</v>
      </c>
      <c r="D30" s="30">
        <v>450</v>
      </c>
      <c r="E30" s="20">
        <f>(($V$2*G30)/((V30/W30)^(2/3)))^2</f>
        <v>0.00329988069913178</v>
      </c>
      <c r="F30" s="17">
        <f t="shared" si="36"/>
        <v>3.29988069913178</v>
      </c>
      <c r="G30" s="17">
        <f t="shared" si="37"/>
        <v>1.02546734435476</v>
      </c>
      <c r="H30" s="8">
        <f t="shared" si="48"/>
        <v>0.6</v>
      </c>
      <c r="I30" s="17">
        <f t="shared" si="38"/>
        <v>0.27</v>
      </c>
      <c r="J30" s="48">
        <f t="shared" si="39"/>
        <v>0.45631740271804</v>
      </c>
      <c r="K30" s="49">
        <v>20.2651</v>
      </c>
      <c r="L30" s="44">
        <v>20.0253</v>
      </c>
      <c r="M30" s="48">
        <f t="shared" si="35"/>
        <v>17.500921019068</v>
      </c>
      <c r="N30" s="48">
        <f t="shared" si="40"/>
        <v>17.04460361635</v>
      </c>
      <c r="O30" s="17">
        <f t="shared" si="49"/>
        <v>17.680921019068</v>
      </c>
      <c r="P30" s="17">
        <f t="shared" si="41"/>
        <v>17.22460361635</v>
      </c>
      <c r="Q30" s="17">
        <f t="shared" si="50"/>
        <v>17.230921019068</v>
      </c>
      <c r="R30" s="17">
        <f t="shared" si="42"/>
        <v>16.77460361635</v>
      </c>
      <c r="S30" s="48">
        <f t="shared" si="51"/>
        <v>2.58417898093197</v>
      </c>
      <c r="T30" s="48">
        <f t="shared" si="43"/>
        <v>2.80069638365001</v>
      </c>
      <c r="U30" s="1">
        <f t="shared" si="44"/>
        <v>1.77215424758523</v>
      </c>
      <c r="V30" s="1">
        <f t="shared" si="45"/>
        <v>0.099635742242274</v>
      </c>
      <c r="W30" s="1">
        <f t="shared" si="46"/>
        <v>0.797469411413352</v>
      </c>
      <c r="X30" s="1">
        <f t="shared" si="47"/>
        <v>0.124939892134157</v>
      </c>
      <c r="XFD30"/>
    </row>
    <row r="31" s="1" customFormat="1" spans="1:16384">
      <c r="A31" s="32" t="s">
        <v>120</v>
      </c>
      <c r="B31" s="31">
        <v>143.043</v>
      </c>
      <c r="C31" s="27">
        <v>105.7131</v>
      </c>
      <c r="D31" s="30">
        <v>450</v>
      </c>
      <c r="E31" s="20">
        <f>(($V$2*G31)/((V31/W31)^(2/3)))^2</f>
        <v>0.00353249751760403</v>
      </c>
      <c r="F31" s="17">
        <f t="shared" si="36"/>
        <v>3.53249751760403</v>
      </c>
      <c r="G31" s="17">
        <f t="shared" si="37"/>
        <v>1.06099575936262</v>
      </c>
      <c r="H31" s="8">
        <f t="shared" si="48"/>
        <v>0.6</v>
      </c>
      <c r="I31" s="17">
        <f t="shared" si="38"/>
        <v>0.27</v>
      </c>
      <c r="J31" s="48">
        <f t="shared" si="39"/>
        <v>0.505299042410634</v>
      </c>
      <c r="K31" s="49">
        <v>20.0253</v>
      </c>
      <c r="L31" s="44">
        <v>19.5063</v>
      </c>
      <c r="M31" s="48">
        <f t="shared" si="35"/>
        <v>17.04460361635</v>
      </c>
      <c r="N31" s="50">
        <f t="shared" si="40"/>
        <v>16.5393045739394</v>
      </c>
      <c r="O31" s="17">
        <f t="shared" si="49"/>
        <v>17.22460361635</v>
      </c>
      <c r="P31" s="17">
        <f t="shared" si="41"/>
        <v>16.7193045739394</v>
      </c>
      <c r="Q31" s="17">
        <f t="shared" si="50"/>
        <v>16.77460361635</v>
      </c>
      <c r="R31" s="17">
        <f t="shared" si="42"/>
        <v>16.2693045739394</v>
      </c>
      <c r="S31" s="48">
        <f t="shared" si="51"/>
        <v>2.80069638365001</v>
      </c>
      <c r="T31" s="50">
        <f t="shared" si="43"/>
        <v>2.78699542606064</v>
      </c>
      <c r="U31" s="1">
        <f t="shared" si="44"/>
        <v>1.77215424758523</v>
      </c>
      <c r="V31" s="1">
        <f t="shared" si="45"/>
        <v>0.099635742242274</v>
      </c>
      <c r="W31" s="1">
        <f t="shared" si="46"/>
        <v>0.797469411413352</v>
      </c>
      <c r="X31" s="1">
        <f t="shared" si="47"/>
        <v>0.124939892134157</v>
      </c>
      <c r="XFD31"/>
    </row>
    <row r="32" s="1" customFormat="1" spans="1:16384">
      <c r="A32" s="33"/>
      <c r="B32" s="34"/>
      <c r="C32" s="35"/>
      <c r="D32" s="36"/>
      <c r="E32" s="37"/>
      <c r="F32" s="38"/>
      <c r="G32" s="38"/>
      <c r="H32" s="2"/>
      <c r="I32" s="38"/>
      <c r="J32" s="51"/>
      <c r="K32" s="52"/>
      <c r="L32" s="3"/>
      <c r="M32" s="48"/>
      <c r="N32" s="48"/>
      <c r="O32" s="17"/>
      <c r="P32" s="17"/>
      <c r="Q32" s="53"/>
      <c r="R32" s="53"/>
      <c r="S32" s="50"/>
      <c r="T32" s="50"/>
      <c r="XFD32"/>
    </row>
    <row r="33" s="1" customFormat="1" spans="1:16384">
      <c r="A33" s="25" t="s">
        <v>39</v>
      </c>
      <c r="B33" s="26">
        <v>551.616</v>
      </c>
      <c r="C33" s="27">
        <v>5.8814</v>
      </c>
      <c r="D33" s="30">
        <v>200</v>
      </c>
      <c r="E33" s="20">
        <f>(($V$2*G33)/((V33/W33)^(2/3)))^2</f>
        <v>0.00328394709221291</v>
      </c>
      <c r="F33" s="17">
        <f t="shared" ref="F33:F46" si="52">E33*1000</f>
        <v>3.28394709221291</v>
      </c>
      <c r="G33" s="17">
        <f t="shared" ref="G33:G46" si="53">C33/V33/1000</f>
        <v>0.501193363015997</v>
      </c>
      <c r="H33" s="8">
        <v>0.4</v>
      </c>
      <c r="I33" s="17">
        <f t="shared" ref="I33:I46" si="54">H33*D33/1000</f>
        <v>0.08</v>
      </c>
      <c r="J33" s="48">
        <f t="shared" ref="J33:J46" si="55">E33*B33</f>
        <v>1.81147775921812</v>
      </c>
      <c r="K33" s="49">
        <v>21.9585</v>
      </c>
      <c r="L33" s="44">
        <v>21.6762</v>
      </c>
      <c r="M33" s="48">
        <f>Q33+J33</f>
        <v>22.6699777592181</v>
      </c>
      <c r="N33" s="48">
        <f t="shared" ref="N33:N46" si="56">M33-J33</f>
        <v>20.8585</v>
      </c>
      <c r="O33" s="17">
        <f>K33-S33</f>
        <v>21.0585</v>
      </c>
      <c r="P33" s="17">
        <f t="shared" ref="P33:P46" si="57">O33-J33</f>
        <v>19.2470222407819</v>
      </c>
      <c r="Q33" s="53">
        <f>O33-D33/1000</f>
        <v>20.8585</v>
      </c>
      <c r="R33" s="53">
        <f t="shared" ref="R33:R46" si="58">P33-D33/1000</f>
        <v>19.0470222407819</v>
      </c>
      <c r="S33" s="50">
        <f>0.7+D33/1000</f>
        <v>0.9</v>
      </c>
      <c r="T33" s="50">
        <f t="shared" ref="T33:T46" si="59">L33-P33</f>
        <v>2.42917775921812</v>
      </c>
      <c r="U33" s="1">
        <f t="shared" ref="U33:U46" si="60">ACOS((D33/2-D33*H33)/(D33/2))</f>
        <v>1.36943840600457</v>
      </c>
      <c r="V33" s="1">
        <f t="shared" ref="V33:V46" si="61">(U33-SIN(U33)*COS(U33))*((D33/1000)/2)^2</f>
        <v>0.0117347922658191</v>
      </c>
      <c r="W33" s="1">
        <f t="shared" ref="W33:W46" si="62">U33*(D33/1000)</f>
        <v>0.273887681200913</v>
      </c>
      <c r="X33" s="1">
        <f t="shared" ref="X33:X46" si="63">V33/W33</f>
        <v>0.0428452722457822</v>
      </c>
      <c r="XFD33"/>
    </row>
    <row r="34" s="1" customFormat="1" spans="1:16384">
      <c r="A34" s="39" t="s">
        <v>121</v>
      </c>
      <c r="B34" s="40">
        <v>150.726</v>
      </c>
      <c r="C34" s="27">
        <v>9.5582</v>
      </c>
      <c r="D34" s="30">
        <v>250</v>
      </c>
      <c r="E34" s="20">
        <f>(($V$2*G34)/((V34/W34)^(2/3)))^2</f>
        <v>0.00263835688767119</v>
      </c>
      <c r="F34" s="17">
        <f t="shared" si="52"/>
        <v>2.63835688767119</v>
      </c>
      <c r="G34" s="17">
        <f t="shared" si="53"/>
        <v>0.521291545809311</v>
      </c>
      <c r="H34" s="8">
        <v>0.4</v>
      </c>
      <c r="I34" s="17">
        <f t="shared" si="54"/>
        <v>0.1</v>
      </c>
      <c r="J34" s="48">
        <f t="shared" si="55"/>
        <v>0.397668980251127</v>
      </c>
      <c r="K34" s="49">
        <v>21.6762</v>
      </c>
      <c r="L34" s="44">
        <v>21.3933</v>
      </c>
      <c r="M34" s="48">
        <f t="shared" ref="M34:M46" si="64">Q34+I34</f>
        <v>19.1270222407819</v>
      </c>
      <c r="N34" s="48">
        <f t="shared" si="56"/>
        <v>18.7293532605308</v>
      </c>
      <c r="O34" s="17">
        <f t="shared" ref="O34:O46" si="65">P33-I34+I33+(D34-D33)/1000</f>
        <v>19.2770222407819</v>
      </c>
      <c r="P34" s="17">
        <f t="shared" si="57"/>
        <v>18.8793532605308</v>
      </c>
      <c r="Q34" s="53">
        <f t="shared" ref="Q34:Q46" si="66">IF(O34-D34/1000&lt;=R33,O34-D34/1000)</f>
        <v>19.0270222407819</v>
      </c>
      <c r="R34" s="53">
        <f t="shared" si="58"/>
        <v>18.6293532605308</v>
      </c>
      <c r="S34" s="50">
        <f t="shared" ref="S34:S46" si="67">K34-O34</f>
        <v>2.39917775921812</v>
      </c>
      <c r="T34" s="50">
        <f t="shared" si="59"/>
        <v>2.51394673946924</v>
      </c>
      <c r="U34" s="1">
        <f t="shared" si="60"/>
        <v>1.36943840600457</v>
      </c>
      <c r="V34" s="1">
        <f t="shared" si="61"/>
        <v>0.0183356129153424</v>
      </c>
      <c r="W34" s="1">
        <f t="shared" si="62"/>
        <v>0.342359601501141</v>
      </c>
      <c r="X34" s="1">
        <f t="shared" si="63"/>
        <v>0.0535565903072277</v>
      </c>
      <c r="XFD34"/>
    </row>
    <row r="35" s="1" customFormat="1" spans="1:16384">
      <c r="A35" s="39" t="s">
        <v>122</v>
      </c>
      <c r="B35" s="40">
        <v>160.473</v>
      </c>
      <c r="C35" s="27">
        <v>13.3883</v>
      </c>
      <c r="D35" s="30">
        <v>250</v>
      </c>
      <c r="E35" s="20">
        <f>(($V$2*G35)/((V35/W35)^(2/3)))^2</f>
        <v>0.00235136714742999</v>
      </c>
      <c r="F35" s="17">
        <f t="shared" si="52"/>
        <v>2.35136714742999</v>
      </c>
      <c r="G35" s="17">
        <f t="shared" si="53"/>
        <v>0.545488415896889</v>
      </c>
      <c r="H35" s="8">
        <f t="shared" ref="H34:H40" si="68">IF(D35&lt;350,0.5,IF(D35&lt;500,0.6,IF(D35&lt;1000,0.675,0.725)))</f>
        <v>0.5</v>
      </c>
      <c r="I35" s="17">
        <f t="shared" si="54"/>
        <v>0.125</v>
      </c>
      <c r="J35" s="48">
        <f t="shared" si="55"/>
        <v>0.377330940249533</v>
      </c>
      <c r="K35" s="49">
        <v>21.3933</v>
      </c>
      <c r="L35" s="44">
        <v>21.0758</v>
      </c>
      <c r="M35" s="48">
        <f t="shared" si="64"/>
        <v>18.7293532605308</v>
      </c>
      <c r="N35" s="48">
        <f t="shared" si="56"/>
        <v>18.3520223202812</v>
      </c>
      <c r="O35" s="17">
        <f t="shared" si="65"/>
        <v>18.8543532605308</v>
      </c>
      <c r="P35" s="17">
        <f t="shared" si="57"/>
        <v>18.4770223202812</v>
      </c>
      <c r="Q35" s="53">
        <f t="shared" si="66"/>
        <v>18.6043532605308</v>
      </c>
      <c r="R35" s="53">
        <f t="shared" si="58"/>
        <v>18.2270223202812</v>
      </c>
      <c r="S35" s="50">
        <f t="shared" si="67"/>
        <v>2.53894673946924</v>
      </c>
      <c r="T35" s="50">
        <f t="shared" si="59"/>
        <v>2.59877767971878</v>
      </c>
      <c r="U35" s="1">
        <f t="shared" si="60"/>
        <v>1.5707963267949</v>
      </c>
      <c r="V35" s="1">
        <f t="shared" si="61"/>
        <v>0.0245436926061703</v>
      </c>
      <c r="W35" s="1">
        <f t="shared" si="62"/>
        <v>0.392699081698724</v>
      </c>
      <c r="X35" s="1">
        <f t="shared" si="63"/>
        <v>0.0625</v>
      </c>
      <c r="XFD35"/>
    </row>
    <row r="36" s="1" customFormat="1" spans="1:16384">
      <c r="A36" s="39" t="s">
        <v>123</v>
      </c>
      <c r="B36" s="40">
        <v>161.617</v>
      </c>
      <c r="C36" s="27">
        <v>17.2326</v>
      </c>
      <c r="D36" s="30">
        <v>300</v>
      </c>
      <c r="E36" s="20">
        <f>(($V$2*G36)/((V36/W36)^(2/3)))^2</f>
        <v>0.0021228508445792</v>
      </c>
      <c r="F36" s="17">
        <f t="shared" si="52"/>
        <v>2.1228508445792</v>
      </c>
      <c r="G36" s="17">
        <f t="shared" si="53"/>
        <v>0.558585431640826</v>
      </c>
      <c r="H36" s="8">
        <v>0.45</v>
      </c>
      <c r="I36" s="17">
        <f t="shared" si="54"/>
        <v>0.135</v>
      </c>
      <c r="J36" s="48">
        <f t="shared" si="55"/>
        <v>0.343088784948357</v>
      </c>
      <c r="K36" s="49">
        <v>21.0758</v>
      </c>
      <c r="L36" s="44">
        <v>20.7344</v>
      </c>
      <c r="M36" s="48">
        <f t="shared" si="64"/>
        <v>18.3520223202812</v>
      </c>
      <c r="N36" s="48">
        <f t="shared" si="56"/>
        <v>18.0089335353329</v>
      </c>
      <c r="O36" s="17">
        <f t="shared" si="65"/>
        <v>18.5170223202812</v>
      </c>
      <c r="P36" s="17">
        <f t="shared" si="57"/>
        <v>18.1739335353329</v>
      </c>
      <c r="Q36" s="53">
        <f t="shared" si="66"/>
        <v>18.2170223202812</v>
      </c>
      <c r="R36" s="53">
        <f t="shared" si="58"/>
        <v>17.8739335353329</v>
      </c>
      <c r="S36" s="50">
        <f t="shared" si="67"/>
        <v>2.55877767971878</v>
      </c>
      <c r="T36" s="50">
        <f t="shared" si="59"/>
        <v>2.56046646466713</v>
      </c>
      <c r="U36" s="1">
        <f t="shared" si="60"/>
        <v>1.47062890563334</v>
      </c>
      <c r="V36" s="1">
        <f t="shared" si="61"/>
        <v>0.0308504286432602</v>
      </c>
      <c r="W36" s="1">
        <f t="shared" si="62"/>
        <v>0.441188671690001</v>
      </c>
      <c r="X36" s="1">
        <f t="shared" si="63"/>
        <v>0.069925704404616</v>
      </c>
      <c r="XFD36"/>
    </row>
    <row r="37" s="1" customFormat="1" spans="1:16384">
      <c r="A37" s="39" t="s">
        <v>124</v>
      </c>
      <c r="B37" s="40">
        <v>154.895</v>
      </c>
      <c r="C37" s="27">
        <v>20.8066</v>
      </c>
      <c r="D37" s="30">
        <v>300</v>
      </c>
      <c r="E37" s="20">
        <f>(($V$2*G37)/((V37/W37)^(2/3)))^2</f>
        <v>0.00214769117560133</v>
      </c>
      <c r="F37" s="17">
        <f t="shared" si="52"/>
        <v>2.14769117560133</v>
      </c>
      <c r="G37" s="17">
        <f t="shared" si="53"/>
        <v>0.588706353588592</v>
      </c>
      <c r="H37" s="8">
        <f t="shared" si="68"/>
        <v>0.5</v>
      </c>
      <c r="I37" s="17">
        <f t="shared" si="54"/>
        <v>0.15</v>
      </c>
      <c r="J37" s="48">
        <f t="shared" si="55"/>
        <v>0.332666624644768</v>
      </c>
      <c r="K37" s="49">
        <v>20.7344</v>
      </c>
      <c r="L37" s="44">
        <v>20.5342</v>
      </c>
      <c r="M37" s="48">
        <f t="shared" si="64"/>
        <v>18.0089335353329</v>
      </c>
      <c r="N37" s="48">
        <f t="shared" si="56"/>
        <v>17.6762669106881</v>
      </c>
      <c r="O37" s="17">
        <f t="shared" si="65"/>
        <v>18.1589335353329</v>
      </c>
      <c r="P37" s="17">
        <f t="shared" si="57"/>
        <v>17.8262669106881</v>
      </c>
      <c r="Q37" s="53">
        <f t="shared" si="66"/>
        <v>17.8589335353329</v>
      </c>
      <c r="R37" s="53">
        <f t="shared" si="58"/>
        <v>17.5262669106881</v>
      </c>
      <c r="S37" s="50">
        <f t="shared" si="67"/>
        <v>2.57546646466713</v>
      </c>
      <c r="T37" s="50">
        <f t="shared" si="59"/>
        <v>2.7079330893119</v>
      </c>
      <c r="U37" s="1">
        <f t="shared" si="60"/>
        <v>1.5707963267949</v>
      </c>
      <c r="V37" s="1">
        <f t="shared" si="61"/>
        <v>0.0353429173528852</v>
      </c>
      <c r="W37" s="1">
        <f t="shared" si="62"/>
        <v>0.471238898038469</v>
      </c>
      <c r="X37" s="1">
        <f t="shared" si="63"/>
        <v>0.075</v>
      </c>
      <c r="XFD37"/>
    </row>
    <row r="38" s="1" customFormat="1" spans="1:16384">
      <c r="A38" s="39" t="s">
        <v>125</v>
      </c>
      <c r="B38" s="40">
        <v>146.025</v>
      </c>
      <c r="C38" s="27">
        <v>24.112</v>
      </c>
      <c r="D38" s="30">
        <v>300</v>
      </c>
      <c r="E38" s="20">
        <f>(($V$2*G38)/((V38/W38)^(2/3)))^2</f>
        <v>0.00288427102083529</v>
      </c>
      <c r="F38" s="17">
        <f t="shared" si="52"/>
        <v>2.88427102083529</v>
      </c>
      <c r="G38" s="17">
        <f t="shared" si="53"/>
        <v>0.682230042281205</v>
      </c>
      <c r="H38" s="8">
        <f t="shared" si="68"/>
        <v>0.5</v>
      </c>
      <c r="I38" s="17">
        <f t="shared" si="54"/>
        <v>0.15</v>
      </c>
      <c r="J38" s="48">
        <f t="shared" si="55"/>
        <v>0.421175675817473</v>
      </c>
      <c r="K38" s="49">
        <v>20.5342</v>
      </c>
      <c r="L38" s="44">
        <v>20.2906</v>
      </c>
      <c r="M38" s="48">
        <f t="shared" si="64"/>
        <v>17.6762669106881</v>
      </c>
      <c r="N38" s="50">
        <f t="shared" si="56"/>
        <v>17.2550912348706</v>
      </c>
      <c r="O38" s="17">
        <f t="shared" si="65"/>
        <v>17.8262669106881</v>
      </c>
      <c r="P38" s="17">
        <f t="shared" si="57"/>
        <v>17.4050912348706</v>
      </c>
      <c r="Q38" s="53">
        <f t="shared" si="66"/>
        <v>17.5262669106881</v>
      </c>
      <c r="R38" s="53">
        <f t="shared" si="58"/>
        <v>17.1050912348706</v>
      </c>
      <c r="S38" s="50">
        <f t="shared" si="67"/>
        <v>2.7079330893119</v>
      </c>
      <c r="T38" s="50">
        <f t="shared" si="59"/>
        <v>2.88550876512937</v>
      </c>
      <c r="U38" s="1">
        <f t="shared" si="60"/>
        <v>1.5707963267949</v>
      </c>
      <c r="V38" s="1">
        <f t="shared" si="61"/>
        <v>0.0353429173528852</v>
      </c>
      <c r="W38" s="1">
        <f t="shared" si="62"/>
        <v>0.471238898038469</v>
      </c>
      <c r="X38" s="1">
        <f t="shared" si="63"/>
        <v>0.075</v>
      </c>
      <c r="XFD38"/>
    </row>
    <row r="39" s="1" customFormat="1" spans="1:16384">
      <c r="A39" s="39" t="s">
        <v>126</v>
      </c>
      <c r="B39" s="40">
        <v>161.408</v>
      </c>
      <c r="C39" s="27">
        <v>27.9042</v>
      </c>
      <c r="D39" s="30">
        <v>300</v>
      </c>
      <c r="E39" s="20">
        <f>(($V$2*G39)/((V39/W39)^(2/3)))^2</f>
        <v>0.00386285804414368</v>
      </c>
      <c r="F39" s="17">
        <f t="shared" si="52"/>
        <v>3.86285804414368</v>
      </c>
      <c r="G39" s="17">
        <f t="shared" si="53"/>
        <v>0.789527353426643</v>
      </c>
      <c r="H39" s="8">
        <f t="shared" si="68"/>
        <v>0.5</v>
      </c>
      <c r="I39" s="17">
        <f t="shared" si="54"/>
        <v>0.15</v>
      </c>
      <c r="J39" s="48">
        <f t="shared" si="55"/>
        <v>0.623496191189143</v>
      </c>
      <c r="K39" s="49">
        <v>20.2906</v>
      </c>
      <c r="L39" s="44">
        <v>20.0253</v>
      </c>
      <c r="M39" s="48">
        <f t="shared" si="64"/>
        <v>17.2550912348706</v>
      </c>
      <c r="N39" s="48">
        <f t="shared" si="56"/>
        <v>16.6315950436815</v>
      </c>
      <c r="O39" s="17">
        <f t="shared" si="65"/>
        <v>17.4050912348706</v>
      </c>
      <c r="P39" s="17">
        <f t="shared" si="57"/>
        <v>16.7815950436815</v>
      </c>
      <c r="Q39" s="53">
        <f t="shared" si="66"/>
        <v>17.1050912348706</v>
      </c>
      <c r="R39" s="53">
        <f t="shared" si="58"/>
        <v>16.4815950436815</v>
      </c>
      <c r="S39" s="50">
        <f t="shared" si="67"/>
        <v>2.88550876512937</v>
      </c>
      <c r="T39" s="50">
        <f t="shared" si="59"/>
        <v>3.24370495631852</v>
      </c>
      <c r="U39" s="1">
        <f t="shared" si="60"/>
        <v>1.5707963267949</v>
      </c>
      <c r="V39" s="1">
        <f t="shared" si="61"/>
        <v>0.0353429173528852</v>
      </c>
      <c r="W39" s="1">
        <f t="shared" si="62"/>
        <v>0.471238898038469</v>
      </c>
      <c r="X39" s="1">
        <f t="shared" si="63"/>
        <v>0.075</v>
      </c>
      <c r="XFD39"/>
    </row>
    <row r="40" s="1" customFormat="1" spans="1:16384">
      <c r="A40" s="39" t="s">
        <v>127</v>
      </c>
      <c r="B40" s="40">
        <v>137.831</v>
      </c>
      <c r="C40" s="27">
        <v>31.0893</v>
      </c>
      <c r="D40" s="30">
        <v>300</v>
      </c>
      <c r="E40" s="20">
        <f>(($V$2*G40)/((V40/W40)^(2/3)))^2</f>
        <v>0.00479503171384657</v>
      </c>
      <c r="F40" s="17">
        <f t="shared" si="52"/>
        <v>4.79503171384657</v>
      </c>
      <c r="G40" s="17">
        <f t="shared" si="53"/>
        <v>0.879647248402998</v>
      </c>
      <c r="H40" s="8">
        <f t="shared" si="68"/>
        <v>0.5</v>
      </c>
      <c r="I40" s="17">
        <f t="shared" si="54"/>
        <v>0.15</v>
      </c>
      <c r="J40" s="48">
        <f t="shared" si="55"/>
        <v>0.660904016151187</v>
      </c>
      <c r="K40" s="49">
        <v>20.0253</v>
      </c>
      <c r="L40" s="44">
        <v>19.5435</v>
      </c>
      <c r="M40" s="48">
        <f t="shared" si="64"/>
        <v>16.6315950436815</v>
      </c>
      <c r="N40" s="48">
        <f t="shared" si="56"/>
        <v>15.9706910275303</v>
      </c>
      <c r="O40" s="17">
        <f t="shared" si="65"/>
        <v>16.7815950436815</v>
      </c>
      <c r="P40" s="17">
        <f t="shared" si="57"/>
        <v>16.1206910275303</v>
      </c>
      <c r="Q40" s="53">
        <f t="shared" si="66"/>
        <v>16.4815950436815</v>
      </c>
      <c r="R40" s="53">
        <f t="shared" si="58"/>
        <v>15.8206910275303</v>
      </c>
      <c r="S40" s="50">
        <f t="shared" si="67"/>
        <v>3.24370495631852</v>
      </c>
      <c r="T40" s="50">
        <f t="shared" si="59"/>
        <v>3.4228089724697</v>
      </c>
      <c r="U40" s="1">
        <f t="shared" si="60"/>
        <v>1.5707963267949</v>
      </c>
      <c r="V40" s="1">
        <f t="shared" si="61"/>
        <v>0.0353429173528852</v>
      </c>
      <c r="W40" s="1">
        <f t="shared" si="62"/>
        <v>0.471238898038469</v>
      </c>
      <c r="X40" s="1">
        <f t="shared" si="63"/>
        <v>0.075</v>
      </c>
      <c r="XFD40"/>
    </row>
    <row r="41" s="1" customFormat="1" spans="4:16384">
      <c r="D41" s="2"/>
      <c r="H41" s="2"/>
      <c r="K41" s="3"/>
      <c r="L41" s="3"/>
      <c r="XFD41"/>
    </row>
    <row r="42" s="1" customFormat="1" spans="1:16384">
      <c r="A42" s="25" t="s">
        <v>39</v>
      </c>
      <c r="B42" s="26">
        <v>542.57</v>
      </c>
      <c r="C42" s="27">
        <v>7.4312</v>
      </c>
      <c r="D42" s="30">
        <v>200</v>
      </c>
      <c r="E42" s="20">
        <f>(($V$2*G42)/((V42/W42)^(2/3)))^2</f>
        <v>0.00343154064716981</v>
      </c>
      <c r="F42" s="17">
        <f t="shared" ref="F42:F55" si="69">E42*1000</f>
        <v>3.43154064716981</v>
      </c>
      <c r="G42" s="17">
        <f t="shared" ref="G42:G55" si="70">C42/V42/1000</f>
        <v>0.541976262091672</v>
      </c>
      <c r="H42" s="8">
        <v>0.45</v>
      </c>
      <c r="I42" s="17">
        <f t="shared" ref="I42:I55" si="71">H42*D42/1000</f>
        <v>0.09</v>
      </c>
      <c r="J42" s="48">
        <f t="shared" ref="J42:J55" si="72">E42*B42</f>
        <v>1.86185100893492</v>
      </c>
      <c r="K42" s="49">
        <v>22.6087</v>
      </c>
      <c r="L42" s="44">
        <v>22.244</v>
      </c>
      <c r="M42" s="48">
        <f>Q42+J42</f>
        <v>23.3705510089349</v>
      </c>
      <c r="N42" s="50">
        <f t="shared" ref="N42:N55" si="73">M42-J42</f>
        <v>21.5087</v>
      </c>
      <c r="O42" s="53">
        <f>K42-S42</f>
        <v>21.7087</v>
      </c>
      <c r="P42" s="53">
        <f t="shared" ref="P42:P55" si="74">O42-J42</f>
        <v>19.8468489910651</v>
      </c>
      <c r="Q42" s="53">
        <f>O42-D42/1000</f>
        <v>21.5087</v>
      </c>
      <c r="R42" s="53">
        <f t="shared" ref="R42:R55" si="75">P42-D42/1000</f>
        <v>19.6468489910651</v>
      </c>
      <c r="S42" s="50">
        <f>0.7+D42/1000</f>
        <v>0.9</v>
      </c>
      <c r="T42" s="50">
        <f t="shared" ref="T42:T55" si="76">L42-P42</f>
        <v>2.39715100893492</v>
      </c>
      <c r="U42" s="1">
        <f t="shared" ref="U42:U55" si="77">ACOS((D42/2-D42*H42)/(D42/2))</f>
        <v>1.47062890563334</v>
      </c>
      <c r="V42" s="1">
        <f t="shared" ref="V42:V55" si="78">(U42-SIN(U42)*COS(U42))*((D42/1000)/2)^2</f>
        <v>0.0137113016192268</v>
      </c>
      <c r="W42" s="1">
        <f t="shared" ref="W42:W55" si="79">U42*(D42/1000)</f>
        <v>0.294125781126667</v>
      </c>
      <c r="X42" s="1">
        <f t="shared" ref="X42:X55" si="80">V42/W42</f>
        <v>0.046617136269744</v>
      </c>
      <c r="XFD42"/>
    </row>
    <row r="43" s="1" customFormat="1" spans="1:16384">
      <c r="A43" s="41" t="s">
        <v>128</v>
      </c>
      <c r="B43" s="42">
        <v>221.236</v>
      </c>
      <c r="C43" s="27">
        <v>15.9961</v>
      </c>
      <c r="D43" s="30">
        <v>300</v>
      </c>
      <c r="E43" s="20">
        <f>(($V$2*G43)/((V43/W43)^(2/3)))^2</f>
        <v>0.00279453502038828</v>
      </c>
      <c r="F43" s="17">
        <f t="shared" si="69"/>
        <v>2.79453502038828</v>
      </c>
      <c r="G43" s="17">
        <f t="shared" si="70"/>
        <v>0.605837548440107</v>
      </c>
      <c r="H43" s="8">
        <v>0.4</v>
      </c>
      <c r="I43" s="17">
        <f t="shared" si="71"/>
        <v>0.12</v>
      </c>
      <c r="J43" s="48">
        <f t="shared" si="72"/>
        <v>0.618251749770622</v>
      </c>
      <c r="K43" s="49">
        <v>22.244</v>
      </c>
      <c r="L43" s="44">
        <v>21.944</v>
      </c>
      <c r="M43" s="48">
        <f t="shared" ref="M43:M55" si="81">Q43+I43</f>
        <v>19.7368489910651</v>
      </c>
      <c r="N43" s="50">
        <f t="shared" si="73"/>
        <v>19.1185972412945</v>
      </c>
      <c r="O43" s="53">
        <f t="shared" ref="O43:O55" si="82">P42-I43+I42+(D43-D42)/1000</f>
        <v>19.9168489910651</v>
      </c>
      <c r="P43" s="53">
        <f t="shared" si="74"/>
        <v>19.2985972412945</v>
      </c>
      <c r="Q43" s="53">
        <f t="shared" ref="Q43:Q55" si="83">IF(O43-D43/1000&lt;=R42,O43-D43/1000)</f>
        <v>19.6168489910651</v>
      </c>
      <c r="R43" s="53">
        <f t="shared" si="75"/>
        <v>18.9985972412945</v>
      </c>
      <c r="S43" s="50">
        <f t="shared" ref="S43:S55" si="84">K43-O43</f>
        <v>2.32715100893492</v>
      </c>
      <c r="T43" s="50">
        <f t="shared" si="76"/>
        <v>2.64540275870554</v>
      </c>
      <c r="U43" s="1">
        <f t="shared" si="77"/>
        <v>1.36943840600457</v>
      </c>
      <c r="V43" s="1">
        <f t="shared" si="78"/>
        <v>0.026403282598093</v>
      </c>
      <c r="W43" s="1">
        <f t="shared" si="79"/>
        <v>0.41083152180137</v>
      </c>
      <c r="X43" s="1">
        <f t="shared" si="80"/>
        <v>0.0642679083686732</v>
      </c>
      <c r="XFD43"/>
    </row>
    <row r="44" s="1" customFormat="1" spans="1:16384">
      <c r="A44" s="39" t="s">
        <v>129</v>
      </c>
      <c r="B44" s="42">
        <v>152.889</v>
      </c>
      <c r="C44" s="27">
        <v>24.2986</v>
      </c>
      <c r="D44" s="30">
        <v>350</v>
      </c>
      <c r="E44" s="20">
        <f>(($V$2*G44)/((V44/W44)^(2/3)))^2</f>
        <v>0.00237346991978763</v>
      </c>
      <c r="F44" s="17">
        <f t="shared" si="69"/>
        <v>2.37346991978763</v>
      </c>
      <c r="G44" s="17">
        <f t="shared" si="70"/>
        <v>0.633640484192755</v>
      </c>
      <c r="H44" s="8">
        <v>0.42</v>
      </c>
      <c r="I44" s="17">
        <f t="shared" si="71"/>
        <v>0.147</v>
      </c>
      <c r="J44" s="48">
        <f t="shared" si="72"/>
        <v>0.362877442566412</v>
      </c>
      <c r="K44" s="49">
        <v>21.944</v>
      </c>
      <c r="L44" s="44">
        <v>21.9086</v>
      </c>
      <c r="M44" s="48">
        <f t="shared" si="81"/>
        <v>19.1185972412945</v>
      </c>
      <c r="N44" s="50">
        <f t="shared" si="73"/>
        <v>18.755719798728</v>
      </c>
      <c r="O44" s="53">
        <f t="shared" si="82"/>
        <v>19.3215972412945</v>
      </c>
      <c r="P44" s="53">
        <f t="shared" si="74"/>
        <v>18.958719798728</v>
      </c>
      <c r="Q44" s="53">
        <f t="shared" si="83"/>
        <v>18.9715972412945</v>
      </c>
      <c r="R44" s="53">
        <f t="shared" si="75"/>
        <v>18.608719798728</v>
      </c>
      <c r="S44" s="50">
        <f t="shared" si="84"/>
        <v>2.62240275870554</v>
      </c>
      <c r="T44" s="50">
        <f t="shared" si="76"/>
        <v>2.94988020127195</v>
      </c>
      <c r="U44" s="1">
        <f t="shared" si="77"/>
        <v>1.41010567384299</v>
      </c>
      <c r="V44" s="1">
        <f t="shared" si="78"/>
        <v>0.0383476128911742</v>
      </c>
      <c r="W44" s="1">
        <f t="shared" si="79"/>
        <v>0.493536985845045</v>
      </c>
      <c r="X44" s="1">
        <f t="shared" si="80"/>
        <v>0.0776995726581962</v>
      </c>
      <c r="XFD44"/>
    </row>
    <row r="45" s="1" customFormat="1" spans="1:16384">
      <c r="A45" s="39" t="s">
        <v>130</v>
      </c>
      <c r="B45" s="42">
        <v>152.334</v>
      </c>
      <c r="C45" s="27">
        <v>30.0911</v>
      </c>
      <c r="D45" s="30">
        <v>350</v>
      </c>
      <c r="E45" s="20">
        <f>(($V$2*G45)/((V45/W45)^(2/3)))^2</f>
        <v>0.00197422287525706</v>
      </c>
      <c r="F45" s="17">
        <f t="shared" si="69"/>
        <v>1.97422287525705</v>
      </c>
      <c r="G45" s="17">
        <f t="shared" si="70"/>
        <v>0.625521281054372</v>
      </c>
      <c r="H45" s="8">
        <v>0.5</v>
      </c>
      <c r="I45" s="17">
        <f t="shared" si="71"/>
        <v>0.175</v>
      </c>
      <c r="J45" s="48">
        <f t="shared" si="72"/>
        <v>0.300741267479408</v>
      </c>
      <c r="K45" s="49">
        <v>21.9086</v>
      </c>
      <c r="L45" s="44">
        <v>21.6409</v>
      </c>
      <c r="M45" s="48">
        <f t="shared" si="81"/>
        <v>18.755719798728</v>
      </c>
      <c r="N45" s="50">
        <f t="shared" si="73"/>
        <v>18.4549785312486</v>
      </c>
      <c r="O45" s="53">
        <f t="shared" si="82"/>
        <v>18.930719798728</v>
      </c>
      <c r="P45" s="53">
        <f t="shared" si="74"/>
        <v>18.6299785312486</v>
      </c>
      <c r="Q45" s="53">
        <f t="shared" si="83"/>
        <v>18.580719798728</v>
      </c>
      <c r="R45" s="53">
        <f t="shared" si="75"/>
        <v>18.2799785312486</v>
      </c>
      <c r="S45" s="50">
        <f t="shared" si="84"/>
        <v>2.97788020127195</v>
      </c>
      <c r="T45" s="50">
        <f t="shared" si="76"/>
        <v>3.01092146875136</v>
      </c>
      <c r="U45" s="1">
        <f t="shared" si="77"/>
        <v>1.5707963267949</v>
      </c>
      <c r="V45" s="1">
        <f t="shared" si="78"/>
        <v>0.0481056375080937</v>
      </c>
      <c r="W45" s="1">
        <f t="shared" si="79"/>
        <v>0.549778714378214</v>
      </c>
      <c r="X45" s="1">
        <f t="shared" si="80"/>
        <v>0.0875</v>
      </c>
      <c r="XFD45"/>
    </row>
    <row r="46" s="1" customFormat="1" spans="1:16384">
      <c r="A46" s="39" t="s">
        <v>131</v>
      </c>
      <c r="B46" s="42">
        <v>149.161</v>
      </c>
      <c r="C46" s="27">
        <v>34.5323</v>
      </c>
      <c r="D46" s="30">
        <v>350</v>
      </c>
      <c r="E46" s="20">
        <f>(($V$2*G46)/((V46/W46)^(2/3)))^2</f>
        <v>0.00189471729241135</v>
      </c>
      <c r="F46" s="17">
        <f t="shared" si="69"/>
        <v>1.89471729241135</v>
      </c>
      <c r="G46" s="17">
        <f t="shared" si="70"/>
        <v>0.636887429939666</v>
      </c>
      <c r="H46" s="8">
        <v>0.55</v>
      </c>
      <c r="I46" s="17">
        <f t="shared" si="71"/>
        <v>0.1925</v>
      </c>
      <c r="J46" s="48">
        <f t="shared" si="72"/>
        <v>0.282617926053369</v>
      </c>
      <c r="K46" s="49">
        <v>21.6409</v>
      </c>
      <c r="L46" s="44">
        <v>21.3659</v>
      </c>
      <c r="M46" s="48">
        <f t="shared" si="81"/>
        <v>18.4549785312486</v>
      </c>
      <c r="N46" s="50">
        <f t="shared" si="73"/>
        <v>18.1723606051953</v>
      </c>
      <c r="O46" s="53">
        <f t="shared" si="82"/>
        <v>18.6124785312486</v>
      </c>
      <c r="P46" s="53">
        <f t="shared" si="74"/>
        <v>18.3298606051953</v>
      </c>
      <c r="Q46" s="53">
        <f t="shared" si="83"/>
        <v>18.2624785312486</v>
      </c>
      <c r="R46" s="53">
        <f t="shared" si="75"/>
        <v>17.9798606051953</v>
      </c>
      <c r="S46" s="50">
        <f t="shared" si="84"/>
        <v>3.02842146875136</v>
      </c>
      <c r="T46" s="50">
        <f t="shared" si="76"/>
        <v>3.03603939480473</v>
      </c>
      <c r="U46" s="1">
        <f t="shared" si="77"/>
        <v>1.67096374795646</v>
      </c>
      <c r="V46" s="1">
        <f t="shared" si="78"/>
        <v>0.0542204138073055</v>
      </c>
      <c r="W46" s="1">
        <f t="shared" si="79"/>
        <v>0.58483731178476</v>
      </c>
      <c r="X46" s="1">
        <f t="shared" si="80"/>
        <v>0.0927102507222735</v>
      </c>
      <c r="XFD46"/>
    </row>
    <row r="47" s="1" customFormat="1" spans="1:16384">
      <c r="A47" s="39" t="s">
        <v>132</v>
      </c>
      <c r="B47" s="42">
        <v>163.906</v>
      </c>
      <c r="C47" s="27">
        <v>39.9203</v>
      </c>
      <c r="D47" s="30">
        <v>400</v>
      </c>
      <c r="E47" s="20">
        <f>(($V$2*G47)/((V47/W47)^(2/3)))^2</f>
        <v>0.0017045794981339</v>
      </c>
      <c r="F47" s="17">
        <f t="shared" si="69"/>
        <v>1.7045794981339</v>
      </c>
      <c r="G47" s="17">
        <f t="shared" si="70"/>
        <v>0.635351307471139</v>
      </c>
      <c r="H47" s="8">
        <v>0.5</v>
      </c>
      <c r="I47" s="17">
        <f t="shared" si="71"/>
        <v>0.2</v>
      </c>
      <c r="J47" s="48">
        <f t="shared" si="72"/>
        <v>0.279390807221135</v>
      </c>
      <c r="K47" s="49">
        <v>21.3659</v>
      </c>
      <c r="L47" s="44">
        <v>21.0992</v>
      </c>
      <c r="M47" s="48">
        <f t="shared" si="81"/>
        <v>18.1723606051953</v>
      </c>
      <c r="N47" s="50">
        <f t="shared" si="73"/>
        <v>17.8929697979741</v>
      </c>
      <c r="O47" s="53">
        <f t="shared" si="82"/>
        <v>18.3723606051953</v>
      </c>
      <c r="P47" s="53">
        <f t="shared" si="74"/>
        <v>18.0929697979741</v>
      </c>
      <c r="Q47" s="53">
        <f t="shared" si="83"/>
        <v>17.9723606051953</v>
      </c>
      <c r="R47" s="53">
        <f t="shared" si="75"/>
        <v>17.6929697979741</v>
      </c>
      <c r="S47" s="50">
        <f t="shared" si="84"/>
        <v>2.99353939480473</v>
      </c>
      <c r="T47" s="50">
        <f t="shared" si="76"/>
        <v>3.00623020202586</v>
      </c>
      <c r="U47" s="1">
        <f t="shared" si="77"/>
        <v>1.5707963267949</v>
      </c>
      <c r="V47" s="1">
        <f t="shared" si="78"/>
        <v>0.0628318530717959</v>
      </c>
      <c r="W47" s="1">
        <f t="shared" si="79"/>
        <v>0.628318530717959</v>
      </c>
      <c r="X47" s="1">
        <f t="shared" si="80"/>
        <v>0.1</v>
      </c>
      <c r="XFD47"/>
    </row>
    <row r="48" s="1" customFormat="1" spans="1:16384">
      <c r="A48" s="39" t="s">
        <v>133</v>
      </c>
      <c r="B48" s="42">
        <v>143.795</v>
      </c>
      <c r="C48" s="27">
        <v>44.1476</v>
      </c>
      <c r="D48" s="30">
        <v>400</v>
      </c>
      <c r="E48" s="20">
        <f>(($V$2*G48)/((V48/W48)^(2/3)))^2</f>
        <v>0.00171495772097605</v>
      </c>
      <c r="F48" s="17">
        <f t="shared" si="69"/>
        <v>1.71495772097605</v>
      </c>
      <c r="G48" s="17">
        <f t="shared" si="70"/>
        <v>0.652791237413302</v>
      </c>
      <c r="H48" s="8">
        <v>0.53</v>
      </c>
      <c r="I48" s="17">
        <f t="shared" si="71"/>
        <v>0.212</v>
      </c>
      <c r="J48" s="48">
        <f t="shared" si="72"/>
        <v>0.24660234548775</v>
      </c>
      <c r="K48" s="49">
        <v>21.0992</v>
      </c>
      <c r="L48" s="44">
        <v>20.8691</v>
      </c>
      <c r="M48" s="48">
        <f t="shared" si="81"/>
        <v>17.8929697979741</v>
      </c>
      <c r="N48" s="50">
        <f t="shared" si="73"/>
        <v>17.6463674524864</v>
      </c>
      <c r="O48" s="53">
        <f t="shared" si="82"/>
        <v>18.0809697979741</v>
      </c>
      <c r="P48" s="53">
        <f t="shared" si="74"/>
        <v>17.8343674524864</v>
      </c>
      <c r="Q48" s="53">
        <f t="shared" si="83"/>
        <v>17.6809697979741</v>
      </c>
      <c r="R48" s="53">
        <f t="shared" si="75"/>
        <v>17.4343674524864</v>
      </c>
      <c r="S48" s="50">
        <f t="shared" si="84"/>
        <v>3.01823020202587</v>
      </c>
      <c r="T48" s="50">
        <f t="shared" si="76"/>
        <v>3.03473254751362</v>
      </c>
      <c r="U48" s="1">
        <f t="shared" si="77"/>
        <v>1.63083238524017</v>
      </c>
      <c r="V48" s="1">
        <f t="shared" si="78"/>
        <v>0.0676289715145928</v>
      </c>
      <c r="W48" s="1">
        <f t="shared" si="79"/>
        <v>0.65233295409607</v>
      </c>
      <c r="X48" s="1">
        <f t="shared" si="80"/>
        <v>0.103672474447202</v>
      </c>
      <c r="XFD48"/>
    </row>
    <row r="49" s="1" customFormat="1" spans="1:16384">
      <c r="A49" s="39" t="s">
        <v>134</v>
      </c>
      <c r="B49" s="42">
        <v>146.315</v>
      </c>
      <c r="C49" s="27">
        <v>48.6572</v>
      </c>
      <c r="D49" s="30">
        <v>400</v>
      </c>
      <c r="E49" s="20">
        <f>(($V$2*G49)/((V49/W49)^(2/3)))^2</f>
        <v>0.00164578530575544</v>
      </c>
      <c r="F49" s="17">
        <f t="shared" si="69"/>
        <v>1.64578530575544</v>
      </c>
      <c r="G49" s="17">
        <f t="shared" si="70"/>
        <v>0.657572755602674</v>
      </c>
      <c r="H49" s="8">
        <v>0.57</v>
      </c>
      <c r="I49" s="17">
        <f t="shared" si="71"/>
        <v>0.228</v>
      </c>
      <c r="J49" s="48">
        <f t="shared" si="72"/>
        <v>0.240803077011607</v>
      </c>
      <c r="K49" s="49">
        <v>20.8691</v>
      </c>
      <c r="L49" s="44">
        <v>20.657</v>
      </c>
      <c r="M49" s="48">
        <f t="shared" si="81"/>
        <v>17.6463674524864</v>
      </c>
      <c r="N49" s="50">
        <f t="shared" si="73"/>
        <v>17.4055643754748</v>
      </c>
      <c r="O49" s="53">
        <f t="shared" si="82"/>
        <v>17.8183674524864</v>
      </c>
      <c r="P49" s="53">
        <f t="shared" si="74"/>
        <v>17.5775643754748</v>
      </c>
      <c r="Q49" s="53">
        <f t="shared" si="83"/>
        <v>17.4183674524864</v>
      </c>
      <c r="R49" s="53">
        <f t="shared" si="75"/>
        <v>17.1775643754748</v>
      </c>
      <c r="S49" s="50">
        <f t="shared" si="84"/>
        <v>3.05073254751362</v>
      </c>
      <c r="T49" s="50">
        <f t="shared" si="76"/>
        <v>3.07943562452522</v>
      </c>
      <c r="U49" s="1">
        <f t="shared" si="77"/>
        <v>1.71125774150475</v>
      </c>
      <c r="V49" s="1">
        <f t="shared" si="78"/>
        <v>0.0739951580801201</v>
      </c>
      <c r="W49" s="1">
        <f t="shared" si="79"/>
        <v>0.684503096601901</v>
      </c>
      <c r="X49" s="1">
        <f t="shared" si="80"/>
        <v>0.108100545413829</v>
      </c>
      <c r="XFD49"/>
    </row>
    <row r="50" s="1" customFormat="1" spans="1:16384">
      <c r="A50" s="39" t="s">
        <v>135</v>
      </c>
      <c r="B50" s="42">
        <v>113.786</v>
      </c>
      <c r="C50" s="27">
        <v>51.6743</v>
      </c>
      <c r="D50" s="30">
        <v>400</v>
      </c>
      <c r="E50" s="20">
        <f>(($V$2*G50)/((V50/W50)^(2/3)))^2</f>
        <v>0.00158192870163828</v>
      </c>
      <c r="F50" s="17">
        <f t="shared" si="69"/>
        <v>1.58192870163828</v>
      </c>
      <c r="G50" s="17">
        <f t="shared" si="70"/>
        <v>0.65639382480308</v>
      </c>
      <c r="H50" s="8">
        <f>IF(D50&lt;350,0.5,IF(D50&lt;500,0.6,IF(D50&lt;1000,0.675,0.725)))</f>
        <v>0.6</v>
      </c>
      <c r="I50" s="17">
        <f t="shared" si="71"/>
        <v>0.24</v>
      </c>
      <c r="J50" s="48">
        <f t="shared" si="72"/>
        <v>0.180001339244614</v>
      </c>
      <c r="K50" s="49">
        <v>20.657</v>
      </c>
      <c r="L50" s="44">
        <v>20.497</v>
      </c>
      <c r="M50" s="48">
        <f t="shared" si="81"/>
        <v>17.4055643754748</v>
      </c>
      <c r="N50" s="50">
        <f t="shared" si="73"/>
        <v>17.2255630362302</v>
      </c>
      <c r="O50" s="53">
        <f t="shared" si="82"/>
        <v>17.5655643754748</v>
      </c>
      <c r="P50" s="53">
        <f t="shared" si="74"/>
        <v>17.3855630362302</v>
      </c>
      <c r="Q50" s="53">
        <f t="shared" si="83"/>
        <v>17.1655643754748</v>
      </c>
      <c r="R50" s="53">
        <f t="shared" si="75"/>
        <v>16.9855630362302</v>
      </c>
      <c r="S50" s="50">
        <f t="shared" si="84"/>
        <v>3.09143562452522</v>
      </c>
      <c r="T50" s="50">
        <f t="shared" si="76"/>
        <v>3.11143696376984</v>
      </c>
      <c r="U50" s="1">
        <f t="shared" si="77"/>
        <v>1.77215424758523</v>
      </c>
      <c r="V50" s="1">
        <f t="shared" si="78"/>
        <v>0.0787245370803153</v>
      </c>
      <c r="W50" s="1">
        <f t="shared" si="79"/>
        <v>0.708861699034091</v>
      </c>
      <c r="X50" s="1">
        <f t="shared" si="80"/>
        <v>0.111057681897029</v>
      </c>
      <c r="XFD50"/>
    </row>
    <row r="51" s="1" customFormat="1" spans="1:16384">
      <c r="A51" s="39" t="s">
        <v>136</v>
      </c>
      <c r="B51" s="42">
        <v>107.125</v>
      </c>
      <c r="C51" s="27">
        <v>55.9366</v>
      </c>
      <c r="D51" s="30">
        <v>400</v>
      </c>
      <c r="E51" s="20">
        <f>(($V$2*G51)/((V51/W51)^(2/3)))^2</f>
        <v>0.001853658945769</v>
      </c>
      <c r="F51" s="17">
        <f t="shared" si="69"/>
        <v>1.853658945769</v>
      </c>
      <c r="G51" s="17">
        <f t="shared" si="70"/>
        <v>0.710535775433435</v>
      </c>
      <c r="H51" s="8">
        <f t="shared" ref="H51:H68" si="85">IF(D51&lt;350,0.5,IF(D51&lt;500,0.6,IF(D51&lt;1000,0.675,0.725)))</f>
        <v>0.6</v>
      </c>
      <c r="I51" s="17">
        <f t="shared" si="71"/>
        <v>0.24</v>
      </c>
      <c r="J51" s="48">
        <f t="shared" si="72"/>
        <v>0.198573214565504</v>
      </c>
      <c r="K51" s="49">
        <v>20.497</v>
      </c>
      <c r="L51" s="44">
        <v>20.3573</v>
      </c>
      <c r="M51" s="48">
        <f t="shared" si="81"/>
        <v>17.2255630362302</v>
      </c>
      <c r="N51" s="50">
        <f t="shared" si="73"/>
        <v>17.0269898216647</v>
      </c>
      <c r="O51" s="53">
        <f t="shared" si="82"/>
        <v>17.3855630362302</v>
      </c>
      <c r="P51" s="53">
        <f t="shared" si="74"/>
        <v>17.1869898216647</v>
      </c>
      <c r="Q51" s="53">
        <f t="shared" si="83"/>
        <v>16.9855630362302</v>
      </c>
      <c r="R51" s="53">
        <f t="shared" si="75"/>
        <v>16.7869898216647</v>
      </c>
      <c r="S51" s="50">
        <f t="shared" si="84"/>
        <v>3.11143696376984</v>
      </c>
      <c r="T51" s="50">
        <f t="shared" si="76"/>
        <v>3.17031017833534</v>
      </c>
      <c r="U51" s="1">
        <f t="shared" si="77"/>
        <v>1.77215424758523</v>
      </c>
      <c r="V51" s="1">
        <f t="shared" si="78"/>
        <v>0.0787245370803153</v>
      </c>
      <c r="W51" s="1">
        <f t="shared" si="79"/>
        <v>0.708861699034091</v>
      </c>
      <c r="X51" s="1">
        <f t="shared" si="80"/>
        <v>0.111057681897029</v>
      </c>
      <c r="XFD51"/>
    </row>
    <row r="52" s="1" customFormat="1" spans="1:16384">
      <c r="A52" s="39" t="s">
        <v>137</v>
      </c>
      <c r="B52" s="42">
        <v>177.93</v>
      </c>
      <c r="C52" s="27">
        <v>61.067</v>
      </c>
      <c r="D52" s="30">
        <v>400</v>
      </c>
      <c r="E52" s="20">
        <f>(($V$2*G52)/((V52/W52)^(2/3)))^2</f>
        <v>0.00220928056300708</v>
      </c>
      <c r="F52" s="17">
        <f t="shared" si="69"/>
        <v>2.20928056300708</v>
      </c>
      <c r="G52" s="17">
        <f t="shared" si="70"/>
        <v>0.775704783601319</v>
      </c>
      <c r="H52" s="8">
        <f t="shared" si="85"/>
        <v>0.6</v>
      </c>
      <c r="I52" s="17">
        <f t="shared" si="71"/>
        <v>0.24</v>
      </c>
      <c r="J52" s="48">
        <f t="shared" si="72"/>
        <v>0.39309729057585</v>
      </c>
      <c r="K52" s="49">
        <v>20.3573</v>
      </c>
      <c r="L52" s="44">
        <v>20.1386</v>
      </c>
      <c r="M52" s="48">
        <f t="shared" si="81"/>
        <v>17.0269898216647</v>
      </c>
      <c r="N52" s="50">
        <f t="shared" si="73"/>
        <v>16.6338925310888</v>
      </c>
      <c r="O52" s="53">
        <f t="shared" si="82"/>
        <v>17.1869898216647</v>
      </c>
      <c r="P52" s="53">
        <f t="shared" si="74"/>
        <v>16.7938925310888</v>
      </c>
      <c r="Q52" s="53">
        <f t="shared" si="83"/>
        <v>16.7869898216647</v>
      </c>
      <c r="R52" s="53">
        <f t="shared" si="75"/>
        <v>16.3938925310888</v>
      </c>
      <c r="S52" s="50">
        <f t="shared" si="84"/>
        <v>3.17031017833534</v>
      </c>
      <c r="T52" s="50">
        <f t="shared" si="76"/>
        <v>3.34470746891119</v>
      </c>
      <c r="U52" s="1">
        <f t="shared" si="77"/>
        <v>1.77215424758523</v>
      </c>
      <c r="V52" s="1">
        <f t="shared" si="78"/>
        <v>0.0787245370803153</v>
      </c>
      <c r="W52" s="1">
        <f t="shared" si="79"/>
        <v>0.708861699034091</v>
      </c>
      <c r="X52" s="1">
        <f t="shared" si="80"/>
        <v>0.111057681897029</v>
      </c>
      <c r="XFD52"/>
    </row>
    <row r="53" s="1" customFormat="1" spans="1:16384">
      <c r="A53" s="39" t="s">
        <v>138</v>
      </c>
      <c r="B53" s="42">
        <v>178.978</v>
      </c>
      <c r="C53" s="27">
        <v>65.841</v>
      </c>
      <c r="D53" s="30">
        <v>400</v>
      </c>
      <c r="E53" s="20">
        <f>(($V$2*G53)/((V53/W53)^(2/3)))^2</f>
        <v>0.00256821003153232</v>
      </c>
      <c r="F53" s="17">
        <f t="shared" si="69"/>
        <v>2.56821003153232</v>
      </c>
      <c r="G53" s="17">
        <f t="shared" si="70"/>
        <v>0.836346613671778</v>
      </c>
      <c r="H53" s="8">
        <f t="shared" si="85"/>
        <v>0.6</v>
      </c>
      <c r="I53" s="17">
        <f t="shared" si="71"/>
        <v>0.24</v>
      </c>
      <c r="J53" s="48">
        <f t="shared" si="72"/>
        <v>0.459653095023592</v>
      </c>
      <c r="K53" s="49">
        <v>20.1386</v>
      </c>
      <c r="L53" s="44">
        <v>19.8844</v>
      </c>
      <c r="M53" s="48">
        <f t="shared" si="81"/>
        <v>16.6338925310888</v>
      </c>
      <c r="N53" s="50">
        <f t="shared" si="73"/>
        <v>16.1742394360652</v>
      </c>
      <c r="O53" s="53">
        <f t="shared" si="82"/>
        <v>16.7938925310888</v>
      </c>
      <c r="P53" s="53">
        <f t="shared" si="74"/>
        <v>16.3342394360652</v>
      </c>
      <c r="Q53" s="53">
        <f t="shared" si="83"/>
        <v>16.3938925310888</v>
      </c>
      <c r="R53" s="53">
        <f t="shared" si="75"/>
        <v>15.9342394360652</v>
      </c>
      <c r="S53" s="50">
        <f t="shared" si="84"/>
        <v>3.34470746891119</v>
      </c>
      <c r="T53" s="50">
        <f t="shared" si="76"/>
        <v>3.55016056393478</v>
      </c>
      <c r="U53" s="1">
        <f t="shared" si="77"/>
        <v>1.77215424758523</v>
      </c>
      <c r="V53" s="1">
        <f t="shared" si="78"/>
        <v>0.0787245370803153</v>
      </c>
      <c r="W53" s="1">
        <f t="shared" si="79"/>
        <v>0.708861699034091</v>
      </c>
      <c r="X53" s="1">
        <f t="shared" si="80"/>
        <v>0.111057681897029</v>
      </c>
      <c r="XFD53"/>
    </row>
    <row r="54" s="1" customFormat="1" spans="1:16384">
      <c r="A54" s="39" t="s">
        <v>139</v>
      </c>
      <c r="B54" s="42">
        <v>140.217</v>
      </c>
      <c r="C54" s="27">
        <v>69.3119</v>
      </c>
      <c r="D54" s="30">
        <v>400</v>
      </c>
      <c r="E54" s="20">
        <f>(($V$2*G54)/((V54/W54)^(2/3)))^2</f>
        <v>0.00284612066974086</v>
      </c>
      <c r="F54" s="17">
        <f t="shared" si="69"/>
        <v>2.84612066974086</v>
      </c>
      <c r="G54" s="17">
        <f t="shared" si="70"/>
        <v>0.880435790042024</v>
      </c>
      <c r="H54" s="8">
        <f t="shared" si="85"/>
        <v>0.6</v>
      </c>
      <c r="I54" s="17">
        <f t="shared" si="71"/>
        <v>0.24</v>
      </c>
      <c r="J54" s="48">
        <f t="shared" si="72"/>
        <v>0.399074501949054</v>
      </c>
      <c r="K54" s="49">
        <v>19.8844</v>
      </c>
      <c r="L54" s="44">
        <v>19.5</v>
      </c>
      <c r="M54" s="48">
        <f t="shared" si="81"/>
        <v>16.1742394360652</v>
      </c>
      <c r="N54" s="50">
        <f t="shared" si="73"/>
        <v>15.7751649341162</v>
      </c>
      <c r="O54" s="53">
        <f t="shared" si="82"/>
        <v>16.3342394360652</v>
      </c>
      <c r="P54" s="53">
        <f t="shared" si="74"/>
        <v>15.9351649341162</v>
      </c>
      <c r="Q54" s="53">
        <f t="shared" si="83"/>
        <v>15.9342394360652</v>
      </c>
      <c r="R54" s="53">
        <f t="shared" si="75"/>
        <v>15.5351649341162</v>
      </c>
      <c r="S54" s="50">
        <f t="shared" si="84"/>
        <v>3.55016056393478</v>
      </c>
      <c r="T54" s="50">
        <f t="shared" si="76"/>
        <v>3.56483506588384</v>
      </c>
      <c r="U54" s="1">
        <f t="shared" si="77"/>
        <v>1.77215424758523</v>
      </c>
      <c r="V54" s="1">
        <f t="shared" si="78"/>
        <v>0.0787245370803153</v>
      </c>
      <c r="W54" s="1">
        <f t="shared" si="79"/>
        <v>0.708861699034091</v>
      </c>
      <c r="X54" s="1">
        <f t="shared" si="80"/>
        <v>0.111057681897029</v>
      </c>
      <c r="XFD54"/>
    </row>
    <row r="55" s="1" customFormat="1" spans="4:16384">
      <c r="D55" s="2"/>
      <c r="H55" s="2"/>
      <c r="K55" s="3"/>
      <c r="L55" s="3"/>
      <c r="XFD55"/>
    </row>
    <row r="56" s="1" customFormat="1" spans="1:16384">
      <c r="A56" s="25" t="s">
        <v>39</v>
      </c>
      <c r="B56" s="42">
        <v>620.752</v>
      </c>
      <c r="C56" s="27">
        <v>2.6252</v>
      </c>
      <c r="D56" s="30">
        <v>150</v>
      </c>
      <c r="E56" s="20">
        <f>(($V$2*G56)/((V56/W56)^(2/3)))^2</f>
        <v>0.0030345859091809</v>
      </c>
      <c r="F56" s="17">
        <f t="shared" ref="F56:F69" si="86">E56*1000</f>
        <v>3.0345859091809</v>
      </c>
      <c r="G56" s="17">
        <f t="shared" ref="G56:G69" si="87">C56/V56/1000</f>
        <v>0.397708124396564</v>
      </c>
      <c r="H56" s="8">
        <v>0.4</v>
      </c>
      <c r="I56" s="17">
        <f t="shared" ref="I56:I69" si="88">H56*D56/1000</f>
        <v>0.06</v>
      </c>
      <c r="J56" s="48">
        <f t="shared" ref="J56:J69" si="89">E56*B56</f>
        <v>1.88372527229586</v>
      </c>
      <c r="K56" s="49">
        <v>22.262</v>
      </c>
      <c r="L56" s="44">
        <v>21.8326</v>
      </c>
      <c r="M56" s="48">
        <f t="shared" ref="M56:M69" si="90">Q56+J56</f>
        <v>23.1457252722959</v>
      </c>
      <c r="N56" s="50">
        <f t="shared" ref="N56:N69" si="91">M56-J56</f>
        <v>21.262</v>
      </c>
      <c r="O56" s="53">
        <f>K56-S56</f>
        <v>21.412</v>
      </c>
      <c r="P56" s="53">
        <f t="shared" ref="P56:P69" si="92">O56-J56</f>
        <v>19.5282747277041</v>
      </c>
      <c r="Q56" s="53">
        <f>O56-D56/1000</f>
        <v>21.262</v>
      </c>
      <c r="R56" s="53">
        <f t="shared" ref="R56:R69" si="93">P56-D56/1000</f>
        <v>19.3782747277041</v>
      </c>
      <c r="S56" s="50">
        <f>0.7+D56/1000</f>
        <v>0.85</v>
      </c>
      <c r="T56" s="50">
        <f t="shared" ref="T56:T69" si="94">L56-P56</f>
        <v>2.30432527229586</v>
      </c>
      <c r="U56" s="1">
        <f t="shared" ref="U56:U69" si="95">ACOS((D56/2-D56*H56)/(D56/2))</f>
        <v>1.36943840600457</v>
      </c>
      <c r="V56" s="1">
        <f t="shared" ref="V56:V69" si="96">(U56-SIN(U56)*COS(U56))*((D56/1000)/2)^2</f>
        <v>0.00660082064952325</v>
      </c>
      <c r="W56" s="1">
        <f t="shared" ref="W56:W69" si="97">U56*(D56/1000)</f>
        <v>0.205415760900685</v>
      </c>
      <c r="X56" s="1">
        <f t="shared" ref="X56:X69" si="98">V56/W56</f>
        <v>0.0321339541843366</v>
      </c>
      <c r="XFD56"/>
    </row>
    <row r="57" s="1" customFormat="1" spans="1:16384">
      <c r="A57" s="41" t="s">
        <v>140</v>
      </c>
      <c r="B57" s="42">
        <v>140.399</v>
      </c>
      <c r="C57" s="27">
        <v>8.711</v>
      </c>
      <c r="D57" s="30">
        <v>200</v>
      </c>
      <c r="E57" s="20">
        <f>(($V$2*G57)/((V57/W57)^(2/3)))^2</f>
        <v>0.00327234440491428</v>
      </c>
      <c r="F57" s="17">
        <f t="shared" si="86"/>
        <v>3.27234440491428</v>
      </c>
      <c r="G57" s="17">
        <f t="shared" si="87"/>
        <v>0.5545594837094</v>
      </c>
      <c r="H57" s="8">
        <f t="shared" si="85"/>
        <v>0.5</v>
      </c>
      <c r="I57" s="17">
        <f t="shared" si="88"/>
        <v>0.1</v>
      </c>
      <c r="J57" s="48">
        <f t="shared" si="89"/>
        <v>0.45943388210556</v>
      </c>
      <c r="K57" s="49">
        <v>21.8326</v>
      </c>
      <c r="L57" s="44">
        <v>21.6169</v>
      </c>
      <c r="M57" s="48">
        <f t="shared" si="90"/>
        <v>19.7977086098097</v>
      </c>
      <c r="N57" s="50">
        <f t="shared" si="91"/>
        <v>19.3382747277041</v>
      </c>
      <c r="O57" s="53">
        <f t="shared" ref="O57:O69" si="99">P56-I57+I56+(D57-D56)/1000</f>
        <v>19.5382747277041</v>
      </c>
      <c r="P57" s="53">
        <f t="shared" si="92"/>
        <v>19.0788408455986</v>
      </c>
      <c r="Q57" s="53">
        <f t="shared" ref="Q57:Q69" si="100">IF(O57-D57/1000&lt;=R56,O57-D57/1000)</f>
        <v>19.3382747277041</v>
      </c>
      <c r="R57" s="53">
        <f t="shared" si="93"/>
        <v>18.8788408455986</v>
      </c>
      <c r="S57" s="50">
        <f t="shared" ref="S57:S69" si="101">K57-O57</f>
        <v>2.29432527229586</v>
      </c>
      <c r="T57" s="50">
        <f t="shared" si="94"/>
        <v>2.53805915440143</v>
      </c>
      <c r="U57" s="1">
        <f t="shared" si="95"/>
        <v>1.5707963267949</v>
      </c>
      <c r="V57" s="1">
        <f t="shared" si="96"/>
        <v>0.015707963267949</v>
      </c>
      <c r="W57" s="1">
        <f t="shared" si="97"/>
        <v>0.314159265358979</v>
      </c>
      <c r="X57" s="1">
        <f t="shared" si="98"/>
        <v>0.05</v>
      </c>
      <c r="XFD57"/>
    </row>
    <row r="58" s="1" customFormat="1" spans="1:16384">
      <c r="A58" s="41" t="s">
        <v>141</v>
      </c>
      <c r="B58" s="42">
        <v>138.517</v>
      </c>
      <c r="C58" s="27">
        <v>12.0461</v>
      </c>
      <c r="D58" s="30">
        <v>250</v>
      </c>
      <c r="E58" s="20">
        <f>(($V$2*G58)/((V58/W58)^(2/3)))^2</f>
        <v>0.00274290504534372</v>
      </c>
      <c r="F58" s="17">
        <f t="shared" si="86"/>
        <v>2.74290504534372</v>
      </c>
      <c r="G58" s="17">
        <f t="shared" si="87"/>
        <v>0.562273678611905</v>
      </c>
      <c r="H58" s="8">
        <v>0.45</v>
      </c>
      <c r="I58" s="17">
        <f t="shared" si="88"/>
        <v>0.1125</v>
      </c>
      <c r="J58" s="48">
        <f t="shared" si="89"/>
        <v>0.379938978165877</v>
      </c>
      <c r="K58" s="49">
        <v>21.6169</v>
      </c>
      <c r="L58" s="44">
        <v>21.4054</v>
      </c>
      <c r="M58" s="48">
        <f t="shared" si="90"/>
        <v>19.2462798237645</v>
      </c>
      <c r="N58" s="50">
        <f t="shared" si="91"/>
        <v>18.8663408455986</v>
      </c>
      <c r="O58" s="53">
        <f t="shared" si="99"/>
        <v>19.1163408455986</v>
      </c>
      <c r="P58" s="53">
        <f t="shared" si="92"/>
        <v>18.7364018674327</v>
      </c>
      <c r="Q58" s="53">
        <f t="shared" si="100"/>
        <v>18.8663408455986</v>
      </c>
      <c r="R58" s="53">
        <f t="shared" si="93"/>
        <v>18.4864018674327</v>
      </c>
      <c r="S58" s="50">
        <f t="shared" si="101"/>
        <v>2.50055915440143</v>
      </c>
      <c r="T58" s="50">
        <f t="shared" si="94"/>
        <v>2.6689981325673</v>
      </c>
      <c r="U58" s="1">
        <f t="shared" si="95"/>
        <v>1.47062890563334</v>
      </c>
      <c r="V58" s="1">
        <f t="shared" si="96"/>
        <v>0.0214239087800418</v>
      </c>
      <c r="W58" s="1">
        <f t="shared" si="97"/>
        <v>0.367657226408334</v>
      </c>
      <c r="X58" s="1">
        <f t="shared" si="98"/>
        <v>0.05827142033718</v>
      </c>
      <c r="XFD58"/>
    </row>
    <row r="59" s="1" customFormat="1" spans="1:16384">
      <c r="A59" s="41" t="s">
        <v>142</v>
      </c>
      <c r="B59" s="42">
        <v>148.55</v>
      </c>
      <c r="C59" s="27">
        <v>15.4743</v>
      </c>
      <c r="D59" s="30">
        <v>300</v>
      </c>
      <c r="E59" s="20">
        <f>(($V$2*G59)/((V59/W59)^(2/3)))^2</f>
        <v>0.00261519068117163</v>
      </c>
      <c r="F59" s="17">
        <f t="shared" si="86"/>
        <v>2.61519068117163</v>
      </c>
      <c r="G59" s="17">
        <f t="shared" si="87"/>
        <v>0.586074854234891</v>
      </c>
      <c r="H59" s="8">
        <v>0.4</v>
      </c>
      <c r="I59" s="17">
        <f t="shared" si="88"/>
        <v>0.12</v>
      </c>
      <c r="J59" s="48">
        <f t="shared" si="89"/>
        <v>0.388486575688045</v>
      </c>
      <c r="K59" s="49">
        <v>21.4054</v>
      </c>
      <c r="L59" s="44">
        <v>21.1818</v>
      </c>
      <c r="M59" s="48">
        <f t="shared" si="90"/>
        <v>18.8673884431207</v>
      </c>
      <c r="N59" s="50">
        <f t="shared" si="91"/>
        <v>18.4789018674327</v>
      </c>
      <c r="O59" s="53">
        <f t="shared" si="99"/>
        <v>18.7789018674327</v>
      </c>
      <c r="P59" s="53">
        <f t="shared" si="92"/>
        <v>18.3904152917447</v>
      </c>
      <c r="Q59" s="53">
        <f t="shared" si="100"/>
        <v>18.4789018674327</v>
      </c>
      <c r="R59" s="53">
        <f t="shared" si="93"/>
        <v>18.0904152917447</v>
      </c>
      <c r="S59" s="50">
        <f t="shared" si="101"/>
        <v>2.6264981325673</v>
      </c>
      <c r="T59" s="50">
        <f t="shared" si="94"/>
        <v>2.79138470825535</v>
      </c>
      <c r="U59" s="1">
        <f t="shared" si="95"/>
        <v>1.36943840600457</v>
      </c>
      <c r="V59" s="1">
        <f t="shared" si="96"/>
        <v>0.026403282598093</v>
      </c>
      <c r="W59" s="1">
        <f t="shared" si="97"/>
        <v>0.41083152180137</v>
      </c>
      <c r="X59" s="1">
        <f t="shared" si="98"/>
        <v>0.0642679083686732</v>
      </c>
      <c r="XFD59"/>
    </row>
    <row r="60" s="1" customFormat="1" spans="1:16384">
      <c r="A60" s="41" t="s">
        <v>143</v>
      </c>
      <c r="B60" s="42">
        <v>124.909</v>
      </c>
      <c r="C60" s="27">
        <v>18.9532</v>
      </c>
      <c r="D60" s="30">
        <v>300</v>
      </c>
      <c r="E60" s="20">
        <f>(($V$2*G60)/((V60/W60)^(2/3)))^2</f>
        <v>0.00256792867589828</v>
      </c>
      <c r="F60" s="17">
        <f t="shared" si="86"/>
        <v>2.56792867589828</v>
      </c>
      <c r="G60" s="17">
        <f t="shared" si="87"/>
        <v>0.614357752340036</v>
      </c>
      <c r="H60" s="8">
        <v>0.45</v>
      </c>
      <c r="I60" s="17">
        <f t="shared" si="88"/>
        <v>0.135</v>
      </c>
      <c r="J60" s="48">
        <f t="shared" si="89"/>
        <v>0.320757402977778</v>
      </c>
      <c r="K60" s="49">
        <v>21.1818</v>
      </c>
      <c r="L60" s="44">
        <v>20.9965</v>
      </c>
      <c r="M60" s="48">
        <f t="shared" si="90"/>
        <v>18.3961726947224</v>
      </c>
      <c r="N60" s="50">
        <f t="shared" si="91"/>
        <v>18.0754152917447</v>
      </c>
      <c r="O60" s="53">
        <f t="shared" si="99"/>
        <v>18.3754152917447</v>
      </c>
      <c r="P60" s="53">
        <f t="shared" si="92"/>
        <v>18.0546578887669</v>
      </c>
      <c r="Q60" s="53">
        <f t="shared" si="100"/>
        <v>18.0754152917447</v>
      </c>
      <c r="R60" s="53">
        <f t="shared" si="93"/>
        <v>17.7546578887669</v>
      </c>
      <c r="S60" s="50">
        <f t="shared" si="101"/>
        <v>2.80638470825535</v>
      </c>
      <c r="T60" s="50">
        <f t="shared" si="94"/>
        <v>2.94184211123313</v>
      </c>
      <c r="U60" s="1">
        <f t="shared" si="95"/>
        <v>1.47062890563334</v>
      </c>
      <c r="V60" s="1">
        <f t="shared" si="96"/>
        <v>0.0308504286432602</v>
      </c>
      <c r="W60" s="1">
        <f t="shared" si="97"/>
        <v>0.441188671690001</v>
      </c>
      <c r="X60" s="1">
        <f t="shared" si="98"/>
        <v>0.069925704404616</v>
      </c>
      <c r="XFD60"/>
    </row>
    <row r="61" s="1" customFormat="1" spans="1:16384">
      <c r="A61" s="41" t="s">
        <v>144</v>
      </c>
      <c r="B61" s="42">
        <v>130.804</v>
      </c>
      <c r="C61" s="27">
        <v>22.5265</v>
      </c>
      <c r="D61" s="30">
        <v>350</v>
      </c>
      <c r="E61" s="20">
        <f>(($V$2*G61)/((V61/W61)^(2/3)))^2</f>
        <v>0.00222595797837141</v>
      </c>
      <c r="F61" s="17">
        <f t="shared" si="86"/>
        <v>2.22595797837141</v>
      </c>
      <c r="G61" s="17">
        <f t="shared" si="87"/>
        <v>0.606521750558792</v>
      </c>
      <c r="H61" s="8">
        <v>0.41</v>
      </c>
      <c r="I61" s="17">
        <f t="shared" si="88"/>
        <v>0.1435</v>
      </c>
      <c r="J61" s="48">
        <f t="shared" si="89"/>
        <v>0.291164207402894</v>
      </c>
      <c r="K61" s="49">
        <v>20.9965</v>
      </c>
      <c r="L61" s="44">
        <v>20.8355</v>
      </c>
      <c r="M61" s="48">
        <f t="shared" si="90"/>
        <v>18.0373220961698</v>
      </c>
      <c r="N61" s="50">
        <f t="shared" si="91"/>
        <v>17.7461578887669</v>
      </c>
      <c r="O61" s="53">
        <f t="shared" si="99"/>
        <v>18.0961578887669</v>
      </c>
      <c r="P61" s="53">
        <f t="shared" si="92"/>
        <v>17.804993681364</v>
      </c>
      <c r="Q61" s="53">
        <f t="shared" si="100"/>
        <v>17.7461578887669</v>
      </c>
      <c r="R61" s="53">
        <f t="shared" si="93"/>
        <v>17.454993681364</v>
      </c>
      <c r="S61" s="50">
        <f t="shared" si="101"/>
        <v>2.90034211123313</v>
      </c>
      <c r="T61" s="50">
        <f t="shared" si="94"/>
        <v>3.03050631863602</v>
      </c>
      <c r="U61" s="1">
        <f t="shared" si="95"/>
        <v>1.38980987554835</v>
      </c>
      <c r="V61" s="1">
        <f t="shared" si="96"/>
        <v>0.0371404652500033</v>
      </c>
      <c r="W61" s="1">
        <f t="shared" si="97"/>
        <v>0.486433456441922</v>
      </c>
      <c r="X61" s="1">
        <f t="shared" si="98"/>
        <v>0.0763526125889282</v>
      </c>
      <c r="XFD61"/>
    </row>
    <row r="62" s="1" customFormat="1" spans="1:16384">
      <c r="A62" s="41" t="s">
        <v>145</v>
      </c>
      <c r="B62" s="42">
        <v>151.605</v>
      </c>
      <c r="C62" s="27">
        <v>25.9026</v>
      </c>
      <c r="D62" s="30">
        <v>350</v>
      </c>
      <c r="E62" s="20">
        <f>(($V$2*G62)/((V62/W62)^(2/3)))^2</f>
        <v>0.0021079244414034</v>
      </c>
      <c r="F62" s="17">
        <f t="shared" si="86"/>
        <v>2.1079244414034</v>
      </c>
      <c r="G62" s="17">
        <f t="shared" si="87"/>
        <v>0.616862794767379</v>
      </c>
      <c r="H62" s="8">
        <v>0.45</v>
      </c>
      <c r="I62" s="17">
        <f t="shared" si="88"/>
        <v>0.1575</v>
      </c>
      <c r="J62" s="48">
        <f t="shared" si="89"/>
        <v>0.319571884938962</v>
      </c>
      <c r="K62" s="49">
        <v>20.8355</v>
      </c>
      <c r="L62" s="44">
        <v>20.6659</v>
      </c>
      <c r="M62" s="48">
        <f t="shared" si="90"/>
        <v>17.7605655663029</v>
      </c>
      <c r="N62" s="50">
        <f t="shared" si="91"/>
        <v>17.440993681364</v>
      </c>
      <c r="O62" s="53">
        <f t="shared" si="99"/>
        <v>17.790993681364</v>
      </c>
      <c r="P62" s="53">
        <f t="shared" si="92"/>
        <v>17.471421796425</v>
      </c>
      <c r="Q62" s="53">
        <f t="shared" si="100"/>
        <v>17.440993681364</v>
      </c>
      <c r="R62" s="53">
        <f t="shared" si="93"/>
        <v>17.121421796425</v>
      </c>
      <c r="S62" s="50">
        <f t="shared" si="101"/>
        <v>3.04450631863602</v>
      </c>
      <c r="T62" s="50">
        <f t="shared" si="94"/>
        <v>3.19447820357498</v>
      </c>
      <c r="U62" s="1">
        <f t="shared" si="95"/>
        <v>1.47062890563334</v>
      </c>
      <c r="V62" s="1">
        <f t="shared" si="96"/>
        <v>0.0419908612088819</v>
      </c>
      <c r="W62" s="1">
        <f t="shared" si="97"/>
        <v>0.514720116971668</v>
      </c>
      <c r="X62" s="1">
        <f t="shared" si="98"/>
        <v>0.081579988472052</v>
      </c>
      <c r="XFD62"/>
    </row>
    <row r="63" s="1" customFormat="1" spans="1:16384">
      <c r="A63" s="41" t="s">
        <v>146</v>
      </c>
      <c r="B63" s="42">
        <v>151.85</v>
      </c>
      <c r="C63" s="27">
        <v>30.1126</v>
      </c>
      <c r="D63" s="30">
        <v>350</v>
      </c>
      <c r="E63" s="20">
        <f>(($V$2*G63)/((V63/W63)^(2/3)))^2</f>
        <v>0.00197704503566415</v>
      </c>
      <c r="F63" s="17">
        <f t="shared" si="86"/>
        <v>1.97704503566415</v>
      </c>
      <c r="G63" s="17">
        <f t="shared" si="87"/>
        <v>0.625968214119054</v>
      </c>
      <c r="H63" s="8">
        <v>0.5</v>
      </c>
      <c r="I63" s="17">
        <f t="shared" si="88"/>
        <v>0.175</v>
      </c>
      <c r="J63" s="48">
        <f t="shared" si="89"/>
        <v>0.300214288665602</v>
      </c>
      <c r="K63" s="49">
        <v>20.6659</v>
      </c>
      <c r="L63" s="44">
        <v>20.4974</v>
      </c>
      <c r="M63" s="48">
        <f t="shared" si="90"/>
        <v>17.4041360850906</v>
      </c>
      <c r="N63" s="50">
        <f t="shared" si="91"/>
        <v>17.103921796425</v>
      </c>
      <c r="O63" s="53">
        <f t="shared" si="99"/>
        <v>17.453921796425</v>
      </c>
      <c r="P63" s="53">
        <f t="shared" si="92"/>
        <v>17.1537075077594</v>
      </c>
      <c r="Q63" s="53">
        <f t="shared" si="100"/>
        <v>17.103921796425</v>
      </c>
      <c r="R63" s="53">
        <f t="shared" si="93"/>
        <v>16.8037075077594</v>
      </c>
      <c r="S63" s="50">
        <f t="shared" si="101"/>
        <v>3.21197820357498</v>
      </c>
      <c r="T63" s="50">
        <f t="shared" si="94"/>
        <v>3.34369249224058</v>
      </c>
      <c r="U63" s="1">
        <f t="shared" si="95"/>
        <v>1.5707963267949</v>
      </c>
      <c r="V63" s="1">
        <f t="shared" si="96"/>
        <v>0.0481056375080937</v>
      </c>
      <c r="W63" s="1">
        <f t="shared" si="97"/>
        <v>0.549778714378214</v>
      </c>
      <c r="X63" s="1">
        <f t="shared" si="98"/>
        <v>0.0875</v>
      </c>
      <c r="XFD63"/>
    </row>
    <row r="64" s="1" customFormat="1" spans="1:16384">
      <c r="A64" s="41" t="s">
        <v>147</v>
      </c>
      <c r="B64" s="42">
        <v>323.044</v>
      </c>
      <c r="C64" s="27">
        <v>33.98</v>
      </c>
      <c r="D64" s="30">
        <v>350</v>
      </c>
      <c r="E64" s="20">
        <f>(($V$2*G64)/((V64/W64)^(2/3)))^2</f>
        <v>0.00183459479685662</v>
      </c>
      <c r="F64" s="17">
        <f t="shared" si="86"/>
        <v>1.83459479685662</v>
      </c>
      <c r="G64" s="17">
        <f t="shared" si="87"/>
        <v>0.626701229554645</v>
      </c>
      <c r="H64" s="8">
        <v>0.55</v>
      </c>
      <c r="I64" s="17">
        <f t="shared" si="88"/>
        <v>0.1925</v>
      </c>
      <c r="J64" s="48">
        <f t="shared" si="89"/>
        <v>0.59265484155575</v>
      </c>
      <c r="K64" s="49">
        <v>20.4974</v>
      </c>
      <c r="L64" s="44">
        <v>20.2219</v>
      </c>
      <c r="M64" s="48">
        <f t="shared" si="90"/>
        <v>17.3788623493152</v>
      </c>
      <c r="N64" s="50">
        <f t="shared" si="91"/>
        <v>16.7862075077594</v>
      </c>
      <c r="O64" s="53">
        <f t="shared" si="99"/>
        <v>17.1362075077594</v>
      </c>
      <c r="P64" s="53">
        <f t="shared" si="92"/>
        <v>16.5435526662037</v>
      </c>
      <c r="Q64" s="53">
        <f t="shared" si="100"/>
        <v>16.7862075077594</v>
      </c>
      <c r="R64" s="53">
        <f t="shared" si="93"/>
        <v>16.1935526662037</v>
      </c>
      <c r="S64" s="50">
        <f t="shared" si="101"/>
        <v>3.36119249224058</v>
      </c>
      <c r="T64" s="50">
        <f t="shared" si="94"/>
        <v>3.67834733379633</v>
      </c>
      <c r="U64" s="1">
        <f t="shared" si="95"/>
        <v>1.67096374795646</v>
      </c>
      <c r="V64" s="1">
        <f t="shared" si="96"/>
        <v>0.0542204138073055</v>
      </c>
      <c r="W64" s="1">
        <f t="shared" si="97"/>
        <v>0.58483731178476</v>
      </c>
      <c r="X64" s="1">
        <f t="shared" si="98"/>
        <v>0.0927102507222735</v>
      </c>
      <c r="XFD64"/>
    </row>
    <row r="65" s="1" customFormat="1" spans="1:16384">
      <c r="A65" s="41" t="s">
        <v>148</v>
      </c>
      <c r="B65" s="42">
        <v>166.629</v>
      </c>
      <c r="C65" s="27">
        <v>37.8887</v>
      </c>
      <c r="D65" s="30">
        <v>350</v>
      </c>
      <c r="E65" s="20">
        <f>(($V$2*G65)/((V65/W65)^(2/3)))^2</f>
        <v>0.00173359439453742</v>
      </c>
      <c r="F65" s="17">
        <f t="shared" si="86"/>
        <v>1.73359439453742</v>
      </c>
      <c r="G65" s="17">
        <f t="shared" si="87"/>
        <v>0.628613180439103</v>
      </c>
      <c r="H65" s="8">
        <f t="shared" si="85"/>
        <v>0.6</v>
      </c>
      <c r="I65" s="17">
        <f t="shared" si="88"/>
        <v>0.21</v>
      </c>
      <c r="J65" s="48">
        <f t="shared" si="89"/>
        <v>0.288867100367376</v>
      </c>
      <c r="K65" s="49">
        <v>20.2219</v>
      </c>
      <c r="L65" s="44">
        <v>20.0839</v>
      </c>
      <c r="M65" s="48">
        <f t="shared" si="90"/>
        <v>16.464919766571</v>
      </c>
      <c r="N65" s="50">
        <f t="shared" si="91"/>
        <v>16.1760526662037</v>
      </c>
      <c r="O65" s="53">
        <f t="shared" si="99"/>
        <v>16.5260526662037</v>
      </c>
      <c r="P65" s="53">
        <f t="shared" si="92"/>
        <v>16.2371855658363</v>
      </c>
      <c r="Q65" s="53">
        <f t="shared" si="100"/>
        <v>16.1760526662037</v>
      </c>
      <c r="R65" s="53">
        <f t="shared" si="93"/>
        <v>15.8871855658363</v>
      </c>
      <c r="S65" s="50">
        <f t="shared" si="101"/>
        <v>3.69584733379633</v>
      </c>
      <c r="T65" s="50">
        <f t="shared" si="94"/>
        <v>3.84671443416371</v>
      </c>
      <c r="U65" s="1">
        <f t="shared" si="95"/>
        <v>1.77215424758523</v>
      </c>
      <c r="V65" s="1">
        <f t="shared" si="96"/>
        <v>0.0602734737021164</v>
      </c>
      <c r="W65" s="1">
        <f t="shared" si="97"/>
        <v>0.62025398665483</v>
      </c>
      <c r="X65" s="1">
        <f t="shared" si="98"/>
        <v>0.0971754716599</v>
      </c>
      <c r="XFD65"/>
    </row>
    <row r="66" s="1" customFormat="1" spans="1:16384">
      <c r="A66" s="41" t="s">
        <v>149</v>
      </c>
      <c r="B66" s="42">
        <v>189.046</v>
      </c>
      <c r="C66" s="27">
        <v>42.7948</v>
      </c>
      <c r="D66" s="30">
        <v>350</v>
      </c>
      <c r="E66" s="20">
        <f>(($V$2*G66)/((V66/W66)^(2/3)))^2</f>
        <v>0.00221161785408357</v>
      </c>
      <c r="F66" s="17">
        <f t="shared" si="86"/>
        <v>2.21161785408357</v>
      </c>
      <c r="G66" s="17">
        <f t="shared" si="87"/>
        <v>0.710010513273227</v>
      </c>
      <c r="H66" s="8">
        <f t="shared" si="85"/>
        <v>0.6</v>
      </c>
      <c r="I66" s="17">
        <f t="shared" si="88"/>
        <v>0.21</v>
      </c>
      <c r="J66" s="48">
        <f t="shared" si="89"/>
        <v>0.418097508843083</v>
      </c>
      <c r="K66" s="49">
        <v>20.0839</v>
      </c>
      <c r="L66" s="44">
        <v>19.9691</v>
      </c>
      <c r="M66" s="48">
        <f t="shared" si="90"/>
        <v>16.3052830746794</v>
      </c>
      <c r="N66" s="50">
        <f t="shared" si="91"/>
        <v>15.8871855658363</v>
      </c>
      <c r="O66" s="53">
        <f t="shared" si="99"/>
        <v>16.2371855658363</v>
      </c>
      <c r="P66" s="53">
        <f t="shared" si="92"/>
        <v>15.8190880569932</v>
      </c>
      <c r="Q66" s="53">
        <f t="shared" si="100"/>
        <v>15.8871855658363</v>
      </c>
      <c r="R66" s="53">
        <f t="shared" si="93"/>
        <v>15.4690880569932</v>
      </c>
      <c r="S66" s="50">
        <f t="shared" si="101"/>
        <v>3.84671443416371</v>
      </c>
      <c r="T66" s="50">
        <f t="shared" si="94"/>
        <v>4.15001194300679</v>
      </c>
      <c r="U66" s="1">
        <f t="shared" si="95"/>
        <v>1.77215424758523</v>
      </c>
      <c r="V66" s="1">
        <f t="shared" si="96"/>
        <v>0.0602734737021164</v>
      </c>
      <c r="W66" s="1">
        <f t="shared" si="97"/>
        <v>0.62025398665483</v>
      </c>
      <c r="X66" s="1">
        <f t="shared" si="98"/>
        <v>0.0971754716599</v>
      </c>
      <c r="XFD66"/>
    </row>
    <row r="67" s="1" customFormat="1" spans="1:16384">
      <c r="A67" s="41" t="s">
        <v>150</v>
      </c>
      <c r="B67" s="42">
        <v>149.014</v>
      </c>
      <c r="C67" s="27">
        <v>47.8571</v>
      </c>
      <c r="D67" s="30">
        <v>350</v>
      </c>
      <c r="E67" s="20">
        <f>(($V$2*G67)/((V67/W67)^(2/3)))^2</f>
        <v>0.00276580043993308</v>
      </c>
      <c r="F67" s="17">
        <f t="shared" si="86"/>
        <v>2.76580043993308</v>
      </c>
      <c r="G67" s="17">
        <f t="shared" si="87"/>
        <v>0.793999367557931</v>
      </c>
      <c r="H67" s="8">
        <f t="shared" si="85"/>
        <v>0.6</v>
      </c>
      <c r="I67" s="17">
        <f t="shared" si="88"/>
        <v>0.21</v>
      </c>
      <c r="J67" s="48">
        <f t="shared" si="89"/>
        <v>0.412142986756188</v>
      </c>
      <c r="K67" s="49">
        <v>19.9691</v>
      </c>
      <c r="L67" s="44">
        <v>19.8543</v>
      </c>
      <c r="M67" s="48">
        <f t="shared" si="90"/>
        <v>15.8812310437494</v>
      </c>
      <c r="N67" s="50">
        <f t="shared" si="91"/>
        <v>15.4690880569932</v>
      </c>
      <c r="O67" s="53">
        <f t="shared" si="99"/>
        <v>15.8190880569932</v>
      </c>
      <c r="P67" s="53">
        <f t="shared" si="92"/>
        <v>15.406945070237</v>
      </c>
      <c r="Q67" s="53">
        <f t="shared" si="100"/>
        <v>15.4690880569932</v>
      </c>
      <c r="R67" s="53">
        <f t="shared" si="93"/>
        <v>15.056945070237</v>
      </c>
      <c r="S67" s="50">
        <f t="shared" si="101"/>
        <v>4.15001194300679</v>
      </c>
      <c r="T67" s="50">
        <f t="shared" si="94"/>
        <v>4.44735492976298</v>
      </c>
      <c r="U67" s="1">
        <f t="shared" si="95"/>
        <v>1.77215424758523</v>
      </c>
      <c r="V67" s="1">
        <f t="shared" si="96"/>
        <v>0.0602734737021164</v>
      </c>
      <c r="W67" s="1">
        <f t="shared" si="97"/>
        <v>0.62025398665483</v>
      </c>
      <c r="X67" s="1">
        <f t="shared" si="98"/>
        <v>0.0971754716599</v>
      </c>
      <c r="XFD67"/>
    </row>
    <row r="68" s="1" customFormat="1" spans="1:16384">
      <c r="A68" s="41" t="s">
        <v>151</v>
      </c>
      <c r="B68" s="42">
        <v>109.913</v>
      </c>
      <c r="C68" s="27">
        <v>53.0057</v>
      </c>
      <c r="D68" s="30">
        <v>350</v>
      </c>
      <c r="E68" s="20">
        <f>(($V$2*G68)/((V68/W68)^(2/3)))^2</f>
        <v>0.00339291698344116</v>
      </c>
      <c r="F68" s="17">
        <f t="shared" si="86"/>
        <v>3.39291698344116</v>
      </c>
      <c r="G68" s="17">
        <f t="shared" si="87"/>
        <v>0.879420029148558</v>
      </c>
      <c r="H68" s="8">
        <f t="shared" si="85"/>
        <v>0.6</v>
      </c>
      <c r="I68" s="17">
        <f t="shared" si="88"/>
        <v>0.21</v>
      </c>
      <c r="J68" s="48">
        <f t="shared" si="89"/>
        <v>0.372925684400968</v>
      </c>
      <c r="K68" s="49">
        <v>19.8543</v>
      </c>
      <c r="L68" s="49">
        <v>19.7086</v>
      </c>
      <c r="M68" s="48">
        <f t="shared" si="90"/>
        <v>15.429870754638</v>
      </c>
      <c r="N68" s="50">
        <f t="shared" si="91"/>
        <v>15.056945070237</v>
      </c>
      <c r="O68" s="53">
        <f t="shared" si="99"/>
        <v>15.406945070237</v>
      </c>
      <c r="P68" s="53">
        <f t="shared" si="92"/>
        <v>15.0340193858361</v>
      </c>
      <c r="Q68" s="53">
        <f t="shared" si="100"/>
        <v>15.056945070237</v>
      </c>
      <c r="R68" s="53">
        <f t="shared" si="93"/>
        <v>14.6840193858361</v>
      </c>
      <c r="S68" s="50">
        <f t="shared" si="101"/>
        <v>4.44735492976298</v>
      </c>
      <c r="T68" s="50">
        <f t="shared" si="94"/>
        <v>4.67458061416395</v>
      </c>
      <c r="U68" s="1">
        <f t="shared" si="95"/>
        <v>1.77215424758523</v>
      </c>
      <c r="V68" s="1">
        <f t="shared" si="96"/>
        <v>0.0602734737021164</v>
      </c>
      <c r="W68" s="1">
        <f t="shared" si="97"/>
        <v>0.62025398665483</v>
      </c>
      <c r="X68" s="1">
        <f t="shared" si="98"/>
        <v>0.0971754716599</v>
      </c>
      <c r="XFD68"/>
    </row>
    <row r="69" s="1" customFormat="1" spans="1:16384">
      <c r="A69" s="41" t="s">
        <v>152</v>
      </c>
      <c r="B69" s="42">
        <v>84.6624</v>
      </c>
      <c r="C69" s="27">
        <v>56.5294</v>
      </c>
      <c r="D69" s="30">
        <v>350</v>
      </c>
      <c r="E69" s="20">
        <f>(($V$2*G69)/((V69/W69)^(2/3)))^2</f>
        <v>0.00385901829037508</v>
      </c>
      <c r="F69" s="17">
        <f t="shared" si="86"/>
        <v>3.85901829037508</v>
      </c>
      <c r="G69" s="17">
        <f t="shared" si="87"/>
        <v>0.937881899413657</v>
      </c>
      <c r="H69" s="8">
        <f t="shared" ref="H69:H76" si="102">IF(D69&lt;350,0.5,IF(D69&lt;500,0.6,IF(D69&lt;1000,0.675,0.725)))</f>
        <v>0.6</v>
      </c>
      <c r="I69" s="17">
        <f t="shared" si="88"/>
        <v>0.21</v>
      </c>
      <c r="J69" s="48">
        <f t="shared" si="89"/>
        <v>0.326713750107051</v>
      </c>
      <c r="K69" s="49">
        <v>19.7086</v>
      </c>
      <c r="L69" s="49">
        <v>19.3621</v>
      </c>
      <c r="M69" s="48">
        <f t="shared" si="90"/>
        <v>15.0107331359431</v>
      </c>
      <c r="N69" s="50">
        <f t="shared" si="91"/>
        <v>14.6840193858361</v>
      </c>
      <c r="O69" s="53">
        <f t="shared" si="99"/>
        <v>15.0340193858361</v>
      </c>
      <c r="P69" s="53">
        <f t="shared" si="92"/>
        <v>14.707305635729</v>
      </c>
      <c r="Q69" s="53">
        <f t="shared" si="100"/>
        <v>14.6840193858361</v>
      </c>
      <c r="R69" s="53">
        <f t="shared" si="93"/>
        <v>14.357305635729</v>
      </c>
      <c r="S69" s="50">
        <f t="shared" si="101"/>
        <v>4.67458061416395</v>
      </c>
      <c r="T69" s="50">
        <f t="shared" si="94"/>
        <v>4.654794364271</v>
      </c>
      <c r="U69" s="1">
        <f t="shared" si="95"/>
        <v>1.77215424758523</v>
      </c>
      <c r="V69" s="1">
        <f t="shared" si="96"/>
        <v>0.0602734737021164</v>
      </c>
      <c r="W69" s="1">
        <f t="shared" si="97"/>
        <v>0.62025398665483</v>
      </c>
      <c r="X69" s="1">
        <f t="shared" si="98"/>
        <v>0.0971754716599</v>
      </c>
      <c r="XFD69"/>
    </row>
    <row r="70" s="1" customFormat="1" spans="1:16384">
      <c r="A70" s="63"/>
      <c r="B70" s="64"/>
      <c r="C70" s="35"/>
      <c r="D70" s="36"/>
      <c r="E70" s="37"/>
      <c r="F70" s="38"/>
      <c r="G70" s="17"/>
      <c r="H70" s="8"/>
      <c r="I70" s="38"/>
      <c r="J70" s="51"/>
      <c r="K70" s="52"/>
      <c r="L70" s="3"/>
      <c r="M70" s="51"/>
      <c r="N70" s="73"/>
      <c r="O70" s="74"/>
      <c r="P70" s="74"/>
      <c r="Q70" s="74"/>
      <c r="R70" s="74"/>
      <c r="S70" s="73"/>
      <c r="T70" s="73"/>
      <c r="XFD70"/>
    </row>
    <row r="71" s="1" customFormat="1" spans="1:16384">
      <c r="A71" s="65" t="s">
        <v>37</v>
      </c>
      <c r="B71" s="40">
        <v>209.003</v>
      </c>
      <c r="C71" s="27">
        <v>60.3732</v>
      </c>
      <c r="D71" s="30">
        <f t="shared" ref="B71:T71" si="103">D18</f>
        <v>400</v>
      </c>
      <c r="E71" s="20">
        <f t="shared" si="103"/>
        <v>0.00215936517279092</v>
      </c>
      <c r="F71" s="17">
        <f t="shared" si="103"/>
        <v>2.15936517279092</v>
      </c>
      <c r="G71" s="17">
        <f t="shared" si="103"/>
        <v>0.766891775284837</v>
      </c>
      <c r="H71" s="8">
        <f t="shared" si="103"/>
        <v>0.6</v>
      </c>
      <c r="I71" s="17">
        <f t="shared" si="103"/>
        <v>0.24</v>
      </c>
      <c r="J71" s="48">
        <f t="shared" si="103"/>
        <v>0.451313799208821</v>
      </c>
      <c r="K71" s="49">
        <v>19.4845</v>
      </c>
      <c r="L71" s="44">
        <v>19.457</v>
      </c>
      <c r="M71" s="48">
        <f t="shared" si="103"/>
        <v>16.7010514339471</v>
      </c>
      <c r="N71" s="50">
        <f t="shared" si="103"/>
        <v>16.2497376347383</v>
      </c>
      <c r="O71" s="53">
        <f t="shared" si="103"/>
        <v>16.8610514339471</v>
      </c>
      <c r="P71" s="53">
        <f t="shared" si="103"/>
        <v>16.4097376347383</v>
      </c>
      <c r="Q71" s="53">
        <f t="shared" si="103"/>
        <v>16.4610514339471</v>
      </c>
      <c r="R71" s="53">
        <f t="shared" si="103"/>
        <v>16.0097376347383</v>
      </c>
      <c r="S71" s="50">
        <f t="shared" si="103"/>
        <v>2.62344856605291</v>
      </c>
      <c r="T71" s="50">
        <f t="shared" si="103"/>
        <v>3.04726236526173</v>
      </c>
      <c r="U71" s="1">
        <f t="shared" ref="U71:U77" si="104">ACOS((D71/2-D71*H71)/(D71/2))</f>
        <v>1.77215424758523</v>
      </c>
      <c r="V71" s="1">
        <f t="shared" ref="V71:V77" si="105">(U71-SIN(U71)*COS(U71))*((D71/1000)/2)^2</f>
        <v>0.0787245370803153</v>
      </c>
      <c r="W71" s="1">
        <f t="shared" ref="W71:W77" si="106">U71*(D71/1000)</f>
        <v>0.708861699034091</v>
      </c>
      <c r="X71" s="1">
        <f t="shared" ref="X71:X77" si="107">V71/W71</f>
        <v>0.111057681897029</v>
      </c>
      <c r="XFD71"/>
    </row>
    <row r="72" s="1" customFormat="1" spans="1:16384">
      <c r="A72" s="66" t="s">
        <v>153</v>
      </c>
      <c r="B72" s="40">
        <v>264.948</v>
      </c>
      <c r="C72" s="27">
        <v>60.3732</v>
      </c>
      <c r="D72" s="30">
        <v>400</v>
      </c>
      <c r="E72" s="20">
        <f>(($V$2*G72)/((V72/W72)^(2/3)))^2</f>
        <v>0.00215936517279092</v>
      </c>
      <c r="F72" s="17">
        <f>E72*1000</f>
        <v>2.15936517279092</v>
      </c>
      <c r="G72" s="17">
        <f>C72/V72/1000</f>
        <v>0.766891775284837</v>
      </c>
      <c r="H72" s="8">
        <f t="shared" si="102"/>
        <v>0.6</v>
      </c>
      <c r="I72" s="17">
        <f>H72*D72/1000</f>
        <v>0.24</v>
      </c>
      <c r="J72" s="48">
        <f>E72*B72</f>
        <v>0.572119483800609</v>
      </c>
      <c r="K72" s="49">
        <v>19.457</v>
      </c>
      <c r="L72" s="44">
        <v>19.5063</v>
      </c>
      <c r="M72" s="48">
        <f>Q72+I72</f>
        <v>16.2497376347383</v>
      </c>
      <c r="N72" s="50">
        <f>M72-J72</f>
        <v>15.6776181509377</v>
      </c>
      <c r="O72" s="53">
        <f>P71-I72+I71+(D72-D71)/1000</f>
        <v>16.4097376347383</v>
      </c>
      <c r="P72" s="53">
        <f>O72-J72</f>
        <v>15.8376181509377</v>
      </c>
      <c r="Q72" s="53">
        <f>IF(O72-D72/1000&lt;=R71,O72-D72/1000)</f>
        <v>16.0097376347383</v>
      </c>
      <c r="R72" s="53">
        <f>P72-D72/1000</f>
        <v>15.4376181509377</v>
      </c>
      <c r="S72" s="50">
        <f>K72-O72</f>
        <v>3.04726236526173</v>
      </c>
      <c r="T72" s="50">
        <f>L72-P72</f>
        <v>3.66868184906234</v>
      </c>
      <c r="U72" s="1">
        <f t="shared" si="104"/>
        <v>1.77215424758523</v>
      </c>
      <c r="V72" s="1">
        <f t="shared" si="105"/>
        <v>0.0787245370803153</v>
      </c>
      <c r="W72" s="1">
        <f t="shared" si="106"/>
        <v>0.708861699034091</v>
      </c>
      <c r="X72" s="1">
        <f t="shared" si="107"/>
        <v>0.111057681897029</v>
      </c>
      <c r="XFD72"/>
    </row>
    <row r="73" s="1" customFormat="1" spans="1:16384">
      <c r="A73" s="66" t="s">
        <v>154</v>
      </c>
      <c r="B73" s="40">
        <v>180.042</v>
      </c>
      <c r="C73" s="27">
        <v>166.0862</v>
      </c>
      <c r="D73" s="30">
        <v>600</v>
      </c>
      <c r="E73" s="20">
        <f>(($V$2*G73)/((V73/W73)^(2/3)))^2</f>
        <v>0.00133441751928301</v>
      </c>
      <c r="F73" s="17">
        <f>E73*1000</f>
        <v>1.33441751928301</v>
      </c>
      <c r="G73" s="17">
        <f>C73/V73/1000</f>
        <v>0.81791411561133</v>
      </c>
      <c r="H73" s="8">
        <f t="shared" si="102"/>
        <v>0.675</v>
      </c>
      <c r="I73" s="17">
        <f>H73*D73/1000</f>
        <v>0.405</v>
      </c>
      <c r="J73" s="48">
        <f>E73*B73</f>
        <v>0.240251199006752</v>
      </c>
      <c r="K73" s="49">
        <v>19.5063</v>
      </c>
      <c r="L73" s="44">
        <v>19.5435</v>
      </c>
      <c r="M73" s="48">
        <f>Q73+I73</f>
        <v>15.6776181509377</v>
      </c>
      <c r="N73" s="50">
        <f>M73-J73</f>
        <v>15.4373669519309</v>
      </c>
      <c r="O73" s="53">
        <f>P72-I73+I72+(D73-D72)/1000</f>
        <v>15.8726181509377</v>
      </c>
      <c r="P73" s="53">
        <f>O73-J73</f>
        <v>15.6323669519309</v>
      </c>
      <c r="Q73" s="53">
        <f>IF(O73-D73/1000&lt;=R72,O73-D73/1000)</f>
        <v>15.2726181509377</v>
      </c>
      <c r="R73" s="53">
        <f>P73-D73/1000</f>
        <v>15.0323669519309</v>
      </c>
      <c r="S73" s="50">
        <f>K73-O73</f>
        <v>3.63368184906234</v>
      </c>
      <c r="T73" s="50">
        <f>L73-P73</f>
        <v>3.9111330480691</v>
      </c>
      <c r="U73" s="1">
        <f t="shared" si="104"/>
        <v>1.92836743044041</v>
      </c>
      <c r="V73" s="1">
        <f t="shared" si="105"/>
        <v>0.203060684282069</v>
      </c>
      <c r="W73" s="1">
        <f t="shared" si="106"/>
        <v>1.15702045826424</v>
      </c>
      <c r="X73" s="1">
        <f t="shared" si="107"/>
        <v>0.175503106130638</v>
      </c>
      <c r="XFD73"/>
    </row>
    <row r="74" s="1" customFormat="1" spans="1:16384">
      <c r="A74" s="67" t="s">
        <v>155</v>
      </c>
      <c r="B74" s="40">
        <v>294.527</v>
      </c>
      <c r="C74" s="27">
        <v>197.1755</v>
      </c>
      <c r="D74" s="30">
        <v>650</v>
      </c>
      <c r="E74" s="20">
        <f>(($V$2*G74)/((V74/W74)^(2/3)))^2</f>
        <v>0.00122724886533144</v>
      </c>
      <c r="F74" s="17">
        <f>E74*1000</f>
        <v>1.22724886533144</v>
      </c>
      <c r="G74" s="17">
        <f>C74/V74/1000</f>
        <v>0.82737595030381</v>
      </c>
      <c r="H74" s="8">
        <f t="shared" si="102"/>
        <v>0.675</v>
      </c>
      <c r="I74" s="17">
        <f>H74*D74/1000</f>
        <v>0.43875</v>
      </c>
      <c r="J74" s="48">
        <f>E74*B74</f>
        <v>0.361457926559473</v>
      </c>
      <c r="K74" s="49">
        <v>19.5435</v>
      </c>
      <c r="L74" s="44">
        <v>19.5</v>
      </c>
      <c r="M74" s="48">
        <f>Q74+I74</f>
        <v>15.4373669519309</v>
      </c>
      <c r="N74" s="50">
        <f>M74-J74</f>
        <v>15.0759090253714</v>
      </c>
      <c r="O74" s="53">
        <f>P73-I74+I73+(D74-D73)/1000</f>
        <v>15.6486169519309</v>
      </c>
      <c r="P74" s="53">
        <f>O74-J74</f>
        <v>15.2871590253714</v>
      </c>
      <c r="Q74" s="53">
        <f>IF(O74-D74/1000&lt;=R73,O74-D74/1000)</f>
        <v>14.9986169519309</v>
      </c>
      <c r="R74" s="53">
        <f>P74-D74/1000</f>
        <v>14.6371590253714</v>
      </c>
      <c r="S74" s="50">
        <f>K74-O74</f>
        <v>3.8948830480691</v>
      </c>
      <c r="T74" s="50">
        <f>L74-P74</f>
        <v>4.21284097462857</v>
      </c>
      <c r="U74" s="1">
        <f t="shared" si="104"/>
        <v>1.92836743044041</v>
      </c>
      <c r="V74" s="1">
        <f t="shared" si="105"/>
        <v>0.238314275303262</v>
      </c>
      <c r="W74" s="1">
        <f t="shared" si="106"/>
        <v>1.25343882978626</v>
      </c>
      <c r="X74" s="1">
        <f t="shared" si="107"/>
        <v>0.190128364974858</v>
      </c>
      <c r="XFD74"/>
    </row>
    <row r="75" s="1" customFormat="1" spans="1:16384">
      <c r="A75" s="67" t="s">
        <v>156</v>
      </c>
      <c r="B75" s="40">
        <v>533.403</v>
      </c>
      <c r="C75" s="27">
        <v>266.4874</v>
      </c>
      <c r="D75" s="30">
        <v>750</v>
      </c>
      <c r="E75" s="20">
        <f>(($V$2*G75)/((V75/W75)^(2/3)))^2</f>
        <v>0.00104501998084016</v>
      </c>
      <c r="F75" s="17">
        <f>E75*1000</f>
        <v>1.04501998084016</v>
      </c>
      <c r="G75" s="17">
        <f>C75/V75/1000</f>
        <v>0.839906240851077</v>
      </c>
      <c r="H75" s="8">
        <f t="shared" si="102"/>
        <v>0.675</v>
      </c>
      <c r="I75" s="17">
        <f>H75*D75/1000</f>
        <v>0.50625</v>
      </c>
      <c r="J75" s="48">
        <f>E75*B75</f>
        <v>0.557416792840083</v>
      </c>
      <c r="K75" s="49">
        <v>19.5</v>
      </c>
      <c r="L75" s="44">
        <v>19.3621</v>
      </c>
      <c r="M75" s="48">
        <f>Q75+I75</f>
        <v>15.0759090253714</v>
      </c>
      <c r="N75" s="50">
        <f>M75-J75</f>
        <v>14.5184922325313</v>
      </c>
      <c r="O75" s="53">
        <f>P74-I75+I74+(D75-D74)/1000</f>
        <v>15.3196590253714</v>
      </c>
      <c r="P75" s="53">
        <f>O75-J75</f>
        <v>14.7622422325313</v>
      </c>
      <c r="Q75" s="53">
        <f>IF(O75-D75/1000&lt;=R74,O75-D75/1000)</f>
        <v>14.5696590253714</v>
      </c>
      <c r="R75" s="53">
        <f>P75-D75/1000</f>
        <v>14.0122422325313</v>
      </c>
      <c r="S75" s="50">
        <f>K75-O75</f>
        <v>4.18034097462857</v>
      </c>
      <c r="T75" s="50">
        <f>L75-P75</f>
        <v>4.59985776746865</v>
      </c>
      <c r="U75" s="1">
        <f t="shared" si="104"/>
        <v>1.92836743044041</v>
      </c>
      <c r="V75" s="1">
        <f t="shared" si="105"/>
        <v>0.317282319190733</v>
      </c>
      <c r="W75" s="1">
        <f t="shared" si="106"/>
        <v>1.44627557283031</v>
      </c>
      <c r="X75" s="1">
        <f t="shared" si="107"/>
        <v>0.219378882663297</v>
      </c>
      <c r="XFD75"/>
    </row>
    <row r="76" s="1" customFormat="1" spans="1:16384">
      <c r="A76" s="67" t="s">
        <v>157</v>
      </c>
      <c r="B76" s="40">
        <v>581.848</v>
      </c>
      <c r="C76" s="27">
        <v>323.0168</v>
      </c>
      <c r="D76" s="30">
        <v>800</v>
      </c>
      <c r="E76" s="20">
        <f>(($V$2*G76)/((V76/W76)^(2/3)))^2</f>
        <v>0.00108826567174955</v>
      </c>
      <c r="F76" s="17">
        <f>E76*1000</f>
        <v>1.08826567174955</v>
      </c>
      <c r="G76" s="17">
        <f>C76/V76/1000</f>
        <v>0.894791380430921</v>
      </c>
      <c r="H76" s="8">
        <f t="shared" si="102"/>
        <v>0.675</v>
      </c>
      <c r="I76" s="17">
        <f>H76*D76/1000</f>
        <v>0.54</v>
      </c>
      <c r="J76" s="48">
        <f>E76*B76</f>
        <v>0.633205204576131</v>
      </c>
      <c r="K76" s="49">
        <v>19.3621</v>
      </c>
      <c r="L76" s="44">
        <v>19.3042</v>
      </c>
      <c r="M76" s="48">
        <f>Q76+I76</f>
        <v>14.5184922325313</v>
      </c>
      <c r="N76" s="50">
        <f>M76-J76</f>
        <v>13.8852870279552</v>
      </c>
      <c r="O76" s="53">
        <f>P75-I76+I75+(D76-D75)/1000</f>
        <v>14.7784922325313</v>
      </c>
      <c r="P76" s="53">
        <f>O76-J76</f>
        <v>14.1452870279552</v>
      </c>
      <c r="Q76" s="53">
        <f>IF(O76-D76/1000&lt;=R75,O76-D76/1000)</f>
        <v>13.9784922325313</v>
      </c>
      <c r="R76" s="53">
        <f>P76-D76/1000</f>
        <v>13.3452870279552</v>
      </c>
      <c r="S76" s="50">
        <f>K76-O76</f>
        <v>4.58360776746865</v>
      </c>
      <c r="T76" s="50">
        <f>L76-P76</f>
        <v>5.15891297204479</v>
      </c>
      <c r="U76" s="1">
        <f t="shared" si="104"/>
        <v>1.92836743044041</v>
      </c>
      <c r="V76" s="1">
        <f t="shared" si="105"/>
        <v>0.360996772057012</v>
      </c>
      <c r="W76" s="1">
        <f t="shared" si="106"/>
        <v>1.54269394435233</v>
      </c>
      <c r="X76" s="1">
        <f t="shared" si="107"/>
        <v>0.234004141507517</v>
      </c>
      <c r="XFD76"/>
    </row>
    <row r="77" s="1" customFormat="1" spans="4:16384">
      <c r="D77" s="2"/>
      <c r="H77" s="2"/>
      <c r="K77" s="3"/>
      <c r="L77" s="3"/>
      <c r="XFD77"/>
    </row>
    <row r="78" s="1" customFormat="1" spans="1:16384">
      <c r="A78" s="25" t="s">
        <v>158</v>
      </c>
      <c r="B78" s="26">
        <v>581.848</v>
      </c>
      <c r="C78" s="27">
        <f>C76</f>
        <v>323.0168</v>
      </c>
      <c r="D78" s="30">
        <f t="shared" ref="D78:T78" si="108">D76</f>
        <v>800</v>
      </c>
      <c r="E78" s="20">
        <f t="shared" si="108"/>
        <v>0.00108826567174955</v>
      </c>
      <c r="F78" s="17">
        <f t="shared" si="108"/>
        <v>1.08826567174955</v>
      </c>
      <c r="G78" s="17">
        <f t="shared" si="108"/>
        <v>0.894791380430921</v>
      </c>
      <c r="H78" s="8">
        <f t="shared" si="108"/>
        <v>0.675</v>
      </c>
      <c r="I78" s="17">
        <f t="shared" si="108"/>
        <v>0.54</v>
      </c>
      <c r="J78" s="48">
        <f t="shared" si="108"/>
        <v>0.633205204576131</v>
      </c>
      <c r="K78" s="49">
        <f t="shared" si="108"/>
        <v>19.3621</v>
      </c>
      <c r="L78" s="49">
        <f t="shared" si="108"/>
        <v>19.3042</v>
      </c>
      <c r="M78" s="48">
        <f t="shared" si="108"/>
        <v>14.5184922325313</v>
      </c>
      <c r="N78" s="50">
        <f t="shared" si="108"/>
        <v>13.8852870279552</v>
      </c>
      <c r="O78" s="53">
        <f t="shared" si="108"/>
        <v>14.7784922325313</v>
      </c>
      <c r="P78" s="53">
        <f t="shared" si="108"/>
        <v>14.1452870279552</v>
      </c>
      <c r="Q78" s="53">
        <f t="shared" si="108"/>
        <v>13.9784922325313</v>
      </c>
      <c r="R78" s="53">
        <f t="shared" si="108"/>
        <v>13.3452870279552</v>
      </c>
      <c r="S78" s="50">
        <f t="shared" si="108"/>
        <v>4.58360776746865</v>
      </c>
      <c r="T78" s="50">
        <f t="shared" si="108"/>
        <v>5.15891297204479</v>
      </c>
      <c r="U78" s="1">
        <f t="shared" ref="U78:U86" si="109">ACOS((D78/2-D78*H78)/(D78/2))</f>
        <v>1.92836743044041</v>
      </c>
      <c r="V78" s="1">
        <f t="shared" ref="V78:V86" si="110">(U78-SIN(U78)*COS(U78))*((D78/1000)/2)^2</f>
        <v>0.360996772057012</v>
      </c>
      <c r="W78" s="1">
        <f t="shared" ref="W78:W86" si="111">U78*(D78/1000)</f>
        <v>1.54269394435233</v>
      </c>
      <c r="X78" s="1">
        <f t="shared" ref="X78:X86" si="112">V78/W78</f>
        <v>0.234004141507517</v>
      </c>
      <c r="XFD78"/>
    </row>
    <row r="79" s="1" customFormat="1" spans="1:16384">
      <c r="A79" s="68" t="s">
        <v>159</v>
      </c>
      <c r="B79" s="26">
        <v>109.685</v>
      </c>
      <c r="C79" s="27">
        <v>323.0168</v>
      </c>
      <c r="D79" s="30">
        <v>800</v>
      </c>
      <c r="E79" s="20">
        <f>(($V$2*G79)/((V79/W79)^(2/3)))^2</f>
        <v>0.00108826567174955</v>
      </c>
      <c r="F79" s="17">
        <f>E79*1000</f>
        <v>1.08826567174955</v>
      </c>
      <c r="G79" s="17">
        <f>C79/V79/1000</f>
        <v>0.894791380430921</v>
      </c>
      <c r="H79" s="8">
        <f>IF(D79&lt;350,0.5,IF(D79&lt;500,0.6,IF(D79&lt;1000,0.675,0.725)))</f>
        <v>0.675</v>
      </c>
      <c r="I79" s="17">
        <f>H79*D79/1000</f>
        <v>0.54</v>
      </c>
      <c r="J79" s="48">
        <f>E79*B79</f>
        <v>0.119366420205849</v>
      </c>
      <c r="K79" s="49">
        <v>19.3042</v>
      </c>
      <c r="L79" s="49">
        <v>19.4209</v>
      </c>
      <c r="M79" s="48">
        <f>Q79+I79</f>
        <v>13.8852870279552</v>
      </c>
      <c r="N79" s="50">
        <f>M79-J79</f>
        <v>13.7659206077494</v>
      </c>
      <c r="O79" s="53">
        <f>P78-I79+I78+(D79-D78)/1000</f>
        <v>14.1452870279552</v>
      </c>
      <c r="P79" s="53">
        <f>O79-J79</f>
        <v>14.0259206077494</v>
      </c>
      <c r="Q79" s="53">
        <f>IF(O79-D79/1000&lt;=R78,O79-D79/1000)</f>
        <v>13.3452870279552</v>
      </c>
      <c r="R79" s="53">
        <f>P79-D79/1000</f>
        <v>13.2259206077494</v>
      </c>
      <c r="S79" s="50">
        <f>K79-O79</f>
        <v>5.15891297204479</v>
      </c>
      <c r="T79" s="50">
        <f>L79-P79</f>
        <v>5.39497939225064</v>
      </c>
      <c r="U79" s="1">
        <f t="shared" si="109"/>
        <v>1.92836743044041</v>
      </c>
      <c r="V79" s="1">
        <f t="shared" si="110"/>
        <v>0.360996772057012</v>
      </c>
      <c r="W79" s="1">
        <f t="shared" si="111"/>
        <v>1.54269394435233</v>
      </c>
      <c r="X79" s="1">
        <f t="shared" si="112"/>
        <v>0.234004141507517</v>
      </c>
      <c r="XFD79"/>
    </row>
    <row r="80" s="1" customFormat="1" spans="1:16384">
      <c r="A80" s="69" t="s">
        <v>38</v>
      </c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XFD80"/>
    </row>
    <row r="81" s="1" customFormat="1" spans="1:16384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XFD81"/>
    </row>
    <row r="82" s="1" customFormat="1" spans="1:16384">
      <c r="A82" s="25" t="s">
        <v>39</v>
      </c>
      <c r="B82" s="42">
        <v>388.257</v>
      </c>
      <c r="C82" s="27">
        <v>1.0684</v>
      </c>
      <c r="D82" s="30">
        <v>150</v>
      </c>
      <c r="E82" s="20">
        <f>(($V$2*G82)/((V82/W82)^(2/3)))^2</f>
        <v>0.00224498374369968</v>
      </c>
      <c r="F82" s="17">
        <f>E82*1000</f>
        <v>2.24498374369968</v>
      </c>
      <c r="G82" s="17">
        <f>C82/V82/1000</f>
        <v>0.277541373361553</v>
      </c>
      <c r="H82" s="8">
        <v>0.27</v>
      </c>
      <c r="I82" s="17">
        <f>H82*D82/1000</f>
        <v>0.0405</v>
      </c>
      <c r="J82" s="48">
        <f>E82*B82</f>
        <v>0.871630653377607</v>
      </c>
      <c r="K82" s="49">
        <v>20.2376</v>
      </c>
      <c r="L82" s="44">
        <v>20.5818</v>
      </c>
      <c r="M82" s="48">
        <f>Q82+J82</f>
        <v>20.1092306533776</v>
      </c>
      <c r="N82" s="50">
        <f>M82-J82</f>
        <v>19.2376</v>
      </c>
      <c r="O82" s="53">
        <f>K82-S82</f>
        <v>19.3876</v>
      </c>
      <c r="P82" s="53">
        <f>O82-J82</f>
        <v>18.5159693466224</v>
      </c>
      <c r="Q82" s="53">
        <f>O82-D82/1000</f>
        <v>19.2376</v>
      </c>
      <c r="R82" s="53">
        <f>P82-D82/1000</f>
        <v>18.3659693466224</v>
      </c>
      <c r="S82" s="50">
        <f>0.7+D82/1000</f>
        <v>0.85</v>
      </c>
      <c r="T82" s="50">
        <f>L82-P82</f>
        <v>2.06583065337761</v>
      </c>
      <c r="U82" s="1">
        <f t="shared" si="109"/>
        <v>1.09280112827594</v>
      </c>
      <c r="V82" s="1">
        <f t="shared" si="110"/>
        <v>0.00384951615342839</v>
      </c>
      <c r="W82" s="1">
        <f t="shared" si="111"/>
        <v>0.163920169241392</v>
      </c>
      <c r="X82" s="1">
        <f t="shared" si="112"/>
        <v>0.0234840908915823</v>
      </c>
      <c r="XFD82"/>
    </row>
    <row r="83" s="1" customFormat="1" spans="1:16384">
      <c r="A83" s="28" t="s">
        <v>160</v>
      </c>
      <c r="B83" s="26">
        <v>125.172</v>
      </c>
      <c r="C83" s="27">
        <v>4.0188</v>
      </c>
      <c r="D83" s="30">
        <v>250</v>
      </c>
      <c r="E83" s="20">
        <f>(($V$2*G83)/((V83/W83)^(2/3)))^2</f>
        <v>0.00208326682382589</v>
      </c>
      <c r="F83" s="17">
        <f>E83*1000</f>
        <v>2.08326682382589</v>
      </c>
      <c r="G83" s="17">
        <f>C83/V83/1000</f>
        <v>0.375831128468315</v>
      </c>
      <c r="H83" s="8">
        <v>0.27</v>
      </c>
      <c r="I83" s="17">
        <f>H83*D83/1000</f>
        <v>0.0675</v>
      </c>
      <c r="J83" s="48">
        <f>E83*B83</f>
        <v>0.260766674871935</v>
      </c>
      <c r="K83" s="49">
        <v>20.5818</v>
      </c>
      <c r="L83" s="44">
        <v>20.4119</v>
      </c>
      <c r="M83" s="48">
        <f>Q83+J83</f>
        <v>18.5997360214943</v>
      </c>
      <c r="N83" s="50">
        <f>M83-J83</f>
        <v>18.3389693466224</v>
      </c>
      <c r="O83" s="53">
        <f>P82-I83+I82+(D83-D82)/1000</f>
        <v>18.5889693466224</v>
      </c>
      <c r="P83" s="53">
        <f>O83-J83</f>
        <v>18.3282026717505</v>
      </c>
      <c r="Q83" s="53">
        <f>IF(O83-D83/1000&lt;=R82,O83-D83/1000)</f>
        <v>18.3389693466224</v>
      </c>
      <c r="R83" s="53">
        <f>P83-D83/1000</f>
        <v>18.0782026717505</v>
      </c>
      <c r="S83" s="50">
        <f>K83-O83</f>
        <v>1.99283065337761</v>
      </c>
      <c r="T83" s="50">
        <f>L83-P83</f>
        <v>2.08369732824954</v>
      </c>
      <c r="U83" s="1">
        <f t="shared" si="109"/>
        <v>1.09280112827594</v>
      </c>
      <c r="V83" s="1">
        <f t="shared" si="110"/>
        <v>0.01069310042619</v>
      </c>
      <c r="W83" s="1">
        <f t="shared" si="111"/>
        <v>0.273200282068986</v>
      </c>
      <c r="X83" s="1">
        <f t="shared" si="112"/>
        <v>0.0391401514859705</v>
      </c>
      <c r="XFD83"/>
    </row>
    <row r="84" s="1" customFormat="1" spans="1:16384">
      <c r="A84" s="28" t="s">
        <v>161</v>
      </c>
      <c r="B84" s="26">
        <v>176.786</v>
      </c>
      <c r="C84" s="27">
        <v>8.8428</v>
      </c>
      <c r="D84" s="30">
        <v>250</v>
      </c>
      <c r="E84" s="20">
        <f>(($V$2*G84)/((V84/W84)^(2/3)))^2</f>
        <v>0.0022581922862702</v>
      </c>
      <c r="F84" s="17">
        <f>E84*1000</f>
        <v>2.2581922862702</v>
      </c>
      <c r="G84" s="17">
        <f>C84/V84/1000</f>
        <v>0.482274579029794</v>
      </c>
      <c r="H84" s="8">
        <v>0.4</v>
      </c>
      <c r="I84" s="17">
        <f>H84*D84/1000</f>
        <v>0.1</v>
      </c>
      <c r="J84" s="48">
        <f>E84*B84</f>
        <v>0.399216781520564</v>
      </c>
      <c r="K84" s="49">
        <v>20.4119</v>
      </c>
      <c r="L84" s="44">
        <v>20.1284</v>
      </c>
      <c r="M84" s="48">
        <f>Q84+J84</f>
        <v>18.444919453271</v>
      </c>
      <c r="N84" s="50">
        <f>M84-J84</f>
        <v>18.0457026717505</v>
      </c>
      <c r="O84" s="53">
        <f>P83-I84+I83+(D84-D83)/1000</f>
        <v>18.2957026717505</v>
      </c>
      <c r="P84" s="53">
        <f>O84-J84</f>
        <v>17.8964858902299</v>
      </c>
      <c r="Q84" s="53">
        <f>IF(O84-D84/1000&lt;=R83,O84-D84/1000)</f>
        <v>18.0457026717505</v>
      </c>
      <c r="R84" s="53">
        <f>P84-D84/1000</f>
        <v>17.6464858902299</v>
      </c>
      <c r="S84" s="50">
        <f>K84-O84</f>
        <v>2.11619732824954</v>
      </c>
      <c r="T84" s="50">
        <f>L84-P84</f>
        <v>2.23191410977011</v>
      </c>
      <c r="U84" s="1">
        <f t="shared" si="109"/>
        <v>1.36943840600457</v>
      </c>
      <c r="V84" s="1">
        <f t="shared" si="110"/>
        <v>0.0183356129153424</v>
      </c>
      <c r="W84" s="1">
        <f t="shared" si="111"/>
        <v>0.342359601501141</v>
      </c>
      <c r="X84" s="1">
        <f t="shared" si="112"/>
        <v>0.0535565903072277</v>
      </c>
      <c r="XFD84"/>
    </row>
    <row r="85" s="1" customFormat="1" spans="1:16384">
      <c r="A85" s="28" t="s">
        <v>76</v>
      </c>
      <c r="B85" s="26">
        <v>157.344</v>
      </c>
      <c r="C85" s="27">
        <v>13.9179</v>
      </c>
      <c r="D85" s="30">
        <v>300</v>
      </c>
      <c r="E85" s="20">
        <f>(($V$2*G85)/((V85/W85)^(2/3)))^2</f>
        <v>0.0021155766210446</v>
      </c>
      <c r="F85" s="17">
        <f>E85*1000</f>
        <v>2.1155766210446</v>
      </c>
      <c r="G85" s="17">
        <f>C85/V85/1000</f>
        <v>0.527127638326502</v>
      </c>
      <c r="H85" s="8">
        <v>0.4</v>
      </c>
      <c r="I85" s="17">
        <f>H85*D85/1000</f>
        <v>0.12</v>
      </c>
      <c r="J85" s="48">
        <f>E85*B85</f>
        <v>0.332873287861641</v>
      </c>
      <c r="K85" s="49">
        <v>20.1284</v>
      </c>
      <c r="L85" s="44">
        <v>19.4274</v>
      </c>
      <c r="M85" s="48">
        <f>Q85+J85</f>
        <v>17.9593591780915</v>
      </c>
      <c r="N85" s="50">
        <f>M85-J85</f>
        <v>17.6264858902299</v>
      </c>
      <c r="O85" s="53">
        <f>P84-I85+I84+(D85-D84)/1000</f>
        <v>17.9264858902299</v>
      </c>
      <c r="P85" s="53">
        <f>O85-J85</f>
        <v>17.5936126023683</v>
      </c>
      <c r="Q85" s="53">
        <f>IF(O85-D85/1000&lt;=R84,O85-D85/1000)</f>
        <v>17.6264858902299</v>
      </c>
      <c r="R85" s="53">
        <f>P85-D85/1000</f>
        <v>17.2936126023683</v>
      </c>
      <c r="S85" s="50">
        <f>K85-O85</f>
        <v>2.2019141097701</v>
      </c>
      <c r="T85" s="50">
        <f>L85-P85</f>
        <v>1.83378739763175</v>
      </c>
      <c r="U85" s="1">
        <f t="shared" si="109"/>
        <v>1.36943840600457</v>
      </c>
      <c r="V85" s="1">
        <f t="shared" si="110"/>
        <v>0.026403282598093</v>
      </c>
      <c r="W85" s="1">
        <f t="shared" si="111"/>
        <v>0.41083152180137</v>
      </c>
      <c r="X85" s="1">
        <f t="shared" si="112"/>
        <v>0.0642679083686732</v>
      </c>
      <c r="XFD85"/>
    </row>
    <row r="86" s="1" customFormat="1" spans="4:16384">
      <c r="D86" s="2"/>
      <c r="H86" s="2"/>
      <c r="K86" s="3"/>
      <c r="L86" s="3"/>
      <c r="XFD86"/>
    </row>
    <row r="87" s="1" customFormat="1" spans="1:16384">
      <c r="A87" s="25" t="s">
        <v>39</v>
      </c>
      <c r="B87" s="42">
        <v>380.351</v>
      </c>
      <c r="C87" s="27">
        <v>2.6534</v>
      </c>
      <c r="D87" s="30">
        <v>150</v>
      </c>
      <c r="E87" s="20">
        <f>(($V$2*G87)/((V87/W87)^(2/3)))^2</f>
        <v>0.00310013135284443</v>
      </c>
      <c r="F87" s="17">
        <f t="shared" ref="F87:F92" si="113">E87*1000</f>
        <v>3.10013135284443</v>
      </c>
      <c r="G87" s="17">
        <f t="shared" ref="G87:G92" si="114">C87/V87/1000</f>
        <v>0.401980320460857</v>
      </c>
      <c r="H87" s="8">
        <v>0.4</v>
      </c>
      <c r="I87" s="17">
        <f t="shared" ref="I87:I92" si="115">H87*D87/1000</f>
        <v>0.06</v>
      </c>
      <c r="J87" s="48">
        <f t="shared" ref="J87:J92" si="116">E87*B87</f>
        <v>1.17913806018573</v>
      </c>
      <c r="K87" s="49">
        <v>21.4015</v>
      </c>
      <c r="L87" s="44">
        <v>20.9743</v>
      </c>
      <c r="M87" s="48">
        <f t="shared" ref="M87:M92" si="117">Q87+J87</f>
        <v>21.5806380601857</v>
      </c>
      <c r="N87" s="50">
        <f t="shared" ref="N87:N92" si="118">M87-J87</f>
        <v>20.4015</v>
      </c>
      <c r="O87" s="53">
        <f>K87-S87</f>
        <v>20.5515</v>
      </c>
      <c r="P87" s="53">
        <f t="shared" ref="P87:P92" si="119">O87-J87</f>
        <v>19.3723619398143</v>
      </c>
      <c r="Q87" s="53">
        <f>O87-D87/1000</f>
        <v>20.4015</v>
      </c>
      <c r="R87" s="53">
        <f t="shared" ref="R87:R92" si="120">P87-D87/1000</f>
        <v>19.2223619398143</v>
      </c>
      <c r="S87" s="50">
        <f>0.7+D87/1000</f>
        <v>0.85</v>
      </c>
      <c r="T87" s="50">
        <f t="shared" ref="T87:T92" si="121">L87-P87</f>
        <v>1.60193806018573</v>
      </c>
      <c r="U87" s="1">
        <f t="shared" ref="U87:U92" si="122">ACOS((D87/2-D87*H87)/(D87/2))</f>
        <v>1.36943840600457</v>
      </c>
      <c r="V87" s="1">
        <f t="shared" ref="V87:V92" si="123">(U87-SIN(U87)*COS(U87))*((D87/1000)/2)^2</f>
        <v>0.00660082064952325</v>
      </c>
      <c r="W87" s="1">
        <f t="shared" ref="W87:W92" si="124">U87*(D87/1000)</f>
        <v>0.205415760900685</v>
      </c>
      <c r="X87" s="1">
        <f t="shared" ref="X87:X92" si="125">V87/W87</f>
        <v>0.0321339541843366</v>
      </c>
      <c r="XFD87"/>
    </row>
    <row r="88" s="1" customFormat="1" spans="1:16384">
      <c r="A88" s="28" t="s">
        <v>78</v>
      </c>
      <c r="B88" s="42">
        <v>203.772</v>
      </c>
      <c r="C88" s="27">
        <v>5.7479</v>
      </c>
      <c r="D88" s="30">
        <v>250</v>
      </c>
      <c r="E88" s="20">
        <f>(($V$2*G88)/((V88/W88)^(2/3)))^2</f>
        <v>0.00220334754620301</v>
      </c>
      <c r="F88" s="17">
        <f t="shared" si="113"/>
        <v>2.20334754620301</v>
      </c>
      <c r="G88" s="17">
        <f t="shared" si="114"/>
        <v>0.424460828041204</v>
      </c>
      <c r="H88" s="8">
        <v>0.32</v>
      </c>
      <c r="I88" s="17">
        <f t="shared" si="115"/>
        <v>0.08</v>
      </c>
      <c r="J88" s="48">
        <f t="shared" si="116"/>
        <v>0.44898053618488</v>
      </c>
      <c r="K88" s="49">
        <v>20.9743</v>
      </c>
      <c r="L88" s="44">
        <v>20.7268</v>
      </c>
      <c r="M88" s="48">
        <f t="shared" si="117"/>
        <v>19.6513424759991</v>
      </c>
      <c r="N88" s="50">
        <f t="shared" si="118"/>
        <v>19.2023619398143</v>
      </c>
      <c r="O88" s="53">
        <f t="shared" ref="O88:O92" si="126">P87-I88+I87+(D88-D87)/1000</f>
        <v>19.4523619398143</v>
      </c>
      <c r="P88" s="53">
        <f t="shared" si="119"/>
        <v>19.0033814036294</v>
      </c>
      <c r="Q88" s="53">
        <f t="shared" ref="Q88:Q92" si="127">IF(O88-D88/1000&lt;=R87,O88-D88/1000)</f>
        <v>19.2023619398143</v>
      </c>
      <c r="R88" s="53">
        <f t="shared" si="120"/>
        <v>18.7533814036294</v>
      </c>
      <c r="S88" s="50">
        <f t="shared" ref="S88:S92" si="128">K88-O88</f>
        <v>1.52193806018573</v>
      </c>
      <c r="T88" s="50">
        <f t="shared" si="121"/>
        <v>1.72341859637061</v>
      </c>
      <c r="U88" s="1">
        <f t="shared" si="122"/>
        <v>1.20252843335826</v>
      </c>
      <c r="V88" s="1">
        <f t="shared" si="123"/>
        <v>0.013541650065862</v>
      </c>
      <c r="W88" s="1">
        <f t="shared" si="124"/>
        <v>0.300632108339564</v>
      </c>
      <c r="X88" s="1">
        <f t="shared" si="125"/>
        <v>0.0450439247512667</v>
      </c>
      <c r="XFD88"/>
    </row>
    <row r="89" s="1" customFormat="1" spans="1:16384">
      <c r="A89" s="28" t="s">
        <v>79</v>
      </c>
      <c r="B89" s="42">
        <v>195.563</v>
      </c>
      <c r="C89" s="27">
        <v>8.4547</v>
      </c>
      <c r="D89" s="30">
        <v>250</v>
      </c>
      <c r="E89" s="20">
        <f>(($V$2*G89)/((V89/W89)^(2/3)))^2</f>
        <v>0.00206432331917967</v>
      </c>
      <c r="F89" s="17">
        <f t="shared" si="113"/>
        <v>2.06432331917967</v>
      </c>
      <c r="G89" s="17">
        <f t="shared" si="114"/>
        <v>0.461108119975935</v>
      </c>
      <c r="H89" s="8">
        <v>0.4</v>
      </c>
      <c r="I89" s="17">
        <f t="shared" si="115"/>
        <v>0.1</v>
      </c>
      <c r="J89" s="48">
        <f t="shared" si="116"/>
        <v>0.403705261268733</v>
      </c>
      <c r="K89" s="49">
        <v>20.7268</v>
      </c>
      <c r="L89" s="44">
        <v>20.5393</v>
      </c>
      <c r="M89" s="48">
        <f t="shared" si="117"/>
        <v>19.1370866648981</v>
      </c>
      <c r="N89" s="50">
        <f t="shared" si="118"/>
        <v>18.7333814036294</v>
      </c>
      <c r="O89" s="53">
        <f t="shared" si="126"/>
        <v>18.9833814036294</v>
      </c>
      <c r="P89" s="53">
        <f t="shared" si="119"/>
        <v>18.5796761423607</v>
      </c>
      <c r="Q89" s="53">
        <f t="shared" si="127"/>
        <v>18.7333814036294</v>
      </c>
      <c r="R89" s="53">
        <f t="shared" si="120"/>
        <v>18.3296761423607</v>
      </c>
      <c r="S89" s="50">
        <f t="shared" si="128"/>
        <v>1.74341859637062</v>
      </c>
      <c r="T89" s="50">
        <f t="shared" si="121"/>
        <v>1.95962385763935</v>
      </c>
      <c r="U89" s="1">
        <f t="shared" si="122"/>
        <v>1.36943840600457</v>
      </c>
      <c r="V89" s="1">
        <f t="shared" si="123"/>
        <v>0.0183356129153424</v>
      </c>
      <c r="W89" s="1">
        <f t="shared" si="124"/>
        <v>0.342359601501141</v>
      </c>
      <c r="X89" s="1">
        <f t="shared" si="125"/>
        <v>0.0535565903072277</v>
      </c>
      <c r="XFD89"/>
    </row>
    <row r="90" s="1" customFormat="1" spans="1:16384">
      <c r="A90" s="28" t="s">
        <v>162</v>
      </c>
      <c r="B90" s="42">
        <v>258.153</v>
      </c>
      <c r="C90" s="27">
        <v>11.9486</v>
      </c>
      <c r="D90" s="30">
        <v>300</v>
      </c>
      <c r="E90" s="20">
        <f>(($V$2*G90)/((V90/W90)^(2/3)))^2</f>
        <v>0.00256112547932342</v>
      </c>
      <c r="F90" s="17">
        <f t="shared" si="113"/>
        <v>2.56112547932342</v>
      </c>
      <c r="G90" s="17">
        <f t="shared" si="114"/>
        <v>0.541929802970689</v>
      </c>
      <c r="H90" s="8">
        <v>0.35</v>
      </c>
      <c r="I90" s="17">
        <f t="shared" si="115"/>
        <v>0.105</v>
      </c>
      <c r="J90" s="48">
        <f t="shared" si="116"/>
        <v>0.661162225863779</v>
      </c>
      <c r="K90" s="49">
        <v>20.5393</v>
      </c>
      <c r="L90" s="44">
        <v>20.3021</v>
      </c>
      <c r="M90" s="48">
        <f t="shared" si="117"/>
        <v>18.9858383682244</v>
      </c>
      <c r="N90" s="50">
        <f t="shared" si="118"/>
        <v>18.3246761423607</v>
      </c>
      <c r="O90" s="53">
        <f t="shared" si="126"/>
        <v>18.6246761423607</v>
      </c>
      <c r="P90" s="53">
        <f t="shared" si="119"/>
        <v>17.9635139164969</v>
      </c>
      <c r="Q90" s="53">
        <f t="shared" si="127"/>
        <v>18.3246761423607</v>
      </c>
      <c r="R90" s="53">
        <f t="shared" si="120"/>
        <v>17.6635139164969</v>
      </c>
      <c r="S90" s="50">
        <f t="shared" si="128"/>
        <v>1.91462385763935</v>
      </c>
      <c r="T90" s="50">
        <f t="shared" si="121"/>
        <v>2.33858608350313</v>
      </c>
      <c r="U90" s="1">
        <f t="shared" si="122"/>
        <v>1.2661036727795</v>
      </c>
      <c r="V90" s="1">
        <f t="shared" si="123"/>
        <v>0.0220482430279744</v>
      </c>
      <c r="W90" s="1">
        <f t="shared" si="124"/>
        <v>0.37983110183385</v>
      </c>
      <c r="X90" s="1">
        <f t="shared" si="125"/>
        <v>0.0580474924815898</v>
      </c>
      <c r="XFD90"/>
    </row>
    <row r="91" s="1" customFormat="1" spans="1:16384">
      <c r="A91" s="28" t="s">
        <v>80</v>
      </c>
      <c r="B91" s="42">
        <v>183.659</v>
      </c>
      <c r="C91" s="27">
        <v>15.8462</v>
      </c>
      <c r="D91" s="30">
        <v>300</v>
      </c>
      <c r="E91" s="20">
        <f>(($V$2*G91)/((V91/W91)^(2/3)))^2</f>
        <v>0.00274240505962299</v>
      </c>
      <c r="F91" s="17">
        <f t="shared" si="113"/>
        <v>2.74240505962299</v>
      </c>
      <c r="G91" s="17">
        <f t="shared" si="114"/>
        <v>0.600160224060341</v>
      </c>
      <c r="H91" s="8">
        <v>0.4</v>
      </c>
      <c r="I91" s="17">
        <f t="shared" si="115"/>
        <v>0.12</v>
      </c>
      <c r="J91" s="48">
        <f t="shared" si="116"/>
        <v>0.503667370845298</v>
      </c>
      <c r="K91" s="49">
        <v>20.3021</v>
      </c>
      <c r="L91" s="44">
        <v>20.106</v>
      </c>
      <c r="M91" s="48">
        <f t="shared" si="117"/>
        <v>18.1521812873422</v>
      </c>
      <c r="N91" s="50">
        <f t="shared" si="118"/>
        <v>17.6485139164969</v>
      </c>
      <c r="O91" s="53">
        <f t="shared" si="126"/>
        <v>17.9485139164969</v>
      </c>
      <c r="P91" s="53">
        <f t="shared" si="119"/>
        <v>17.4448465456516</v>
      </c>
      <c r="Q91" s="53">
        <f t="shared" si="127"/>
        <v>17.6485139164969</v>
      </c>
      <c r="R91" s="53">
        <f t="shared" si="120"/>
        <v>17.1448465456516</v>
      </c>
      <c r="S91" s="50">
        <f t="shared" si="128"/>
        <v>2.35358608350313</v>
      </c>
      <c r="T91" s="50">
        <f t="shared" si="121"/>
        <v>2.66115345434843</v>
      </c>
      <c r="U91" s="1">
        <f t="shared" si="122"/>
        <v>1.36943840600457</v>
      </c>
      <c r="V91" s="1">
        <f t="shared" si="123"/>
        <v>0.026403282598093</v>
      </c>
      <c r="W91" s="1">
        <f t="shared" si="124"/>
        <v>0.41083152180137</v>
      </c>
      <c r="X91" s="1">
        <f t="shared" si="125"/>
        <v>0.0642679083686732</v>
      </c>
      <c r="XFD91"/>
    </row>
    <row r="92" s="1" customFormat="1" spans="1:16384">
      <c r="A92" s="28" t="s">
        <v>81</v>
      </c>
      <c r="B92" s="42">
        <v>174.152</v>
      </c>
      <c r="C92" s="27">
        <v>33.5853</v>
      </c>
      <c r="D92" s="30">
        <v>350</v>
      </c>
      <c r="E92" s="20">
        <f>(($V$2*G92)/((V92/W92)^(2/3)))^2</f>
        <v>0.00245933967366916</v>
      </c>
      <c r="F92" s="17">
        <f t="shared" si="113"/>
        <v>2.45933967366916</v>
      </c>
      <c r="G92" s="17">
        <f t="shared" si="114"/>
        <v>0.698157258478267</v>
      </c>
      <c r="H92" s="8">
        <v>0.5</v>
      </c>
      <c r="I92" s="17">
        <f t="shared" si="115"/>
        <v>0.175</v>
      </c>
      <c r="J92" s="48">
        <f t="shared" si="116"/>
        <v>0.428298922848831</v>
      </c>
      <c r="K92" s="49">
        <v>20.106</v>
      </c>
      <c r="L92" s="44">
        <v>19.5266</v>
      </c>
      <c r="M92" s="48">
        <f t="shared" si="117"/>
        <v>17.5181454685004</v>
      </c>
      <c r="N92" s="50">
        <f t="shared" si="118"/>
        <v>17.0898465456516</v>
      </c>
      <c r="O92" s="53">
        <f t="shared" si="126"/>
        <v>17.4398465456516</v>
      </c>
      <c r="P92" s="53">
        <f t="shared" si="119"/>
        <v>17.0115476228027</v>
      </c>
      <c r="Q92" s="53">
        <f t="shared" si="127"/>
        <v>17.0898465456516</v>
      </c>
      <c r="R92" s="53">
        <f t="shared" si="120"/>
        <v>16.6615476228027</v>
      </c>
      <c r="S92" s="50">
        <f t="shared" si="128"/>
        <v>2.66615345434843</v>
      </c>
      <c r="T92" s="50">
        <f t="shared" si="121"/>
        <v>2.51505237719726</v>
      </c>
      <c r="U92" s="1">
        <f t="shared" si="122"/>
        <v>1.5707963267949</v>
      </c>
      <c r="V92" s="1">
        <f t="shared" si="123"/>
        <v>0.0481056375080937</v>
      </c>
      <c r="W92" s="1">
        <f t="shared" si="124"/>
        <v>0.549778714378214</v>
      </c>
      <c r="X92" s="1">
        <f t="shared" si="125"/>
        <v>0.0875</v>
      </c>
      <c r="XFD92"/>
    </row>
    <row r="93" s="1" customFormat="1" spans="1:16384">
      <c r="A93" s="33"/>
      <c r="B93" s="34"/>
      <c r="C93" s="35"/>
      <c r="D93" s="36"/>
      <c r="E93" s="37"/>
      <c r="F93" s="38"/>
      <c r="G93" s="38"/>
      <c r="H93" s="2"/>
      <c r="I93" s="38"/>
      <c r="J93" s="51"/>
      <c r="K93" s="52"/>
      <c r="L93" s="3"/>
      <c r="M93" s="51"/>
      <c r="N93" s="73"/>
      <c r="O93" s="74"/>
      <c r="P93" s="74"/>
      <c r="Q93" s="74"/>
      <c r="R93" s="74"/>
      <c r="S93" s="73"/>
      <c r="T93" s="73"/>
      <c r="XFD93"/>
    </row>
    <row r="94" s="1" customFormat="1" spans="1:16384">
      <c r="A94" s="25" t="s">
        <v>39</v>
      </c>
      <c r="B94" s="42">
        <v>426.758</v>
      </c>
      <c r="C94" s="27">
        <v>3.1365</v>
      </c>
      <c r="D94" s="30">
        <v>150</v>
      </c>
      <c r="E94" s="20">
        <f>(($V$2*G94)/((V94/W94)^(2/3)))^2</f>
        <v>0.00333341467092389</v>
      </c>
      <c r="F94" s="17">
        <f t="shared" ref="F94:F98" si="129">E94*1000</f>
        <v>3.33341467092389</v>
      </c>
      <c r="G94" s="17">
        <f t="shared" ref="G94:G98" si="130">C94/V94/1000</f>
        <v>0.431674603524777</v>
      </c>
      <c r="H94" s="8">
        <v>0.43</v>
      </c>
      <c r="I94" s="17">
        <f t="shared" ref="I94:I98" si="131">H94*D94/1000</f>
        <v>0.0645</v>
      </c>
      <c r="J94" s="48">
        <f t="shared" ref="J94:J98" si="132">E94*B94</f>
        <v>1.42256137813414</v>
      </c>
      <c r="K94" s="49">
        <v>21.2282</v>
      </c>
      <c r="L94" s="44">
        <v>20.6355</v>
      </c>
      <c r="M94" s="48">
        <f t="shared" ref="M94:M98" si="133">Q94+J94</f>
        <v>21.6507613781341</v>
      </c>
      <c r="N94" s="50">
        <f t="shared" ref="N94:N98" si="134">M94-J94</f>
        <v>20.2282</v>
      </c>
      <c r="O94" s="53">
        <f>K94-S94</f>
        <v>20.3782</v>
      </c>
      <c r="P94" s="53">
        <f t="shared" ref="P94:P98" si="135">O94-J94</f>
        <v>18.9556386218659</v>
      </c>
      <c r="Q94" s="53">
        <f>O94-D94/1000</f>
        <v>20.2282</v>
      </c>
      <c r="R94" s="53">
        <f t="shared" ref="R94:R98" si="136">P94-D94/1000</f>
        <v>18.8056386218659</v>
      </c>
      <c r="S94" s="50">
        <f>0.7+D94/1000</f>
        <v>0.85</v>
      </c>
      <c r="T94" s="50">
        <f t="shared" ref="T94:T98" si="137">L94-P94</f>
        <v>1.67986137813414</v>
      </c>
      <c r="U94" s="1">
        <f t="shared" ref="U94:U98" si="138">ACOS((D94/2-D94*H94)/(D94/2))</f>
        <v>1.43033491208504</v>
      </c>
      <c r="V94" s="1">
        <f t="shared" ref="V94:V98" si="139">(U94-SIN(U94)*COS(U94))*((D94/1000)/2)^2</f>
        <v>0.0072658895714257</v>
      </c>
      <c r="W94" s="1">
        <f t="shared" ref="W94:W98" si="140">U94*(D94/1000)</f>
        <v>0.214550236812756</v>
      </c>
      <c r="X94" s="1">
        <f t="shared" ref="X94:X98" si="141">V94/W94</f>
        <v>0.0338656795693348</v>
      </c>
      <c r="XFD94"/>
    </row>
    <row r="95" s="1" customFormat="1" spans="1:16384">
      <c r="A95" s="71" t="s">
        <v>83</v>
      </c>
      <c r="B95" s="40">
        <v>162.943</v>
      </c>
      <c r="C95" s="27">
        <v>7.0282</v>
      </c>
      <c r="D95" s="30">
        <v>250</v>
      </c>
      <c r="E95" s="20">
        <f>(($V$2*G95)/((V95/W95)^(2/3)))^2</f>
        <v>0.00422409901617581</v>
      </c>
      <c r="F95" s="17">
        <f t="shared" si="129"/>
        <v>4.22409901617581</v>
      </c>
      <c r="G95" s="17">
        <f t="shared" si="130"/>
        <v>0.56745285730463</v>
      </c>
      <c r="H95" s="8">
        <v>0.3</v>
      </c>
      <c r="I95" s="17">
        <f t="shared" si="131"/>
        <v>0.075</v>
      </c>
      <c r="J95" s="48">
        <f t="shared" si="132"/>
        <v>0.688287365992735</v>
      </c>
      <c r="K95" s="49">
        <v>20.6355</v>
      </c>
      <c r="L95" s="44">
        <v>20.6018</v>
      </c>
      <c r="M95" s="48">
        <f t="shared" si="133"/>
        <v>19.4834259878586</v>
      </c>
      <c r="N95" s="50">
        <f t="shared" si="134"/>
        <v>18.7951386218659</v>
      </c>
      <c r="O95" s="53">
        <f t="shared" ref="O95:O98" si="142">P94-I95+I94+(D95-D94)/1000</f>
        <v>19.0451386218659</v>
      </c>
      <c r="P95" s="53">
        <f t="shared" si="135"/>
        <v>18.3568512558731</v>
      </c>
      <c r="Q95" s="53">
        <f t="shared" ref="Q95:Q98" si="143">IF(O95-D95/1000&lt;=R94,O95-D95/1000)</f>
        <v>18.7951386218659</v>
      </c>
      <c r="R95" s="53">
        <f t="shared" si="136"/>
        <v>18.1068512558731</v>
      </c>
      <c r="S95" s="50">
        <f t="shared" ref="S95:S98" si="144">K95-O95</f>
        <v>1.59036137813414</v>
      </c>
      <c r="T95" s="50">
        <f t="shared" si="137"/>
        <v>2.24494874412687</v>
      </c>
      <c r="U95" s="1">
        <f t="shared" si="138"/>
        <v>1.15927948072741</v>
      </c>
      <c r="V95" s="1">
        <f t="shared" si="139"/>
        <v>0.012385522267671</v>
      </c>
      <c r="W95" s="1">
        <f t="shared" si="140"/>
        <v>0.289819870181852</v>
      </c>
      <c r="X95" s="1">
        <f t="shared" si="141"/>
        <v>0.0427352419276824</v>
      </c>
      <c r="XFD95"/>
    </row>
    <row r="96" s="1" customFormat="1" spans="1:16384">
      <c r="A96" s="39" t="s">
        <v>84</v>
      </c>
      <c r="B96" s="40">
        <v>267.735</v>
      </c>
      <c r="C96" s="27">
        <v>11.4439</v>
      </c>
      <c r="D96" s="30">
        <v>300</v>
      </c>
      <c r="E96" s="20">
        <f>(($V$2*G96)/((V96/W96)^(2/3)))^2</f>
        <v>0.00423539574526003</v>
      </c>
      <c r="F96" s="17">
        <f t="shared" si="129"/>
        <v>4.23539574526003</v>
      </c>
      <c r="G96" s="17">
        <f t="shared" si="130"/>
        <v>0.641648580175069</v>
      </c>
      <c r="H96" s="8">
        <v>0.3</v>
      </c>
      <c r="I96" s="17">
        <f t="shared" si="131"/>
        <v>0.09</v>
      </c>
      <c r="J96" s="48">
        <f t="shared" si="132"/>
        <v>1.1339636798572</v>
      </c>
      <c r="K96" s="49">
        <v>20.6018</v>
      </c>
      <c r="L96" s="44">
        <v>20.3146</v>
      </c>
      <c r="M96" s="48">
        <f t="shared" si="133"/>
        <v>19.2258149357303</v>
      </c>
      <c r="N96" s="50">
        <f t="shared" si="134"/>
        <v>18.0918512558731</v>
      </c>
      <c r="O96" s="53">
        <f t="shared" si="142"/>
        <v>18.3918512558731</v>
      </c>
      <c r="P96" s="53">
        <f t="shared" si="135"/>
        <v>17.2578875760159</v>
      </c>
      <c r="Q96" s="53">
        <f t="shared" si="143"/>
        <v>18.0918512558731</v>
      </c>
      <c r="R96" s="53">
        <f t="shared" si="136"/>
        <v>16.9578875760159</v>
      </c>
      <c r="S96" s="50">
        <f t="shared" si="144"/>
        <v>2.20994874412687</v>
      </c>
      <c r="T96" s="50">
        <f t="shared" si="137"/>
        <v>3.05671242398407</v>
      </c>
      <c r="U96" s="1">
        <f t="shared" si="138"/>
        <v>1.15927948072741</v>
      </c>
      <c r="V96" s="1">
        <f t="shared" si="139"/>
        <v>0.0178351520654462</v>
      </c>
      <c r="W96" s="1">
        <f t="shared" si="140"/>
        <v>0.347783844218223</v>
      </c>
      <c r="X96" s="1">
        <f t="shared" si="141"/>
        <v>0.0512822903132189</v>
      </c>
      <c r="XFD96"/>
    </row>
    <row r="97" s="1" customFormat="1" spans="1:16384">
      <c r="A97" s="39" t="s">
        <v>85</v>
      </c>
      <c r="B97" s="40">
        <v>122.57</v>
      </c>
      <c r="C97" s="27">
        <v>13.8474</v>
      </c>
      <c r="D97" s="30">
        <v>300</v>
      </c>
      <c r="E97" s="20">
        <f>(($V$2*G97)/((V97/W97)^(2/3)))^2</f>
        <v>0.00383822535053116</v>
      </c>
      <c r="F97" s="17">
        <f t="shared" si="129"/>
        <v>3.83822535053116</v>
      </c>
      <c r="G97" s="17">
        <f t="shared" si="130"/>
        <v>0.653407395970785</v>
      </c>
      <c r="H97" s="8">
        <v>0.34</v>
      </c>
      <c r="I97" s="17">
        <f t="shared" si="131"/>
        <v>0.102</v>
      </c>
      <c r="J97" s="48">
        <f t="shared" si="132"/>
        <v>0.470451281214604</v>
      </c>
      <c r="K97" s="49">
        <v>20.3146</v>
      </c>
      <c r="L97" s="44">
        <v>20.1225</v>
      </c>
      <c r="M97" s="48">
        <f t="shared" si="133"/>
        <v>17.4163388572305</v>
      </c>
      <c r="N97" s="50">
        <f t="shared" si="134"/>
        <v>16.9458875760159</v>
      </c>
      <c r="O97" s="53">
        <f t="shared" si="142"/>
        <v>17.2458875760159</v>
      </c>
      <c r="P97" s="53">
        <f t="shared" si="135"/>
        <v>16.7754362948013</v>
      </c>
      <c r="Q97" s="53">
        <f t="shared" si="143"/>
        <v>16.9458875760159</v>
      </c>
      <c r="R97" s="53">
        <f t="shared" si="136"/>
        <v>16.4754362948013</v>
      </c>
      <c r="S97" s="50">
        <f t="shared" si="144"/>
        <v>3.06871242398407</v>
      </c>
      <c r="T97" s="50">
        <f t="shared" si="137"/>
        <v>3.34706370519867</v>
      </c>
      <c r="U97" s="1">
        <f t="shared" si="138"/>
        <v>1.24506683950027</v>
      </c>
      <c r="V97" s="1">
        <f t="shared" si="139"/>
        <v>0.0211925975821356</v>
      </c>
      <c r="W97" s="1">
        <f t="shared" si="140"/>
        <v>0.37352005185008</v>
      </c>
      <c r="X97" s="1">
        <f t="shared" si="141"/>
        <v>0.0567375097459071</v>
      </c>
      <c r="XFD97"/>
    </row>
    <row r="98" s="1" customFormat="1" spans="1:16384">
      <c r="A98" s="39" t="s">
        <v>163</v>
      </c>
      <c r="B98" s="40">
        <v>149.057</v>
      </c>
      <c r="C98" s="27">
        <v>15.7912</v>
      </c>
      <c r="D98" s="30">
        <v>300</v>
      </c>
      <c r="E98" s="20">
        <f>(($V$2*G98)/((V98/W98)^(2/3)))^2</f>
        <v>0.00447329026272725</v>
      </c>
      <c r="F98" s="17">
        <f t="shared" si="129"/>
        <v>4.47329026272725</v>
      </c>
      <c r="G98" s="17">
        <f t="shared" si="130"/>
        <v>0.716211263635132</v>
      </c>
      <c r="H98" s="8">
        <v>0.35</v>
      </c>
      <c r="I98" s="17">
        <f t="shared" si="131"/>
        <v>0.105</v>
      </c>
      <c r="J98" s="48">
        <f t="shared" si="132"/>
        <v>0.666775226691335</v>
      </c>
      <c r="K98" s="49">
        <v>20.1225</v>
      </c>
      <c r="L98" s="44">
        <v>19.6408</v>
      </c>
      <c r="M98" s="48">
        <f t="shared" si="133"/>
        <v>17.1392115214927</v>
      </c>
      <c r="N98" s="50">
        <f t="shared" si="134"/>
        <v>16.4724362948013</v>
      </c>
      <c r="O98" s="53">
        <f t="shared" si="142"/>
        <v>16.7724362948013</v>
      </c>
      <c r="P98" s="53">
        <f t="shared" si="135"/>
        <v>16.10566106811</v>
      </c>
      <c r="Q98" s="53">
        <f t="shared" si="143"/>
        <v>16.4724362948013</v>
      </c>
      <c r="R98" s="53">
        <f t="shared" si="136"/>
        <v>15.80566106811</v>
      </c>
      <c r="S98" s="50">
        <f t="shared" si="144"/>
        <v>3.35006370519867</v>
      </c>
      <c r="T98" s="50">
        <f t="shared" si="137"/>
        <v>3.53513893189001</v>
      </c>
      <c r="U98" s="1">
        <f t="shared" si="138"/>
        <v>1.2661036727795</v>
      </c>
      <c r="V98" s="1">
        <f t="shared" si="139"/>
        <v>0.0220482430279744</v>
      </c>
      <c r="W98" s="1">
        <f t="shared" si="140"/>
        <v>0.37983110183385</v>
      </c>
      <c r="X98" s="1">
        <f t="shared" si="141"/>
        <v>0.0580474924815898</v>
      </c>
      <c r="XFD98"/>
    </row>
    <row r="99" s="1" customFormat="1" spans="1:16384">
      <c r="A99" s="33"/>
      <c r="B99" s="64"/>
      <c r="C99" s="35"/>
      <c r="D99" s="36"/>
      <c r="E99" s="37"/>
      <c r="F99" s="38"/>
      <c r="G99" s="38"/>
      <c r="H99" s="2"/>
      <c r="I99" s="38"/>
      <c r="J99" s="51"/>
      <c r="K99" s="52"/>
      <c r="L99" s="3"/>
      <c r="M99" s="51"/>
      <c r="N99" s="73"/>
      <c r="O99" s="74"/>
      <c r="P99" s="74"/>
      <c r="Q99" s="74"/>
      <c r="R99" s="74"/>
      <c r="S99" s="73"/>
      <c r="T99" s="73"/>
      <c r="XFD99"/>
    </row>
    <row r="100" s="1" customFormat="1" spans="1:16384">
      <c r="A100" s="25" t="s">
        <v>164</v>
      </c>
      <c r="B100" s="42">
        <f>B85</f>
        <v>157.344</v>
      </c>
      <c r="C100" s="27">
        <f t="shared" ref="C100:T100" si="145">C85</f>
        <v>13.9179</v>
      </c>
      <c r="D100" s="30">
        <f t="shared" si="145"/>
        <v>300</v>
      </c>
      <c r="E100" s="20">
        <f t="shared" si="145"/>
        <v>0.0021155766210446</v>
      </c>
      <c r="F100" s="17">
        <f t="shared" si="145"/>
        <v>2.1155766210446</v>
      </c>
      <c r="G100" s="17">
        <f t="shared" si="145"/>
        <v>0.527127638326502</v>
      </c>
      <c r="H100" s="8">
        <f t="shared" si="145"/>
        <v>0.4</v>
      </c>
      <c r="I100" s="17">
        <f t="shared" si="145"/>
        <v>0.12</v>
      </c>
      <c r="J100" s="48">
        <f t="shared" si="145"/>
        <v>0.332873287861641</v>
      </c>
      <c r="K100" s="49">
        <f t="shared" si="145"/>
        <v>20.1284</v>
      </c>
      <c r="L100" s="44">
        <f t="shared" si="145"/>
        <v>19.4274</v>
      </c>
      <c r="M100" s="48">
        <f t="shared" si="145"/>
        <v>17.9593591780915</v>
      </c>
      <c r="N100" s="50">
        <f t="shared" si="145"/>
        <v>17.6264858902299</v>
      </c>
      <c r="O100" s="53">
        <f t="shared" si="145"/>
        <v>17.9264858902299</v>
      </c>
      <c r="P100" s="53">
        <f t="shared" si="145"/>
        <v>17.5936126023683</v>
      </c>
      <c r="Q100" s="53">
        <f t="shared" si="145"/>
        <v>17.6264858902299</v>
      </c>
      <c r="R100" s="53">
        <f t="shared" si="145"/>
        <v>17.2936126023683</v>
      </c>
      <c r="S100" s="50">
        <f t="shared" si="145"/>
        <v>2.2019141097701</v>
      </c>
      <c r="T100" s="50">
        <f t="shared" si="145"/>
        <v>1.83378739763175</v>
      </c>
      <c r="U100" s="1">
        <f t="shared" ref="U100:U104" si="146">ACOS((D100/2-D100*H100)/(D100/2))</f>
        <v>1.36943840600457</v>
      </c>
      <c r="V100" s="1">
        <f t="shared" ref="V100:V104" si="147">(U100-SIN(U100)*COS(U100))*((D100/1000)/2)^2</f>
        <v>0.026403282598093</v>
      </c>
      <c r="W100" s="1">
        <f t="shared" ref="W100:W104" si="148">U100*(D100/1000)</f>
        <v>0.41083152180137</v>
      </c>
      <c r="X100" s="1">
        <f t="shared" ref="X100:X104" si="149">V100/W100</f>
        <v>0.0642679083686732</v>
      </c>
      <c r="XFD100"/>
    </row>
    <row r="101" s="1" customFormat="1" spans="1:16384">
      <c r="A101" s="71" t="s">
        <v>165</v>
      </c>
      <c r="B101" s="40">
        <v>1109.3</v>
      </c>
      <c r="C101" s="27">
        <v>13.9179</v>
      </c>
      <c r="D101" s="30">
        <v>300</v>
      </c>
      <c r="E101" s="20">
        <f>(($V$2*G101)/((V101/W101)^(2/3)))^2</f>
        <v>0.0021155766210446</v>
      </c>
      <c r="F101" s="17">
        <f t="shared" ref="F101:F104" si="150">E101*1000</f>
        <v>2.1155766210446</v>
      </c>
      <c r="G101" s="17">
        <f t="shared" ref="G101:G104" si="151">C101/V101/1000</f>
        <v>0.527127638326502</v>
      </c>
      <c r="H101" s="8">
        <v>0.4</v>
      </c>
      <c r="I101" s="17">
        <f t="shared" ref="I101:I104" si="152">H101*D101/1000</f>
        <v>0.12</v>
      </c>
      <c r="J101" s="48">
        <f>E101*B101</f>
        <v>2.34680914572477</v>
      </c>
      <c r="K101" s="49">
        <v>19.4274</v>
      </c>
      <c r="L101" s="44">
        <v>19.5266</v>
      </c>
      <c r="M101" s="48">
        <f t="shared" ref="M101:M104" si="153">Q101+J101</f>
        <v>19.640421748093</v>
      </c>
      <c r="N101" s="50">
        <f t="shared" ref="N101:N104" si="154">M101-J101</f>
        <v>17.2936126023683</v>
      </c>
      <c r="O101" s="53">
        <f t="shared" ref="O101:O104" si="155">P100-I101+I100+(D101-D100)/1000</f>
        <v>17.5936126023683</v>
      </c>
      <c r="P101" s="53">
        <f t="shared" ref="P101:P104" si="156">O101-J101</f>
        <v>15.2468034566435</v>
      </c>
      <c r="Q101" s="53">
        <f t="shared" ref="Q101:Q104" si="157">IF(O101-D101/1000&lt;=R100,O101-D101/1000)</f>
        <v>17.2936126023683</v>
      </c>
      <c r="R101" s="53">
        <f t="shared" ref="R101:R104" si="158">P101-D101/1000</f>
        <v>14.9468034566435</v>
      </c>
      <c r="S101" s="50">
        <f t="shared" ref="S101:S104" si="159">K101-O101</f>
        <v>1.83378739763175</v>
      </c>
      <c r="T101" s="50">
        <f t="shared" ref="T101:T104" si="160">L101-P101</f>
        <v>4.27979654335652</v>
      </c>
      <c r="U101" s="1">
        <f t="shared" si="146"/>
        <v>1.36943840600457</v>
      </c>
      <c r="V101" s="1">
        <f t="shared" si="147"/>
        <v>0.026403282598093</v>
      </c>
      <c r="W101" s="1">
        <f t="shared" si="148"/>
        <v>0.41083152180137</v>
      </c>
      <c r="X101" s="1">
        <f t="shared" si="149"/>
        <v>0.0642679083686732</v>
      </c>
      <c r="XFD101"/>
    </row>
    <row r="102" s="1" customFormat="1" spans="1:16384">
      <c r="A102" s="71" t="s">
        <v>166</v>
      </c>
      <c r="B102" s="40">
        <v>1131.92</v>
      </c>
      <c r="C102" s="27">
        <v>47.5032</v>
      </c>
      <c r="D102" s="30">
        <v>400</v>
      </c>
      <c r="E102" s="20">
        <f>(($V$2*G102)/((V102/W102)^(2/3)))^2</f>
        <v>0.00133685231986194</v>
      </c>
      <c r="F102" s="17">
        <f t="shared" si="150"/>
        <v>1.33685231986194</v>
      </c>
      <c r="G102" s="17">
        <f t="shared" si="151"/>
        <v>0.603410343988901</v>
      </c>
      <c r="H102" s="8">
        <f t="shared" ref="H101:H104" si="161">IF(D102&lt;350,0.5,IF(D102&lt;500,0.6,IF(D102&lt;1000,0.675,0.725)))</f>
        <v>0.6</v>
      </c>
      <c r="I102" s="17">
        <f t="shared" si="152"/>
        <v>0.24</v>
      </c>
      <c r="J102" s="48">
        <f t="shared" ref="J101:J104" si="162">E102*B102</f>
        <v>1.51320987789813</v>
      </c>
      <c r="K102" s="49">
        <v>19.5266</v>
      </c>
      <c r="L102" s="44">
        <v>19.6408</v>
      </c>
      <c r="M102" s="48">
        <f t="shared" si="153"/>
        <v>16.3400133345416</v>
      </c>
      <c r="N102" s="50">
        <f t="shared" si="154"/>
        <v>14.8268034566435</v>
      </c>
      <c r="O102" s="53">
        <f t="shared" si="155"/>
        <v>15.2268034566435</v>
      </c>
      <c r="P102" s="53">
        <f t="shared" si="156"/>
        <v>13.7135935787453</v>
      </c>
      <c r="Q102" s="53">
        <f t="shared" si="157"/>
        <v>14.8268034566435</v>
      </c>
      <c r="R102" s="53">
        <f t="shared" si="158"/>
        <v>13.3135935787453</v>
      </c>
      <c r="S102" s="50">
        <f t="shared" si="159"/>
        <v>4.29979654335652</v>
      </c>
      <c r="T102" s="50">
        <f t="shared" si="160"/>
        <v>5.92720642125465</v>
      </c>
      <c r="U102" s="1">
        <f t="shared" si="146"/>
        <v>1.77215424758523</v>
      </c>
      <c r="V102" s="1">
        <f t="shared" si="147"/>
        <v>0.0787245370803153</v>
      </c>
      <c r="W102" s="1">
        <f t="shared" si="148"/>
        <v>0.708861699034091</v>
      </c>
      <c r="X102" s="1">
        <f t="shared" si="149"/>
        <v>0.111057681897029</v>
      </c>
      <c r="XFD102"/>
    </row>
    <row r="103" s="1" customFormat="1" spans="1:16384">
      <c r="A103" s="39" t="s">
        <v>86</v>
      </c>
      <c r="B103" s="40">
        <v>484.323</v>
      </c>
      <c r="C103" s="27">
        <v>63.2944</v>
      </c>
      <c r="D103" s="30">
        <v>450</v>
      </c>
      <c r="E103" s="20">
        <f>(($V$2*G103)/((V103/W103)^(2/3)))^2</f>
        <v>0.00126635311465914</v>
      </c>
      <c r="F103" s="17">
        <f t="shared" si="150"/>
        <v>1.26635311465914</v>
      </c>
      <c r="G103" s="17">
        <f t="shared" si="151"/>
        <v>0.635257976460832</v>
      </c>
      <c r="H103" s="8">
        <f t="shared" si="161"/>
        <v>0.6</v>
      </c>
      <c r="I103" s="17">
        <f t="shared" si="152"/>
        <v>0.27</v>
      </c>
      <c r="J103" s="48">
        <f t="shared" si="162"/>
        <v>0.613323939551057</v>
      </c>
      <c r="K103" s="49">
        <v>19.6408</v>
      </c>
      <c r="L103" s="44">
        <v>19.7958</v>
      </c>
      <c r="M103" s="48">
        <f t="shared" si="153"/>
        <v>13.8969175182964</v>
      </c>
      <c r="N103" s="50">
        <f t="shared" si="154"/>
        <v>13.2835935787453</v>
      </c>
      <c r="O103" s="53">
        <f t="shared" si="155"/>
        <v>13.7335935787453</v>
      </c>
      <c r="P103" s="53">
        <f t="shared" si="156"/>
        <v>13.1202696391943</v>
      </c>
      <c r="Q103" s="53">
        <f t="shared" si="157"/>
        <v>13.2835935787453</v>
      </c>
      <c r="R103" s="53">
        <f t="shared" si="158"/>
        <v>12.6702696391943</v>
      </c>
      <c r="S103" s="50">
        <f t="shared" si="159"/>
        <v>5.90720642125465</v>
      </c>
      <c r="T103" s="50">
        <f t="shared" si="160"/>
        <v>6.67553036080571</v>
      </c>
      <c r="U103" s="1">
        <f t="shared" si="146"/>
        <v>1.77215424758523</v>
      </c>
      <c r="V103" s="1">
        <f t="shared" si="147"/>
        <v>0.099635742242274</v>
      </c>
      <c r="W103" s="1">
        <f t="shared" si="148"/>
        <v>0.797469411413352</v>
      </c>
      <c r="X103" s="1">
        <f t="shared" si="149"/>
        <v>0.124939892134157</v>
      </c>
      <c r="XFD103"/>
    </row>
    <row r="104" s="1" customFormat="1" spans="1:16384">
      <c r="A104" s="39" t="s">
        <v>167</v>
      </c>
      <c r="B104" s="40">
        <v>338.61</v>
      </c>
      <c r="C104" s="27">
        <v>63.2944</v>
      </c>
      <c r="D104" s="30">
        <v>450</v>
      </c>
      <c r="E104" s="20">
        <f>(($V$2*G104)/((V104/W104)^(2/3)))^2</f>
        <v>0.00126635311465914</v>
      </c>
      <c r="F104" s="17">
        <f t="shared" si="150"/>
        <v>1.26635311465914</v>
      </c>
      <c r="G104" s="17">
        <f t="shared" si="151"/>
        <v>0.635257976460832</v>
      </c>
      <c r="H104" s="8">
        <f t="shared" si="161"/>
        <v>0.6</v>
      </c>
      <c r="I104" s="17">
        <f t="shared" si="152"/>
        <v>0.27</v>
      </c>
      <c r="J104" s="48">
        <f t="shared" si="162"/>
        <v>0.428799828154731</v>
      </c>
      <c r="K104" s="49">
        <v>19.8042</v>
      </c>
      <c r="L104" s="44">
        <v>19.4091</v>
      </c>
      <c r="M104" s="48">
        <f t="shared" si="153"/>
        <v>13.099069467349</v>
      </c>
      <c r="N104" s="50">
        <f t="shared" si="154"/>
        <v>12.6702696391943</v>
      </c>
      <c r="O104" s="53">
        <f t="shared" si="155"/>
        <v>13.1202696391943</v>
      </c>
      <c r="P104" s="53">
        <f t="shared" si="156"/>
        <v>12.6914698110396</v>
      </c>
      <c r="Q104" s="53">
        <f t="shared" si="157"/>
        <v>12.6702696391943</v>
      </c>
      <c r="R104" s="53">
        <f t="shared" si="158"/>
        <v>12.2414698110396</v>
      </c>
      <c r="S104" s="50">
        <f t="shared" si="159"/>
        <v>6.68393036080571</v>
      </c>
      <c r="T104" s="50">
        <f t="shared" si="160"/>
        <v>6.71763018896044</v>
      </c>
      <c r="U104" s="1">
        <f t="shared" si="146"/>
        <v>1.77215424758523</v>
      </c>
      <c r="V104" s="1">
        <f t="shared" si="147"/>
        <v>0.099635742242274</v>
      </c>
      <c r="W104" s="1">
        <f t="shared" si="148"/>
        <v>0.797469411413352</v>
      </c>
      <c r="X104" s="1">
        <f t="shared" si="149"/>
        <v>0.124939892134157</v>
      </c>
      <c r="XFD104"/>
    </row>
    <row r="105" s="1" customFormat="1" spans="1:16384">
      <c r="A105" s="33"/>
      <c r="B105" s="72"/>
      <c r="C105" s="35"/>
      <c r="D105" s="36"/>
      <c r="E105" s="37"/>
      <c r="F105" s="38"/>
      <c r="G105" s="17"/>
      <c r="H105" s="2"/>
      <c r="I105" s="38"/>
      <c r="J105" s="51"/>
      <c r="K105" s="52"/>
      <c r="L105" s="52"/>
      <c r="M105" s="51"/>
      <c r="N105" s="73"/>
      <c r="O105" s="74"/>
      <c r="P105" s="74"/>
      <c r="Q105" s="74"/>
      <c r="R105" s="74"/>
      <c r="S105" s="73"/>
      <c r="T105" s="73"/>
      <c r="XFD105"/>
    </row>
    <row r="106" s="1" customFormat="1" spans="1:16384">
      <c r="A106" s="25" t="s">
        <v>168</v>
      </c>
      <c r="B106" s="42">
        <f>B103</f>
        <v>484.323</v>
      </c>
      <c r="C106" s="27">
        <f t="shared" ref="C106:T106" si="163">C103</f>
        <v>63.2944</v>
      </c>
      <c r="D106" s="30">
        <f t="shared" si="163"/>
        <v>450</v>
      </c>
      <c r="E106" s="20">
        <f t="shared" si="163"/>
        <v>0.00126635311465914</v>
      </c>
      <c r="F106" s="17">
        <f t="shared" si="163"/>
        <v>1.26635311465914</v>
      </c>
      <c r="G106" s="17">
        <f t="shared" si="163"/>
        <v>0.635257976460832</v>
      </c>
      <c r="H106" s="8">
        <f t="shared" si="163"/>
        <v>0.6</v>
      </c>
      <c r="I106" s="17">
        <f t="shared" si="163"/>
        <v>0.27</v>
      </c>
      <c r="J106" s="48">
        <f t="shared" si="163"/>
        <v>0.613323939551057</v>
      </c>
      <c r="K106" s="49">
        <f t="shared" si="163"/>
        <v>19.6408</v>
      </c>
      <c r="L106" s="44">
        <f t="shared" si="163"/>
        <v>19.7958</v>
      </c>
      <c r="M106" s="48">
        <f t="shared" si="163"/>
        <v>13.8969175182964</v>
      </c>
      <c r="N106" s="50">
        <f t="shared" si="163"/>
        <v>13.2835935787453</v>
      </c>
      <c r="O106" s="53">
        <f t="shared" si="163"/>
        <v>13.7335935787453</v>
      </c>
      <c r="P106" s="53">
        <f t="shared" si="163"/>
        <v>13.1202696391943</v>
      </c>
      <c r="Q106" s="53">
        <f t="shared" si="163"/>
        <v>13.2835935787453</v>
      </c>
      <c r="R106" s="53">
        <f t="shared" si="163"/>
        <v>12.6702696391943</v>
      </c>
      <c r="S106" s="50">
        <f t="shared" si="163"/>
        <v>5.90720642125465</v>
      </c>
      <c r="T106" s="50">
        <f t="shared" si="163"/>
        <v>6.67553036080571</v>
      </c>
      <c r="U106" s="1">
        <f t="shared" ref="U106:U113" si="164">ACOS((D106/2-D106*H106)/(D106/2))</f>
        <v>1.77215424758523</v>
      </c>
      <c r="V106" s="1">
        <f t="shared" ref="V106:V113" si="165">(U106-SIN(U106)*COS(U106))*((D106/1000)/2)^2</f>
        <v>0.099635742242274</v>
      </c>
      <c r="W106" s="1">
        <f t="shared" ref="W106:W113" si="166">U106*(D106/1000)</f>
        <v>0.797469411413352</v>
      </c>
      <c r="X106" s="1">
        <f t="shared" ref="X106:X113" si="167">V106/W106</f>
        <v>0.124939892134157</v>
      </c>
      <c r="XFD106"/>
    </row>
    <row r="107" s="1" customFormat="1" spans="1:16384">
      <c r="A107" s="68" t="s">
        <v>169</v>
      </c>
      <c r="B107" s="26">
        <v>294.763</v>
      </c>
      <c r="C107" s="27">
        <v>63.2944</v>
      </c>
      <c r="D107" s="30">
        <v>450</v>
      </c>
      <c r="E107" s="20">
        <f>(($V$2*G107)/((V107/W107)^(2/3)))^2</f>
        <v>0.00126635311465914</v>
      </c>
      <c r="F107" s="17">
        <f t="shared" ref="F107:F113" si="168">E107*1000</f>
        <v>1.26635311465914</v>
      </c>
      <c r="G107" s="17">
        <f t="shared" ref="G107:G113" si="169">C107/V107/1000</f>
        <v>0.635257976460832</v>
      </c>
      <c r="H107" s="8">
        <f>IF(D107&lt;350,0.5,IF(D107&lt;500,0.6,IF(D107&lt;1000,0.675,0.725)))</f>
        <v>0.6</v>
      </c>
      <c r="I107" s="17">
        <f t="shared" ref="I107:I113" si="170">H107*D107/1000</f>
        <v>0.27</v>
      </c>
      <c r="J107" s="48">
        <f t="shared" ref="J107:J113" si="171">E107*B107</f>
        <v>0.373274043136271</v>
      </c>
      <c r="K107" s="49">
        <v>19.7958</v>
      </c>
      <c r="L107" s="49">
        <v>19.8042</v>
      </c>
      <c r="M107" s="48">
        <f>Q107+I107</f>
        <v>12.9402696391943</v>
      </c>
      <c r="N107" s="50">
        <f t="shared" ref="N107:N113" si="172">M107-J107</f>
        <v>12.566995596058</v>
      </c>
      <c r="O107" s="53">
        <f t="shared" ref="O107:O113" si="173">P106-I107+I106+(D107-D106)/1000</f>
        <v>13.1202696391943</v>
      </c>
      <c r="P107" s="53">
        <f t="shared" ref="P107:P113" si="174">O107-J107</f>
        <v>12.746995596058</v>
      </c>
      <c r="Q107" s="53">
        <f t="shared" ref="Q107:Q113" si="175">IF(O107-D107/1000&lt;=R106,O107-D107/1000)</f>
        <v>12.6702696391943</v>
      </c>
      <c r="R107" s="53">
        <f t="shared" ref="R107:R113" si="176">P107-D107/1000</f>
        <v>12.296995596058</v>
      </c>
      <c r="S107" s="50">
        <f t="shared" ref="S107:S113" si="177">K107-O107</f>
        <v>6.67553036080571</v>
      </c>
      <c r="T107" s="50">
        <f t="shared" ref="T107:T113" si="178">L107-P107</f>
        <v>7.05720440394198</v>
      </c>
      <c r="U107" s="1">
        <f t="shared" si="164"/>
        <v>1.77215424758523</v>
      </c>
      <c r="V107" s="1">
        <f t="shared" si="165"/>
        <v>0.099635742242274</v>
      </c>
      <c r="W107" s="1">
        <f t="shared" si="166"/>
        <v>0.797469411413352</v>
      </c>
      <c r="X107" s="1">
        <f t="shared" si="167"/>
        <v>0.124939892134157</v>
      </c>
      <c r="XFD107"/>
    </row>
    <row r="108" s="1" customFormat="1" spans="1:16384">
      <c r="A108" s="69" t="s">
        <v>56</v>
      </c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XFD108"/>
    </row>
    <row r="109" s="1" customFormat="1" spans="1:16384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XFD109"/>
    </row>
    <row r="110" s="1" customFormat="1" spans="1:16384">
      <c r="A110" s="25" t="s">
        <v>39</v>
      </c>
      <c r="B110" s="42">
        <v>293.974</v>
      </c>
      <c r="C110" s="27">
        <v>2.3388</v>
      </c>
      <c r="D110" s="30">
        <v>150</v>
      </c>
      <c r="E110" s="20">
        <f>(($V$2*G110)/((V110/W110)^(2/3)))^2</f>
        <v>0.00321221816075634</v>
      </c>
      <c r="F110" s="17">
        <f t="shared" si="168"/>
        <v>3.21221816075633</v>
      </c>
      <c r="G110" s="17">
        <f t="shared" si="169"/>
        <v>0.393470632084999</v>
      </c>
      <c r="H110" s="8">
        <v>0.37</v>
      </c>
      <c r="I110" s="17">
        <f t="shared" si="170"/>
        <v>0.0555</v>
      </c>
      <c r="J110" s="48">
        <f t="shared" si="171"/>
        <v>0.944308621590183</v>
      </c>
      <c r="K110" s="49">
        <v>20.9966</v>
      </c>
      <c r="L110" s="44">
        <v>20.7287</v>
      </c>
      <c r="M110" s="48">
        <f t="shared" ref="M110:M113" si="179">Q110+J110</f>
        <v>20.9409086215902</v>
      </c>
      <c r="N110" s="50">
        <f t="shared" si="172"/>
        <v>19.9966</v>
      </c>
      <c r="O110" s="53">
        <f>K110-S110</f>
        <v>20.1466</v>
      </c>
      <c r="P110" s="53">
        <f t="shared" si="174"/>
        <v>19.2022913784098</v>
      </c>
      <c r="Q110" s="53">
        <f>O110-D110/1000</f>
        <v>19.9966</v>
      </c>
      <c r="R110" s="53">
        <f t="shared" si="176"/>
        <v>19.0522913784098</v>
      </c>
      <c r="S110" s="50">
        <f>0.7+D110/1000</f>
        <v>0.85</v>
      </c>
      <c r="T110" s="50">
        <f t="shared" si="178"/>
        <v>1.52640862159018</v>
      </c>
      <c r="U110" s="1">
        <f t="shared" si="164"/>
        <v>1.30777412388643</v>
      </c>
      <c r="V110" s="1">
        <f t="shared" si="165"/>
        <v>0.00594402684542608</v>
      </c>
      <c r="W110" s="1">
        <f t="shared" si="166"/>
        <v>0.196166118582964</v>
      </c>
      <c r="X110" s="1">
        <f t="shared" si="167"/>
        <v>0.0303009861660294</v>
      </c>
      <c r="XFD110"/>
    </row>
    <row r="111" s="1" customFormat="1" spans="1:16384">
      <c r="A111" s="68" t="s">
        <v>170</v>
      </c>
      <c r="B111" s="26">
        <v>199.638</v>
      </c>
      <c r="C111" s="27">
        <v>6.4223</v>
      </c>
      <c r="D111" s="30">
        <v>200</v>
      </c>
      <c r="E111" s="20">
        <f>(($V$2*G111)/((V111/W111)^(2/3)))^2</f>
        <v>0.00177870593970272</v>
      </c>
      <c r="F111" s="17">
        <f t="shared" si="168"/>
        <v>1.77870593970272</v>
      </c>
      <c r="G111" s="17">
        <f t="shared" si="169"/>
        <v>0.408856316407632</v>
      </c>
      <c r="H111" s="8">
        <v>0.5</v>
      </c>
      <c r="I111" s="17">
        <f t="shared" si="170"/>
        <v>0.1</v>
      </c>
      <c r="J111" s="48">
        <f t="shared" si="171"/>
        <v>0.355097296390371</v>
      </c>
      <c r="K111" s="49">
        <v>20.7287</v>
      </c>
      <c r="L111" s="44">
        <v>20.4561</v>
      </c>
      <c r="M111" s="48">
        <f t="shared" si="179"/>
        <v>19.3628886748002</v>
      </c>
      <c r="N111" s="50">
        <f t="shared" si="172"/>
        <v>19.0077913784098</v>
      </c>
      <c r="O111" s="53">
        <f t="shared" si="173"/>
        <v>19.2077913784098</v>
      </c>
      <c r="P111" s="53">
        <f t="shared" si="174"/>
        <v>18.8526940820194</v>
      </c>
      <c r="Q111" s="53">
        <f t="shared" si="175"/>
        <v>19.0077913784098</v>
      </c>
      <c r="R111" s="53">
        <f t="shared" si="176"/>
        <v>18.6526940820194</v>
      </c>
      <c r="S111" s="50">
        <f t="shared" si="177"/>
        <v>1.52090862159018</v>
      </c>
      <c r="T111" s="50">
        <f t="shared" si="178"/>
        <v>1.60340591798056</v>
      </c>
      <c r="U111" s="1">
        <f t="shared" si="164"/>
        <v>1.5707963267949</v>
      </c>
      <c r="V111" s="1">
        <f t="shared" si="165"/>
        <v>0.015707963267949</v>
      </c>
      <c r="W111" s="1">
        <f t="shared" si="166"/>
        <v>0.314159265358979</v>
      </c>
      <c r="X111" s="1">
        <f t="shared" si="167"/>
        <v>0.05</v>
      </c>
      <c r="XFD111"/>
    </row>
    <row r="112" s="1" customFormat="1" spans="1:16384">
      <c r="A112" s="68" t="s">
        <v>40</v>
      </c>
      <c r="B112" s="26">
        <v>189.121</v>
      </c>
      <c r="C112" s="27">
        <v>15.1477</v>
      </c>
      <c r="D112" s="30">
        <v>300</v>
      </c>
      <c r="E112" s="20">
        <f>(($V$2*G112)/((V112/W112)^(2/3)))^2</f>
        <v>0.00113831638517807</v>
      </c>
      <c r="F112" s="17">
        <f t="shared" si="168"/>
        <v>1.13831638517807</v>
      </c>
      <c r="G112" s="17">
        <f t="shared" si="169"/>
        <v>0.428592236706329</v>
      </c>
      <c r="H112" s="8">
        <f>IF(D112&lt;350,0.5,IF(D112&lt;500,0.6,IF(D112&lt;1000,0.675,0.725)))</f>
        <v>0.5</v>
      </c>
      <c r="I112" s="17">
        <f t="shared" si="170"/>
        <v>0.15</v>
      </c>
      <c r="J112" s="48">
        <f t="shared" si="171"/>
        <v>0.215279533081261</v>
      </c>
      <c r="K112" s="49">
        <v>20.4561</v>
      </c>
      <c r="L112" s="44">
        <v>20.1609</v>
      </c>
      <c r="M112" s="48">
        <f t="shared" si="179"/>
        <v>18.8179736151007</v>
      </c>
      <c r="N112" s="50">
        <f t="shared" si="172"/>
        <v>18.6026940820194</v>
      </c>
      <c r="O112" s="53">
        <f t="shared" si="173"/>
        <v>18.9026940820194</v>
      </c>
      <c r="P112" s="53">
        <f t="shared" si="174"/>
        <v>18.6874145489382</v>
      </c>
      <c r="Q112" s="53">
        <f t="shared" si="175"/>
        <v>18.6026940820194</v>
      </c>
      <c r="R112" s="53">
        <f t="shared" si="176"/>
        <v>18.3874145489382</v>
      </c>
      <c r="S112" s="50">
        <f t="shared" si="177"/>
        <v>1.55340591798055</v>
      </c>
      <c r="T112" s="50">
        <f t="shared" si="178"/>
        <v>1.47348545106182</v>
      </c>
      <c r="U112" s="1">
        <f t="shared" si="164"/>
        <v>1.5707963267949</v>
      </c>
      <c r="V112" s="1">
        <f t="shared" si="165"/>
        <v>0.0353429173528852</v>
      </c>
      <c r="W112" s="1">
        <f t="shared" si="166"/>
        <v>0.471238898038469</v>
      </c>
      <c r="X112" s="1">
        <f t="shared" si="167"/>
        <v>0.075</v>
      </c>
      <c r="XFD112"/>
    </row>
    <row r="113" s="1" customFormat="1" spans="1:16384">
      <c r="A113" s="68" t="s">
        <v>41</v>
      </c>
      <c r="B113" s="26">
        <v>196.587</v>
      </c>
      <c r="C113" s="27">
        <v>18.8719</v>
      </c>
      <c r="D113" s="30">
        <v>300</v>
      </c>
      <c r="E113" s="20">
        <f>(($V$2*G113)/((V113/W113)^(2/3)))^2</f>
        <v>0.00176685475558477</v>
      </c>
      <c r="F113" s="17">
        <f t="shared" si="168"/>
        <v>1.76685475558477</v>
      </c>
      <c r="G113" s="17">
        <f t="shared" si="169"/>
        <v>0.533965541428611</v>
      </c>
      <c r="H113" s="8">
        <f t="shared" ref="H113:H118" si="180">IF(D113&lt;350,0.5,IF(D113&lt;500,0.6,IF(D113&lt;1000,0.675,0.725)))</f>
        <v>0.5</v>
      </c>
      <c r="I113" s="17">
        <f t="shared" si="170"/>
        <v>0.15</v>
      </c>
      <c r="J113" s="48">
        <f t="shared" si="171"/>
        <v>0.347340675836143</v>
      </c>
      <c r="K113" s="49">
        <v>20.1609</v>
      </c>
      <c r="L113" s="44">
        <v>19.7481</v>
      </c>
      <c r="M113" s="48">
        <f t="shared" si="179"/>
        <v>18.7347552247743</v>
      </c>
      <c r="N113" s="50">
        <f t="shared" si="172"/>
        <v>18.3874145489382</v>
      </c>
      <c r="O113" s="53">
        <f t="shared" si="173"/>
        <v>18.6874145489382</v>
      </c>
      <c r="P113" s="53">
        <f t="shared" si="174"/>
        <v>18.340073873102</v>
      </c>
      <c r="Q113" s="53">
        <f t="shared" si="175"/>
        <v>18.3874145489382</v>
      </c>
      <c r="R113" s="53">
        <f t="shared" si="176"/>
        <v>18.040073873102</v>
      </c>
      <c r="S113" s="50">
        <f t="shared" si="177"/>
        <v>1.47348545106182</v>
      </c>
      <c r="T113" s="50">
        <f t="shared" si="178"/>
        <v>1.40802612689796</v>
      </c>
      <c r="U113" s="1">
        <f t="shared" si="164"/>
        <v>1.5707963267949</v>
      </c>
      <c r="V113" s="1">
        <f t="shared" si="165"/>
        <v>0.0353429173528852</v>
      </c>
      <c r="W113" s="1">
        <f t="shared" si="166"/>
        <v>0.471238898038469</v>
      </c>
      <c r="X113" s="1">
        <f t="shared" si="167"/>
        <v>0.075</v>
      </c>
      <c r="XFD113"/>
    </row>
    <row r="114" s="1" customFormat="1" spans="1:16384">
      <c r="A114" s="33"/>
      <c r="B114" s="34"/>
      <c r="C114" s="35"/>
      <c r="D114" s="36"/>
      <c r="E114" s="37"/>
      <c r="F114" s="38"/>
      <c r="G114" s="38"/>
      <c r="H114" s="2"/>
      <c r="I114" s="38"/>
      <c r="J114" s="51"/>
      <c r="K114" s="52"/>
      <c r="L114" s="3"/>
      <c r="M114" s="51"/>
      <c r="N114" s="73"/>
      <c r="O114" s="74"/>
      <c r="P114" s="74"/>
      <c r="Q114" s="74"/>
      <c r="R114" s="74"/>
      <c r="S114" s="73"/>
      <c r="T114" s="73"/>
      <c r="XFD114"/>
    </row>
    <row r="115" s="1" customFormat="1" spans="1:16384">
      <c r="A115" s="25" t="s">
        <v>39</v>
      </c>
      <c r="B115" s="42">
        <v>531.442</v>
      </c>
      <c r="C115" s="27">
        <v>2.9167</v>
      </c>
      <c r="D115" s="30">
        <v>150</v>
      </c>
      <c r="E115" s="20">
        <f>(($V$2*G115)/((V115/W115)^(2/3)))^2</f>
        <v>0.00374591716138706</v>
      </c>
      <c r="F115" s="17">
        <f t="shared" ref="F115:F118" si="181">E115*1000</f>
        <v>3.74591716138706</v>
      </c>
      <c r="G115" s="17">
        <f t="shared" ref="G115:G118" si="182">C115/V115/1000</f>
        <v>0.441869300025696</v>
      </c>
      <c r="H115" s="8">
        <v>0.4</v>
      </c>
      <c r="I115" s="17">
        <f t="shared" ref="I115:I118" si="183">H115*D115/1000</f>
        <v>0.06</v>
      </c>
      <c r="J115" s="48">
        <f t="shared" ref="J115:J118" si="184">E115*B115</f>
        <v>1.99073770808186</v>
      </c>
      <c r="K115" s="49">
        <v>21.2356</v>
      </c>
      <c r="L115" s="44">
        <v>20.6746</v>
      </c>
      <c r="M115" s="48">
        <f t="shared" ref="M115:M118" si="185">Q115+J115</f>
        <v>22.2263377080819</v>
      </c>
      <c r="N115" s="50">
        <f t="shared" ref="N115:N118" si="186">M115-J115</f>
        <v>20.2356</v>
      </c>
      <c r="O115" s="53">
        <f>K115-S115</f>
        <v>20.3856</v>
      </c>
      <c r="P115" s="53">
        <f t="shared" ref="P115:P118" si="187">O115-J115</f>
        <v>18.3948622919181</v>
      </c>
      <c r="Q115" s="53">
        <f>O115-D115/1000</f>
        <v>20.2356</v>
      </c>
      <c r="R115" s="53">
        <f t="shared" ref="R115:R118" si="188">P115-D115/1000</f>
        <v>18.2448622919181</v>
      </c>
      <c r="S115" s="50">
        <f>0.7+D115/1000</f>
        <v>0.85</v>
      </c>
      <c r="T115" s="50">
        <f t="shared" ref="T115:T118" si="189">L115-P115</f>
        <v>2.27973770808186</v>
      </c>
      <c r="U115" s="1">
        <f t="shared" ref="U115:U118" si="190">ACOS((D115/2-D115*H115)/(D115/2))</f>
        <v>1.36943840600457</v>
      </c>
      <c r="V115" s="1">
        <f t="shared" ref="V115:V118" si="191">(U115-SIN(U115)*COS(U115))*((D115/1000)/2)^2</f>
        <v>0.00660082064952325</v>
      </c>
      <c r="W115" s="1">
        <f t="shared" ref="W115:W118" si="192">U115*(D115/1000)</f>
        <v>0.205415760900685</v>
      </c>
      <c r="X115" s="1">
        <f t="shared" ref="X115:X118" si="193">V115/W115</f>
        <v>0.0321339541843366</v>
      </c>
      <c r="XFD115"/>
    </row>
    <row r="116" s="1" customFormat="1" spans="1:16384">
      <c r="A116" s="68" t="s">
        <v>95</v>
      </c>
      <c r="B116" s="26">
        <v>197.057</v>
      </c>
      <c r="C116" s="27">
        <v>8.8313</v>
      </c>
      <c r="D116" s="30">
        <v>250</v>
      </c>
      <c r="E116" s="20">
        <f>(($V$2*G116)/((V116/W116)^(2/3)))^2</f>
        <v>0.00225232257873353</v>
      </c>
      <c r="F116" s="17">
        <f t="shared" si="181"/>
        <v>2.25232257873353</v>
      </c>
      <c r="G116" s="17">
        <f t="shared" si="182"/>
        <v>0.481647384288441</v>
      </c>
      <c r="H116" s="8">
        <v>0.4</v>
      </c>
      <c r="I116" s="17">
        <f t="shared" si="183"/>
        <v>0.1</v>
      </c>
      <c r="J116" s="48">
        <f t="shared" si="184"/>
        <v>0.443835930397494</v>
      </c>
      <c r="K116" s="49">
        <v>20.6746</v>
      </c>
      <c r="L116" s="44">
        <v>20.3979</v>
      </c>
      <c r="M116" s="48">
        <f t="shared" si="185"/>
        <v>18.6486982223156</v>
      </c>
      <c r="N116" s="50">
        <f t="shared" si="186"/>
        <v>18.2048622919181</v>
      </c>
      <c r="O116" s="53">
        <f t="shared" ref="O116:O118" si="194">P115-I116+I115+(D116-D115)/1000</f>
        <v>18.4548622919181</v>
      </c>
      <c r="P116" s="53">
        <f t="shared" si="187"/>
        <v>18.0110263615206</v>
      </c>
      <c r="Q116" s="53">
        <f t="shared" ref="Q116:Q118" si="195">IF(O116-D116/1000&lt;=R115,O116-D116/1000)</f>
        <v>18.2048622919181</v>
      </c>
      <c r="R116" s="53">
        <f t="shared" si="188"/>
        <v>17.7610263615206</v>
      </c>
      <c r="S116" s="50">
        <f t="shared" ref="S116:S118" si="196">K116-O116</f>
        <v>2.21973770808187</v>
      </c>
      <c r="T116" s="50">
        <f t="shared" si="189"/>
        <v>2.38687363847936</v>
      </c>
      <c r="U116" s="1">
        <f t="shared" si="190"/>
        <v>1.36943840600457</v>
      </c>
      <c r="V116" s="1">
        <f t="shared" si="191"/>
        <v>0.0183356129153424</v>
      </c>
      <c r="W116" s="1">
        <f t="shared" si="192"/>
        <v>0.342359601501141</v>
      </c>
      <c r="X116" s="1">
        <f t="shared" si="193"/>
        <v>0.0535565903072277</v>
      </c>
      <c r="XFD116"/>
    </row>
    <row r="117" s="1" customFormat="1" spans="1:16384">
      <c r="A117" s="68" t="s">
        <v>96</v>
      </c>
      <c r="B117" s="26">
        <v>188.695</v>
      </c>
      <c r="C117" s="27">
        <v>11.8059</v>
      </c>
      <c r="D117" s="30">
        <v>250</v>
      </c>
      <c r="E117" s="20">
        <f>(($V$2*G117)/((V117/W117)^(2/3)))^2</f>
        <v>0.00182838553185857</v>
      </c>
      <c r="F117" s="17">
        <f t="shared" si="181"/>
        <v>1.82838553185857</v>
      </c>
      <c r="G117" s="17">
        <f t="shared" si="182"/>
        <v>0.481015639718043</v>
      </c>
      <c r="H117" s="8">
        <f t="shared" si="180"/>
        <v>0.5</v>
      </c>
      <c r="I117" s="17">
        <f t="shared" si="183"/>
        <v>0.125</v>
      </c>
      <c r="J117" s="48">
        <f t="shared" si="184"/>
        <v>0.345007207934053</v>
      </c>
      <c r="K117" s="49">
        <v>20.3979</v>
      </c>
      <c r="L117" s="44">
        <v>20.1332</v>
      </c>
      <c r="M117" s="48">
        <f t="shared" si="185"/>
        <v>18.0810335694547</v>
      </c>
      <c r="N117" s="50">
        <f t="shared" si="186"/>
        <v>17.7360263615206</v>
      </c>
      <c r="O117" s="53">
        <f t="shared" si="194"/>
        <v>17.9860263615206</v>
      </c>
      <c r="P117" s="53">
        <f t="shared" si="187"/>
        <v>17.6410191535866</v>
      </c>
      <c r="Q117" s="53">
        <f t="shared" si="195"/>
        <v>17.7360263615206</v>
      </c>
      <c r="R117" s="53">
        <f t="shared" si="188"/>
        <v>17.3910191535866</v>
      </c>
      <c r="S117" s="50">
        <f t="shared" si="196"/>
        <v>2.41187363847936</v>
      </c>
      <c r="T117" s="50">
        <f t="shared" si="189"/>
        <v>2.49218084641341</v>
      </c>
      <c r="U117" s="1">
        <f t="shared" si="190"/>
        <v>1.5707963267949</v>
      </c>
      <c r="V117" s="1">
        <f t="shared" si="191"/>
        <v>0.0245436926061703</v>
      </c>
      <c r="W117" s="1">
        <f t="shared" si="192"/>
        <v>0.392699081698724</v>
      </c>
      <c r="X117" s="1">
        <f t="shared" si="193"/>
        <v>0.0625</v>
      </c>
      <c r="XFD117"/>
    </row>
    <row r="118" s="1" customFormat="1" spans="1:16384">
      <c r="A118" s="68" t="s">
        <v>97</v>
      </c>
      <c r="B118" s="26">
        <v>196.083</v>
      </c>
      <c r="C118" s="27">
        <v>14.856</v>
      </c>
      <c r="D118" s="30">
        <v>250</v>
      </c>
      <c r="E118" s="20">
        <f>(($V$2*G118)/((V118/W118)^(2/3)))^2</f>
        <v>0.00289516524693517</v>
      </c>
      <c r="F118" s="17">
        <f t="shared" si="181"/>
        <v>2.89516524693517</v>
      </c>
      <c r="G118" s="17">
        <f t="shared" si="182"/>
        <v>0.605287893650739</v>
      </c>
      <c r="H118" s="8">
        <f t="shared" si="180"/>
        <v>0.5</v>
      </c>
      <c r="I118" s="17">
        <f t="shared" si="183"/>
        <v>0.125</v>
      </c>
      <c r="J118" s="48">
        <f t="shared" si="184"/>
        <v>0.567692687114788</v>
      </c>
      <c r="K118" s="49">
        <v>20.1332</v>
      </c>
      <c r="L118" s="44">
        <v>19.7452</v>
      </c>
      <c r="M118" s="48">
        <f t="shared" si="185"/>
        <v>17.9587118407014</v>
      </c>
      <c r="N118" s="50">
        <f t="shared" si="186"/>
        <v>17.3910191535866</v>
      </c>
      <c r="O118" s="53">
        <f t="shared" si="194"/>
        <v>17.6410191535866</v>
      </c>
      <c r="P118" s="53">
        <f t="shared" si="187"/>
        <v>17.0733264664718</v>
      </c>
      <c r="Q118" s="53">
        <f t="shared" si="195"/>
        <v>17.3910191535866</v>
      </c>
      <c r="R118" s="53">
        <f t="shared" si="188"/>
        <v>16.8233264664718</v>
      </c>
      <c r="S118" s="50">
        <f t="shared" si="196"/>
        <v>2.49218084641341</v>
      </c>
      <c r="T118" s="50">
        <f t="shared" si="189"/>
        <v>2.6718735335282</v>
      </c>
      <c r="U118" s="1">
        <f t="shared" si="190"/>
        <v>1.5707963267949</v>
      </c>
      <c r="V118" s="1">
        <f t="shared" si="191"/>
        <v>0.0245436926061703</v>
      </c>
      <c r="W118" s="1">
        <f t="shared" si="192"/>
        <v>0.392699081698724</v>
      </c>
      <c r="X118" s="1">
        <f t="shared" si="193"/>
        <v>0.0625</v>
      </c>
      <c r="XFD118"/>
    </row>
    <row r="119" s="1" customFormat="1" spans="1:16384">
      <c r="A119" s="33"/>
      <c r="B119" s="34"/>
      <c r="C119" s="35"/>
      <c r="D119" s="36"/>
      <c r="E119" s="37"/>
      <c r="F119" s="38"/>
      <c r="G119" s="38"/>
      <c r="H119" s="2"/>
      <c r="I119" s="38"/>
      <c r="J119" s="51"/>
      <c r="K119" s="52"/>
      <c r="L119" s="3"/>
      <c r="M119" s="51"/>
      <c r="N119" s="73"/>
      <c r="O119" s="74"/>
      <c r="P119" s="74"/>
      <c r="Q119" s="74"/>
      <c r="R119" s="74"/>
      <c r="S119" s="73"/>
      <c r="T119" s="73"/>
      <c r="XFD119"/>
    </row>
    <row r="120" s="1" customFormat="1" spans="1:16384">
      <c r="A120" s="25" t="s">
        <v>39</v>
      </c>
      <c r="B120" s="42">
        <v>406.169</v>
      </c>
      <c r="C120" s="27">
        <v>2.2466</v>
      </c>
      <c r="D120" s="30">
        <v>150</v>
      </c>
      <c r="E120" s="20">
        <f>(($V$2*G120)/((V120/W120)^(2/3)))^2</f>
        <v>0.00222242009260944</v>
      </c>
      <c r="F120" s="17">
        <f t="shared" ref="F120:F123" si="197">E120*1000</f>
        <v>2.22242009260944</v>
      </c>
      <c r="G120" s="17">
        <f t="shared" ref="G120:G123" si="198">C120/V120/1000</f>
        <v>0.340351619788709</v>
      </c>
      <c r="H120" s="8">
        <v>0.4</v>
      </c>
      <c r="I120" s="17">
        <f t="shared" ref="I120:I123" si="199">H120*D120/1000</f>
        <v>0.06</v>
      </c>
      <c r="J120" s="48">
        <f t="shared" ref="J120:J123" si="200">E120*B120</f>
        <v>0.902678146595082</v>
      </c>
      <c r="K120" s="49">
        <v>21.3498</v>
      </c>
      <c r="L120" s="44">
        <v>20.787</v>
      </c>
      <c r="M120" s="48">
        <f t="shared" ref="M120:M123" si="201">Q120+J120</f>
        <v>21.2524781465951</v>
      </c>
      <c r="N120" s="50">
        <f t="shared" ref="N120:N123" si="202">M120-J120</f>
        <v>20.3498</v>
      </c>
      <c r="O120" s="53">
        <f>K120-S120</f>
        <v>20.4998</v>
      </c>
      <c r="P120" s="53">
        <f t="shared" ref="P120:P123" si="203">O120-J120</f>
        <v>19.5971218534049</v>
      </c>
      <c r="Q120" s="53">
        <f>O120-D120/1000</f>
        <v>20.3498</v>
      </c>
      <c r="R120" s="53">
        <f t="shared" ref="R120:R123" si="204">P120-D120/1000</f>
        <v>19.4471218534049</v>
      </c>
      <c r="S120" s="50">
        <f>0.7+D120/1000</f>
        <v>0.85</v>
      </c>
      <c r="T120" s="50">
        <f t="shared" ref="T120:T123" si="205">L120-P120</f>
        <v>1.18987814659508</v>
      </c>
      <c r="U120" s="1">
        <f t="shared" ref="U120:U123" si="206">ACOS((D120/2-D120*H120)/(D120/2))</f>
        <v>1.36943840600457</v>
      </c>
      <c r="V120" s="1">
        <f t="shared" ref="V120:V123" si="207">(U120-SIN(U120)*COS(U120))*((D120/1000)/2)^2</f>
        <v>0.00660082064952325</v>
      </c>
      <c r="W120" s="1">
        <f t="shared" ref="W120:W123" si="208">U120*(D120/1000)</f>
        <v>0.205415760900685</v>
      </c>
      <c r="X120" s="1">
        <f t="shared" ref="X120:X123" si="209">V120/W120</f>
        <v>0.0321339541843366</v>
      </c>
      <c r="XFD120"/>
    </row>
    <row r="121" s="1" customFormat="1" spans="1:16384">
      <c r="A121" s="39" t="s">
        <v>92</v>
      </c>
      <c r="B121" s="40">
        <v>297.799</v>
      </c>
      <c r="C121" s="27">
        <v>9.0694</v>
      </c>
      <c r="D121" s="30">
        <v>250</v>
      </c>
      <c r="E121" s="20">
        <f>(($V$2*G121)/((V121/W121)^(2/3)))^2</f>
        <v>0.00237540916418101</v>
      </c>
      <c r="F121" s="17">
        <f t="shared" si="197"/>
        <v>2.37540916418101</v>
      </c>
      <c r="G121" s="17">
        <f t="shared" si="198"/>
        <v>0.494633042368121</v>
      </c>
      <c r="H121" s="8">
        <v>0.4</v>
      </c>
      <c r="I121" s="17">
        <f t="shared" si="199"/>
        <v>0.1</v>
      </c>
      <c r="J121" s="48">
        <f t="shared" si="200"/>
        <v>0.70739447368394</v>
      </c>
      <c r="K121" s="49">
        <v>20.787</v>
      </c>
      <c r="L121" s="44">
        <v>20.3778</v>
      </c>
      <c r="M121" s="48">
        <f t="shared" si="201"/>
        <v>20.1145163270889</v>
      </c>
      <c r="N121" s="50">
        <f t="shared" si="202"/>
        <v>19.4071218534049</v>
      </c>
      <c r="O121" s="53">
        <f t="shared" ref="O121:O123" si="210">P120-I121+I120+(D121-D120)/1000</f>
        <v>19.6571218534049</v>
      </c>
      <c r="P121" s="53">
        <f t="shared" si="203"/>
        <v>18.949727379721</v>
      </c>
      <c r="Q121" s="53">
        <f t="shared" ref="Q121:Q123" si="211">IF(O121-D121/1000&lt;=R120,O121-D121/1000)</f>
        <v>19.4071218534049</v>
      </c>
      <c r="R121" s="53">
        <f t="shared" si="204"/>
        <v>18.699727379721</v>
      </c>
      <c r="S121" s="50">
        <f t="shared" ref="S121:S123" si="212">K121-O121</f>
        <v>1.12987814659509</v>
      </c>
      <c r="T121" s="50">
        <f t="shared" si="205"/>
        <v>1.42807262027903</v>
      </c>
      <c r="U121" s="1">
        <f t="shared" si="206"/>
        <v>1.36943840600457</v>
      </c>
      <c r="V121" s="1">
        <f t="shared" si="207"/>
        <v>0.0183356129153424</v>
      </c>
      <c r="W121" s="1">
        <f t="shared" si="208"/>
        <v>0.342359601501141</v>
      </c>
      <c r="X121" s="1">
        <f t="shared" si="209"/>
        <v>0.0535565903072277</v>
      </c>
      <c r="XFD121"/>
    </row>
    <row r="122" s="1" customFormat="1" spans="1:16384">
      <c r="A122" s="39" t="s">
        <v>93</v>
      </c>
      <c r="B122" s="40">
        <v>192.665</v>
      </c>
      <c r="C122" s="27">
        <v>12.0916</v>
      </c>
      <c r="D122" s="30">
        <v>250</v>
      </c>
      <c r="E122" s="20">
        <f>(($V$2*G122)/((V122/W122)^(2/3)))^2</f>
        <v>0.00422229777378518</v>
      </c>
      <c r="F122" s="17">
        <f t="shared" si="197"/>
        <v>4.22229777378518</v>
      </c>
      <c r="G122" s="17">
        <f t="shared" si="198"/>
        <v>0.659459820395877</v>
      </c>
      <c r="H122" s="8">
        <v>0.4</v>
      </c>
      <c r="I122" s="17">
        <f t="shared" si="199"/>
        <v>0.1</v>
      </c>
      <c r="J122" s="48">
        <f t="shared" si="200"/>
        <v>0.813489000586321</v>
      </c>
      <c r="K122" s="49">
        <v>20.3778</v>
      </c>
      <c r="L122" s="44">
        <v>20.113</v>
      </c>
      <c r="M122" s="48">
        <f t="shared" si="201"/>
        <v>19.5132163803073</v>
      </c>
      <c r="N122" s="50">
        <f t="shared" si="202"/>
        <v>18.699727379721</v>
      </c>
      <c r="O122" s="53">
        <f t="shared" si="210"/>
        <v>18.949727379721</v>
      </c>
      <c r="P122" s="53">
        <f t="shared" si="203"/>
        <v>18.1362383791346</v>
      </c>
      <c r="Q122" s="53">
        <f t="shared" si="211"/>
        <v>18.699727379721</v>
      </c>
      <c r="R122" s="53">
        <f t="shared" si="204"/>
        <v>17.8862383791346</v>
      </c>
      <c r="S122" s="50">
        <f t="shared" si="212"/>
        <v>1.42807262027903</v>
      </c>
      <c r="T122" s="50">
        <f t="shared" si="205"/>
        <v>1.97676162086535</v>
      </c>
      <c r="U122" s="1">
        <f t="shared" si="206"/>
        <v>1.36943840600457</v>
      </c>
      <c r="V122" s="1">
        <f t="shared" si="207"/>
        <v>0.0183356129153424</v>
      </c>
      <c r="W122" s="1">
        <f t="shared" si="208"/>
        <v>0.342359601501141</v>
      </c>
      <c r="X122" s="1">
        <f t="shared" si="209"/>
        <v>0.0535565903072277</v>
      </c>
      <c r="XFD122"/>
    </row>
    <row r="123" s="1" customFormat="1" spans="1:16384">
      <c r="A123" s="39" t="s">
        <v>94</v>
      </c>
      <c r="B123" s="40">
        <v>197.726</v>
      </c>
      <c r="C123" s="27">
        <v>15.3387</v>
      </c>
      <c r="D123" s="30">
        <v>250</v>
      </c>
      <c r="E123" s="20">
        <f>(($V$2*G123)/((V123/W123)^(2/3)))^2</f>
        <v>0.00308636071473643</v>
      </c>
      <c r="F123" s="17">
        <f t="shared" si="197"/>
        <v>3.08636071473643</v>
      </c>
      <c r="G123" s="17">
        <f t="shared" si="198"/>
        <v>0.624954860954536</v>
      </c>
      <c r="H123" s="8">
        <f>IF(D123&lt;350,0.5,IF(D123&lt;500,0.6,IF(D123&lt;1000,0.675,0.725)))</f>
        <v>0.5</v>
      </c>
      <c r="I123" s="17">
        <f t="shared" si="199"/>
        <v>0.125</v>
      </c>
      <c r="J123" s="48">
        <f t="shared" si="200"/>
        <v>0.610253758681976</v>
      </c>
      <c r="K123" s="49">
        <v>20.113</v>
      </c>
      <c r="L123" s="44">
        <v>19.733</v>
      </c>
      <c r="M123" s="48">
        <f t="shared" si="201"/>
        <v>18.4714921378166</v>
      </c>
      <c r="N123" s="50">
        <f t="shared" si="202"/>
        <v>17.8612383791346</v>
      </c>
      <c r="O123" s="53">
        <f t="shared" si="210"/>
        <v>18.1112383791347</v>
      </c>
      <c r="P123" s="53">
        <f t="shared" si="203"/>
        <v>17.5009846204527</v>
      </c>
      <c r="Q123" s="53">
        <f t="shared" si="211"/>
        <v>17.8612383791347</v>
      </c>
      <c r="R123" s="53">
        <f t="shared" si="204"/>
        <v>17.2509846204527</v>
      </c>
      <c r="S123" s="50">
        <f t="shared" si="212"/>
        <v>2.00176162086535</v>
      </c>
      <c r="T123" s="50">
        <f t="shared" si="205"/>
        <v>2.23201537954732</v>
      </c>
      <c r="U123" s="1">
        <f t="shared" si="206"/>
        <v>1.5707963267949</v>
      </c>
      <c r="V123" s="1">
        <f t="shared" si="207"/>
        <v>0.0245436926061703</v>
      </c>
      <c r="W123" s="1">
        <f t="shared" si="208"/>
        <v>0.392699081698724</v>
      </c>
      <c r="X123" s="1">
        <f t="shared" si="209"/>
        <v>0.0625</v>
      </c>
      <c r="XFD123"/>
    </row>
    <row r="124" s="1" customFormat="1" spans="4:16384">
      <c r="D124" s="2"/>
      <c r="H124" s="2"/>
      <c r="K124" s="3"/>
      <c r="L124" s="3"/>
      <c r="XFD124"/>
    </row>
    <row r="125" s="1" customFormat="1" spans="1:16384">
      <c r="A125" s="25" t="s">
        <v>39</v>
      </c>
      <c r="B125" s="42">
        <v>786.25</v>
      </c>
      <c r="C125" s="27">
        <v>13.612</v>
      </c>
      <c r="D125" s="30">
        <v>250</v>
      </c>
      <c r="E125" s="20">
        <f>(($V$2*G125)/((V125/W125)^(2/3)))^2</f>
        <v>0.00243059979153637</v>
      </c>
      <c r="F125" s="17">
        <f t="shared" ref="F125:F127" si="213">E125*1000</f>
        <v>2.43059979153637</v>
      </c>
      <c r="G125" s="17">
        <f t="shared" ref="G125:G127" si="214">C125/V125/1000</f>
        <v>0.554602773853921</v>
      </c>
      <c r="H125" s="8">
        <v>0.5</v>
      </c>
      <c r="I125" s="17">
        <f t="shared" ref="I125:I127" si="215">H125*D125/1000</f>
        <v>0.125</v>
      </c>
      <c r="J125" s="48">
        <f t="shared" ref="J125:J127" si="216">E125*B125</f>
        <v>1.91105908609547</v>
      </c>
      <c r="K125" s="49">
        <v>21.3128</v>
      </c>
      <c r="L125" s="44">
        <v>20.3656</v>
      </c>
      <c r="M125" s="48">
        <f t="shared" ref="M125:M127" si="217">Q125+J125</f>
        <v>22.0238590860955</v>
      </c>
      <c r="N125" s="50">
        <f t="shared" ref="N125:N127" si="218">M125-J125</f>
        <v>20.1128</v>
      </c>
      <c r="O125" s="53">
        <f>K125-S125</f>
        <v>20.3628</v>
      </c>
      <c r="P125" s="53">
        <f t="shared" ref="P125:P127" si="219">O125-J125</f>
        <v>18.4517409139045</v>
      </c>
      <c r="Q125" s="53">
        <f>O125-D125/1000</f>
        <v>20.1128</v>
      </c>
      <c r="R125" s="53">
        <f t="shared" ref="R125:R127" si="220">P125-D125/1000</f>
        <v>18.2017409139045</v>
      </c>
      <c r="S125" s="50">
        <f>0.7+D125/1000</f>
        <v>0.95</v>
      </c>
      <c r="T125" s="50">
        <f t="shared" ref="T125:T127" si="221">L125-P125</f>
        <v>1.91385908609547</v>
      </c>
      <c r="U125" s="1">
        <f t="shared" ref="U125:U127" si="222">ACOS((D125/2-D125*H125)/(D125/2))</f>
        <v>1.5707963267949</v>
      </c>
      <c r="V125" s="1">
        <f t="shared" ref="V125:V127" si="223">(U125-SIN(U125)*COS(U125))*((D125/1000)/2)^2</f>
        <v>0.0245436926061703</v>
      </c>
      <c r="W125" s="1">
        <f t="shared" ref="W125:W127" si="224">U125*(D125/1000)</f>
        <v>0.392699081698724</v>
      </c>
      <c r="X125" s="1">
        <f t="shared" ref="X125:X127" si="225">V125/W125</f>
        <v>0.0625</v>
      </c>
      <c r="XFD125"/>
    </row>
    <row r="126" s="1" customFormat="1" spans="1:16384">
      <c r="A126" s="68" t="s">
        <v>89</v>
      </c>
      <c r="B126" s="26">
        <v>194.936</v>
      </c>
      <c r="C126" s="27">
        <v>17.9806</v>
      </c>
      <c r="D126" s="30">
        <v>300</v>
      </c>
      <c r="E126" s="20">
        <f>(($V$2*G126)/((V126/W126)^(2/3)))^2</f>
        <v>0.00231113984826773</v>
      </c>
      <c r="F126" s="17">
        <f t="shared" si="213"/>
        <v>2.31113984826773</v>
      </c>
      <c r="G126" s="17">
        <f t="shared" si="214"/>
        <v>0.582831448078702</v>
      </c>
      <c r="H126" s="8">
        <v>0.45</v>
      </c>
      <c r="I126" s="17">
        <f t="shared" si="215"/>
        <v>0.135</v>
      </c>
      <c r="J126" s="48">
        <f t="shared" si="216"/>
        <v>0.450524357461918</v>
      </c>
      <c r="K126" s="49">
        <v>20.3656</v>
      </c>
      <c r="L126" s="44">
        <v>20.0998</v>
      </c>
      <c r="M126" s="48">
        <f t="shared" si="217"/>
        <v>18.6422652713664</v>
      </c>
      <c r="N126" s="50">
        <f t="shared" si="218"/>
        <v>18.1917409139045</v>
      </c>
      <c r="O126" s="53">
        <f t="shared" ref="O126:O136" si="226">P125-I126+I125+(D126-D125)/1000</f>
        <v>18.4917409139045</v>
      </c>
      <c r="P126" s="53">
        <f t="shared" si="219"/>
        <v>18.0412165564426</v>
      </c>
      <c r="Q126" s="53">
        <f t="shared" ref="Q126:Q136" si="227">IF(O126-D126/1000&lt;=R125,O126-D126/1000)</f>
        <v>18.1917409139045</v>
      </c>
      <c r="R126" s="53">
        <f t="shared" si="220"/>
        <v>17.7412165564426</v>
      </c>
      <c r="S126" s="50">
        <f t="shared" ref="S126:S136" si="228">K126-O126</f>
        <v>1.87385908609547</v>
      </c>
      <c r="T126" s="50">
        <f t="shared" si="221"/>
        <v>2.05858344355739</v>
      </c>
      <c r="U126" s="1">
        <f t="shared" si="222"/>
        <v>1.47062890563334</v>
      </c>
      <c r="V126" s="1">
        <f t="shared" si="223"/>
        <v>0.0308504286432602</v>
      </c>
      <c r="W126" s="1">
        <f t="shared" si="224"/>
        <v>0.441188671690001</v>
      </c>
      <c r="X126" s="1">
        <f t="shared" si="225"/>
        <v>0.069925704404616</v>
      </c>
      <c r="XFD126"/>
    </row>
    <row r="127" s="1" customFormat="1" spans="1:16384">
      <c r="A127" s="68" t="s">
        <v>90</v>
      </c>
      <c r="B127" s="26">
        <v>202.442</v>
      </c>
      <c r="C127" s="27">
        <v>78.0486</v>
      </c>
      <c r="D127" s="30">
        <v>450</v>
      </c>
      <c r="E127" s="20">
        <f>(($V$2*G127)/((V127/W127)^(2/3)))^2</f>
        <v>0.00192554859254451</v>
      </c>
      <c r="F127" s="17">
        <f t="shared" si="213"/>
        <v>1.92554859254451</v>
      </c>
      <c r="G127" s="17">
        <f t="shared" si="214"/>
        <v>0.783339374440722</v>
      </c>
      <c r="H127" s="8">
        <f>IF(D127&lt;350,0.5,IF(D127&lt;500,0.6,IF(D127&lt;1000,0.675,0.725)))</f>
        <v>0.6</v>
      </c>
      <c r="I127" s="17">
        <f t="shared" si="215"/>
        <v>0.27</v>
      </c>
      <c r="J127" s="48">
        <f t="shared" si="216"/>
        <v>0.389811908171895</v>
      </c>
      <c r="K127" s="49">
        <v>20.0998</v>
      </c>
      <c r="L127" s="44">
        <v>19.7225</v>
      </c>
      <c r="M127" s="48">
        <f t="shared" si="217"/>
        <v>17.9960284646145</v>
      </c>
      <c r="N127" s="50">
        <f t="shared" si="218"/>
        <v>17.6062165564426</v>
      </c>
      <c r="O127" s="53">
        <f t="shared" si="226"/>
        <v>18.0562165564426</v>
      </c>
      <c r="P127" s="53">
        <f t="shared" si="219"/>
        <v>17.6664046482707</v>
      </c>
      <c r="Q127" s="53">
        <f t="shared" si="227"/>
        <v>17.6062165564426</v>
      </c>
      <c r="R127" s="53">
        <f t="shared" si="220"/>
        <v>17.2164046482707</v>
      </c>
      <c r="S127" s="50">
        <f t="shared" si="228"/>
        <v>2.04358344355739</v>
      </c>
      <c r="T127" s="50">
        <f t="shared" si="221"/>
        <v>2.05609535172929</v>
      </c>
      <c r="U127" s="1">
        <f t="shared" si="222"/>
        <v>1.77215424758523</v>
      </c>
      <c r="V127" s="1">
        <f t="shared" si="223"/>
        <v>0.099635742242274</v>
      </c>
      <c r="W127" s="1">
        <f t="shared" si="224"/>
        <v>0.797469411413352</v>
      </c>
      <c r="X127" s="1">
        <f t="shared" si="225"/>
        <v>0.124939892134157</v>
      </c>
      <c r="XFD127"/>
    </row>
    <row r="128" s="1" customFormat="1" spans="4:16384">
      <c r="D128" s="2"/>
      <c r="H128" s="2"/>
      <c r="K128" s="3"/>
      <c r="L128" s="3"/>
      <c r="XFD128"/>
    </row>
    <row r="129" s="1" customFormat="1" spans="1:16384">
      <c r="A129" s="25" t="s">
        <v>171</v>
      </c>
      <c r="B129" s="42">
        <f>B127</f>
        <v>202.442</v>
      </c>
      <c r="C129" s="27">
        <f t="shared" ref="C129:T129" si="229">C127</f>
        <v>78.0486</v>
      </c>
      <c r="D129" s="30">
        <f t="shared" si="229"/>
        <v>450</v>
      </c>
      <c r="E129" s="20">
        <f t="shared" si="229"/>
        <v>0.00192554859254451</v>
      </c>
      <c r="F129" s="17">
        <f t="shared" si="229"/>
        <v>1.92554859254451</v>
      </c>
      <c r="G129" s="17">
        <f t="shared" si="229"/>
        <v>0.783339374440722</v>
      </c>
      <c r="H129" s="8">
        <f t="shared" si="229"/>
        <v>0.6</v>
      </c>
      <c r="I129" s="17">
        <f t="shared" si="229"/>
        <v>0.27</v>
      </c>
      <c r="J129" s="48">
        <f t="shared" si="229"/>
        <v>0.389811908171895</v>
      </c>
      <c r="K129" s="49">
        <f t="shared" si="229"/>
        <v>20.0998</v>
      </c>
      <c r="L129" s="44">
        <f t="shared" si="229"/>
        <v>19.7225</v>
      </c>
      <c r="M129" s="48">
        <f t="shared" si="229"/>
        <v>17.9960284646145</v>
      </c>
      <c r="N129" s="50">
        <f t="shared" si="229"/>
        <v>17.6062165564426</v>
      </c>
      <c r="O129" s="53">
        <f t="shared" si="229"/>
        <v>18.0562165564426</v>
      </c>
      <c r="P129" s="53">
        <f t="shared" si="229"/>
        <v>17.6664046482707</v>
      </c>
      <c r="Q129" s="53">
        <f t="shared" si="229"/>
        <v>17.6062165564426</v>
      </c>
      <c r="R129" s="53">
        <f t="shared" si="229"/>
        <v>17.2164046482707</v>
      </c>
      <c r="S129" s="50">
        <f t="shared" si="229"/>
        <v>2.04358344355739</v>
      </c>
      <c r="T129" s="50">
        <f t="shared" si="229"/>
        <v>2.05609535172929</v>
      </c>
      <c r="U129" s="1">
        <f>ACOS((D129/2-D129*H129)/(D129/2))</f>
        <v>1.77215424758523</v>
      </c>
      <c r="V129" s="1">
        <f>(U129-SIN(U129)*COS(U129))*((D129/1000)/2)^2</f>
        <v>0.099635742242274</v>
      </c>
      <c r="W129" s="1">
        <f>U129*(D129/1000)</f>
        <v>0.797469411413352</v>
      </c>
      <c r="X129" s="1">
        <f>V129/W129</f>
        <v>0.124939892134157</v>
      </c>
      <c r="XFD129"/>
    </row>
    <row r="130" s="1" customFormat="1" spans="1:16384">
      <c r="A130" s="68" t="s">
        <v>172</v>
      </c>
      <c r="B130" s="26">
        <v>588.268</v>
      </c>
      <c r="C130" s="27">
        <v>78.0486</v>
      </c>
      <c r="D130" s="30">
        <v>450</v>
      </c>
      <c r="E130" s="20">
        <f>(($V$2*G130)/((V130/W130)^(2/3)))^2</f>
        <v>0.00192554859254451</v>
      </c>
      <c r="F130" s="17">
        <f>E130*1000</f>
        <v>1.92554859254451</v>
      </c>
      <c r="G130" s="17">
        <f>C130/V130/1000</f>
        <v>0.783339374440722</v>
      </c>
      <c r="H130" s="8">
        <f>IF(D130&lt;350,0.5,IF(D130&lt;500,0.6,IF(D130&lt;1000,0.675,0.725)))</f>
        <v>0.6</v>
      </c>
      <c r="I130" s="17">
        <f>H130*D130/1000</f>
        <v>0.27</v>
      </c>
      <c r="J130" s="48">
        <f>E130*B130</f>
        <v>1.13273861943897</v>
      </c>
      <c r="K130" s="49">
        <v>19.7225</v>
      </c>
      <c r="L130" s="44">
        <v>19.733</v>
      </c>
      <c r="M130" s="48">
        <f>Q130+J130</f>
        <v>18.3491432677097</v>
      </c>
      <c r="N130" s="50">
        <f>M130-J130</f>
        <v>17.2164046482707</v>
      </c>
      <c r="O130" s="53">
        <f t="shared" si="226"/>
        <v>17.6664046482707</v>
      </c>
      <c r="P130" s="53">
        <f>O130-J130</f>
        <v>16.5336660288317</v>
      </c>
      <c r="Q130" s="53">
        <f t="shared" si="227"/>
        <v>17.2164046482707</v>
      </c>
      <c r="R130" s="53">
        <f>P130-D130/1000</f>
        <v>16.0836660288317</v>
      </c>
      <c r="S130" s="50">
        <f t="shared" si="228"/>
        <v>2.05609535172929</v>
      </c>
      <c r="T130" s="50">
        <f>L130-P130</f>
        <v>3.19933397116826</v>
      </c>
      <c r="U130" s="1">
        <f>ACOS((D130/2-D130*H130)/(D130/2))</f>
        <v>1.77215424758523</v>
      </c>
      <c r="V130" s="1">
        <f>(U130-SIN(U130)*COS(U130))*((D130/1000)/2)^2</f>
        <v>0.099635742242274</v>
      </c>
      <c r="W130" s="1">
        <f>U130*(D130/1000)</f>
        <v>0.797469411413352</v>
      </c>
      <c r="X130" s="1">
        <f>V130/W130</f>
        <v>0.124939892134157</v>
      </c>
      <c r="XFD130"/>
    </row>
    <row r="131" s="1" customFormat="1" spans="1:16384">
      <c r="A131" s="68" t="s">
        <v>103</v>
      </c>
      <c r="B131" s="26">
        <v>490.754</v>
      </c>
      <c r="C131" s="27">
        <v>93.3873</v>
      </c>
      <c r="D131" s="30">
        <v>500</v>
      </c>
      <c r="E131" s="20">
        <f>(($V$2*G131)/((V131/W131)^(2/3)))^2</f>
        <v>0.00174576012202863</v>
      </c>
      <c r="F131" s="17">
        <f>E131*1000</f>
        <v>1.74576012202863</v>
      </c>
      <c r="G131" s="17">
        <f>C131/V131/1000</f>
        <v>0.790820617283728</v>
      </c>
      <c r="H131" s="8">
        <v>0.58</v>
      </c>
      <c r="I131" s="17">
        <f>H131*D131/1000</f>
        <v>0.29</v>
      </c>
      <c r="J131" s="48">
        <f>E131*B131</f>
        <v>0.856738762926038</v>
      </c>
      <c r="K131" s="49">
        <v>19.733</v>
      </c>
      <c r="L131" s="44">
        <v>19.7452</v>
      </c>
      <c r="M131" s="48">
        <f>Q131+J131</f>
        <v>16.9204047917578</v>
      </c>
      <c r="N131" s="50">
        <f>M131-J131</f>
        <v>16.0636660288317</v>
      </c>
      <c r="O131" s="53">
        <f t="shared" si="226"/>
        <v>16.5636660288317</v>
      </c>
      <c r="P131" s="53">
        <f>O131-J131</f>
        <v>15.7069272659057</v>
      </c>
      <c r="Q131" s="53">
        <f t="shared" si="227"/>
        <v>16.0636660288317</v>
      </c>
      <c r="R131" s="53">
        <f>P131-D131/1000</f>
        <v>15.2069272659057</v>
      </c>
      <c r="S131" s="50">
        <f t="shared" si="228"/>
        <v>3.16933397116826</v>
      </c>
      <c r="T131" s="50">
        <f>L131-P131</f>
        <v>4.03827273409429</v>
      </c>
      <c r="U131" s="1">
        <f>ACOS((D131/2-D131*H131)/(D131/2))</f>
        <v>1.73148697974681</v>
      </c>
      <c r="V131" s="1">
        <f>(U131-SIN(U131)*COS(U131))*((D131/1000)/2)^2</f>
        <v>0.118089106377578</v>
      </c>
      <c r="W131" s="1">
        <f>U131*(D131/1000)</f>
        <v>0.865743489873404</v>
      </c>
      <c r="X131" s="1">
        <f>V131/W131</f>
        <v>0.136401957114163</v>
      </c>
      <c r="XFD131"/>
    </row>
    <row r="132" s="1" customFormat="1" spans="1:16384">
      <c r="A132" s="68" t="s">
        <v>173</v>
      </c>
      <c r="B132" s="26">
        <v>521.24</v>
      </c>
      <c r="C132" s="27">
        <v>108.2433</v>
      </c>
      <c r="D132" s="30">
        <v>500</v>
      </c>
      <c r="E132" s="20">
        <f>(($V$2*G132)/((V132/W132)^(2/3)))^2</f>
        <v>0.00159521272701303</v>
      </c>
      <c r="F132" s="17">
        <f>E132*1000</f>
        <v>1.59521272701303</v>
      </c>
      <c r="G132" s="17">
        <f>C132/V132/1000</f>
        <v>0.787331568203116</v>
      </c>
      <c r="H132" s="8">
        <v>0.66</v>
      </c>
      <c r="I132" s="17">
        <f>H132*D132/1000</f>
        <v>0.33</v>
      </c>
      <c r="J132" s="48">
        <f>E132*B132</f>
        <v>0.831488681828273</v>
      </c>
      <c r="K132" s="49">
        <v>19.7452</v>
      </c>
      <c r="L132" s="44">
        <v>19.7481</v>
      </c>
      <c r="M132" s="48">
        <f>Q132+J132</f>
        <v>15.998415947734</v>
      </c>
      <c r="N132" s="50">
        <f>M132-J132</f>
        <v>15.1669272659057</v>
      </c>
      <c r="O132" s="53">
        <f t="shared" si="226"/>
        <v>15.6669272659057</v>
      </c>
      <c r="P132" s="53">
        <f>O132-J132</f>
        <v>14.8354385840774</v>
      </c>
      <c r="Q132" s="53">
        <f t="shared" si="227"/>
        <v>15.1669272659057</v>
      </c>
      <c r="R132" s="53">
        <f>P132-D132/1000</f>
        <v>14.3354385840774</v>
      </c>
      <c r="S132" s="50">
        <f t="shared" si="228"/>
        <v>4.07827273409429</v>
      </c>
      <c r="T132" s="50">
        <f>L132-P132</f>
        <v>4.91266141592257</v>
      </c>
      <c r="U132" s="1">
        <f>ACOS((D132/2-D132*H132)/(D132/2))</f>
        <v>1.89652581408953</v>
      </c>
      <c r="V132" s="1">
        <f>(U132-SIN(U132)*COS(U132))*((D132/1000)/2)^2</f>
        <v>0.137481214232319</v>
      </c>
      <c r="W132" s="1">
        <f>U132*(D132/1000)</f>
        <v>0.948262907044763</v>
      </c>
      <c r="X132" s="1">
        <f>V132/W132</f>
        <v>0.144982170251471</v>
      </c>
      <c r="XFD132"/>
    </row>
    <row r="133" s="1" customFormat="1" spans="1:16384">
      <c r="A133" s="68" t="s">
        <v>42</v>
      </c>
      <c r="B133" s="26">
        <v>775.234</v>
      </c>
      <c r="C133" s="27">
        <v>127.1152</v>
      </c>
      <c r="D133" s="30">
        <v>500</v>
      </c>
      <c r="E133" s="20">
        <f>(($V$2*G133)/((V133/W133)^(2/3)))^2</f>
        <v>0.00206690057864137</v>
      </c>
      <c r="F133" s="17">
        <f>E133*1000</f>
        <v>2.06690057864137</v>
      </c>
      <c r="G133" s="17">
        <f>C133/V133/1000</f>
        <v>0.901434409359782</v>
      </c>
      <c r="H133" s="8">
        <f>IF(D133&lt;350,0.5,IF(D133&lt;500,0.6,IF(D133&lt;1000,0.675,0.725)))</f>
        <v>0.675</v>
      </c>
      <c r="I133" s="17">
        <f>H133*D133/1000</f>
        <v>0.3375</v>
      </c>
      <c r="J133" s="48">
        <f>E133*B133</f>
        <v>1.60233160318246</v>
      </c>
      <c r="K133" s="49">
        <v>19.7481</v>
      </c>
      <c r="L133" s="44">
        <v>19.4091</v>
      </c>
      <c r="M133" s="48">
        <f>Q133+J133</f>
        <v>15.9302701872599</v>
      </c>
      <c r="N133" s="50">
        <f>M133-J133</f>
        <v>14.3279385840774</v>
      </c>
      <c r="O133" s="53">
        <f t="shared" si="226"/>
        <v>14.8279385840774</v>
      </c>
      <c r="P133" s="53">
        <f>O133-J133</f>
        <v>13.225606980895</v>
      </c>
      <c r="Q133" s="53">
        <f t="shared" si="227"/>
        <v>14.3279385840774</v>
      </c>
      <c r="R133" s="53">
        <f>P133-D133/1000</f>
        <v>12.725606980895</v>
      </c>
      <c r="S133" s="50">
        <f t="shared" si="228"/>
        <v>4.92016141592257</v>
      </c>
      <c r="T133" s="50">
        <f>L133-P133</f>
        <v>6.18349301910503</v>
      </c>
      <c r="U133" s="1">
        <f>ACOS((D133/2-D133*H133)/(D133/2))</f>
        <v>1.92836743044041</v>
      </c>
      <c r="V133" s="1">
        <f>(U133-SIN(U133)*COS(U133))*((D133/1000)/2)^2</f>
        <v>0.14101436408477</v>
      </c>
      <c r="W133" s="1">
        <f>U133*(D133/1000)</f>
        <v>0.964183715220203</v>
      </c>
      <c r="X133" s="1">
        <f>V133/W133</f>
        <v>0.146252588442198</v>
      </c>
      <c r="XFD133"/>
    </row>
    <row r="134" s="1" customFormat="1" spans="4:16384">
      <c r="D134" s="2"/>
      <c r="H134" s="2"/>
      <c r="K134" s="3"/>
      <c r="L134" s="3"/>
      <c r="XFD134"/>
    </row>
    <row r="135" s="1" customFormat="1" spans="1:16384">
      <c r="A135" s="25" t="s">
        <v>174</v>
      </c>
      <c r="B135" s="42">
        <f>B104</f>
        <v>338.61</v>
      </c>
      <c r="C135" s="27">
        <f t="shared" ref="C135:T135" si="230">C104</f>
        <v>63.2944</v>
      </c>
      <c r="D135" s="30">
        <f t="shared" si="230"/>
        <v>450</v>
      </c>
      <c r="E135" s="20">
        <f t="shared" si="230"/>
        <v>0.00126635311465914</v>
      </c>
      <c r="F135" s="17">
        <f t="shared" si="230"/>
        <v>1.26635311465914</v>
      </c>
      <c r="G135" s="17">
        <f t="shared" si="230"/>
        <v>0.635257976460832</v>
      </c>
      <c r="H135" s="8">
        <f t="shared" si="230"/>
        <v>0.6</v>
      </c>
      <c r="I135" s="17">
        <f t="shared" si="230"/>
        <v>0.27</v>
      </c>
      <c r="J135" s="48">
        <f t="shared" si="230"/>
        <v>0.428799828154731</v>
      </c>
      <c r="K135" s="49">
        <f t="shared" si="230"/>
        <v>19.8042</v>
      </c>
      <c r="L135" s="44">
        <f t="shared" si="230"/>
        <v>19.4091</v>
      </c>
      <c r="M135" s="48">
        <f t="shared" si="230"/>
        <v>13.099069467349</v>
      </c>
      <c r="N135" s="50">
        <f t="shared" si="230"/>
        <v>12.6702696391943</v>
      </c>
      <c r="O135" s="53">
        <f t="shared" si="230"/>
        <v>13.1202696391943</v>
      </c>
      <c r="P135" s="53">
        <f t="shared" si="230"/>
        <v>12.6914698110396</v>
      </c>
      <c r="Q135" s="53">
        <f t="shared" si="230"/>
        <v>12.6702696391943</v>
      </c>
      <c r="R135" s="53">
        <f t="shared" si="230"/>
        <v>12.2414698110396</v>
      </c>
      <c r="S135" s="50">
        <f t="shared" si="230"/>
        <v>6.68393036080571</v>
      </c>
      <c r="T135" s="50">
        <f t="shared" si="230"/>
        <v>6.71763018896044</v>
      </c>
      <c r="U135" s="1">
        <f>ACOS((D135/2-D135*H135)/(D135/2))</f>
        <v>1.77215424758523</v>
      </c>
      <c r="V135" s="1">
        <f>(U135-SIN(U135)*COS(U135))*((D135/1000)/2)^2</f>
        <v>0.099635742242274</v>
      </c>
      <c r="W135" s="1">
        <f>U135*(D135/1000)</f>
        <v>0.797469411413352</v>
      </c>
      <c r="X135" s="1">
        <f>V135/W135</f>
        <v>0.124939892134157</v>
      </c>
      <c r="XFD135"/>
    </row>
    <row r="136" s="1" customFormat="1" spans="1:16384">
      <c r="A136" s="68" t="s">
        <v>175</v>
      </c>
      <c r="B136" s="26">
        <v>214.482</v>
      </c>
      <c r="C136" s="27">
        <v>190.4095</v>
      </c>
      <c r="D136" s="30">
        <v>600</v>
      </c>
      <c r="E136" s="20">
        <f>(($V$2*G136)/((V136/W136)^(2/3)))^2</f>
        <v>0.00175388802525324</v>
      </c>
      <c r="F136" s="17">
        <f>E136*1000</f>
        <v>1.75388802525324</v>
      </c>
      <c r="G136" s="17">
        <f>C136/V136/1000</f>
        <v>0.937697519700587</v>
      </c>
      <c r="H136" s="8">
        <f>IF(D136&lt;350,0.5,IF(D136&lt;500,0.6,IF(D136&lt;1000,0.675,0.725)))</f>
        <v>0.675</v>
      </c>
      <c r="I136" s="17">
        <f>H136*D136/1000</f>
        <v>0.405</v>
      </c>
      <c r="J136" s="48">
        <f>E136*B136</f>
        <v>0.376177411432365</v>
      </c>
      <c r="K136" s="49">
        <v>19.4091</v>
      </c>
      <c r="L136" s="44">
        <v>19.4682</v>
      </c>
      <c r="M136" s="48">
        <f>Q136+J136</f>
        <v>12.4826472224719</v>
      </c>
      <c r="N136" s="50">
        <f>M136-J136</f>
        <v>12.1064698110396</v>
      </c>
      <c r="O136" s="53">
        <f>P135-I136+I135+(D136-D135)/1000</f>
        <v>12.7064698110396</v>
      </c>
      <c r="P136" s="53">
        <f>O136-J136</f>
        <v>12.3302923996072</v>
      </c>
      <c r="Q136" s="53">
        <f>IF(O136-D136/1000&lt;=R135,O136-D136/1000)</f>
        <v>12.1064698110396</v>
      </c>
      <c r="R136" s="53">
        <f>P136-D136/1000</f>
        <v>11.7302923996072</v>
      </c>
      <c r="S136" s="50">
        <f>K136-O136</f>
        <v>6.70263018896044</v>
      </c>
      <c r="T136" s="50">
        <f>L136-P136</f>
        <v>7.1379076003928</v>
      </c>
      <c r="U136" s="1">
        <f>ACOS((D136/2-D136*H136)/(D136/2))</f>
        <v>1.92836743044041</v>
      </c>
      <c r="V136" s="1">
        <f>(U136-SIN(U136)*COS(U136))*((D136/1000)/2)^2</f>
        <v>0.203060684282069</v>
      </c>
      <c r="W136" s="1">
        <f>U136*(D136/1000)</f>
        <v>1.15702045826424</v>
      </c>
      <c r="X136" s="1">
        <f>V136/W136</f>
        <v>0.175503106130638</v>
      </c>
      <c r="XFD136"/>
    </row>
    <row r="137" s="1" customFormat="1" spans="1:16384">
      <c r="A137" s="69" t="s">
        <v>75</v>
      </c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XFD137"/>
    </row>
    <row r="138" s="1" customFormat="1" spans="1:16384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XFD138"/>
    </row>
    <row r="139" s="1" customFormat="1" spans="1:16384">
      <c r="A139" s="25" t="s">
        <v>39</v>
      </c>
      <c r="B139" s="42">
        <v>307.218</v>
      </c>
      <c r="C139" s="27">
        <v>2.1095</v>
      </c>
      <c r="D139" s="30">
        <v>150</v>
      </c>
      <c r="E139" s="20">
        <f>(($V$2*G139)/((V139/W139)^(2/3)))^2</f>
        <v>0.0019594478309358</v>
      </c>
      <c r="F139" s="17">
        <f>E139*1000</f>
        <v>1.9594478309358</v>
      </c>
      <c r="G139" s="17">
        <f>C139/V139/1000</f>
        <v>0.319581475093155</v>
      </c>
      <c r="H139" s="8">
        <v>0.4</v>
      </c>
      <c r="I139" s="17">
        <f>H139*D139/1000</f>
        <v>0.06</v>
      </c>
      <c r="J139" s="48">
        <f>E139*B139</f>
        <v>0.601977643724434</v>
      </c>
      <c r="K139" s="49">
        <v>20.3059</v>
      </c>
      <c r="L139" s="44">
        <v>20.0903</v>
      </c>
      <c r="M139" s="48">
        <f>Q139+J139</f>
        <v>19.9078776437244</v>
      </c>
      <c r="N139" s="50">
        <f>M139-J139</f>
        <v>19.3059</v>
      </c>
      <c r="O139" s="53">
        <f>K139-S139</f>
        <v>19.4559</v>
      </c>
      <c r="P139" s="53">
        <f>O139-J139</f>
        <v>18.8539223562756</v>
      </c>
      <c r="Q139" s="53">
        <f>O139-D139/1000</f>
        <v>19.3059</v>
      </c>
      <c r="R139" s="53">
        <f>P139-D139/1000</f>
        <v>18.7039223562756</v>
      </c>
      <c r="S139" s="50">
        <f>0.7+D139/1000</f>
        <v>0.85</v>
      </c>
      <c r="T139" s="50">
        <f>L139-P139</f>
        <v>1.23637764372443</v>
      </c>
      <c r="U139" s="1">
        <f>ACOS((D139/2-D139*H139)/(D139/2))</f>
        <v>1.36943840600457</v>
      </c>
      <c r="V139" s="1">
        <f>(U139-SIN(U139)*COS(U139))*((D139/1000)/2)^2</f>
        <v>0.00660082064952325</v>
      </c>
      <c r="W139" s="1">
        <f>U139*(D139/1000)</f>
        <v>0.205415760900685</v>
      </c>
      <c r="X139" s="1">
        <f>V139/W139</f>
        <v>0.0321339541843366</v>
      </c>
      <c r="XFD139"/>
    </row>
    <row r="140" s="1" customFormat="1" spans="1:16384">
      <c r="A140" s="68" t="s">
        <v>44</v>
      </c>
      <c r="B140" s="26">
        <v>261.235</v>
      </c>
      <c r="C140" s="27">
        <v>6.2329</v>
      </c>
      <c r="D140" s="30">
        <v>200</v>
      </c>
      <c r="E140" s="20">
        <f>(($V$2*G140)/((V140/W140)^(2/3)))^2</f>
        <v>0.0024140794891724</v>
      </c>
      <c r="F140" s="17">
        <f>E140*1000</f>
        <v>2.4140794891724</v>
      </c>
      <c r="G140" s="17">
        <f>C140/V140/1000</f>
        <v>0.454581204111204</v>
      </c>
      <c r="H140" s="8">
        <v>0.45</v>
      </c>
      <c r="I140" s="17">
        <f>H140*D140/1000</f>
        <v>0.09</v>
      </c>
      <c r="J140" s="48">
        <f>E140*B140</f>
        <v>0.630642055353952</v>
      </c>
      <c r="K140" s="49">
        <v>20.0903</v>
      </c>
      <c r="L140" s="44">
        <v>19.8477</v>
      </c>
      <c r="M140" s="48">
        <f>Q140+J140</f>
        <v>19.3045644116295</v>
      </c>
      <c r="N140" s="50">
        <f>M140-J140</f>
        <v>18.6739223562756</v>
      </c>
      <c r="O140" s="53">
        <f>P139-I140+I139+(D140-D139)/1000</f>
        <v>18.8739223562756</v>
      </c>
      <c r="P140" s="53">
        <f>O140-J140</f>
        <v>18.2432803009216</v>
      </c>
      <c r="Q140" s="53">
        <f>IF(O140-D140/1000&lt;=R139,O140-D140/1000)</f>
        <v>18.6739223562756</v>
      </c>
      <c r="R140" s="53">
        <f>P140-D140/1000</f>
        <v>18.0432803009216</v>
      </c>
      <c r="S140" s="50">
        <f>K140-O140</f>
        <v>1.21637764372444</v>
      </c>
      <c r="T140" s="50">
        <f>L140-P140</f>
        <v>1.60441969907839</v>
      </c>
      <c r="U140" s="1">
        <f>ACOS((D140/2-D140*H140)/(D140/2))</f>
        <v>1.47062890563334</v>
      </c>
      <c r="V140" s="1">
        <f>(U140-SIN(U140)*COS(U140))*((D140/1000)/2)^2</f>
        <v>0.0137113016192268</v>
      </c>
      <c r="W140" s="1">
        <f>U140*(D140/1000)</f>
        <v>0.294125781126667</v>
      </c>
      <c r="X140" s="1">
        <f>V140/W140</f>
        <v>0.046617136269744</v>
      </c>
      <c r="XFD140"/>
    </row>
    <row r="141" s="1" customFormat="1" spans="1:16384">
      <c r="A141" s="68" t="s">
        <v>45</v>
      </c>
      <c r="B141" s="26">
        <v>254.763</v>
      </c>
      <c r="C141" s="27">
        <v>20.4876</v>
      </c>
      <c r="D141" s="30">
        <v>300</v>
      </c>
      <c r="E141" s="20">
        <f>(($V$2*G141)/((V141/W141)^(2/3)))^2</f>
        <v>0.00239476149564945</v>
      </c>
      <c r="F141" s="17">
        <f>E141*1000</f>
        <v>2.39476149564945</v>
      </c>
      <c r="G141" s="17">
        <f>C141/V141/1000</f>
        <v>0.61077891765295</v>
      </c>
      <c r="H141" s="8">
        <v>0.48</v>
      </c>
      <c r="I141" s="17">
        <f>H141*D141/1000</f>
        <v>0.144</v>
      </c>
      <c r="J141" s="48">
        <f>E141*B141</f>
        <v>0.61009662291614</v>
      </c>
      <c r="K141" s="49">
        <v>19.8477</v>
      </c>
      <c r="L141" s="44">
        <v>19.6052</v>
      </c>
      <c r="M141" s="48">
        <f>Q141+J141</f>
        <v>18.5993769238378</v>
      </c>
      <c r="N141" s="50">
        <f>M141-J141</f>
        <v>17.9892803009216</v>
      </c>
      <c r="O141" s="53">
        <f>P140-I141+I140+(D141-D140)/1000</f>
        <v>18.2892803009216</v>
      </c>
      <c r="P141" s="53">
        <f>O141-J141</f>
        <v>17.6791836780055</v>
      </c>
      <c r="Q141" s="53">
        <f>IF(O141-D141/1000&lt;=R140,O141-D141/1000)</f>
        <v>17.9892803009216</v>
      </c>
      <c r="R141" s="53">
        <f>P141-D141/1000</f>
        <v>17.3791836780055</v>
      </c>
      <c r="S141" s="50">
        <f>K141-O141</f>
        <v>1.55841969907839</v>
      </c>
      <c r="T141" s="50">
        <f>L141-P141</f>
        <v>1.92601632199452</v>
      </c>
      <c r="U141" s="1">
        <f>ACOS((D141/2-D141*H141)/(D141/2))</f>
        <v>1.53078565244091</v>
      </c>
      <c r="V141" s="1">
        <f>(U141-SIN(U141)*COS(U141))*((D141/1000)/2)^2</f>
        <v>0.033543397468151</v>
      </c>
      <c r="W141" s="1">
        <f>U141*(D141/1000)</f>
        <v>0.459235695732272</v>
      </c>
      <c r="X141" s="1">
        <f>V141/W141</f>
        <v>0.0730417904789926</v>
      </c>
      <c r="XFD141"/>
    </row>
    <row r="142" s="1" customFormat="1" spans="4:16384">
      <c r="D142" s="2"/>
      <c r="H142" s="2"/>
      <c r="K142" s="3"/>
      <c r="L142" s="3"/>
      <c r="XFD142"/>
    </row>
    <row r="143" s="1" customFormat="1" spans="1:16384">
      <c r="A143" s="25" t="s">
        <v>39</v>
      </c>
      <c r="B143" s="42">
        <v>363.109</v>
      </c>
      <c r="C143" s="27">
        <v>5.824</v>
      </c>
      <c r="D143" s="30">
        <v>200</v>
      </c>
      <c r="E143" s="20">
        <f>(($V$2*G143)/((V143/W143)^(2/3)))^2</f>
        <v>0.0021077251632399</v>
      </c>
      <c r="F143" s="17">
        <f t="shared" ref="F143:F149" si="231">E143*1000</f>
        <v>2.1077251632399</v>
      </c>
      <c r="G143" s="17">
        <f t="shared" ref="G143:G149" si="232">C143/V143/1000</f>
        <v>0.424759090109524</v>
      </c>
      <c r="H143" s="8">
        <v>0.45</v>
      </c>
      <c r="I143" s="17">
        <f t="shared" ref="I143:I149" si="233">H143*D143/1000</f>
        <v>0.09</v>
      </c>
      <c r="J143" s="48">
        <f t="shared" ref="J143:J149" si="234">E143*B143</f>
        <v>0.765333976298875</v>
      </c>
      <c r="K143" s="49">
        <v>21.5214</v>
      </c>
      <c r="L143" s="44">
        <v>21.0481</v>
      </c>
      <c r="M143" s="48">
        <f t="shared" ref="M143:M149" si="235">Q143+J143</f>
        <v>21.1867339762989</v>
      </c>
      <c r="N143" s="50">
        <f t="shared" ref="N143:N149" si="236">M143-J143</f>
        <v>20.4214</v>
      </c>
      <c r="O143" s="53">
        <f>K143-S143</f>
        <v>20.6214</v>
      </c>
      <c r="P143" s="53">
        <f t="shared" ref="P143:P149" si="237">O143-J143</f>
        <v>19.8560660237011</v>
      </c>
      <c r="Q143" s="53">
        <f>O143-D143/1000</f>
        <v>20.4214</v>
      </c>
      <c r="R143" s="53">
        <f t="shared" ref="R143:R149" si="238">P143-D143/1000</f>
        <v>19.6560660237011</v>
      </c>
      <c r="S143" s="50">
        <f>0.7+D143/1000</f>
        <v>0.9</v>
      </c>
      <c r="T143" s="50">
        <f t="shared" ref="T143:T149" si="239">L143-P143</f>
        <v>1.19203397629888</v>
      </c>
      <c r="U143" s="1">
        <f t="shared" ref="U143:U149" si="240">ACOS((D143/2-D143*H143)/(D143/2))</f>
        <v>1.47062890563334</v>
      </c>
      <c r="V143" s="1">
        <f t="shared" ref="V143:V149" si="241">(U143-SIN(U143)*COS(U143))*((D143/1000)/2)^2</f>
        <v>0.0137113016192268</v>
      </c>
      <c r="W143" s="1">
        <f t="shared" ref="W143:W149" si="242">U143*(D143/1000)</f>
        <v>0.294125781126667</v>
      </c>
      <c r="X143" s="1">
        <f t="shared" ref="X143:X149" si="243">V143/W143</f>
        <v>0.046617136269744</v>
      </c>
      <c r="XFD143"/>
    </row>
    <row r="144" s="1" customFormat="1" spans="1:16384">
      <c r="A144" s="68" t="s">
        <v>176</v>
      </c>
      <c r="B144" s="40">
        <v>262.764</v>
      </c>
      <c r="C144" s="27">
        <v>15.2773</v>
      </c>
      <c r="D144" s="30">
        <v>300</v>
      </c>
      <c r="E144" s="20">
        <f>(($V$2*G144)/((V144/W144)^(2/3)))^2</f>
        <v>0.00254902766751944</v>
      </c>
      <c r="F144" s="17">
        <f t="shared" si="231"/>
        <v>2.54902766751944</v>
      </c>
      <c r="G144" s="17">
        <f t="shared" si="232"/>
        <v>0.578613660753811</v>
      </c>
      <c r="H144" s="8">
        <v>0.4</v>
      </c>
      <c r="I144" s="17">
        <f t="shared" si="233"/>
        <v>0.12</v>
      </c>
      <c r="J144" s="48">
        <f t="shared" si="234"/>
        <v>0.669792706028078</v>
      </c>
      <c r="K144" s="49">
        <v>21.0481</v>
      </c>
      <c r="L144" s="44">
        <v>20.7777</v>
      </c>
      <c r="M144" s="48">
        <f t="shared" si="235"/>
        <v>20.2958587297292</v>
      </c>
      <c r="N144" s="50">
        <f t="shared" si="236"/>
        <v>19.6260660237011</v>
      </c>
      <c r="O144" s="53">
        <f t="shared" ref="O144:O149" si="244">P143-I144+I143+(D144-D143)/1000</f>
        <v>19.9260660237011</v>
      </c>
      <c r="P144" s="53">
        <f t="shared" si="237"/>
        <v>19.256273317673</v>
      </c>
      <c r="Q144" s="53">
        <f t="shared" ref="Q144:Q149" si="245">IF(O144-D144/1000&lt;=R143,O144-D144/1000)</f>
        <v>19.6260660237011</v>
      </c>
      <c r="R144" s="53">
        <f t="shared" si="238"/>
        <v>18.956273317673</v>
      </c>
      <c r="S144" s="50">
        <f t="shared" ref="S144:S149" si="246">K144-O144</f>
        <v>1.12203397629888</v>
      </c>
      <c r="T144" s="50">
        <f t="shared" si="239"/>
        <v>1.52142668232695</v>
      </c>
      <c r="U144" s="1">
        <f t="shared" si="240"/>
        <v>1.36943840600457</v>
      </c>
      <c r="V144" s="1">
        <f t="shared" si="241"/>
        <v>0.026403282598093</v>
      </c>
      <c r="W144" s="1">
        <f t="shared" si="242"/>
        <v>0.41083152180137</v>
      </c>
      <c r="X144" s="1">
        <f t="shared" si="243"/>
        <v>0.0642679083686732</v>
      </c>
      <c r="XFD144"/>
    </row>
    <row r="145" s="1" customFormat="1" spans="1:16384">
      <c r="A145" s="68" t="s">
        <v>47</v>
      </c>
      <c r="B145" s="40">
        <v>217.204</v>
      </c>
      <c r="C145" s="27">
        <v>27.993</v>
      </c>
      <c r="D145" s="30">
        <v>350</v>
      </c>
      <c r="E145" s="20">
        <f>(($V$2*G145)/((V145/W145)^(2/3)))^2</f>
        <v>0.00183036339153119</v>
      </c>
      <c r="F145" s="17">
        <f t="shared" si="231"/>
        <v>1.83036339153119</v>
      </c>
      <c r="G145" s="17">
        <f t="shared" si="232"/>
        <v>0.597111146966888</v>
      </c>
      <c r="H145" s="8">
        <v>0.49</v>
      </c>
      <c r="I145" s="17">
        <f t="shared" si="233"/>
        <v>0.1715</v>
      </c>
      <c r="J145" s="48">
        <f t="shared" si="234"/>
        <v>0.39756225009414</v>
      </c>
      <c r="K145" s="49">
        <v>20.7777</v>
      </c>
      <c r="L145" s="44">
        <v>20.5373</v>
      </c>
      <c r="M145" s="48">
        <f t="shared" si="235"/>
        <v>19.3023355677672</v>
      </c>
      <c r="N145" s="50">
        <f t="shared" si="236"/>
        <v>18.904773317673</v>
      </c>
      <c r="O145" s="53">
        <f t="shared" si="244"/>
        <v>19.254773317673</v>
      </c>
      <c r="P145" s="53">
        <f t="shared" si="237"/>
        <v>18.8572110675789</v>
      </c>
      <c r="Q145" s="53">
        <f t="shared" si="245"/>
        <v>18.904773317673</v>
      </c>
      <c r="R145" s="53">
        <f t="shared" si="238"/>
        <v>18.5072110675789</v>
      </c>
      <c r="S145" s="50">
        <f t="shared" si="246"/>
        <v>1.52292668232695</v>
      </c>
      <c r="T145" s="50">
        <f t="shared" si="239"/>
        <v>1.68008893242109</v>
      </c>
      <c r="U145" s="1">
        <f t="shared" si="240"/>
        <v>1.55079499322151</v>
      </c>
      <c r="V145" s="1">
        <f t="shared" si="241"/>
        <v>0.0468807191796611</v>
      </c>
      <c r="W145" s="1">
        <f t="shared" si="242"/>
        <v>0.542778247627527</v>
      </c>
      <c r="X145" s="1">
        <f t="shared" si="243"/>
        <v>0.086371772237697</v>
      </c>
      <c r="XFD145"/>
    </row>
    <row r="146" s="1" customFormat="1" spans="1:16384">
      <c r="A146" s="68" t="s">
        <v>48</v>
      </c>
      <c r="B146" s="40">
        <v>223.527</v>
      </c>
      <c r="C146" s="27">
        <v>38.1286</v>
      </c>
      <c r="D146" s="30">
        <v>350</v>
      </c>
      <c r="E146" s="20">
        <f>(($V$2*G146)/((V146/W146)^(2/3)))^2</f>
        <v>0.00175561710521494</v>
      </c>
      <c r="F146" s="17">
        <f t="shared" si="231"/>
        <v>1.75561710521494</v>
      </c>
      <c r="G146" s="17">
        <f t="shared" si="232"/>
        <v>0.632593372474917</v>
      </c>
      <c r="H146" s="8">
        <f t="shared" ref="H144:H149" si="247">IF(D146&lt;350,0.5,IF(D146&lt;500,0.6,IF(D146&lt;1000,0.675,0.725)))</f>
        <v>0.6</v>
      </c>
      <c r="I146" s="17">
        <f t="shared" si="233"/>
        <v>0.21</v>
      </c>
      <c r="J146" s="48">
        <f t="shared" si="234"/>
        <v>0.392427824677381</v>
      </c>
      <c r="K146" s="49">
        <v>20.5373</v>
      </c>
      <c r="L146" s="44">
        <v>20.2704</v>
      </c>
      <c r="M146" s="48">
        <f t="shared" si="235"/>
        <v>18.8611388922563</v>
      </c>
      <c r="N146" s="50">
        <f t="shared" si="236"/>
        <v>18.4687110675789</v>
      </c>
      <c r="O146" s="53">
        <f t="shared" si="244"/>
        <v>18.8187110675789</v>
      </c>
      <c r="P146" s="53">
        <f t="shared" si="237"/>
        <v>18.4262832429015</v>
      </c>
      <c r="Q146" s="53">
        <f t="shared" si="245"/>
        <v>18.4687110675789</v>
      </c>
      <c r="R146" s="53">
        <f t="shared" si="238"/>
        <v>18.0762832429015</v>
      </c>
      <c r="S146" s="50">
        <f t="shared" si="246"/>
        <v>1.71858893242109</v>
      </c>
      <c r="T146" s="50">
        <f t="shared" si="239"/>
        <v>1.84411675709847</v>
      </c>
      <c r="U146" s="1">
        <f t="shared" si="240"/>
        <v>1.77215424758523</v>
      </c>
      <c r="V146" s="1">
        <f t="shared" si="241"/>
        <v>0.0602734737021164</v>
      </c>
      <c r="W146" s="1">
        <f t="shared" si="242"/>
        <v>0.62025398665483</v>
      </c>
      <c r="X146" s="1">
        <f t="shared" si="243"/>
        <v>0.0971754716599</v>
      </c>
      <c r="XFD146"/>
    </row>
    <row r="147" s="1" customFormat="1" spans="1:16384">
      <c r="A147" s="68" t="s">
        <v>49</v>
      </c>
      <c r="B147" s="40">
        <v>119.92</v>
      </c>
      <c r="C147" s="27">
        <v>41.5081</v>
      </c>
      <c r="D147" s="30">
        <v>350</v>
      </c>
      <c r="E147" s="20">
        <f>(($V$2*G147)/((V147/W147)^(2/3)))^2</f>
        <v>0.00208062491073628</v>
      </c>
      <c r="F147" s="17">
        <f t="shared" si="231"/>
        <v>2.08062491073628</v>
      </c>
      <c r="G147" s="17">
        <f t="shared" si="232"/>
        <v>0.688662813846459</v>
      </c>
      <c r="H147" s="8">
        <f t="shared" si="247"/>
        <v>0.6</v>
      </c>
      <c r="I147" s="17">
        <f t="shared" si="233"/>
        <v>0.21</v>
      </c>
      <c r="J147" s="48">
        <f t="shared" si="234"/>
        <v>0.249508539295495</v>
      </c>
      <c r="K147" s="49">
        <v>20.2704</v>
      </c>
      <c r="L147" s="44">
        <v>20.2661</v>
      </c>
      <c r="M147" s="48">
        <f t="shared" si="235"/>
        <v>18.325791782197</v>
      </c>
      <c r="N147" s="50">
        <f t="shared" si="236"/>
        <v>18.0762832429015</v>
      </c>
      <c r="O147" s="53">
        <f t="shared" si="244"/>
        <v>18.4262832429015</v>
      </c>
      <c r="P147" s="53">
        <f t="shared" si="237"/>
        <v>18.176774703606</v>
      </c>
      <c r="Q147" s="53">
        <f t="shared" si="245"/>
        <v>18.0762832429015</v>
      </c>
      <c r="R147" s="53">
        <f t="shared" si="238"/>
        <v>17.826774703606</v>
      </c>
      <c r="S147" s="50">
        <f t="shared" si="246"/>
        <v>1.84411675709847</v>
      </c>
      <c r="T147" s="50">
        <f t="shared" si="239"/>
        <v>2.08932529639397</v>
      </c>
      <c r="U147" s="1">
        <f t="shared" si="240"/>
        <v>1.77215424758523</v>
      </c>
      <c r="V147" s="1">
        <f t="shared" si="241"/>
        <v>0.0602734737021164</v>
      </c>
      <c r="W147" s="1">
        <f t="shared" si="242"/>
        <v>0.62025398665483</v>
      </c>
      <c r="X147" s="1">
        <f t="shared" si="243"/>
        <v>0.0971754716599</v>
      </c>
      <c r="XFD147"/>
    </row>
    <row r="148" s="1" customFormat="1" spans="1:16384">
      <c r="A148" s="68" t="s">
        <v>53</v>
      </c>
      <c r="B148" s="40">
        <v>188.995</v>
      </c>
      <c r="C148" s="27">
        <v>52.2766</v>
      </c>
      <c r="D148" s="30">
        <v>350</v>
      </c>
      <c r="E148" s="20">
        <f>(($V$2*G148)/((V148/W148)^(2/3)))^2</f>
        <v>0.00330021894433135</v>
      </c>
      <c r="F148" s="17">
        <f t="shared" si="231"/>
        <v>3.30021894433135</v>
      </c>
      <c r="G148" s="17">
        <f t="shared" si="232"/>
        <v>0.867323497204781</v>
      </c>
      <c r="H148" s="8">
        <f t="shared" si="247"/>
        <v>0.6</v>
      </c>
      <c r="I148" s="17">
        <f t="shared" si="233"/>
        <v>0.21</v>
      </c>
      <c r="J148" s="48">
        <f t="shared" si="234"/>
        <v>0.623724879383903</v>
      </c>
      <c r="K148" s="49">
        <v>20.2661</v>
      </c>
      <c r="L148" s="44">
        <v>20.0066</v>
      </c>
      <c r="M148" s="48">
        <f t="shared" si="235"/>
        <v>18.4504995829899</v>
      </c>
      <c r="N148" s="50">
        <f t="shared" si="236"/>
        <v>17.826774703606</v>
      </c>
      <c r="O148" s="53">
        <f t="shared" si="244"/>
        <v>18.176774703606</v>
      </c>
      <c r="P148" s="53">
        <f t="shared" si="237"/>
        <v>17.5530498242221</v>
      </c>
      <c r="Q148" s="53">
        <f t="shared" si="245"/>
        <v>17.826774703606</v>
      </c>
      <c r="R148" s="53">
        <f t="shared" si="238"/>
        <v>17.2030498242221</v>
      </c>
      <c r="S148" s="50">
        <f t="shared" si="246"/>
        <v>2.08932529639397</v>
      </c>
      <c r="T148" s="50">
        <f t="shared" si="239"/>
        <v>2.45355017577787</v>
      </c>
      <c r="U148" s="1">
        <f t="shared" si="240"/>
        <v>1.77215424758523</v>
      </c>
      <c r="V148" s="1">
        <f t="shared" si="241"/>
        <v>0.0602734737021164</v>
      </c>
      <c r="W148" s="1">
        <f t="shared" si="242"/>
        <v>0.62025398665483</v>
      </c>
      <c r="X148" s="1">
        <f t="shared" si="243"/>
        <v>0.0971754716599</v>
      </c>
      <c r="XFD148"/>
    </row>
    <row r="149" s="1" customFormat="1" spans="1:16384">
      <c r="A149" s="68" t="s">
        <v>177</v>
      </c>
      <c r="B149" s="40">
        <v>176.928</v>
      </c>
      <c r="C149" s="27">
        <v>68.5904</v>
      </c>
      <c r="D149" s="30">
        <v>400</v>
      </c>
      <c r="E149" s="20">
        <f>(($V$2*G149)/((V149/W149)^(2/3)))^2</f>
        <v>0.00278717586324706</v>
      </c>
      <c r="F149" s="17">
        <f t="shared" si="231"/>
        <v>2.78717586324706</v>
      </c>
      <c r="G149" s="17">
        <f t="shared" si="232"/>
        <v>0.871270921923919</v>
      </c>
      <c r="H149" s="8">
        <f t="shared" si="247"/>
        <v>0.6</v>
      </c>
      <c r="I149" s="17">
        <f t="shared" si="233"/>
        <v>0.24</v>
      </c>
      <c r="J149" s="48">
        <f t="shared" si="234"/>
        <v>0.493129451132576</v>
      </c>
      <c r="K149" s="49">
        <v>20.0066</v>
      </c>
      <c r="L149" s="44">
        <v>19.665</v>
      </c>
      <c r="M149" s="48">
        <f t="shared" si="235"/>
        <v>17.6661792753547</v>
      </c>
      <c r="N149" s="50">
        <f t="shared" si="236"/>
        <v>17.1730498242221</v>
      </c>
      <c r="O149" s="53">
        <f t="shared" si="244"/>
        <v>17.5730498242221</v>
      </c>
      <c r="P149" s="53">
        <f t="shared" si="237"/>
        <v>17.0799203730896</v>
      </c>
      <c r="Q149" s="53">
        <f t="shared" si="245"/>
        <v>17.1730498242221</v>
      </c>
      <c r="R149" s="53">
        <f t="shared" si="238"/>
        <v>16.6799203730896</v>
      </c>
      <c r="S149" s="50">
        <f t="shared" si="246"/>
        <v>2.43355017577787</v>
      </c>
      <c r="T149" s="50">
        <f t="shared" si="239"/>
        <v>2.58507962691044</v>
      </c>
      <c r="U149" s="1">
        <f t="shared" si="240"/>
        <v>1.77215424758523</v>
      </c>
      <c r="V149" s="1">
        <f t="shared" si="241"/>
        <v>0.0787245370803153</v>
      </c>
      <c r="W149" s="1">
        <f t="shared" si="242"/>
        <v>0.708861699034091</v>
      </c>
      <c r="X149" s="1">
        <f t="shared" si="243"/>
        <v>0.111057681897029</v>
      </c>
      <c r="XFD149"/>
    </row>
    <row r="150" s="1" customFormat="1" spans="4:16384">
      <c r="D150" s="2"/>
      <c r="H150" s="2"/>
      <c r="K150" s="3"/>
      <c r="L150" s="3"/>
      <c r="XFD150"/>
    </row>
    <row r="151" s="1" customFormat="1" spans="1:16384">
      <c r="A151" s="25" t="s">
        <v>39</v>
      </c>
      <c r="B151" s="42">
        <v>586.632</v>
      </c>
      <c r="C151" s="27">
        <v>9.301</v>
      </c>
      <c r="D151" s="30">
        <v>250</v>
      </c>
      <c r="E151" s="20">
        <f>(($V$2*G151)/((V151/W151)^(2/3)))^2</f>
        <v>0.00209232931961935</v>
      </c>
      <c r="F151" s="17">
        <f t="shared" ref="F151:F160" si="248">E151*1000</f>
        <v>2.09232931961935</v>
      </c>
      <c r="G151" s="17">
        <f t="shared" ref="G151:G160" si="249">C151/V151/1000</f>
        <v>0.475387087371888</v>
      </c>
      <c r="H151" s="8">
        <v>0.42</v>
      </c>
      <c r="I151" s="17">
        <f t="shared" ref="I151:I160" si="250">H151*D151/1000</f>
        <v>0.105</v>
      </c>
      <c r="J151" s="48">
        <f t="shared" ref="J151:J160" si="251">E151*B151</f>
        <v>1.22742733342694</v>
      </c>
      <c r="K151" s="49">
        <v>21.8491</v>
      </c>
      <c r="L151" s="44">
        <v>21.4905</v>
      </c>
      <c r="M151" s="48">
        <f t="shared" ref="M151:M160" si="252">Q151+J151</f>
        <v>21.8765273334269</v>
      </c>
      <c r="N151" s="50">
        <f t="shared" ref="N151:N160" si="253">M151-J151</f>
        <v>20.6491</v>
      </c>
      <c r="O151" s="53">
        <f>K151-S151</f>
        <v>20.8991</v>
      </c>
      <c r="P151" s="53">
        <f t="shared" ref="P151:P160" si="254">O151-J151</f>
        <v>19.6716726665731</v>
      </c>
      <c r="Q151" s="53">
        <f>O151-D151/1000</f>
        <v>20.6491</v>
      </c>
      <c r="R151" s="53">
        <f t="shared" ref="R151:R160" si="255">P151-D151/1000</f>
        <v>19.4216726665731</v>
      </c>
      <c r="S151" s="50">
        <f>0.7+D151/1000</f>
        <v>0.95</v>
      </c>
      <c r="T151" s="50">
        <f t="shared" ref="T151:T160" si="256">L151-P151</f>
        <v>1.81882733342694</v>
      </c>
      <c r="U151" s="1">
        <f t="shared" ref="U151:U160" si="257">ACOS((D151/2-D151*H151)/(D151/2))</f>
        <v>1.41010567384299</v>
      </c>
      <c r="V151" s="1">
        <f t="shared" ref="V151:V160" si="258">(U151-SIN(U151)*COS(U151))*((D151/1000)/2)^2</f>
        <v>0.019565108617946</v>
      </c>
      <c r="W151" s="1">
        <f t="shared" ref="W151:W160" si="259">U151*(D151/1000)</f>
        <v>0.352526418460747</v>
      </c>
      <c r="X151" s="1">
        <f t="shared" ref="X151:X160" si="260">V151/W151</f>
        <v>0.0554996947558544</v>
      </c>
      <c r="XFD151"/>
    </row>
    <row r="152" s="1" customFormat="1" spans="1:16384">
      <c r="A152" s="39" t="s">
        <v>67</v>
      </c>
      <c r="B152" s="40">
        <v>143.621</v>
      </c>
      <c r="C152" s="27">
        <v>20.7623</v>
      </c>
      <c r="D152" s="30">
        <v>300</v>
      </c>
      <c r="E152" s="20">
        <f>(($V$2*G152)/((V152/W152)^(2/3)))^2</f>
        <v>0.00213855547506685</v>
      </c>
      <c r="F152" s="17">
        <f t="shared" si="248"/>
        <v>2.13855547506685</v>
      </c>
      <c r="G152" s="17">
        <f t="shared" si="249"/>
        <v>0.58745291999233</v>
      </c>
      <c r="H152" s="8">
        <f t="shared" ref="H151:H158" si="261">IF(D152&lt;350,0.5,IF(D152&lt;500,0.6,IF(D152&lt;1000,0.675,0.725)))</f>
        <v>0.5</v>
      </c>
      <c r="I152" s="17">
        <f t="shared" si="250"/>
        <v>0.15</v>
      </c>
      <c r="J152" s="48">
        <f t="shared" si="251"/>
        <v>0.307141475884576</v>
      </c>
      <c r="K152" s="49">
        <v>21.4905</v>
      </c>
      <c r="L152" s="44">
        <v>21.3221</v>
      </c>
      <c r="M152" s="48">
        <f t="shared" si="252"/>
        <v>19.6838141424576</v>
      </c>
      <c r="N152" s="50">
        <f t="shared" si="253"/>
        <v>19.3766726665731</v>
      </c>
      <c r="O152" s="53">
        <f t="shared" ref="O152:O160" si="262">P151-I152+I151+(D152-D151)/1000</f>
        <v>19.6766726665731</v>
      </c>
      <c r="P152" s="53">
        <f t="shared" si="254"/>
        <v>19.3695311906885</v>
      </c>
      <c r="Q152" s="53">
        <f t="shared" ref="Q152:Q160" si="263">IF(O152-D152/1000&lt;=R151,O152-D152/1000)</f>
        <v>19.3766726665731</v>
      </c>
      <c r="R152" s="53">
        <f t="shared" si="255"/>
        <v>19.0695311906885</v>
      </c>
      <c r="S152" s="50">
        <f t="shared" ref="S152:S160" si="264">K152-O152</f>
        <v>1.81382733342694</v>
      </c>
      <c r="T152" s="50">
        <f t="shared" si="256"/>
        <v>1.95256880931151</v>
      </c>
      <c r="U152" s="1">
        <f t="shared" si="257"/>
        <v>1.5707963267949</v>
      </c>
      <c r="V152" s="1">
        <f t="shared" si="258"/>
        <v>0.0353429173528852</v>
      </c>
      <c r="W152" s="1">
        <f t="shared" si="259"/>
        <v>0.471238898038469</v>
      </c>
      <c r="X152" s="1">
        <f t="shared" si="260"/>
        <v>0.075</v>
      </c>
      <c r="XFD152"/>
    </row>
    <row r="153" s="1" customFormat="1" spans="1:16384">
      <c r="A153" s="39" t="s">
        <v>178</v>
      </c>
      <c r="B153" s="40">
        <v>205.058</v>
      </c>
      <c r="C153" s="27">
        <v>23.6334</v>
      </c>
      <c r="D153" s="30">
        <v>350</v>
      </c>
      <c r="E153" s="20">
        <f>(($V$2*G153)/((V153/W153)^(2/3)))^2</f>
        <v>0.00206304316567913</v>
      </c>
      <c r="F153" s="17">
        <f t="shared" si="248"/>
        <v>2.06304316567913</v>
      </c>
      <c r="G153" s="17">
        <f t="shared" si="249"/>
        <v>0.597425618536729</v>
      </c>
      <c r="H153" s="8">
        <v>0.43</v>
      </c>
      <c r="I153" s="17">
        <f t="shared" si="250"/>
        <v>0.1505</v>
      </c>
      <c r="J153" s="48">
        <f t="shared" si="251"/>
        <v>0.423043505467831</v>
      </c>
      <c r="K153" s="49">
        <v>21.3221</v>
      </c>
      <c r="L153" s="44">
        <v>21.0799</v>
      </c>
      <c r="M153" s="48">
        <f t="shared" si="252"/>
        <v>19.4920746961563</v>
      </c>
      <c r="N153" s="50">
        <f t="shared" si="253"/>
        <v>19.0690311906885</v>
      </c>
      <c r="O153" s="53">
        <f t="shared" si="262"/>
        <v>19.4190311906885</v>
      </c>
      <c r="P153" s="53">
        <f t="shared" si="254"/>
        <v>18.9959876852207</v>
      </c>
      <c r="Q153" s="53">
        <f t="shared" si="263"/>
        <v>19.0690311906885</v>
      </c>
      <c r="R153" s="53">
        <f t="shared" si="255"/>
        <v>18.6459876852207</v>
      </c>
      <c r="S153" s="50">
        <f t="shared" si="264"/>
        <v>1.90306880931151</v>
      </c>
      <c r="T153" s="50">
        <f t="shared" si="256"/>
        <v>2.08391231477934</v>
      </c>
      <c r="U153" s="1">
        <f t="shared" si="257"/>
        <v>1.43033491208504</v>
      </c>
      <c r="V153" s="1">
        <f t="shared" si="258"/>
        <v>0.0395587321110955</v>
      </c>
      <c r="W153" s="1">
        <f t="shared" si="259"/>
        <v>0.500617219229764</v>
      </c>
      <c r="X153" s="1">
        <f t="shared" si="260"/>
        <v>0.0790199189951146</v>
      </c>
      <c r="XFD153"/>
    </row>
    <row r="154" s="1" customFormat="1" spans="1:16384">
      <c r="A154" s="39" t="s">
        <v>57</v>
      </c>
      <c r="B154" s="40">
        <v>140.874</v>
      </c>
      <c r="C154" s="27">
        <v>32.5229</v>
      </c>
      <c r="D154" s="30">
        <v>350</v>
      </c>
      <c r="E154" s="20">
        <f>(($V$2*G154)/((V154/W154)^(2/3)))^2</f>
        <v>0.00168062932027563</v>
      </c>
      <c r="F154" s="17">
        <f t="shared" si="248"/>
        <v>1.68062932027563</v>
      </c>
      <c r="G154" s="17">
        <f t="shared" si="249"/>
        <v>0.59982758736559</v>
      </c>
      <c r="H154" s="8">
        <v>0.55</v>
      </c>
      <c r="I154" s="17">
        <f t="shared" si="250"/>
        <v>0.1925</v>
      </c>
      <c r="J154" s="48">
        <f t="shared" si="251"/>
        <v>0.236756974864509</v>
      </c>
      <c r="K154" s="49">
        <v>21.0799</v>
      </c>
      <c r="L154" s="44">
        <v>20.8782</v>
      </c>
      <c r="M154" s="48">
        <f t="shared" si="252"/>
        <v>18.8407446600852</v>
      </c>
      <c r="N154" s="50">
        <f t="shared" si="253"/>
        <v>18.6039876852207</v>
      </c>
      <c r="O154" s="53">
        <f t="shared" si="262"/>
        <v>18.9539876852207</v>
      </c>
      <c r="P154" s="53">
        <f t="shared" si="254"/>
        <v>18.7172307103562</v>
      </c>
      <c r="Q154" s="53">
        <f t="shared" si="263"/>
        <v>18.6039876852207</v>
      </c>
      <c r="R154" s="53">
        <f t="shared" si="255"/>
        <v>18.3672307103562</v>
      </c>
      <c r="S154" s="50">
        <f t="shared" si="264"/>
        <v>2.12591231477934</v>
      </c>
      <c r="T154" s="50">
        <f t="shared" si="256"/>
        <v>2.16096928964385</v>
      </c>
      <c r="U154" s="1">
        <f t="shared" si="257"/>
        <v>1.67096374795646</v>
      </c>
      <c r="V154" s="1">
        <f t="shared" si="258"/>
        <v>0.0542204138073055</v>
      </c>
      <c r="W154" s="1">
        <f t="shared" si="259"/>
        <v>0.58483731178476</v>
      </c>
      <c r="X154" s="1">
        <f t="shared" si="260"/>
        <v>0.0927102507222735</v>
      </c>
      <c r="XFD154"/>
    </row>
    <row r="155" s="1" customFormat="1" spans="1:16384">
      <c r="A155" s="39" t="s">
        <v>58</v>
      </c>
      <c r="B155" s="40">
        <v>225.059</v>
      </c>
      <c r="C155" s="27">
        <v>43.1945</v>
      </c>
      <c r="D155" s="30">
        <v>400</v>
      </c>
      <c r="E155" s="20">
        <f>(($V$2*G155)/((V155/W155)^(2/3)))^2</f>
        <v>0.00145431983331272</v>
      </c>
      <c r="F155" s="17">
        <f t="shared" si="248"/>
        <v>1.45431983331272</v>
      </c>
      <c r="G155" s="17">
        <f t="shared" si="249"/>
        <v>0.609932435780196</v>
      </c>
      <c r="H155" s="8">
        <v>0.55</v>
      </c>
      <c r="I155" s="17">
        <f t="shared" si="250"/>
        <v>0.22</v>
      </c>
      <c r="J155" s="48">
        <f t="shared" si="251"/>
        <v>0.327307767365527</v>
      </c>
      <c r="K155" s="49">
        <v>20.8782</v>
      </c>
      <c r="L155" s="44">
        <v>20.5041</v>
      </c>
      <c r="M155" s="48">
        <f t="shared" si="252"/>
        <v>18.6670384777217</v>
      </c>
      <c r="N155" s="50">
        <f t="shared" si="253"/>
        <v>18.3397307103562</v>
      </c>
      <c r="O155" s="53">
        <f t="shared" si="262"/>
        <v>18.7397307103562</v>
      </c>
      <c r="P155" s="53">
        <f t="shared" si="254"/>
        <v>18.4124229429906</v>
      </c>
      <c r="Q155" s="53">
        <f t="shared" si="263"/>
        <v>18.3397307103562</v>
      </c>
      <c r="R155" s="53">
        <f t="shared" si="255"/>
        <v>18.0124229429906</v>
      </c>
      <c r="S155" s="50">
        <f t="shared" si="264"/>
        <v>2.13846928964385</v>
      </c>
      <c r="T155" s="50">
        <f t="shared" si="256"/>
        <v>2.09167705700938</v>
      </c>
      <c r="U155" s="1">
        <f t="shared" si="257"/>
        <v>1.67096374795646</v>
      </c>
      <c r="V155" s="1">
        <f t="shared" si="258"/>
        <v>0.0708184996666848</v>
      </c>
      <c r="W155" s="1">
        <f t="shared" si="259"/>
        <v>0.668385499182583</v>
      </c>
      <c r="X155" s="1">
        <f t="shared" si="260"/>
        <v>0.105954572254027</v>
      </c>
      <c r="XFD155"/>
    </row>
    <row r="156" s="1" customFormat="1" spans="1:16384">
      <c r="A156" s="39" t="s">
        <v>179</v>
      </c>
      <c r="B156" s="40">
        <v>179.316</v>
      </c>
      <c r="C156" s="27">
        <v>48.4351</v>
      </c>
      <c r="D156" s="30">
        <v>400</v>
      </c>
      <c r="E156" s="20">
        <f>(($V$2*G156)/((V156/W156)^(2/3)))^2</f>
        <v>0.00138981854615029</v>
      </c>
      <c r="F156" s="17">
        <f t="shared" si="248"/>
        <v>1.38981854615029</v>
      </c>
      <c r="G156" s="17">
        <f t="shared" si="249"/>
        <v>0.615247822296957</v>
      </c>
      <c r="H156" s="8">
        <f t="shared" si="261"/>
        <v>0.6</v>
      </c>
      <c r="I156" s="17">
        <f t="shared" si="250"/>
        <v>0.24</v>
      </c>
      <c r="J156" s="48">
        <f t="shared" si="251"/>
        <v>0.249216702421486</v>
      </c>
      <c r="K156" s="49">
        <v>20.5041</v>
      </c>
      <c r="L156" s="44">
        <v>20.2009</v>
      </c>
      <c r="M156" s="48">
        <f t="shared" si="252"/>
        <v>18.2416396454121</v>
      </c>
      <c r="N156" s="50">
        <f t="shared" si="253"/>
        <v>17.9924229429906</v>
      </c>
      <c r="O156" s="53">
        <f t="shared" si="262"/>
        <v>18.3924229429906</v>
      </c>
      <c r="P156" s="53">
        <f t="shared" si="254"/>
        <v>18.1432062405691</v>
      </c>
      <c r="Q156" s="53">
        <f t="shared" si="263"/>
        <v>17.9924229429906</v>
      </c>
      <c r="R156" s="53">
        <f t="shared" si="255"/>
        <v>17.7432062405691</v>
      </c>
      <c r="S156" s="50">
        <f t="shared" si="264"/>
        <v>2.11167705700938</v>
      </c>
      <c r="T156" s="50">
        <f t="shared" si="256"/>
        <v>2.05769375943086</v>
      </c>
      <c r="U156" s="1">
        <f t="shared" si="257"/>
        <v>1.77215424758523</v>
      </c>
      <c r="V156" s="1">
        <f t="shared" si="258"/>
        <v>0.0787245370803153</v>
      </c>
      <c r="W156" s="1">
        <f t="shared" si="259"/>
        <v>0.708861699034091</v>
      </c>
      <c r="X156" s="1">
        <f t="shared" si="260"/>
        <v>0.111057681897029</v>
      </c>
      <c r="XFD156"/>
    </row>
    <row r="157" s="1" customFormat="1" spans="1:16384">
      <c r="A157" s="39" t="s">
        <v>59</v>
      </c>
      <c r="B157" s="40">
        <v>160.731</v>
      </c>
      <c r="C157" s="27">
        <v>57.4823</v>
      </c>
      <c r="D157" s="30">
        <v>400</v>
      </c>
      <c r="E157" s="20">
        <f>(($V$2*G157)/((V157/W157)^(2/3)))^2</f>
        <v>0.00195751895076473</v>
      </c>
      <c r="F157" s="17">
        <f t="shared" si="248"/>
        <v>1.95751895076473</v>
      </c>
      <c r="G157" s="17">
        <f t="shared" si="249"/>
        <v>0.730170060464836</v>
      </c>
      <c r="H157" s="8">
        <f t="shared" si="261"/>
        <v>0.6</v>
      </c>
      <c r="I157" s="17">
        <f t="shared" si="250"/>
        <v>0.24</v>
      </c>
      <c r="J157" s="48">
        <f t="shared" si="251"/>
        <v>0.314633978475365</v>
      </c>
      <c r="K157" s="49">
        <v>20.2009</v>
      </c>
      <c r="L157" s="44">
        <v>19.8989</v>
      </c>
      <c r="M157" s="48">
        <f t="shared" si="252"/>
        <v>18.0578402190445</v>
      </c>
      <c r="N157" s="50">
        <f t="shared" si="253"/>
        <v>17.7432062405691</v>
      </c>
      <c r="O157" s="53">
        <f t="shared" si="262"/>
        <v>18.1432062405691</v>
      </c>
      <c r="P157" s="53">
        <f t="shared" si="254"/>
        <v>17.8285722620938</v>
      </c>
      <c r="Q157" s="53">
        <f t="shared" si="263"/>
        <v>17.7432062405691</v>
      </c>
      <c r="R157" s="53">
        <f t="shared" si="255"/>
        <v>17.4285722620938</v>
      </c>
      <c r="S157" s="50">
        <f t="shared" si="264"/>
        <v>2.05769375943086</v>
      </c>
      <c r="T157" s="50">
        <f t="shared" si="256"/>
        <v>2.07032773790623</v>
      </c>
      <c r="U157" s="1">
        <f t="shared" si="257"/>
        <v>1.77215424758523</v>
      </c>
      <c r="V157" s="1">
        <f t="shared" si="258"/>
        <v>0.0787245370803153</v>
      </c>
      <c r="W157" s="1">
        <f t="shared" si="259"/>
        <v>0.708861699034091</v>
      </c>
      <c r="X157" s="1">
        <f t="shared" si="260"/>
        <v>0.111057681897029</v>
      </c>
      <c r="XFD157"/>
    </row>
    <row r="158" s="1" customFormat="1" spans="1:16384">
      <c r="A158" s="39" t="s">
        <v>60</v>
      </c>
      <c r="B158" s="40">
        <v>151.181</v>
      </c>
      <c r="C158" s="27">
        <v>65.467</v>
      </c>
      <c r="D158" s="30">
        <v>400</v>
      </c>
      <c r="E158" s="20">
        <f>(($V$2*G158)/((V158/W158)^(2/3)))^2</f>
        <v>0.00253911622878981</v>
      </c>
      <c r="F158" s="17">
        <f t="shared" si="248"/>
        <v>2.53911622878981</v>
      </c>
      <c r="G158" s="17">
        <f t="shared" si="249"/>
        <v>0.831595871223862</v>
      </c>
      <c r="H158" s="8">
        <f t="shared" si="261"/>
        <v>0.6</v>
      </c>
      <c r="I158" s="17">
        <f t="shared" si="250"/>
        <v>0.24</v>
      </c>
      <c r="J158" s="48">
        <f t="shared" si="251"/>
        <v>0.383866130584673</v>
      </c>
      <c r="K158" s="49">
        <v>19.8989</v>
      </c>
      <c r="L158" s="44">
        <v>19.6179</v>
      </c>
      <c r="M158" s="48">
        <f t="shared" si="252"/>
        <v>17.8124383926784</v>
      </c>
      <c r="N158" s="50">
        <f t="shared" si="253"/>
        <v>17.4285722620938</v>
      </c>
      <c r="O158" s="53">
        <f t="shared" si="262"/>
        <v>17.8285722620938</v>
      </c>
      <c r="P158" s="53">
        <f t="shared" si="254"/>
        <v>17.4447061315091</v>
      </c>
      <c r="Q158" s="53">
        <f t="shared" si="263"/>
        <v>17.4285722620938</v>
      </c>
      <c r="R158" s="53">
        <f t="shared" si="255"/>
        <v>17.0447061315091</v>
      </c>
      <c r="S158" s="50">
        <f t="shared" si="264"/>
        <v>2.07032773790623</v>
      </c>
      <c r="T158" s="50">
        <f t="shared" si="256"/>
        <v>2.17319386849089</v>
      </c>
      <c r="U158" s="1">
        <f t="shared" si="257"/>
        <v>1.77215424758523</v>
      </c>
      <c r="V158" s="1">
        <f t="shared" si="258"/>
        <v>0.0787245370803153</v>
      </c>
      <c r="W158" s="1">
        <f t="shared" si="259"/>
        <v>0.708861699034091</v>
      </c>
      <c r="X158" s="1">
        <f t="shared" si="260"/>
        <v>0.111057681897029</v>
      </c>
      <c r="XFD158"/>
    </row>
    <row r="159" s="1" customFormat="1" spans="4:16384">
      <c r="D159" s="2"/>
      <c r="H159" s="2"/>
      <c r="K159" s="3"/>
      <c r="L159" s="3"/>
      <c r="XFD159"/>
    </row>
    <row r="160" s="1" customFormat="1" spans="1:16384">
      <c r="A160" s="25" t="s">
        <v>39</v>
      </c>
      <c r="B160" s="42">
        <v>264.03</v>
      </c>
      <c r="C160" s="27">
        <v>3.7774</v>
      </c>
      <c r="D160" s="30">
        <v>200</v>
      </c>
      <c r="E160" s="20">
        <f>(($V$2*G160)/((V160/W160)^(2/3)))^2</f>
        <v>0.00222503140465322</v>
      </c>
      <c r="F160" s="17">
        <f t="shared" ref="F160:F163" si="265">E160*1000</f>
        <v>2.22503140465322</v>
      </c>
      <c r="G160" s="17">
        <f t="shared" ref="G160:G163" si="266">C160/V160/1000</f>
        <v>0.385479695103889</v>
      </c>
      <c r="H160" s="8">
        <v>0.35</v>
      </c>
      <c r="I160" s="17">
        <f t="shared" ref="I160:I163" si="267">H160*D160/1000</f>
        <v>0.07</v>
      </c>
      <c r="J160" s="48">
        <f t="shared" ref="J160:J163" si="268">E160*B160</f>
        <v>0.58747504177059</v>
      </c>
      <c r="K160" s="49">
        <v>20.9803</v>
      </c>
      <c r="L160" s="44">
        <v>20.6602</v>
      </c>
      <c r="M160" s="48">
        <f t="shared" ref="M160:M163" si="269">Q160+J160</f>
        <v>20.4677750417706</v>
      </c>
      <c r="N160" s="50">
        <f t="shared" ref="N160:N163" si="270">M160-J160</f>
        <v>19.8803</v>
      </c>
      <c r="O160" s="53">
        <f>K160-S160</f>
        <v>20.0803</v>
      </c>
      <c r="P160" s="53">
        <f t="shared" ref="P160:P163" si="271">O160-J160</f>
        <v>19.4928249582294</v>
      </c>
      <c r="Q160" s="53">
        <f>O160-D160/1000</f>
        <v>19.8803</v>
      </c>
      <c r="R160" s="53">
        <f t="shared" ref="R160:R163" si="272">P160-D160/1000</f>
        <v>19.2928249582294</v>
      </c>
      <c r="S160" s="50">
        <f>0.7+D160/1000</f>
        <v>0.9</v>
      </c>
      <c r="T160" s="50">
        <f t="shared" ref="T160:T163" si="273">L160-P160</f>
        <v>1.16737504177059</v>
      </c>
      <c r="U160" s="1">
        <f t="shared" ref="U160:U163" si="274">ACOS((D160/2-D160*H160)/(D160/2))</f>
        <v>1.2661036727795</v>
      </c>
      <c r="V160" s="1">
        <f t="shared" ref="V160:V163" si="275">(U160-SIN(U160)*COS(U160))*((D160/1000)/2)^2</f>
        <v>0.00979921912354416</v>
      </c>
      <c r="W160" s="1">
        <f t="shared" ref="W160:W163" si="276">U160*(D160/1000)</f>
        <v>0.2532207345559</v>
      </c>
      <c r="X160" s="1">
        <f t="shared" ref="X160:X163" si="277">V160/W160</f>
        <v>0.0386983283210598</v>
      </c>
      <c r="XFD160"/>
    </row>
    <row r="161" s="1" customFormat="1" spans="1:16384">
      <c r="A161" s="68" t="s">
        <v>61</v>
      </c>
      <c r="B161" s="26">
        <v>265.899</v>
      </c>
      <c r="C161" s="27">
        <v>17.6343</v>
      </c>
      <c r="D161" s="30">
        <v>300</v>
      </c>
      <c r="E161" s="20">
        <f>(($V$2*G161)/((V161/W161)^(2/3)))^2</f>
        <v>0.0022229736555624</v>
      </c>
      <c r="F161" s="17">
        <f t="shared" si="265"/>
        <v>2.2229736555624</v>
      </c>
      <c r="G161" s="17">
        <f t="shared" si="266"/>
        <v>0.571606320415017</v>
      </c>
      <c r="H161" s="8">
        <v>0.45</v>
      </c>
      <c r="I161" s="17">
        <f t="shared" si="267"/>
        <v>0.135</v>
      </c>
      <c r="J161" s="48">
        <f t="shared" si="268"/>
        <v>0.591086472040386</v>
      </c>
      <c r="K161" s="49">
        <v>20.6602</v>
      </c>
      <c r="L161" s="44">
        <v>20.2337</v>
      </c>
      <c r="M161" s="48">
        <f t="shared" si="269"/>
        <v>19.8189114302698</v>
      </c>
      <c r="N161" s="50">
        <f t="shared" si="270"/>
        <v>19.2278249582294</v>
      </c>
      <c r="O161" s="53">
        <f t="shared" ref="O161:O163" si="278">P160-I161+I160+(D161-D160)/1000</f>
        <v>19.5278249582294</v>
      </c>
      <c r="P161" s="53">
        <f t="shared" si="271"/>
        <v>18.936738486189</v>
      </c>
      <c r="Q161" s="53">
        <f t="shared" ref="Q161:Q163" si="279">IF(O161-D161/1000&lt;=R160,O161-D161/1000)</f>
        <v>19.2278249582294</v>
      </c>
      <c r="R161" s="53">
        <f t="shared" si="272"/>
        <v>18.636738486189</v>
      </c>
      <c r="S161" s="50">
        <f t="shared" ref="S161:S163" si="280">K161-O161</f>
        <v>1.13237504177059</v>
      </c>
      <c r="T161" s="50">
        <f t="shared" si="273"/>
        <v>1.29696151381097</v>
      </c>
      <c r="U161" s="1">
        <f t="shared" si="274"/>
        <v>1.47062890563334</v>
      </c>
      <c r="V161" s="1">
        <f t="shared" si="275"/>
        <v>0.0308504286432602</v>
      </c>
      <c r="W161" s="1">
        <f t="shared" si="276"/>
        <v>0.441188671690001</v>
      </c>
      <c r="X161" s="1">
        <f t="shared" si="277"/>
        <v>0.069925704404616</v>
      </c>
      <c r="XFD161"/>
    </row>
    <row r="162" s="1" customFormat="1" spans="1:16384">
      <c r="A162" s="68" t="s">
        <v>62</v>
      </c>
      <c r="B162" s="26">
        <v>177.393</v>
      </c>
      <c r="C162" s="27">
        <v>29.4227</v>
      </c>
      <c r="D162" s="30">
        <v>350</v>
      </c>
      <c r="E162" s="20">
        <f>(($V$2*G162)/((V162/W162)^(2/3)))^2</f>
        <v>0.00188749191111287</v>
      </c>
      <c r="F162" s="17">
        <f t="shared" si="265"/>
        <v>1.88749191111287</v>
      </c>
      <c r="G162" s="17">
        <f t="shared" si="266"/>
        <v>0.611626859638845</v>
      </c>
      <c r="H162" s="8">
        <v>0.5</v>
      </c>
      <c r="I162" s="17">
        <f t="shared" si="267"/>
        <v>0.175</v>
      </c>
      <c r="J162" s="48">
        <f t="shared" si="268"/>
        <v>0.334827852588046</v>
      </c>
      <c r="K162" s="49">
        <v>20.2337</v>
      </c>
      <c r="L162" s="44">
        <v>19.9356</v>
      </c>
      <c r="M162" s="48">
        <f t="shared" si="269"/>
        <v>18.9315663387771</v>
      </c>
      <c r="N162" s="50">
        <f t="shared" si="270"/>
        <v>18.596738486189</v>
      </c>
      <c r="O162" s="53">
        <f t="shared" si="278"/>
        <v>18.946738486189</v>
      </c>
      <c r="P162" s="53">
        <f t="shared" si="271"/>
        <v>18.611910633601</v>
      </c>
      <c r="Q162" s="53">
        <f t="shared" si="279"/>
        <v>18.596738486189</v>
      </c>
      <c r="R162" s="53">
        <f t="shared" si="272"/>
        <v>18.261910633601</v>
      </c>
      <c r="S162" s="50">
        <f t="shared" si="280"/>
        <v>1.28696151381097</v>
      </c>
      <c r="T162" s="50">
        <f t="shared" si="273"/>
        <v>1.32368936639902</v>
      </c>
      <c r="U162" s="1">
        <f t="shared" si="274"/>
        <v>1.5707963267949</v>
      </c>
      <c r="V162" s="1">
        <f t="shared" si="275"/>
        <v>0.0481056375080937</v>
      </c>
      <c r="W162" s="1">
        <f t="shared" si="276"/>
        <v>0.549778714378214</v>
      </c>
      <c r="X162" s="1">
        <f t="shared" si="277"/>
        <v>0.0875</v>
      </c>
      <c r="XFD162"/>
    </row>
    <row r="163" s="1" customFormat="1" spans="1:16384">
      <c r="A163" s="68" t="s">
        <v>180</v>
      </c>
      <c r="B163" s="26">
        <v>209.839</v>
      </c>
      <c r="C163" s="27">
        <v>41.3223</v>
      </c>
      <c r="D163" s="30">
        <v>400</v>
      </c>
      <c r="E163" s="20">
        <f>(($V$2*G163)/((V163/W163)^(2/3)))^2</f>
        <v>0.00182641153224092</v>
      </c>
      <c r="F163" s="17">
        <f t="shared" si="265"/>
        <v>1.82641153224092</v>
      </c>
      <c r="G163" s="17">
        <f t="shared" si="266"/>
        <v>0.657664830492623</v>
      </c>
      <c r="H163" s="8">
        <v>0.5</v>
      </c>
      <c r="I163" s="17">
        <f t="shared" si="267"/>
        <v>0.2</v>
      </c>
      <c r="J163" s="48">
        <f t="shared" si="268"/>
        <v>0.383252369513902</v>
      </c>
      <c r="K163" s="49">
        <v>19.9356</v>
      </c>
      <c r="L163" s="44">
        <v>19.5182</v>
      </c>
      <c r="M163" s="48">
        <f t="shared" si="269"/>
        <v>18.6201630031149</v>
      </c>
      <c r="N163" s="50">
        <f t="shared" si="270"/>
        <v>18.236910633601</v>
      </c>
      <c r="O163" s="53">
        <f t="shared" si="278"/>
        <v>18.636910633601</v>
      </c>
      <c r="P163" s="53">
        <f t="shared" si="271"/>
        <v>18.2536582640871</v>
      </c>
      <c r="Q163" s="53">
        <f t="shared" si="279"/>
        <v>18.236910633601</v>
      </c>
      <c r="R163" s="53">
        <f t="shared" si="272"/>
        <v>17.8536582640871</v>
      </c>
      <c r="S163" s="50">
        <f t="shared" si="280"/>
        <v>1.29868936639902</v>
      </c>
      <c r="T163" s="50">
        <f t="shared" si="273"/>
        <v>1.26454173591292</v>
      </c>
      <c r="U163" s="1">
        <f t="shared" si="274"/>
        <v>1.5707963267949</v>
      </c>
      <c r="V163" s="1">
        <f t="shared" si="275"/>
        <v>0.0628318530717959</v>
      </c>
      <c r="W163" s="1">
        <f t="shared" si="276"/>
        <v>0.628318530717959</v>
      </c>
      <c r="X163" s="1">
        <f t="shared" si="277"/>
        <v>0.1</v>
      </c>
      <c r="XFD163"/>
    </row>
    <row r="164" s="1" customFormat="1" spans="4:16384">
      <c r="D164" s="2"/>
      <c r="H164" s="2"/>
      <c r="K164" s="3"/>
      <c r="L164" s="3"/>
      <c r="XFD164"/>
    </row>
    <row r="165" s="1" customFormat="1" spans="1:16384">
      <c r="A165" s="25" t="s">
        <v>39</v>
      </c>
      <c r="B165" s="42">
        <v>561.111</v>
      </c>
      <c r="C165" s="27">
        <v>14.1615</v>
      </c>
      <c r="D165" s="30">
        <v>300</v>
      </c>
      <c r="E165" s="20">
        <f>(($V$2*G165)/((V165/W165)^(2/3)))^2</f>
        <v>0.00219028106594605</v>
      </c>
      <c r="F165" s="17">
        <f t="shared" ref="F165:F175" si="281">E165*1000</f>
        <v>2.19028106594605</v>
      </c>
      <c r="G165" s="17">
        <f t="shared" ref="G165:G175" si="282">C165/V165/1000</f>
        <v>0.536353763869604</v>
      </c>
      <c r="H165" s="8">
        <v>0.4</v>
      </c>
      <c r="I165" s="17">
        <f t="shared" ref="I165:I175" si="283">H165*D165/1000</f>
        <v>0.12</v>
      </c>
      <c r="J165" s="48">
        <f t="shared" ref="J165:J175" si="284">E165*B165</f>
        <v>1.22899079919405</v>
      </c>
      <c r="K165" s="49">
        <v>20.5275</v>
      </c>
      <c r="L165" s="44">
        <v>20.0449</v>
      </c>
      <c r="M165" s="48">
        <f t="shared" ref="M165:M175" si="285">Q165+J165</f>
        <v>20.4564907991941</v>
      </c>
      <c r="N165" s="50">
        <f t="shared" ref="N165:N175" si="286">M165-J165</f>
        <v>19.2275</v>
      </c>
      <c r="O165" s="53">
        <f>K165-S165</f>
        <v>19.5275</v>
      </c>
      <c r="P165" s="53">
        <f t="shared" ref="P165:P175" si="287">O165-J165</f>
        <v>18.2985092008059</v>
      </c>
      <c r="Q165" s="53">
        <f>O165-D165/1000</f>
        <v>19.2275</v>
      </c>
      <c r="R165" s="53">
        <f t="shared" ref="R165:R175" si="288">P165-D165/1000</f>
        <v>17.9985092008059</v>
      </c>
      <c r="S165" s="50">
        <f>0.7+D165/1000</f>
        <v>1</v>
      </c>
      <c r="T165" s="50">
        <f t="shared" ref="T165:T175" si="289">L165-P165</f>
        <v>1.74639079919405</v>
      </c>
      <c r="U165" s="1">
        <f t="shared" ref="U165:U175" si="290">ACOS((D165/2-D165*H165)/(D165/2))</f>
        <v>1.36943840600457</v>
      </c>
      <c r="V165" s="1">
        <f t="shared" ref="V165:V175" si="291">(U165-SIN(U165)*COS(U165))*((D165/1000)/2)^2</f>
        <v>0.026403282598093</v>
      </c>
      <c r="W165" s="1">
        <f t="shared" ref="W165:W175" si="292">U165*(D165/1000)</f>
        <v>0.41083152180137</v>
      </c>
      <c r="X165" s="1">
        <f t="shared" ref="X165:X175" si="293">V165/W165</f>
        <v>0.0642679083686732</v>
      </c>
      <c r="XFD165"/>
    </row>
    <row r="166" s="1" customFormat="1" spans="1:16384">
      <c r="A166" s="68" t="s">
        <v>64</v>
      </c>
      <c r="B166" s="26">
        <v>313.897</v>
      </c>
      <c r="C166" s="27">
        <v>34.5686</v>
      </c>
      <c r="D166" s="30">
        <v>350</v>
      </c>
      <c r="E166" s="20">
        <f>(($V$2*G166)/((V166/W166)^(2/3)))^2</f>
        <v>0.00144308418703106</v>
      </c>
      <c r="F166" s="17">
        <f t="shared" si="281"/>
        <v>1.44308418703106</v>
      </c>
      <c r="G166" s="17">
        <f t="shared" si="282"/>
        <v>0.573529247224824</v>
      </c>
      <c r="H166" s="8">
        <f t="shared" ref="H165:H175" si="294">IF(D166&lt;350,0.5,IF(D166&lt;500,0.6,IF(D166&lt;1000,0.675,0.725)))</f>
        <v>0.6</v>
      </c>
      <c r="I166" s="17">
        <f t="shared" si="283"/>
        <v>0.21</v>
      </c>
      <c r="J166" s="48">
        <f t="shared" si="284"/>
        <v>0.452979797056489</v>
      </c>
      <c r="K166" s="49">
        <v>20.0449</v>
      </c>
      <c r="L166" s="44">
        <v>19.4467</v>
      </c>
      <c r="M166" s="48">
        <f t="shared" si="285"/>
        <v>18.3614889978624</v>
      </c>
      <c r="N166" s="50">
        <f t="shared" si="286"/>
        <v>17.9085092008059</v>
      </c>
      <c r="O166" s="53">
        <f t="shared" ref="O166:O175" si="295">P165-I166+I165+(D166-D165)/1000</f>
        <v>18.2585092008059</v>
      </c>
      <c r="P166" s="53">
        <f t="shared" si="287"/>
        <v>17.8055294037495</v>
      </c>
      <c r="Q166" s="53">
        <f t="shared" ref="Q166:Q175" si="296">IF(O166-D166/1000&lt;=R165,O166-D166/1000)</f>
        <v>17.9085092008059</v>
      </c>
      <c r="R166" s="53">
        <f t="shared" si="288"/>
        <v>17.4555294037495</v>
      </c>
      <c r="S166" s="50">
        <f t="shared" ref="S166:S175" si="297">K166-O166</f>
        <v>1.78639079919405</v>
      </c>
      <c r="T166" s="50">
        <f t="shared" si="289"/>
        <v>1.64117059625054</v>
      </c>
      <c r="U166" s="1">
        <f t="shared" si="290"/>
        <v>1.77215424758523</v>
      </c>
      <c r="V166" s="1">
        <f t="shared" si="291"/>
        <v>0.0602734737021164</v>
      </c>
      <c r="W166" s="1">
        <f t="shared" si="292"/>
        <v>0.62025398665483</v>
      </c>
      <c r="X166" s="1">
        <f t="shared" si="293"/>
        <v>0.0971754716599</v>
      </c>
      <c r="XFD166"/>
    </row>
    <row r="167" s="1" customFormat="1" spans="4:16384">
      <c r="D167" s="2"/>
      <c r="H167" s="2"/>
      <c r="K167" s="3"/>
      <c r="L167" s="3"/>
      <c r="XFD167"/>
    </row>
    <row r="168" s="1" customFormat="1" spans="1:16384">
      <c r="A168" s="25" t="s">
        <v>181</v>
      </c>
      <c r="B168" s="42">
        <f>B79</f>
        <v>109.685</v>
      </c>
      <c r="C168" s="27">
        <f>C79</f>
        <v>323.0168</v>
      </c>
      <c r="D168" s="30">
        <f t="shared" ref="D168:T168" si="298">D79</f>
        <v>800</v>
      </c>
      <c r="E168" s="20">
        <f t="shared" si="298"/>
        <v>0.00108826567174955</v>
      </c>
      <c r="F168" s="17">
        <f t="shared" si="298"/>
        <v>1.08826567174955</v>
      </c>
      <c r="G168" s="17">
        <f t="shared" si="298"/>
        <v>0.894791380430921</v>
      </c>
      <c r="H168" s="8">
        <f t="shared" si="298"/>
        <v>0.675</v>
      </c>
      <c r="I168" s="17">
        <f t="shared" si="298"/>
        <v>0.54</v>
      </c>
      <c r="J168" s="48">
        <f t="shared" si="298"/>
        <v>0.119366420205849</v>
      </c>
      <c r="K168" s="49">
        <f t="shared" si="298"/>
        <v>19.3042</v>
      </c>
      <c r="L168" s="44">
        <f t="shared" si="298"/>
        <v>19.4209</v>
      </c>
      <c r="M168" s="48">
        <f t="shared" si="298"/>
        <v>13.8852870279552</v>
      </c>
      <c r="N168" s="50">
        <f t="shared" si="298"/>
        <v>13.7659206077494</v>
      </c>
      <c r="O168" s="53">
        <f t="shared" si="298"/>
        <v>14.1452870279552</v>
      </c>
      <c r="P168" s="53">
        <f t="shared" si="298"/>
        <v>14.0259206077494</v>
      </c>
      <c r="Q168" s="53">
        <f t="shared" si="298"/>
        <v>13.3452870279552</v>
      </c>
      <c r="R168" s="53">
        <f t="shared" si="298"/>
        <v>13.2259206077494</v>
      </c>
      <c r="S168" s="50">
        <f t="shared" si="298"/>
        <v>5.15891297204479</v>
      </c>
      <c r="T168" s="50">
        <f t="shared" si="298"/>
        <v>5.39497939225064</v>
      </c>
      <c r="U168" s="1">
        <f t="shared" si="290"/>
        <v>1.92836743044041</v>
      </c>
      <c r="V168" s="1">
        <f t="shared" si="291"/>
        <v>0.360996772057012</v>
      </c>
      <c r="W168" s="1">
        <f t="shared" si="292"/>
        <v>1.54269394435233</v>
      </c>
      <c r="X168" s="1">
        <f t="shared" si="293"/>
        <v>0.234004141507517</v>
      </c>
      <c r="XFD168"/>
    </row>
    <row r="169" s="1" customFormat="1" spans="1:16384">
      <c r="A169" s="68" t="s">
        <v>182</v>
      </c>
      <c r="B169" s="26">
        <v>360.458</v>
      </c>
      <c r="C169" s="27">
        <v>323.0168</v>
      </c>
      <c r="D169" s="30">
        <v>800</v>
      </c>
      <c r="E169" s="20">
        <f>(($V$2*G169)/((V169/W169)^(2/3)))^2</f>
        <v>0.00108826567174955</v>
      </c>
      <c r="F169" s="17">
        <f t="shared" si="281"/>
        <v>1.08826567174955</v>
      </c>
      <c r="G169" s="17">
        <f t="shared" si="282"/>
        <v>0.894791380430921</v>
      </c>
      <c r="H169" s="8">
        <f t="shared" si="294"/>
        <v>0.675</v>
      </c>
      <c r="I169" s="17">
        <f t="shared" si="283"/>
        <v>0.54</v>
      </c>
      <c r="J169" s="48">
        <f t="shared" si="284"/>
        <v>0.392274067507499</v>
      </c>
      <c r="K169" s="49">
        <v>19.4209</v>
      </c>
      <c r="L169" s="44">
        <v>19.4682</v>
      </c>
      <c r="M169" s="48">
        <f t="shared" si="285"/>
        <v>13.6181946752569</v>
      </c>
      <c r="N169" s="50">
        <f t="shared" si="286"/>
        <v>13.2259206077494</v>
      </c>
      <c r="O169" s="53">
        <f t="shared" si="295"/>
        <v>14.0259206077494</v>
      </c>
      <c r="P169" s="53">
        <f t="shared" si="287"/>
        <v>13.6336465402419</v>
      </c>
      <c r="Q169" s="53">
        <f t="shared" si="296"/>
        <v>13.2259206077494</v>
      </c>
      <c r="R169" s="53">
        <f t="shared" si="288"/>
        <v>12.8336465402419</v>
      </c>
      <c r="S169" s="50">
        <f t="shared" si="297"/>
        <v>5.39497939225064</v>
      </c>
      <c r="T169" s="50">
        <f t="shared" si="289"/>
        <v>5.83455345975814</v>
      </c>
      <c r="U169" s="1">
        <f t="shared" si="290"/>
        <v>1.92836743044041</v>
      </c>
      <c r="V169" s="1">
        <f t="shared" si="291"/>
        <v>0.360996772057012</v>
      </c>
      <c r="W169" s="1">
        <f t="shared" si="292"/>
        <v>1.54269394435233</v>
      </c>
      <c r="X169" s="1">
        <f t="shared" si="293"/>
        <v>0.234004141507517</v>
      </c>
      <c r="XFD169"/>
    </row>
    <row r="170" s="1" customFormat="1" spans="1:16384">
      <c r="A170" s="68" t="s">
        <v>183</v>
      </c>
      <c r="B170" s="26">
        <v>162.46</v>
      </c>
      <c r="C170" s="27">
        <v>513.4264</v>
      </c>
      <c r="D170" s="30">
        <v>1000</v>
      </c>
      <c r="E170" s="20">
        <f>(($V$2*G170)/((V170/W170)^(2/3)))^2</f>
        <v>0.000819678938695994</v>
      </c>
      <c r="F170" s="17">
        <f t="shared" si="281"/>
        <v>0.819678938695994</v>
      </c>
      <c r="G170" s="17">
        <f t="shared" si="282"/>
        <v>0.902756684248209</v>
      </c>
      <c r="H170" s="8">
        <v>0.68</v>
      </c>
      <c r="I170" s="17">
        <f t="shared" si="283"/>
        <v>0.68</v>
      </c>
      <c r="J170" s="48">
        <f t="shared" si="284"/>
        <v>0.133165040380551</v>
      </c>
      <c r="K170" s="49">
        <v>19.4682</v>
      </c>
      <c r="L170" s="44">
        <v>19.6052</v>
      </c>
      <c r="M170" s="48">
        <f t="shared" si="285"/>
        <v>12.8268115806224</v>
      </c>
      <c r="N170" s="50">
        <f t="shared" si="286"/>
        <v>12.6936465402419</v>
      </c>
      <c r="O170" s="53">
        <f t="shared" si="295"/>
        <v>13.6936465402419</v>
      </c>
      <c r="P170" s="53">
        <f t="shared" si="287"/>
        <v>13.5604814998613</v>
      </c>
      <c r="Q170" s="53">
        <f t="shared" si="296"/>
        <v>12.6936465402419</v>
      </c>
      <c r="R170" s="53">
        <f t="shared" si="288"/>
        <v>12.5604814998613</v>
      </c>
      <c r="S170" s="50">
        <f t="shared" si="297"/>
        <v>5.77455345975813</v>
      </c>
      <c r="T170" s="50">
        <f t="shared" si="289"/>
        <v>6.04471850013869</v>
      </c>
      <c r="U170" s="1">
        <f t="shared" si="290"/>
        <v>1.93906422023154</v>
      </c>
      <c r="V170" s="1">
        <f t="shared" si="291"/>
        <v>0.568731762343657</v>
      </c>
      <c r="W170" s="1">
        <f t="shared" si="292"/>
        <v>1.93906422023154</v>
      </c>
      <c r="X170" s="1">
        <f t="shared" si="293"/>
        <v>0.293302179685285</v>
      </c>
      <c r="XFD170"/>
    </row>
    <row r="171" s="1" customFormat="1" spans="1:16384">
      <c r="A171" s="68" t="s">
        <v>184</v>
      </c>
      <c r="B171" s="26">
        <v>664.888</v>
      </c>
      <c r="C171" s="27">
        <v>533.9139</v>
      </c>
      <c r="D171" s="30">
        <v>1000</v>
      </c>
      <c r="E171" s="20">
        <f>(($V$2*G171)/((V171/W171)^(2/3)))^2</f>
        <v>0.000820479831078971</v>
      </c>
      <c r="F171" s="17">
        <f t="shared" si="281"/>
        <v>0.820479831078971</v>
      </c>
      <c r="G171" s="17">
        <f t="shared" si="282"/>
        <v>0.909207764202784</v>
      </c>
      <c r="H171" s="8">
        <v>0.7</v>
      </c>
      <c r="I171" s="17">
        <f t="shared" si="283"/>
        <v>0.7</v>
      </c>
      <c r="J171" s="48">
        <f t="shared" si="284"/>
        <v>0.545527193926435</v>
      </c>
      <c r="K171" s="49">
        <v>19.6052</v>
      </c>
      <c r="L171" s="44">
        <v>19.665</v>
      </c>
      <c r="M171" s="48">
        <f t="shared" si="285"/>
        <v>13.0860086937878</v>
      </c>
      <c r="N171" s="50">
        <f t="shared" si="286"/>
        <v>12.5404814998613</v>
      </c>
      <c r="O171" s="53">
        <f t="shared" si="295"/>
        <v>13.5404814998613</v>
      </c>
      <c r="P171" s="53">
        <f t="shared" si="287"/>
        <v>12.9949543059349</v>
      </c>
      <c r="Q171" s="53">
        <f t="shared" si="296"/>
        <v>12.5404814998613</v>
      </c>
      <c r="R171" s="53">
        <f t="shared" si="288"/>
        <v>11.9949543059349</v>
      </c>
      <c r="S171" s="50">
        <f t="shared" si="297"/>
        <v>6.06471850013869</v>
      </c>
      <c r="T171" s="50">
        <f t="shared" si="289"/>
        <v>6.67004569406512</v>
      </c>
      <c r="U171" s="1">
        <f t="shared" si="290"/>
        <v>1.98231317286238</v>
      </c>
      <c r="V171" s="1">
        <f t="shared" si="291"/>
        <v>0.587229807114713</v>
      </c>
      <c r="W171" s="1">
        <f t="shared" si="292"/>
        <v>1.98231317286238</v>
      </c>
      <c r="X171" s="1">
        <f t="shared" si="293"/>
        <v>0.296234628894069</v>
      </c>
      <c r="XFD171"/>
    </row>
    <row r="172" s="1" customFormat="1" spans="1:16384">
      <c r="A172" s="68" t="s">
        <v>185</v>
      </c>
      <c r="B172" s="26">
        <v>735.266</v>
      </c>
      <c r="C172" s="27">
        <v>602.5043</v>
      </c>
      <c r="D172" s="30">
        <v>1000</v>
      </c>
      <c r="E172" s="20">
        <f>(($V$2*G172)/((V172/W172)^(2/3)))^2</f>
        <v>0.000955504519486116</v>
      </c>
      <c r="F172" s="17">
        <f t="shared" si="281"/>
        <v>0.955504519486116</v>
      </c>
      <c r="G172" s="17">
        <f t="shared" si="282"/>
        <v>0.98794497825494</v>
      </c>
      <c r="H172" s="8">
        <f t="shared" si="294"/>
        <v>0.725</v>
      </c>
      <c r="I172" s="17">
        <f t="shared" si="283"/>
        <v>0.725</v>
      </c>
      <c r="J172" s="48">
        <f t="shared" si="284"/>
        <v>0.702549986024478</v>
      </c>
      <c r="K172" s="49">
        <v>19.665</v>
      </c>
      <c r="L172" s="44">
        <v>19.6179</v>
      </c>
      <c r="M172" s="48">
        <f t="shared" si="285"/>
        <v>12.6725042919594</v>
      </c>
      <c r="N172" s="50">
        <f t="shared" si="286"/>
        <v>11.9699543059349</v>
      </c>
      <c r="O172" s="53">
        <f t="shared" si="295"/>
        <v>12.9699543059349</v>
      </c>
      <c r="P172" s="53">
        <f t="shared" si="287"/>
        <v>12.2674043199104</v>
      </c>
      <c r="Q172" s="53">
        <f t="shared" si="296"/>
        <v>11.9699543059349</v>
      </c>
      <c r="R172" s="53">
        <f t="shared" si="288"/>
        <v>11.2674043199104</v>
      </c>
      <c r="S172" s="50">
        <f t="shared" si="297"/>
        <v>6.69504569406512</v>
      </c>
      <c r="T172" s="50">
        <f t="shared" si="289"/>
        <v>7.3504956800896</v>
      </c>
      <c r="U172" s="1">
        <f t="shared" si="290"/>
        <v>2.03756166584219</v>
      </c>
      <c r="V172" s="1">
        <f t="shared" si="291"/>
        <v>0.609856128895189</v>
      </c>
      <c r="W172" s="1">
        <f t="shared" si="292"/>
        <v>2.03756166584219</v>
      </c>
      <c r="X172" s="1">
        <f t="shared" si="293"/>
        <v>0.299306832828107</v>
      </c>
      <c r="XFD172"/>
    </row>
    <row r="173" s="1" customFormat="1" spans="1:16384">
      <c r="A173" s="68" t="s">
        <v>186</v>
      </c>
      <c r="B173" s="26">
        <v>561.403</v>
      </c>
      <c r="C173" s="27">
        <v>667.9713</v>
      </c>
      <c r="D173" s="30">
        <v>1000</v>
      </c>
      <c r="E173" s="20">
        <f>(($V$2*G173)/((V173/W173)^(2/3)))^2</f>
        <v>0.00117443247064137</v>
      </c>
      <c r="F173" s="17">
        <f t="shared" si="281"/>
        <v>1.17443247064137</v>
      </c>
      <c r="G173" s="17">
        <f t="shared" si="282"/>
        <v>1.09529324762234</v>
      </c>
      <c r="H173" s="8">
        <f t="shared" si="294"/>
        <v>0.725</v>
      </c>
      <c r="I173" s="17">
        <f t="shared" si="283"/>
        <v>0.725</v>
      </c>
      <c r="J173" s="48">
        <f t="shared" si="284"/>
        <v>0.659329912315477</v>
      </c>
      <c r="K173" s="49">
        <v>19.6179</v>
      </c>
      <c r="L173" s="44">
        <v>19.5182</v>
      </c>
      <c r="M173" s="48">
        <f t="shared" si="285"/>
        <v>11.9267342322259</v>
      </c>
      <c r="N173" s="50">
        <f t="shared" si="286"/>
        <v>11.2674043199104</v>
      </c>
      <c r="O173" s="53">
        <f t="shared" si="295"/>
        <v>12.2674043199104</v>
      </c>
      <c r="P173" s="53">
        <f t="shared" si="287"/>
        <v>11.6080744075949</v>
      </c>
      <c r="Q173" s="53">
        <f t="shared" si="296"/>
        <v>11.2674043199104</v>
      </c>
      <c r="R173" s="53">
        <f t="shared" si="288"/>
        <v>10.6080744075949</v>
      </c>
      <c r="S173" s="50">
        <f t="shared" si="297"/>
        <v>7.3504956800896</v>
      </c>
      <c r="T173" s="50">
        <f t="shared" si="289"/>
        <v>7.91012559240508</v>
      </c>
      <c r="U173" s="1">
        <f t="shared" si="290"/>
        <v>2.03756166584219</v>
      </c>
      <c r="V173" s="1">
        <f t="shared" si="291"/>
        <v>0.609856128895189</v>
      </c>
      <c r="W173" s="1">
        <f t="shared" si="292"/>
        <v>2.03756166584219</v>
      </c>
      <c r="X173" s="1">
        <f t="shared" si="293"/>
        <v>0.299306832828107</v>
      </c>
      <c r="XFD173"/>
    </row>
    <row r="174" s="1" customFormat="1" spans="1:16384">
      <c r="A174" s="68" t="s">
        <v>187</v>
      </c>
      <c r="B174" s="26">
        <v>737.925</v>
      </c>
      <c r="C174" s="27">
        <v>709.2936</v>
      </c>
      <c r="D174" s="30">
        <v>1000</v>
      </c>
      <c r="E174" s="20">
        <f>(($V$2*G174)/((V174/W174)^(2/3)))^2</f>
        <v>0.00132423336626713</v>
      </c>
      <c r="F174" s="17">
        <f t="shared" si="281"/>
        <v>1.32423336626713</v>
      </c>
      <c r="G174" s="17">
        <f t="shared" si="282"/>
        <v>1.16305070391758</v>
      </c>
      <c r="H174" s="8">
        <f t="shared" si="294"/>
        <v>0.725</v>
      </c>
      <c r="I174" s="17">
        <f t="shared" si="283"/>
        <v>0.725</v>
      </c>
      <c r="J174" s="48">
        <f t="shared" si="284"/>
        <v>0.977184906802675</v>
      </c>
      <c r="K174" s="49">
        <v>19.5182</v>
      </c>
      <c r="L174" s="44">
        <v>19.4467</v>
      </c>
      <c r="M174" s="48">
        <f t="shared" si="285"/>
        <v>11.5852593143976</v>
      </c>
      <c r="N174" s="50">
        <f t="shared" si="286"/>
        <v>10.6080744075949</v>
      </c>
      <c r="O174" s="53">
        <f t="shared" si="295"/>
        <v>11.6080744075949</v>
      </c>
      <c r="P174" s="53">
        <f t="shared" si="287"/>
        <v>10.6308895007922</v>
      </c>
      <c r="Q174" s="53">
        <f t="shared" si="296"/>
        <v>10.6080744075949</v>
      </c>
      <c r="R174" s="53">
        <f t="shared" si="288"/>
        <v>9.63088950079225</v>
      </c>
      <c r="S174" s="50">
        <f t="shared" si="297"/>
        <v>7.91012559240508</v>
      </c>
      <c r="T174" s="50">
        <f t="shared" si="289"/>
        <v>8.81581049920775</v>
      </c>
      <c r="U174" s="1">
        <f t="shared" si="290"/>
        <v>2.03756166584219</v>
      </c>
      <c r="V174" s="1">
        <f t="shared" si="291"/>
        <v>0.609856128895189</v>
      </c>
      <c r="W174" s="1">
        <f t="shared" si="292"/>
        <v>2.03756166584219</v>
      </c>
      <c r="X174" s="1">
        <f t="shared" si="293"/>
        <v>0.299306832828107</v>
      </c>
      <c r="XFD174"/>
    </row>
    <row r="175" s="1" customFormat="1" spans="1:16384">
      <c r="A175" s="68" t="s">
        <v>72</v>
      </c>
      <c r="B175" s="26">
        <v>715.554</v>
      </c>
      <c r="C175" s="27">
        <v>743.8622</v>
      </c>
      <c r="D175" s="30">
        <v>1000</v>
      </c>
      <c r="E175" s="20">
        <f>(($V$2*G175)/((V175/W175)^(2/3)))^2</f>
        <v>0.00145645618615555</v>
      </c>
      <c r="F175" s="17">
        <f t="shared" si="281"/>
        <v>1.45645618615555</v>
      </c>
      <c r="G175" s="17">
        <f t="shared" si="282"/>
        <v>1.21973390895911</v>
      </c>
      <c r="H175" s="8">
        <f t="shared" si="294"/>
        <v>0.725</v>
      </c>
      <c r="I175" s="17">
        <f t="shared" si="283"/>
        <v>0.725</v>
      </c>
      <c r="J175" s="48">
        <f t="shared" si="284"/>
        <v>1.04217304982835</v>
      </c>
      <c r="K175" s="49">
        <v>19.4467</v>
      </c>
      <c r="L175" s="44">
        <v>19.5193</v>
      </c>
      <c r="M175" s="48">
        <f t="shared" si="285"/>
        <v>10.6730625506206</v>
      </c>
      <c r="N175" s="50">
        <f t="shared" si="286"/>
        <v>9.63088950079225</v>
      </c>
      <c r="O175" s="53">
        <f t="shared" si="295"/>
        <v>10.6308895007922</v>
      </c>
      <c r="P175" s="53">
        <f t="shared" si="287"/>
        <v>9.5887164509639</v>
      </c>
      <c r="Q175" s="53">
        <f t="shared" si="296"/>
        <v>9.63088950079225</v>
      </c>
      <c r="R175" s="53">
        <f t="shared" si="288"/>
        <v>8.5887164509639</v>
      </c>
      <c r="S175" s="50">
        <f t="shared" si="297"/>
        <v>8.81581049920775</v>
      </c>
      <c r="T175" s="50">
        <f t="shared" si="289"/>
        <v>9.9305835490361</v>
      </c>
      <c r="U175" s="1">
        <f t="shared" si="290"/>
        <v>2.03756166584219</v>
      </c>
      <c r="V175" s="1">
        <f t="shared" si="291"/>
        <v>0.609856128895189</v>
      </c>
      <c r="W175" s="1">
        <f t="shared" si="292"/>
        <v>2.03756166584219</v>
      </c>
      <c r="X175" s="1">
        <f t="shared" si="293"/>
        <v>0.299306832828107</v>
      </c>
      <c r="XFD175"/>
    </row>
  </sheetData>
  <mergeCells count="32">
    <mergeCell ref="A1:C1"/>
    <mergeCell ref="D1:T1"/>
    <mergeCell ref="Z1:AB1"/>
    <mergeCell ref="A2:T2"/>
    <mergeCell ref="H3:I3"/>
    <mergeCell ref="K3:R3"/>
    <mergeCell ref="K4:L4"/>
    <mergeCell ref="M4:N4"/>
    <mergeCell ref="O4:P4"/>
    <mergeCell ref="Q4:R4"/>
    <mergeCell ref="AA10:AB10"/>
    <mergeCell ref="AA11:AB11"/>
    <mergeCell ref="A3:A5"/>
    <mergeCell ref="B3:B5"/>
    <mergeCell ref="C3:C5"/>
    <mergeCell ref="D3:D5"/>
    <mergeCell ref="E3:E5"/>
    <mergeCell ref="F3:F5"/>
    <mergeCell ref="G3:G5"/>
    <mergeCell ref="H4:H5"/>
    <mergeCell ref="I4:I5"/>
    <mergeCell ref="J3:J5"/>
    <mergeCell ref="U3:U5"/>
    <mergeCell ref="V3:V5"/>
    <mergeCell ref="W3:W5"/>
    <mergeCell ref="X3:X5"/>
    <mergeCell ref="Z10:Z12"/>
    <mergeCell ref="S3:T4"/>
    <mergeCell ref="A13:T14"/>
    <mergeCell ref="A80:T81"/>
    <mergeCell ref="A108:T109"/>
    <mergeCell ref="A137:T1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方案1</vt:lpstr>
      <vt:lpstr>Sheet2</vt:lpstr>
      <vt:lpstr>方案2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86147</dc:creator>
  <cp:lastModifiedBy>mercy</cp:lastModifiedBy>
  <dcterms:created xsi:type="dcterms:W3CDTF">2021-01-02T11:45:00Z</dcterms:created>
  <dcterms:modified xsi:type="dcterms:W3CDTF">2023-12-10T04:32:13Z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04EB51018EC6422BB5EAD6FB20F237D6_12</vt:lpwstr>
  </property>
</Properties>
</file>