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пк\Desktop\NTproject\Документация\"/>
    </mc:Choice>
  </mc:AlternateContent>
  <bookViews>
    <workbookView xWindow="0" yWindow="0" windowWidth="23040" windowHeight="9192"/>
  </bookViews>
  <sheets>
    <sheet name="Автоматизированный расчет" sheetId="3" r:id="rId1"/>
    <sheet name="Соответствие профилю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3" l="1"/>
  <c r="P32" i="3" l="1"/>
  <c r="P31" i="3"/>
  <c r="P30" i="3"/>
  <c r="P29" i="3"/>
  <c r="P28" i="3"/>
  <c r="P27" i="3"/>
  <c r="P26" i="3"/>
  <c r="P2" i="3" l="1"/>
  <c r="C32" i="3"/>
  <c r="C26" i="3"/>
  <c r="C31" i="3"/>
  <c r="C27" i="3"/>
  <c r="C29" i="3"/>
  <c r="C28" i="3"/>
  <c r="C30" i="3"/>
  <c r="G30" i="3" l="1"/>
  <c r="R30" i="3"/>
  <c r="R28" i="3"/>
  <c r="R32" i="3"/>
  <c r="R29" i="3"/>
  <c r="R27" i="3"/>
  <c r="R31" i="3"/>
  <c r="R26" i="3"/>
  <c r="L40" i="3"/>
  <c r="D30" i="3"/>
  <c r="L38" i="3"/>
  <c r="D28" i="3"/>
  <c r="G28" i="3"/>
  <c r="L42" i="3"/>
  <c r="D32" i="3"/>
  <c r="G32" i="3"/>
  <c r="L39" i="3"/>
  <c r="D29" i="3"/>
  <c r="G29" i="3"/>
  <c r="L37" i="3"/>
  <c r="D27" i="3"/>
  <c r="G27" i="3"/>
  <c r="L41" i="3"/>
  <c r="D31" i="3"/>
  <c r="L36" i="3"/>
  <c r="D26" i="3"/>
  <c r="G26" i="3"/>
  <c r="E2" i="3"/>
  <c r="L31" i="3" l="1"/>
  <c r="N31" i="3" s="1"/>
  <c r="N41" i="3"/>
  <c r="N40" i="3"/>
  <c r="L30" i="3"/>
  <c r="N30" i="3" s="1"/>
  <c r="K31" i="3"/>
  <c r="K30" i="3"/>
  <c r="P3" i="3"/>
  <c r="P4" i="3"/>
  <c r="P5" i="3"/>
  <c r="P6" i="3"/>
  <c r="D15" i="3"/>
  <c r="D19" i="3"/>
  <c r="D2" i="3"/>
  <c r="W2" i="3"/>
  <c r="V2" i="3" s="1"/>
  <c r="S2" i="3"/>
  <c r="D4" i="3" s="1"/>
  <c r="S6" i="3"/>
  <c r="U6" i="3" s="1"/>
  <c r="D20" i="3" s="1"/>
  <c r="S5" i="3"/>
  <c r="U5" i="3" s="1"/>
  <c r="D16" i="3" s="1"/>
  <c r="S4" i="3"/>
  <c r="U4" i="3" s="1"/>
  <c r="D12" i="3" s="1"/>
  <c r="S3" i="3"/>
  <c r="U3" i="3" s="1"/>
  <c r="D8" i="3" s="1"/>
  <c r="L32" i="3" l="1"/>
  <c r="N32" i="3" s="1"/>
  <c r="N42" i="3"/>
  <c r="L28" i="3"/>
  <c r="N28" i="3" s="1"/>
  <c r="N38" i="3"/>
  <c r="N36" i="3"/>
  <c r="L26" i="3"/>
  <c r="N26" i="3" s="1"/>
  <c r="N39" i="3"/>
  <c r="L29" i="3"/>
  <c r="N29" i="3" s="1"/>
  <c r="N37" i="3"/>
  <c r="L27" i="3"/>
  <c r="N27" i="3" s="1"/>
  <c r="U2" i="3"/>
  <c r="U7" i="3" s="1"/>
  <c r="I30" i="3"/>
  <c r="I31" i="3"/>
  <c r="E22" i="3"/>
  <c r="F22" i="3" s="1"/>
  <c r="E18" i="3"/>
  <c r="F18" i="3" s="1"/>
  <c r="E14" i="3"/>
  <c r="F14" i="3" s="1"/>
  <c r="D11" i="3"/>
  <c r="D3" i="3"/>
  <c r="D22" i="3"/>
  <c r="D18" i="3"/>
  <c r="D14" i="3"/>
  <c r="D10" i="3"/>
  <c r="D6" i="3"/>
  <c r="D7" i="3"/>
  <c r="D21" i="3"/>
  <c r="D17" i="3"/>
  <c r="D13" i="3"/>
  <c r="D9" i="3"/>
  <c r="D5" i="3"/>
  <c r="E10" i="3"/>
  <c r="F10" i="3" s="1"/>
  <c r="E6" i="3"/>
  <c r="F6" i="3" s="1"/>
  <c r="E21" i="3"/>
  <c r="F21" i="3" s="1"/>
  <c r="E17" i="3"/>
  <c r="F17" i="3" s="1"/>
  <c r="E13" i="3"/>
  <c r="F13" i="3" s="1"/>
  <c r="E9" i="3"/>
  <c r="F9" i="3" s="1"/>
  <c r="E5" i="3"/>
  <c r="F5" i="3" s="1"/>
  <c r="E20" i="3"/>
  <c r="F20" i="3" s="1"/>
  <c r="H20" i="3" s="1"/>
  <c r="E16" i="3"/>
  <c r="F16" i="3" s="1"/>
  <c r="H16" i="3" s="1"/>
  <c r="E12" i="3"/>
  <c r="F12" i="3" s="1"/>
  <c r="H12" i="3" s="1"/>
  <c r="E8" i="3"/>
  <c r="F8" i="3" s="1"/>
  <c r="H8" i="3" s="1"/>
  <c r="E4" i="3"/>
  <c r="F4" i="3" s="1"/>
  <c r="H4" i="3" s="1"/>
  <c r="F2" i="3"/>
  <c r="H2" i="3" s="1"/>
  <c r="E19" i="3"/>
  <c r="F19" i="3" s="1"/>
  <c r="H19" i="3" s="1"/>
  <c r="E15" i="3"/>
  <c r="F15" i="3" s="1"/>
  <c r="H15" i="3" s="1"/>
  <c r="E11" i="3"/>
  <c r="F11" i="3" s="1"/>
  <c r="E7" i="3"/>
  <c r="F7" i="3" s="1"/>
  <c r="E3" i="3"/>
  <c r="F3" i="3" s="1"/>
  <c r="V4" i="3"/>
  <c r="V3" i="3"/>
  <c r="V6" i="3"/>
  <c r="V5" i="3"/>
  <c r="I27" i="3" l="1"/>
  <c r="K27" i="3"/>
  <c r="I28" i="3"/>
  <c r="K28" i="3"/>
  <c r="I29" i="3"/>
  <c r="K29" i="3"/>
  <c r="K26" i="3"/>
  <c r="I26" i="3"/>
  <c r="I32" i="3"/>
  <c r="K32" i="3"/>
  <c r="H3" i="3"/>
  <c r="H22" i="3"/>
  <c r="H10" i="3"/>
  <c r="H14" i="3"/>
  <c r="H18" i="3"/>
  <c r="H6" i="3"/>
  <c r="H21" i="3"/>
  <c r="H13" i="3"/>
  <c r="H9" i="3"/>
  <c r="H7" i="3"/>
  <c r="H5" i="3"/>
  <c r="H11" i="3"/>
  <c r="H17" i="3"/>
  <c r="V7" i="3"/>
  <c r="C33" i="3" l="1"/>
  <c r="D33" i="3" s="1"/>
</calcChain>
</file>

<file path=xl/sharedStrings.xml><?xml version="1.0" encoding="utf-8"?>
<sst xmlns="http://schemas.openxmlformats.org/spreadsheetml/2006/main" count="103" uniqueCount="45">
  <si>
    <t>Вход в систему</t>
  </si>
  <si>
    <t>Оплата билета</t>
  </si>
  <si>
    <t>Просмотр квитанций</t>
  </si>
  <si>
    <t>Выход из системы</t>
  </si>
  <si>
    <t>Итого</t>
  </si>
  <si>
    <t>Покупка билета</t>
  </si>
  <si>
    <t xml:space="preserve">Удаление бронирования </t>
  </si>
  <si>
    <t>Покупка билета (без просмотра квитанции)</t>
  </si>
  <si>
    <t xml:space="preserve">Заполнение полей для поиска билета </t>
  </si>
  <si>
    <t xml:space="preserve">Выбор рейса из найденных </t>
  </si>
  <si>
    <t>Поиск билета без оплаты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</si>
  <si>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</si>
  <si>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</si>
  <si>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</si>
  <si>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</si>
  <si>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</si>
  <si>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</si>
  <si>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</si>
  <si>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</si>
  <si>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</si>
  <si>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</si>
  <si>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</si>
  <si>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</si>
  <si>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</si>
  <si>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</si>
  <si>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</si>
  <si>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</si>
  <si>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Запросов в час</t>
  </si>
  <si>
    <t>pacing</t>
  </si>
  <si>
    <t>одним пользователем в минуту</t>
  </si>
  <si>
    <t>Длительность ступени</t>
  </si>
  <si>
    <t>Duration + Thin_time</t>
  </si>
  <si>
    <t>Соотвествие профилю</t>
  </si>
  <si>
    <t>Отмена бронирования</t>
  </si>
  <si>
    <t>Вход и выход из системы</t>
  </si>
  <si>
    <t>Реальная интенсивность</t>
  </si>
  <si>
    <t>Процент отклонения от расчитанного профиля</t>
  </si>
  <si>
    <t xml:space="preserve">Реальная интенсивность </t>
  </si>
  <si>
    <t xml:space="preserve">               Отладочный тест ( 10 vuser's)</t>
  </si>
  <si>
    <t>Расчётная интенсивность</t>
  </si>
  <si>
    <t>Статистика (х1.5, из-за невозможности найти максимум в связи с более высокой производительностью железа)</t>
  </si>
  <si>
    <t>(-35% по сравнению с изначальными данными)</t>
  </si>
  <si>
    <r>
      <t xml:space="preserve">               </t>
    </r>
    <r>
      <rPr>
        <b/>
        <sz val="11"/>
        <color theme="1"/>
        <rFont val="Calibri"/>
        <family val="2"/>
        <charset val="204"/>
        <scheme val="minor"/>
      </rPr>
      <t xml:space="preserve"> Тест подтверждения максимума (30 vuser's, 100% от найденного максимума)</t>
    </r>
  </si>
  <si>
    <r>
      <t xml:space="preserve">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Тест поиска максимума (4 ступень, 40 vuser's)</t>
    </r>
  </si>
  <si>
    <r>
      <t xml:space="preserve">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Тест поиска максимума (3 ступень, 30 vuser's)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</si>
</sst>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7" applyNumberFormat="0" applyAlignment="0" applyProtection="0"/>
    <xf numFmtId="0" fontId="15" fillId="6" borderId="8" applyNumberFormat="0" applyAlignment="0" applyProtection="0"/>
    <xf numFmtId="0" fontId="16" fillId="6" borderId="7" applyNumberFormat="0" applyAlignment="0" applyProtection="0"/>
    <xf numFmtId="0" fontId="17" fillId="0" borderId="9" applyNumberFormat="0" applyFill="0" applyAlignment="0" applyProtection="0"/>
    <xf numFmtId="0" fontId="18" fillId="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11" applyNumberFormat="0" applyFont="0" applyAlignment="0" applyProtection="0"/>
    <xf numFmtId="9" fontId="22" fillId="0" borderId="0" applyFont="0" applyFill="0" applyBorder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3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9" fontId="0" fillId="0" borderId="0" xfId="44" applyFont="1"/>
    <xf numFmtId="1" fontId="3" fillId="0" borderId="0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23" fillId="0" borderId="0" xfId="0" applyFont="1"/>
    <xf numFmtId="1" fontId="23" fillId="0" borderId="0" xfId="0" applyNumberFormat="1" applyFont="1"/>
    <xf numFmtId="9" fontId="23" fillId="0" borderId="0" xfId="0" applyNumberFormat="1" applyFont="1"/>
    <xf numFmtId="0" fontId="0" fillId="34" borderId="3" xfId="0" applyFill="1" applyBorder="1"/>
    <xf numFmtId="0" fontId="0" fillId="33" borderId="3" xfId="0" applyFill="1" applyBorder="1" applyAlignment="1">
      <alignment wrapText="1"/>
    </xf>
    <xf numFmtId="10" fontId="0" fillId="33" borderId="3" xfId="0" applyNumberFormat="1" applyFill="1" applyBorder="1"/>
    <xf numFmtId="0" fontId="0" fillId="35" borderId="3" xfId="0" applyFill="1" applyBorder="1" applyAlignment="1">
      <alignment wrapText="1"/>
    </xf>
    <xf numFmtId="0" fontId="0" fillId="35" borderId="3" xfId="0" applyFill="1" applyBorder="1"/>
    <xf numFmtId="10" fontId="0" fillId="35" borderId="3" xfId="0" applyNumberFormat="1" applyFill="1" applyBorder="1"/>
    <xf numFmtId="0" fontId="5" fillId="0" borderId="0" xfId="0" applyFont="1" applyAlignment="1">
      <alignment wrapText="1"/>
    </xf>
    <xf numFmtId="0" fontId="0" fillId="36" borderId="0" xfId="0" applyFill="1"/>
    <xf numFmtId="0" fontId="0" fillId="37" borderId="0" xfId="0" applyFill="1"/>
    <xf numFmtId="0" fontId="0" fillId="38" borderId="3" xfId="0" applyFill="1" applyBorder="1" applyAlignment="1">
      <alignment wrapText="1"/>
    </xf>
    <xf numFmtId="0" fontId="0" fillId="38" borderId="3" xfId="0" applyFill="1" applyBorder="1"/>
    <xf numFmtId="10" fontId="0" fillId="38" borderId="3" xfId="0" applyNumberFormat="1" applyFill="1" applyBorder="1"/>
    <xf numFmtId="0" fontId="0" fillId="40" borderId="0" xfId="0" applyFill="1"/>
    <xf numFmtId="0" fontId="0" fillId="41" borderId="0" xfId="0" applyFill="1"/>
    <xf numFmtId="0" fontId="0" fillId="39" borderId="3" xfId="0" applyFill="1" applyBorder="1" applyAlignment="1">
      <alignment wrapText="1"/>
    </xf>
    <xf numFmtId="0" fontId="0" fillId="39" borderId="3" xfId="0" applyFill="1" applyBorder="1"/>
    <xf numFmtId="10" fontId="0" fillId="39" borderId="3" xfId="0" applyNumberFormat="1" applyFill="1" applyBorder="1"/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1пк" refreshedDate="44100.93788622685" createdVersion="6" refreshedVersion="6" minRefreshableVersion="3" recordCount="21">
  <cacheSource type="worksheet">
    <worksheetSource ref="A1:H22" sheet="Автоматизированный расчет"/>
  </cacheSource>
  <cacheFields count="8">
    <cacheField name="Script name" numFmtId="0">
      <sharedItems/>
    </cacheField>
    <cacheField name="transaction rq" numFmtId="0">
      <sharedItems count="8"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"/>
        <s v="Отмена бронирования "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2" maxValue="2"/>
    </cacheField>
    <cacheField name="pacing" numFmtId="0">
      <sharedItems containsSemiMixedTypes="0" containsString="0" containsNumber="1" minValue="48.75" maxValue="65"/>
    </cacheField>
    <cacheField name="одним пользователем в минуту" numFmtId="2">
      <sharedItems containsSemiMixedTypes="0" containsString="0" containsNumber="1" minValue="0.92307692307692313" maxValue="1.2307692307692308"/>
    </cacheField>
    <cacheField name="Длительность ступени" numFmtId="0">
      <sharedItems containsSemiMixedTypes="0" containsString="0" containsNumber="1" containsInteger="1" minValue="60" maxValue="60"/>
    </cacheField>
    <cacheField name="Итого" numFmtId="1">
      <sharedItems containsSemiMixedTypes="0" containsString="0" containsNumber="1" minValue="110.76923076923077" maxValue="147.692307692307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s v="Покупка билета"/>
    <x v="0"/>
    <n v="1"/>
    <n v="2"/>
    <n v="52"/>
    <n v="1.1538461538461537"/>
    <n v="60"/>
    <n v="138.46153846153845"/>
  </r>
  <r>
    <s v="Покупка билета"/>
    <x v="1"/>
    <n v="1"/>
    <n v="2"/>
    <n v="52"/>
    <n v="1.1538461538461537"/>
    <n v="60"/>
    <n v="138.46153846153845"/>
  </r>
  <r>
    <s v="Покупка билета"/>
    <x v="2"/>
    <n v="1"/>
    <n v="2"/>
    <n v="52"/>
    <n v="1.1538461538461537"/>
    <n v="60"/>
    <n v="138.46153846153845"/>
  </r>
  <r>
    <s v="Покупка билета"/>
    <x v="3"/>
    <n v="1"/>
    <n v="2"/>
    <n v="52"/>
    <n v="1.1538461538461537"/>
    <n v="60"/>
    <n v="138.46153846153845"/>
  </r>
  <r>
    <s v="Покупка билета"/>
    <x v="4"/>
    <n v="1"/>
    <n v="2"/>
    <n v="52"/>
    <n v="1.1538461538461537"/>
    <n v="60"/>
    <n v="138.46153846153845"/>
  </r>
  <r>
    <s v="Покупка билета"/>
    <x v="5"/>
    <n v="1"/>
    <n v="2"/>
    <n v="52"/>
    <n v="1.1538461538461537"/>
    <n v="60"/>
    <n v="138.46153846153845"/>
  </r>
  <r>
    <s v="Удаление бронирования "/>
    <x v="0"/>
    <n v="1"/>
    <n v="2"/>
    <n v="61.75"/>
    <n v="0.97165991902834004"/>
    <n v="60"/>
    <n v="116.5991902834008"/>
  </r>
  <r>
    <s v="Удаление бронирования "/>
    <x v="4"/>
    <n v="1"/>
    <n v="2"/>
    <n v="61.75"/>
    <n v="0.97165991902834004"/>
    <n v="60"/>
    <n v="116.5991902834008"/>
  </r>
  <r>
    <s v="Удаление бронирования "/>
    <x v="6"/>
    <n v="1"/>
    <n v="2"/>
    <n v="61.75"/>
    <n v="0.97165991902834004"/>
    <n v="60"/>
    <n v="116.5991902834008"/>
  </r>
  <r>
    <s v="Удаление бронирования "/>
    <x v="5"/>
    <n v="1"/>
    <n v="2"/>
    <n v="61.75"/>
    <n v="0.97165991902834004"/>
    <n v="60"/>
    <n v="116.5991902834008"/>
  </r>
  <r>
    <s v="Поиск билета без оплаты"/>
    <x v="0"/>
    <n v="1"/>
    <n v="2"/>
    <n v="48.75"/>
    <n v="1.2307692307692308"/>
    <n v="60"/>
    <n v="147.69230769230771"/>
  </r>
  <r>
    <s v="Поиск билета без оплаты"/>
    <x v="1"/>
    <n v="1"/>
    <n v="2"/>
    <n v="48.75"/>
    <n v="1.2307692307692308"/>
    <n v="60"/>
    <n v="147.69230769230771"/>
  </r>
  <r>
    <s v="Поиск билета без оплаты"/>
    <x v="2"/>
    <n v="1"/>
    <n v="2"/>
    <n v="48.75"/>
    <n v="1.2307692307692308"/>
    <n v="60"/>
    <n v="147.69230769230771"/>
  </r>
  <r>
    <s v="Поиск билета без оплаты"/>
    <x v="5"/>
    <n v="1"/>
    <n v="2"/>
    <n v="48.75"/>
    <n v="1.2307692307692308"/>
    <n v="60"/>
    <n v="147.69230769230771"/>
  </r>
  <r>
    <s v="Покупка билета (без просмотра квитанции)"/>
    <x v="0"/>
    <n v="1"/>
    <n v="2"/>
    <n v="57.85"/>
    <n v="1.0371650821089022"/>
    <n v="60"/>
    <n v="124.45980985306826"/>
  </r>
  <r>
    <s v="Покупка билета (без просмотра квитанции)"/>
    <x v="1"/>
    <n v="1"/>
    <n v="2"/>
    <n v="57.85"/>
    <n v="1.0371650821089022"/>
    <n v="60"/>
    <n v="124.45980985306826"/>
  </r>
  <r>
    <s v="Покупка билета (без просмотра квитанции)"/>
    <x v="2"/>
    <n v="1"/>
    <n v="2"/>
    <n v="57.85"/>
    <n v="1.0371650821089022"/>
    <n v="60"/>
    <n v="124.45980985306826"/>
  </r>
  <r>
    <s v="Покупка билета (без просмотра квитанции)"/>
    <x v="3"/>
    <n v="1"/>
    <n v="2"/>
    <n v="57.85"/>
    <n v="1.0371650821089022"/>
    <n v="60"/>
    <n v="124.45980985306826"/>
  </r>
  <r>
    <s v="Покупка билета (без просмотра квитанции)"/>
    <x v="5"/>
    <n v="1"/>
    <n v="2"/>
    <n v="57.85"/>
    <n v="1.0371650821089022"/>
    <n v="60"/>
    <n v="124.45980985306826"/>
  </r>
  <r>
    <s v="Вход и выход из системы"/>
    <x v="0"/>
    <n v="1"/>
    <n v="2"/>
    <n v="65"/>
    <n v="0.92307692307692313"/>
    <n v="60"/>
    <n v="110.76923076923077"/>
  </r>
  <r>
    <s v="Вход и выход из системы"/>
    <x v="5"/>
    <n v="1"/>
    <n v="2"/>
    <n v="65"/>
    <n v="0.92307692307692313"/>
    <n v="60"/>
    <n v="110.769230769230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9" firstHeaderRow="1" firstDataRow="1" firstDataCol="1"/>
  <pivotFields count="8">
    <pivotField showAll="0"/>
    <pivotField axis="axisRow" showAll="0">
      <items count="9">
        <item x="0"/>
        <item x="2"/>
        <item x="5"/>
        <item x="1"/>
        <item x="3"/>
        <item m="1" x="7"/>
        <item x="4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L1" zoomScaleNormal="100" workbookViewId="0">
      <selection activeCell="H26" sqref="H26"/>
    </sheetView>
  </sheetViews>
  <sheetFormatPr defaultColWidth="11.5546875" defaultRowHeight="14.4" x14ac:dyDescent="0.3"/>
  <cols>
    <col min="1" max="1" width="52.44140625" customWidth="1"/>
    <col min="9" max="9" width="34.6640625" customWidth="1"/>
    <col min="10" max="10" width="20.5546875" customWidth="1"/>
    <col min="11" max="11" width="18.6640625" customWidth="1"/>
    <col min="12" max="12" width="27.44140625" bestFit="1" customWidth="1"/>
    <col min="13" max="13" width="35.6640625" bestFit="1" customWidth="1"/>
    <col min="14" max="14" width="23.33203125" customWidth="1"/>
    <col min="15" max="15" width="11" customWidth="1"/>
    <col min="16" max="16" width="23.44140625" customWidth="1"/>
    <col min="17" max="17" width="23.109375" customWidth="1"/>
    <col min="18" max="18" width="30.33203125" customWidth="1"/>
    <col min="19" max="19" width="44" bestFit="1" customWidth="1"/>
  </cols>
  <sheetData>
    <row r="1" spans="1:24" ht="15" thickBot="1" x14ac:dyDescent="0.35">
      <c r="A1" t="s">
        <v>11</v>
      </c>
      <c r="B1" t="s">
        <v>12</v>
      </c>
      <c r="C1" t="s">
        <v>13</v>
      </c>
      <c r="D1" t="s">
        <v>17</v>
      </c>
      <c r="E1" t="s">
        <v>28</v>
      </c>
      <c r="F1" t="s">
        <v>29</v>
      </c>
      <c r="G1" t="s">
        <v>30</v>
      </c>
      <c r="H1" t="s">
        <v>4</v>
      </c>
      <c r="I1" s="6" t="s">
        <v>14</v>
      </c>
      <c r="J1" t="s">
        <v>26</v>
      </c>
      <c r="M1" t="s">
        <v>16</v>
      </c>
      <c r="N1" t="s">
        <v>18</v>
      </c>
      <c r="O1" t="s">
        <v>19</v>
      </c>
      <c r="P1" t="s">
        <v>31</v>
      </c>
      <c r="Q1" t="s">
        <v>20</v>
      </c>
      <c r="R1" t="s">
        <v>17</v>
      </c>
      <c r="S1" t="s">
        <v>21</v>
      </c>
      <c r="T1" s="17" t="s">
        <v>22</v>
      </c>
      <c r="U1" s="17" t="s">
        <v>23</v>
      </c>
      <c r="V1" s="17" t="s">
        <v>24</v>
      </c>
      <c r="X1" t="s">
        <v>25</v>
      </c>
    </row>
    <row r="2" spans="1:24" x14ac:dyDescent="0.3">
      <c r="A2" t="s">
        <v>5</v>
      </c>
      <c r="B2" t="s">
        <v>0</v>
      </c>
      <c r="C2">
        <v>1</v>
      </c>
      <c r="D2" s="14">
        <f t="shared" ref="D2:D22" si="0">VLOOKUP(A2,$M$1:$W$8,6,FALSE)</f>
        <v>2</v>
      </c>
      <c r="E2">
        <f>VLOOKUP(A2,$M$1:$W$8,5,FALSE)</f>
        <v>52</v>
      </c>
      <c r="F2" s="11">
        <f>60/E2</f>
        <v>1.1538461538461537</v>
      </c>
      <c r="G2">
        <v>60</v>
      </c>
      <c r="H2" s="10">
        <f>D2*F2*G2</f>
        <v>138.46153846153845</v>
      </c>
      <c r="I2" s="7" t="s">
        <v>0</v>
      </c>
      <c r="J2" s="5">
        <v>637.98207705954587</v>
      </c>
      <c r="K2" s="5"/>
      <c r="M2" t="s">
        <v>5</v>
      </c>
      <c r="N2">
        <v>5.6154999999999999</v>
      </c>
      <c r="O2">
        <v>35.003500000000003</v>
      </c>
      <c r="P2">
        <f>N2+O2</f>
        <v>40.619</v>
      </c>
      <c r="Q2" s="8">
        <v>52</v>
      </c>
      <c r="R2" s="8">
        <v>2</v>
      </c>
      <c r="S2" s="9">
        <f>60/(Q2)</f>
        <v>1.1538461538461537</v>
      </c>
      <c r="T2" s="17">
        <v>20</v>
      </c>
      <c r="U2" s="18">
        <f>ROUND(R2*S2*T2,0)</f>
        <v>46</v>
      </c>
      <c r="V2" s="19">
        <f>R2/W$2</f>
        <v>0.2</v>
      </c>
      <c r="W2">
        <f>SUM(R2:R6)</f>
        <v>10</v>
      </c>
    </row>
    <row r="3" spans="1:24" x14ac:dyDescent="0.3">
      <c r="A3" t="s">
        <v>5</v>
      </c>
      <c r="B3" t="s">
        <v>8</v>
      </c>
      <c r="C3">
        <v>1</v>
      </c>
      <c r="D3" s="15">
        <f t="shared" si="0"/>
        <v>2</v>
      </c>
      <c r="E3">
        <f t="shared" ref="E3:E22" si="1">VLOOKUP(A3,$M$1:$W$8,5,FALSE)</f>
        <v>52</v>
      </c>
      <c r="F3" s="11">
        <f t="shared" ref="F3:F22" si="2">60/E3</f>
        <v>1.1538461538461537</v>
      </c>
      <c r="G3">
        <v>60</v>
      </c>
      <c r="H3" s="10">
        <f t="shared" ref="H3:H22" si="3">D3*F3*G3</f>
        <v>138.46153846153845</v>
      </c>
      <c r="I3" s="7" t="s">
        <v>9</v>
      </c>
      <c r="J3" s="5">
        <v>410.61365600691443</v>
      </c>
      <c r="K3" s="5"/>
      <c r="M3" t="s">
        <v>6</v>
      </c>
      <c r="N3">
        <v>3.1109</v>
      </c>
      <c r="O3">
        <v>20.0014</v>
      </c>
      <c r="P3">
        <f t="shared" ref="P3:P6" si="4">N3+O3</f>
        <v>23.112300000000001</v>
      </c>
      <c r="Q3" s="8">
        <v>61.75</v>
      </c>
      <c r="R3" s="8">
        <v>2</v>
      </c>
      <c r="S3" s="9">
        <f t="shared" ref="S3:S6" si="5">60/(Q3)</f>
        <v>0.97165991902834004</v>
      </c>
      <c r="T3" s="17">
        <v>20</v>
      </c>
      <c r="U3" s="18">
        <f t="shared" ref="U3:U6" si="6">ROUND(R3*S3*T3,0)</f>
        <v>39</v>
      </c>
      <c r="V3" s="19">
        <f t="shared" ref="V3:V6" si="7">R3/W$2</f>
        <v>0.2</v>
      </c>
    </row>
    <row r="4" spans="1:24" x14ac:dyDescent="0.3">
      <c r="A4" t="s">
        <v>5</v>
      </c>
      <c r="B4" t="s">
        <v>9</v>
      </c>
      <c r="C4">
        <v>1</v>
      </c>
      <c r="D4" s="15">
        <f t="shared" si="0"/>
        <v>2</v>
      </c>
      <c r="E4">
        <f t="shared" si="1"/>
        <v>52</v>
      </c>
      <c r="F4" s="11">
        <f t="shared" si="2"/>
        <v>1.1538461538461537</v>
      </c>
      <c r="G4">
        <v>60</v>
      </c>
      <c r="H4" s="10">
        <f t="shared" si="3"/>
        <v>138.46153846153845</v>
      </c>
      <c r="I4" s="7" t="s">
        <v>3</v>
      </c>
      <c r="J4" s="5">
        <v>637.98207705954587</v>
      </c>
      <c r="K4" s="5"/>
      <c r="M4" t="s">
        <v>10</v>
      </c>
      <c r="N4">
        <v>4.5355999999999996</v>
      </c>
      <c r="O4">
        <v>30.001799999999999</v>
      </c>
      <c r="P4">
        <f t="shared" si="4"/>
        <v>34.537399999999998</v>
      </c>
      <c r="Q4" s="8">
        <v>48.75</v>
      </c>
      <c r="R4" s="8">
        <v>2</v>
      </c>
      <c r="S4" s="9">
        <f t="shared" si="5"/>
        <v>1.2307692307692308</v>
      </c>
      <c r="T4" s="17">
        <v>20</v>
      </c>
      <c r="U4" s="18">
        <f t="shared" si="6"/>
        <v>49</v>
      </c>
      <c r="V4" s="19">
        <f t="shared" si="7"/>
        <v>0.2</v>
      </c>
    </row>
    <row r="5" spans="1:24" x14ac:dyDescent="0.3">
      <c r="A5" t="s">
        <v>5</v>
      </c>
      <c r="B5" t="s">
        <v>1</v>
      </c>
      <c r="C5">
        <v>1</v>
      </c>
      <c r="D5" s="15">
        <f t="shared" si="0"/>
        <v>2</v>
      </c>
      <c r="E5">
        <f t="shared" si="1"/>
        <v>52</v>
      </c>
      <c r="F5" s="11">
        <f t="shared" si="2"/>
        <v>1.1538461538461537</v>
      </c>
      <c r="G5">
        <v>60</v>
      </c>
      <c r="H5" s="10">
        <f t="shared" si="3"/>
        <v>138.46153846153845</v>
      </c>
      <c r="I5" s="7" t="s">
        <v>8</v>
      </c>
      <c r="J5" s="5">
        <v>410.61365600691443</v>
      </c>
      <c r="K5" s="5"/>
      <c r="M5" t="s">
        <v>7</v>
      </c>
      <c r="N5">
        <v>6.3802000000000003</v>
      </c>
      <c r="O5">
        <v>55.003399999999999</v>
      </c>
      <c r="P5">
        <f t="shared" si="4"/>
        <v>61.383600000000001</v>
      </c>
      <c r="Q5" s="8">
        <v>57.85</v>
      </c>
      <c r="R5" s="8">
        <v>2</v>
      </c>
      <c r="S5" s="9">
        <f t="shared" si="5"/>
        <v>1.0371650821089022</v>
      </c>
      <c r="T5" s="17">
        <v>20</v>
      </c>
      <c r="U5" s="18">
        <f t="shared" si="6"/>
        <v>41</v>
      </c>
      <c r="V5" s="19">
        <f t="shared" si="7"/>
        <v>0.2</v>
      </c>
    </row>
    <row r="6" spans="1:24" ht="15" thickBot="1" x14ac:dyDescent="0.35">
      <c r="A6" t="s">
        <v>5</v>
      </c>
      <c r="B6" t="s">
        <v>2</v>
      </c>
      <c r="C6">
        <v>1</v>
      </c>
      <c r="D6" s="16">
        <f t="shared" si="0"/>
        <v>2</v>
      </c>
      <c r="E6">
        <f t="shared" si="1"/>
        <v>52</v>
      </c>
      <c r="F6" s="11">
        <f t="shared" si="2"/>
        <v>1.1538461538461537</v>
      </c>
      <c r="G6">
        <v>60</v>
      </c>
      <c r="H6" s="10">
        <f t="shared" si="3"/>
        <v>138.46153846153845</v>
      </c>
      <c r="I6" s="7" t="s">
        <v>1</v>
      </c>
      <c r="J6" s="5">
        <v>262.92134831460669</v>
      </c>
      <c r="K6" s="5"/>
      <c r="M6" t="s">
        <v>34</v>
      </c>
      <c r="N6">
        <v>5.1223000000000001</v>
      </c>
      <c r="O6">
        <v>35.0032</v>
      </c>
      <c r="P6">
        <f t="shared" si="4"/>
        <v>40.125500000000002</v>
      </c>
      <c r="Q6" s="8">
        <v>65</v>
      </c>
      <c r="R6" s="8">
        <v>2</v>
      </c>
      <c r="S6" s="9">
        <f t="shared" si="5"/>
        <v>0.92307692307692313</v>
      </c>
      <c r="T6" s="17">
        <v>20</v>
      </c>
      <c r="U6" s="18">
        <f t="shared" si="6"/>
        <v>37</v>
      </c>
      <c r="V6" s="19">
        <f t="shared" si="7"/>
        <v>0.2</v>
      </c>
    </row>
    <row r="7" spans="1:24" x14ac:dyDescent="0.3">
      <c r="A7" t="s">
        <v>5</v>
      </c>
      <c r="B7" t="s">
        <v>3</v>
      </c>
      <c r="C7">
        <v>1</v>
      </c>
      <c r="D7" s="14">
        <f t="shared" si="0"/>
        <v>2</v>
      </c>
      <c r="E7">
        <f t="shared" si="1"/>
        <v>52</v>
      </c>
      <c r="F7" s="11">
        <f t="shared" si="2"/>
        <v>1.1538461538461537</v>
      </c>
      <c r="G7">
        <v>60</v>
      </c>
      <c r="H7" s="10">
        <f t="shared" si="3"/>
        <v>138.46153846153845</v>
      </c>
      <c r="I7" s="7" t="s">
        <v>2</v>
      </c>
      <c r="J7" s="5">
        <v>255.06072874493924</v>
      </c>
      <c r="K7" s="5"/>
      <c r="Q7" t="s">
        <v>41</v>
      </c>
      <c r="T7" s="17"/>
      <c r="U7" s="18">
        <f>SUM(U2:U6)</f>
        <v>212</v>
      </c>
      <c r="V7" s="19">
        <f>SUM(V2:V6)</f>
        <v>1</v>
      </c>
    </row>
    <row r="8" spans="1:24" x14ac:dyDescent="0.3">
      <c r="A8" t="s">
        <v>6</v>
      </c>
      <c r="B8" t="s">
        <v>0</v>
      </c>
      <c r="C8">
        <v>1</v>
      </c>
      <c r="D8" s="15">
        <f t="shared" si="0"/>
        <v>2</v>
      </c>
      <c r="E8">
        <f t="shared" si="1"/>
        <v>61.75</v>
      </c>
      <c r="F8" s="11">
        <f t="shared" si="2"/>
        <v>0.97165991902834004</v>
      </c>
      <c r="G8">
        <v>60</v>
      </c>
      <c r="H8" s="10">
        <f t="shared" si="3"/>
        <v>116.5991902834008</v>
      </c>
      <c r="I8" s="7" t="s">
        <v>33</v>
      </c>
      <c r="J8" s="5">
        <v>116.5991902834008</v>
      </c>
      <c r="K8" s="5"/>
    </row>
    <row r="9" spans="1:24" x14ac:dyDescent="0.3">
      <c r="A9" t="s">
        <v>6</v>
      </c>
      <c r="B9" t="s">
        <v>2</v>
      </c>
      <c r="C9">
        <v>1</v>
      </c>
      <c r="D9" s="15">
        <f t="shared" si="0"/>
        <v>2</v>
      </c>
      <c r="E9">
        <f t="shared" si="1"/>
        <v>61.75</v>
      </c>
      <c r="F9" s="11">
        <f t="shared" si="2"/>
        <v>0.97165991902834004</v>
      </c>
      <c r="G9">
        <v>60</v>
      </c>
      <c r="H9" s="10">
        <f t="shared" si="3"/>
        <v>116.5991902834008</v>
      </c>
      <c r="I9" s="7" t="s">
        <v>15</v>
      </c>
      <c r="J9" s="5">
        <v>2731.7727334758674</v>
      </c>
      <c r="K9" s="5"/>
    </row>
    <row r="10" spans="1:24" ht="15" thickBot="1" x14ac:dyDescent="0.35">
      <c r="A10" t="s">
        <v>6</v>
      </c>
      <c r="B10" t="s">
        <v>33</v>
      </c>
      <c r="C10">
        <v>1</v>
      </c>
      <c r="D10" s="16">
        <f t="shared" si="0"/>
        <v>2</v>
      </c>
      <c r="E10">
        <f t="shared" si="1"/>
        <v>61.75</v>
      </c>
      <c r="F10" s="11">
        <f t="shared" si="2"/>
        <v>0.97165991902834004</v>
      </c>
      <c r="G10">
        <v>60</v>
      </c>
      <c r="H10" s="10">
        <f t="shared" si="3"/>
        <v>116.5991902834008</v>
      </c>
    </row>
    <row r="11" spans="1:24" x14ac:dyDescent="0.3">
      <c r="A11" t="s">
        <v>6</v>
      </c>
      <c r="B11" t="s">
        <v>3</v>
      </c>
      <c r="C11">
        <v>1</v>
      </c>
      <c r="D11" s="14">
        <f t="shared" si="0"/>
        <v>2</v>
      </c>
      <c r="E11">
        <f t="shared" si="1"/>
        <v>61.75</v>
      </c>
      <c r="F11" s="11">
        <f t="shared" si="2"/>
        <v>0.97165991902834004</v>
      </c>
      <c r="G11">
        <v>60</v>
      </c>
      <c r="H11" s="10">
        <f t="shared" si="3"/>
        <v>116.5991902834008</v>
      </c>
    </row>
    <row r="12" spans="1:24" x14ac:dyDescent="0.3">
      <c r="A12" t="s">
        <v>10</v>
      </c>
      <c r="B12" t="s">
        <v>0</v>
      </c>
      <c r="C12">
        <v>1</v>
      </c>
      <c r="D12" s="15">
        <f t="shared" si="0"/>
        <v>2</v>
      </c>
      <c r="E12">
        <f t="shared" si="1"/>
        <v>48.75</v>
      </c>
      <c r="F12" s="11">
        <f t="shared" si="2"/>
        <v>1.2307692307692308</v>
      </c>
      <c r="G12">
        <v>60</v>
      </c>
      <c r="H12" s="10">
        <f t="shared" si="3"/>
        <v>147.69230769230771</v>
      </c>
    </row>
    <row r="13" spans="1:24" x14ac:dyDescent="0.3">
      <c r="A13" t="s">
        <v>10</v>
      </c>
      <c r="B13" t="s">
        <v>8</v>
      </c>
      <c r="C13">
        <v>1</v>
      </c>
      <c r="D13" s="15">
        <f t="shared" si="0"/>
        <v>2</v>
      </c>
      <c r="E13">
        <f t="shared" si="1"/>
        <v>48.75</v>
      </c>
      <c r="F13" s="11">
        <f t="shared" si="2"/>
        <v>1.2307692307692308</v>
      </c>
      <c r="G13">
        <v>60</v>
      </c>
      <c r="H13" s="10">
        <f t="shared" si="3"/>
        <v>147.69230769230771</v>
      </c>
    </row>
    <row r="14" spans="1:24" ht="15" thickBot="1" x14ac:dyDescent="0.35">
      <c r="A14" t="s">
        <v>10</v>
      </c>
      <c r="B14" t="s">
        <v>9</v>
      </c>
      <c r="C14">
        <v>1</v>
      </c>
      <c r="D14" s="16">
        <f t="shared" si="0"/>
        <v>2</v>
      </c>
      <c r="E14">
        <f t="shared" si="1"/>
        <v>48.75</v>
      </c>
      <c r="F14" s="11">
        <f t="shared" si="2"/>
        <v>1.2307692307692308</v>
      </c>
      <c r="G14">
        <v>60</v>
      </c>
      <c r="H14" s="10">
        <f t="shared" si="3"/>
        <v>147.69230769230771</v>
      </c>
    </row>
    <row r="15" spans="1:24" x14ac:dyDescent="0.3">
      <c r="A15" t="s">
        <v>10</v>
      </c>
      <c r="B15" t="s">
        <v>3</v>
      </c>
      <c r="C15">
        <v>1</v>
      </c>
      <c r="D15" s="14">
        <f t="shared" si="0"/>
        <v>2</v>
      </c>
      <c r="E15">
        <f t="shared" si="1"/>
        <v>48.75</v>
      </c>
      <c r="F15" s="11">
        <f t="shared" si="2"/>
        <v>1.2307692307692308</v>
      </c>
      <c r="G15">
        <v>60</v>
      </c>
      <c r="H15" s="10">
        <f t="shared" si="3"/>
        <v>147.69230769230771</v>
      </c>
    </row>
    <row r="16" spans="1:24" x14ac:dyDescent="0.3">
      <c r="A16" t="s">
        <v>7</v>
      </c>
      <c r="B16" t="s">
        <v>0</v>
      </c>
      <c r="C16">
        <v>1</v>
      </c>
      <c r="D16" s="15">
        <f t="shared" si="0"/>
        <v>2</v>
      </c>
      <c r="E16">
        <f t="shared" si="1"/>
        <v>57.85</v>
      </c>
      <c r="F16" s="11">
        <f t="shared" si="2"/>
        <v>1.0371650821089022</v>
      </c>
      <c r="G16">
        <v>60</v>
      </c>
      <c r="H16" s="10">
        <f t="shared" si="3"/>
        <v>124.45980985306826</v>
      </c>
    </row>
    <row r="17" spans="1:18" x14ac:dyDescent="0.3">
      <c r="A17" t="s">
        <v>7</v>
      </c>
      <c r="B17" t="s">
        <v>8</v>
      </c>
      <c r="C17">
        <v>1</v>
      </c>
      <c r="D17" s="15">
        <f t="shared" si="0"/>
        <v>2</v>
      </c>
      <c r="E17">
        <f t="shared" si="1"/>
        <v>57.85</v>
      </c>
      <c r="F17" s="11">
        <f t="shared" si="2"/>
        <v>1.0371650821089022</v>
      </c>
      <c r="G17">
        <v>60</v>
      </c>
      <c r="H17" s="10">
        <f t="shared" si="3"/>
        <v>124.45980985306826</v>
      </c>
    </row>
    <row r="18" spans="1:18" x14ac:dyDescent="0.3">
      <c r="A18" t="s">
        <v>7</v>
      </c>
      <c r="B18" t="s">
        <v>9</v>
      </c>
      <c r="C18">
        <v>1</v>
      </c>
      <c r="D18" s="15">
        <f t="shared" si="0"/>
        <v>2</v>
      </c>
      <c r="E18">
        <f t="shared" si="1"/>
        <v>57.85</v>
      </c>
      <c r="F18" s="11">
        <f t="shared" si="2"/>
        <v>1.0371650821089022</v>
      </c>
      <c r="G18">
        <v>60</v>
      </c>
      <c r="H18" s="10">
        <f t="shared" si="3"/>
        <v>124.45980985306826</v>
      </c>
    </row>
    <row r="19" spans="1:18" ht="15" thickBot="1" x14ac:dyDescent="0.35">
      <c r="A19" t="s">
        <v>7</v>
      </c>
      <c r="B19" t="s">
        <v>1</v>
      </c>
      <c r="C19">
        <v>1</v>
      </c>
      <c r="D19" s="16">
        <f t="shared" si="0"/>
        <v>2</v>
      </c>
      <c r="E19">
        <f t="shared" si="1"/>
        <v>57.85</v>
      </c>
      <c r="F19" s="11">
        <f t="shared" si="2"/>
        <v>1.0371650821089022</v>
      </c>
      <c r="G19">
        <v>60</v>
      </c>
      <c r="H19" s="10">
        <f t="shared" si="3"/>
        <v>124.45980985306826</v>
      </c>
    </row>
    <row r="20" spans="1:18" x14ac:dyDescent="0.3">
      <c r="A20" t="s">
        <v>7</v>
      </c>
      <c r="B20" t="s">
        <v>3</v>
      </c>
      <c r="C20">
        <v>1</v>
      </c>
      <c r="D20" s="14">
        <f t="shared" si="0"/>
        <v>2</v>
      </c>
      <c r="E20">
        <f t="shared" si="1"/>
        <v>57.85</v>
      </c>
      <c r="F20" s="11">
        <f t="shared" si="2"/>
        <v>1.0371650821089022</v>
      </c>
      <c r="G20">
        <v>60</v>
      </c>
      <c r="H20" s="10">
        <f t="shared" si="3"/>
        <v>124.45980985306826</v>
      </c>
    </row>
    <row r="21" spans="1:18" x14ac:dyDescent="0.3">
      <c r="A21" t="s">
        <v>34</v>
      </c>
      <c r="B21" t="s">
        <v>0</v>
      </c>
      <c r="C21">
        <v>1</v>
      </c>
      <c r="D21" s="15">
        <f t="shared" si="0"/>
        <v>2</v>
      </c>
      <c r="E21">
        <f t="shared" si="1"/>
        <v>65</v>
      </c>
      <c r="F21" s="11">
        <f t="shared" si="2"/>
        <v>0.92307692307692313</v>
      </c>
      <c r="G21">
        <v>60</v>
      </c>
      <c r="H21" s="10">
        <f t="shared" si="3"/>
        <v>110.76923076923077</v>
      </c>
    </row>
    <row r="22" spans="1:18" ht="15" thickBot="1" x14ac:dyDescent="0.35">
      <c r="A22" t="s">
        <v>34</v>
      </c>
      <c r="B22" t="s">
        <v>3</v>
      </c>
      <c r="C22">
        <v>1</v>
      </c>
      <c r="D22" s="16">
        <f t="shared" si="0"/>
        <v>2</v>
      </c>
      <c r="E22">
        <f t="shared" si="1"/>
        <v>65</v>
      </c>
      <c r="F22" s="11">
        <f t="shared" si="2"/>
        <v>0.92307692307692313</v>
      </c>
      <c r="G22">
        <v>60</v>
      </c>
      <c r="H22" s="10">
        <f t="shared" si="3"/>
        <v>110.76923076923077</v>
      </c>
    </row>
    <row r="24" spans="1:18" x14ac:dyDescent="0.3">
      <c r="J24" s="27" t="s">
        <v>38</v>
      </c>
      <c r="K24" s="27"/>
      <c r="L24" s="28" t="s">
        <v>44</v>
      </c>
      <c r="M24" s="28"/>
      <c r="N24" s="28"/>
      <c r="P24" s="33" t="s">
        <v>42</v>
      </c>
      <c r="Q24" s="33"/>
      <c r="R24" s="33"/>
    </row>
    <row r="25" spans="1:18" ht="58.2" x14ac:dyDescent="0.35">
      <c r="A25" s="26" t="s">
        <v>40</v>
      </c>
      <c r="C25" t="s">
        <v>27</v>
      </c>
      <c r="G25" t="s">
        <v>32</v>
      </c>
      <c r="J25" s="21" t="s">
        <v>35</v>
      </c>
      <c r="K25" s="21" t="s">
        <v>36</v>
      </c>
      <c r="L25" s="23" t="s">
        <v>39</v>
      </c>
      <c r="M25" s="23" t="s">
        <v>37</v>
      </c>
      <c r="N25" s="23" t="s">
        <v>36</v>
      </c>
      <c r="P25" s="29" t="s">
        <v>39</v>
      </c>
      <c r="Q25" s="29" t="s">
        <v>37</v>
      </c>
      <c r="R25" s="29" t="s">
        <v>36</v>
      </c>
    </row>
    <row r="26" spans="1:18" ht="18.600000000000001" thickBot="1" x14ac:dyDescent="0.35">
      <c r="A26" s="1" t="s">
        <v>0</v>
      </c>
      <c r="B26" s="2">
        <v>633</v>
      </c>
      <c r="C26" s="10">
        <f>GETPIVOTDATA("Итого",$I$1,"transaction rq",A26)</f>
        <v>637.98207705954587</v>
      </c>
      <c r="D26" s="12">
        <f>1-B26/C26</f>
        <v>7.8091175891777942E-3</v>
      </c>
      <c r="G26" s="20">
        <f t="shared" ref="G26:G32" si="8">C26/3</f>
        <v>212.66069235318196</v>
      </c>
      <c r="H26" s="20">
        <v>211</v>
      </c>
      <c r="I26" s="12">
        <f>1-G26/H26</f>
        <v>-7.8705798729001852E-3</v>
      </c>
      <c r="J26" s="8">
        <v>207</v>
      </c>
      <c r="K26" s="22">
        <f t="shared" ref="K26:K32" si="9">1-G26/J26</f>
        <v>-2.7346339870444325E-2</v>
      </c>
      <c r="L26" s="24">
        <f t="shared" ref="L26:L32" si="10">(C26/3)*3</f>
        <v>637.98207705954587</v>
      </c>
      <c r="M26" s="24">
        <v>644</v>
      </c>
      <c r="N26" s="25">
        <f t="shared" ref="N26:N32" si="11">(1-L26/M26)</f>
        <v>9.3446008392145119E-3</v>
      </c>
      <c r="P26" s="30">
        <f t="shared" ref="P26:P32" si="12">C26*3</f>
        <v>1913.9462311786376</v>
      </c>
      <c r="Q26" s="30">
        <v>1962</v>
      </c>
      <c r="R26" s="31">
        <f t="shared" ref="R26:R32" si="13">(1-P26/Q26)</f>
        <v>2.4492236912009413E-2</v>
      </c>
    </row>
    <row r="27" spans="1:18" ht="18.600000000000001" thickBot="1" x14ac:dyDescent="0.35">
      <c r="A27" s="1" t="s">
        <v>8</v>
      </c>
      <c r="B27" s="2">
        <v>423</v>
      </c>
      <c r="C27" s="10">
        <f t="shared" ref="C27:C32" si="14">GETPIVOTDATA("Итого",$I$1,"transaction rq",A27)</f>
        <v>410.61365600691443</v>
      </c>
      <c r="D27" s="12">
        <f t="shared" ref="D27:D33" si="15">1-B27/C27</f>
        <v>-3.0165445819651415E-2</v>
      </c>
      <c r="G27" s="20">
        <f t="shared" si="8"/>
        <v>136.87121866897147</v>
      </c>
      <c r="H27" s="20">
        <v>141</v>
      </c>
      <c r="I27" s="12">
        <f t="shared" ref="I27:I32" si="16">1-G27/H27</f>
        <v>2.9282137099493122E-2</v>
      </c>
      <c r="J27" s="8">
        <v>134</v>
      </c>
      <c r="K27" s="22">
        <f t="shared" si="9"/>
        <v>-2.1427004992324417E-2</v>
      </c>
      <c r="L27" s="24">
        <f t="shared" si="10"/>
        <v>410.61365600691443</v>
      </c>
      <c r="M27" s="24">
        <v>414</v>
      </c>
      <c r="N27" s="25">
        <f t="shared" si="11"/>
        <v>8.1795748625255182E-3</v>
      </c>
      <c r="P27" s="30">
        <f t="shared" si="12"/>
        <v>1231.8409680207433</v>
      </c>
      <c r="Q27" s="30">
        <v>1264</v>
      </c>
      <c r="R27" s="31">
        <f t="shared" si="13"/>
        <v>2.5442272135487887E-2</v>
      </c>
    </row>
    <row r="28" spans="1:18" ht="18.600000000000001" thickBot="1" x14ac:dyDescent="0.35">
      <c r="A28" s="1" t="s">
        <v>9</v>
      </c>
      <c r="B28" s="2">
        <v>377</v>
      </c>
      <c r="C28" s="10">
        <f t="shared" si="14"/>
        <v>410.61365600691443</v>
      </c>
      <c r="D28" s="12">
        <f t="shared" si="15"/>
        <v>8.1862002189104999E-2</v>
      </c>
      <c r="G28" s="20">
        <f t="shared" si="8"/>
        <v>136.87121866897147</v>
      </c>
      <c r="H28" s="20">
        <v>126</v>
      </c>
      <c r="I28" s="12">
        <f t="shared" si="16"/>
        <v>-8.6279513245805184E-2</v>
      </c>
      <c r="J28" s="8">
        <v>134</v>
      </c>
      <c r="K28" s="22">
        <f t="shared" si="9"/>
        <v>-2.1427004992324417E-2</v>
      </c>
      <c r="L28" s="24">
        <f t="shared" si="10"/>
        <v>410.61365600691443</v>
      </c>
      <c r="M28" s="24">
        <v>413</v>
      </c>
      <c r="N28" s="25">
        <f t="shared" si="11"/>
        <v>5.7780726224831991E-3</v>
      </c>
      <c r="P28" s="30">
        <f t="shared" si="12"/>
        <v>1231.8409680207433</v>
      </c>
      <c r="Q28" s="30">
        <v>1260</v>
      </c>
      <c r="R28" s="31">
        <f t="shared" si="13"/>
        <v>2.2348438078775179E-2</v>
      </c>
    </row>
    <row r="29" spans="1:18" ht="18.600000000000001" thickBot="1" x14ac:dyDescent="0.35">
      <c r="A29" s="1" t="s">
        <v>1</v>
      </c>
      <c r="B29" s="2">
        <v>263</v>
      </c>
      <c r="C29" s="10">
        <f t="shared" si="14"/>
        <v>262.92134831460669</v>
      </c>
      <c r="D29" s="12">
        <f t="shared" si="15"/>
        <v>-2.9914529914543131E-4</v>
      </c>
      <c r="G29" s="20">
        <f t="shared" si="8"/>
        <v>87.640449438202225</v>
      </c>
      <c r="H29" s="20">
        <v>88</v>
      </c>
      <c r="I29" s="12">
        <f t="shared" si="16"/>
        <v>4.0858018386110695E-3</v>
      </c>
      <c r="J29" s="8">
        <v>86</v>
      </c>
      <c r="K29" s="22">
        <f t="shared" si="9"/>
        <v>-1.907499346746766E-2</v>
      </c>
      <c r="L29" s="24">
        <f t="shared" si="10"/>
        <v>262.92134831460669</v>
      </c>
      <c r="M29" s="24">
        <v>263</v>
      </c>
      <c r="N29" s="25">
        <f t="shared" si="11"/>
        <v>2.9905583799738622E-4</v>
      </c>
      <c r="P29" s="30">
        <f t="shared" si="12"/>
        <v>788.76404494382007</v>
      </c>
      <c r="Q29" s="30">
        <v>807</v>
      </c>
      <c r="R29" s="31">
        <f t="shared" si="13"/>
        <v>2.2597218161313437E-2</v>
      </c>
    </row>
    <row r="30" spans="1:18" ht="18.600000000000001" thickBot="1" x14ac:dyDescent="0.35">
      <c r="A30" s="1" t="s">
        <v>2</v>
      </c>
      <c r="B30" s="2">
        <v>239</v>
      </c>
      <c r="C30" s="10">
        <f t="shared" si="14"/>
        <v>255.06072874493924</v>
      </c>
      <c r="D30" s="12">
        <f t="shared" si="15"/>
        <v>6.2968253968253896E-2</v>
      </c>
      <c r="G30" s="20">
        <f t="shared" si="8"/>
        <v>85.020242914979747</v>
      </c>
      <c r="H30" s="20">
        <v>80</v>
      </c>
      <c r="I30" s="12">
        <f t="shared" si="16"/>
        <v>-6.2753036437246834E-2</v>
      </c>
      <c r="J30" s="8">
        <v>84</v>
      </c>
      <c r="K30" s="22">
        <f t="shared" si="9"/>
        <v>-1.2145748987854033E-2</v>
      </c>
      <c r="L30" s="24">
        <f t="shared" si="10"/>
        <v>255.06072874493924</v>
      </c>
      <c r="M30" s="24">
        <v>257</v>
      </c>
      <c r="N30" s="25">
        <f t="shared" si="11"/>
        <v>7.5458025488746028E-3</v>
      </c>
      <c r="P30" s="30">
        <f t="shared" si="12"/>
        <v>765.18218623481766</v>
      </c>
      <c r="Q30" s="30">
        <v>782</v>
      </c>
      <c r="R30" s="31">
        <f t="shared" si="13"/>
        <v>2.1506155709951846E-2</v>
      </c>
    </row>
    <row r="31" spans="1:18" ht="18.600000000000001" thickBot="1" x14ac:dyDescent="0.35">
      <c r="A31" s="1" t="s">
        <v>33</v>
      </c>
      <c r="B31" s="2">
        <v>110</v>
      </c>
      <c r="C31" s="10">
        <f>GETPIVOTDATA("Итого",$I$1,"transaction rq",A31)</f>
        <v>116.5991902834008</v>
      </c>
      <c r="D31" s="12">
        <f t="shared" si="15"/>
        <v>5.6597222222222188E-2</v>
      </c>
      <c r="G31" s="20">
        <f>C31/3</f>
        <v>38.866396761133601</v>
      </c>
      <c r="H31" s="20">
        <v>37</v>
      </c>
      <c r="I31" s="12">
        <f t="shared" si="16"/>
        <v>-5.0443155706313636E-2</v>
      </c>
      <c r="J31" s="8">
        <v>39</v>
      </c>
      <c r="K31" s="22">
        <f t="shared" si="9"/>
        <v>3.4257240734973937E-3</v>
      </c>
      <c r="L31" s="24">
        <f t="shared" si="10"/>
        <v>116.5991902834008</v>
      </c>
      <c r="M31" s="24">
        <v>120</v>
      </c>
      <c r="N31" s="25">
        <f t="shared" si="11"/>
        <v>2.8340080971659964E-2</v>
      </c>
      <c r="P31" s="30">
        <f t="shared" si="12"/>
        <v>349.79757085020242</v>
      </c>
      <c r="Q31" s="30">
        <v>360</v>
      </c>
      <c r="R31" s="31">
        <f t="shared" si="13"/>
        <v>2.8340080971659964E-2</v>
      </c>
    </row>
    <row r="32" spans="1:18" ht="18.600000000000001" thickBot="1" x14ac:dyDescent="0.35">
      <c r="A32" s="1" t="s">
        <v>3</v>
      </c>
      <c r="B32" s="2">
        <v>633</v>
      </c>
      <c r="C32" s="10">
        <f t="shared" si="14"/>
        <v>637.98207705954587</v>
      </c>
      <c r="D32" s="12">
        <f t="shared" si="15"/>
        <v>7.8091175891777942E-3</v>
      </c>
      <c r="G32" s="20">
        <f t="shared" si="8"/>
        <v>212.66069235318196</v>
      </c>
      <c r="H32" s="20">
        <v>211</v>
      </c>
      <c r="I32" s="12">
        <f t="shared" si="16"/>
        <v>-7.8705798729001852E-3</v>
      </c>
      <c r="J32" s="8">
        <v>207</v>
      </c>
      <c r="K32" s="22">
        <f t="shared" si="9"/>
        <v>-2.7346339870444325E-2</v>
      </c>
      <c r="L32" s="24">
        <f t="shared" si="10"/>
        <v>637.98207705954587</v>
      </c>
      <c r="M32" s="24">
        <v>644</v>
      </c>
      <c r="N32" s="25">
        <f t="shared" si="11"/>
        <v>9.3446008392145119E-3</v>
      </c>
      <c r="P32" s="30">
        <f t="shared" si="12"/>
        <v>1913.9462311786376</v>
      </c>
      <c r="Q32" s="30">
        <v>1966</v>
      </c>
      <c r="R32" s="31">
        <f t="shared" si="13"/>
        <v>2.6476993296725482E-2</v>
      </c>
    </row>
    <row r="33" spans="1:14" ht="18.600000000000001" thickBot="1" x14ac:dyDescent="0.35">
      <c r="A33" s="3" t="s">
        <v>4</v>
      </c>
      <c r="B33" s="2">
        <v>2678</v>
      </c>
      <c r="C33" s="13">
        <f>SUM(C26:C32)</f>
        <v>2731.7727334758674</v>
      </c>
      <c r="D33" s="12">
        <f t="shared" si="15"/>
        <v>1.9684189982908218E-2</v>
      </c>
      <c r="E33" s="4"/>
    </row>
    <row r="34" spans="1:14" x14ac:dyDescent="0.3">
      <c r="L34" s="32" t="s">
        <v>43</v>
      </c>
      <c r="M34" s="32"/>
      <c r="N34" s="32"/>
    </row>
    <row r="35" spans="1:14" ht="28.8" x14ac:dyDescent="0.3">
      <c r="L35" s="34" t="s">
        <v>39</v>
      </c>
      <c r="M35" s="34" t="s">
        <v>37</v>
      </c>
      <c r="N35" s="34" t="s">
        <v>36</v>
      </c>
    </row>
    <row r="36" spans="1:14" x14ac:dyDescent="0.3">
      <c r="L36" s="35">
        <f t="shared" ref="L36:L42" si="17">(C26/3)*4</f>
        <v>850.64276941272783</v>
      </c>
      <c r="M36" s="35">
        <v>705</v>
      </c>
      <c r="N36" s="36">
        <f t="shared" ref="N36:N42" si="18">(1-L36/M36)</f>
        <v>-0.20658548852869196</v>
      </c>
    </row>
    <row r="37" spans="1:14" x14ac:dyDescent="0.3">
      <c r="L37" s="35">
        <f t="shared" si="17"/>
        <v>547.48487467588586</v>
      </c>
      <c r="M37" s="35">
        <v>399</v>
      </c>
      <c r="N37" s="36">
        <f t="shared" si="18"/>
        <v>-0.37214254304733307</v>
      </c>
    </row>
    <row r="38" spans="1:14" x14ac:dyDescent="0.3">
      <c r="L38" s="35">
        <f t="shared" si="17"/>
        <v>547.48487467588586</v>
      </c>
      <c r="M38" s="35">
        <v>398</v>
      </c>
      <c r="N38" s="36">
        <f t="shared" si="18"/>
        <v>-0.37559013737659774</v>
      </c>
    </row>
    <row r="39" spans="1:14" x14ac:dyDescent="0.3">
      <c r="L39" s="35">
        <f t="shared" si="17"/>
        <v>350.5617977528089</v>
      </c>
      <c r="M39" s="35">
        <v>242</v>
      </c>
      <c r="N39" s="36">
        <f t="shared" si="18"/>
        <v>-0.44860247005292941</v>
      </c>
    </row>
    <row r="40" spans="1:14" x14ac:dyDescent="0.3">
      <c r="L40" s="35">
        <f t="shared" si="17"/>
        <v>340.08097165991899</v>
      </c>
      <c r="M40" s="35">
        <v>262</v>
      </c>
      <c r="N40" s="36">
        <f t="shared" si="18"/>
        <v>-0.2980189758012175</v>
      </c>
    </row>
    <row r="41" spans="1:14" x14ac:dyDescent="0.3">
      <c r="L41" s="35">
        <f t="shared" si="17"/>
        <v>155.4655870445344</v>
      </c>
      <c r="M41" s="35">
        <v>151</v>
      </c>
      <c r="N41" s="36">
        <f t="shared" si="18"/>
        <v>-2.9573424135989512E-2</v>
      </c>
    </row>
    <row r="42" spans="1:14" x14ac:dyDescent="0.3">
      <c r="L42" s="35">
        <f t="shared" si="17"/>
        <v>850.64276941272783</v>
      </c>
      <c r="M42" s="35">
        <v>704</v>
      </c>
      <c r="N42" s="36">
        <f t="shared" si="18"/>
        <v>-0.20829938837035211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>
      <selection activeCell="F7" sqref="F7"/>
    </sheetView>
  </sheetViews>
  <sheetFormatPr defaultColWidth="8.6640625" defaultRowHeight="14.4" x14ac:dyDescent="0.3"/>
  <cols>
    <col min="2" max="2" width="4.44140625" customWidth="1"/>
    <col min="3" max="4" width="9.109375" hidden="1" customWidth="1"/>
    <col min="5" max="5" width="20.44140625" customWidth="1"/>
    <col min="6" max="6" width="18.664062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1пк</cp:lastModifiedBy>
  <dcterms:created xsi:type="dcterms:W3CDTF">2015-06-05T18:19:34Z</dcterms:created>
  <dcterms:modified xsi:type="dcterms:W3CDTF">2020-09-27T13:10:50Z</dcterms:modified>
</cp:coreProperties>
</file>