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uad\Desktop\"/>
    </mc:Choice>
  </mc:AlternateContent>
  <bookViews>
    <workbookView xWindow="0" yWindow="0" windowWidth="16170" windowHeight="6120"/>
  </bookViews>
  <sheets>
    <sheet name="spatial_ref_sys_WKT" sheetId="1" r:id="rId1"/>
  </sheets>
  <calcPr calcId="162913"/>
</workbook>
</file>

<file path=xl/calcChain.xml><?xml version="1.0" encoding="utf-8"?>
<calcChain xmlns="http://schemas.openxmlformats.org/spreadsheetml/2006/main">
  <c r="C3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4" i="1"/>
  <c r="C55" i="1"/>
  <c r="C56" i="1"/>
  <c r="C60" i="1"/>
  <c r="C62" i="1"/>
  <c r="C70" i="1"/>
  <c r="C71" i="1"/>
  <c r="C72" i="1"/>
  <c r="C91" i="1"/>
  <c r="C94" i="1"/>
  <c r="C96" i="1"/>
  <c r="C108" i="1"/>
  <c r="C118" i="1"/>
  <c r="C128" i="1"/>
  <c r="C129" i="1"/>
  <c r="C130" i="1"/>
  <c r="C137" i="1"/>
  <c r="C146" i="1"/>
  <c r="C153" i="1"/>
  <c r="C156" i="1"/>
  <c r="C158" i="1"/>
  <c r="C164" i="1"/>
  <c r="C165" i="1"/>
  <c r="C171" i="1"/>
  <c r="C173" i="1"/>
  <c r="C179" i="1"/>
  <c r="C182" i="1"/>
  <c r="C197" i="1"/>
  <c r="C198" i="1"/>
  <c r="C199" i="1"/>
  <c r="C206" i="1"/>
  <c r="C207" i="1"/>
  <c r="C208" i="1"/>
  <c r="C209" i="1"/>
  <c r="C210" i="1"/>
  <c r="C216" i="1"/>
  <c r="C218" i="1"/>
  <c r="C224" i="1"/>
  <c r="C225" i="1"/>
  <c r="C226" i="1"/>
  <c r="C229" i="1"/>
  <c r="C233" i="1"/>
  <c r="C235" i="1"/>
  <c r="C237" i="1"/>
  <c r="C241" i="1"/>
  <c r="C243" i="1"/>
  <c r="C252" i="1"/>
  <c r="C257" i="1"/>
  <c r="C258" i="1"/>
  <c r="C260" i="1"/>
  <c r="C267" i="1"/>
  <c r="C268" i="1"/>
  <c r="C269" i="1"/>
  <c r="C302" i="1"/>
  <c r="C321" i="1"/>
  <c r="C326" i="1"/>
  <c r="C327" i="1"/>
  <c r="C331" i="1"/>
  <c r="C335" i="1"/>
  <c r="C340" i="1"/>
  <c r="C347" i="1"/>
  <c r="C348" i="1"/>
  <c r="C351" i="1"/>
  <c r="C354" i="1"/>
  <c r="C355" i="1"/>
  <c r="C356" i="1"/>
  <c r="C389" i="1"/>
  <c r="C392" i="1"/>
  <c r="C393" i="1"/>
  <c r="C396" i="1"/>
  <c r="C401" i="1"/>
  <c r="C403" i="1"/>
  <c r="C407" i="1"/>
  <c r="C410" i="1"/>
  <c r="C423" i="1"/>
  <c r="C424" i="1"/>
  <c r="C428" i="1"/>
  <c r="C429" i="1"/>
  <c r="C433" i="1"/>
  <c r="C436" i="1"/>
  <c r="C437" i="1"/>
  <c r="C438" i="1"/>
  <c r="C439" i="1"/>
  <c r="C440" i="1"/>
  <c r="C441" i="1"/>
  <c r="C444" i="1"/>
  <c r="C461" i="1"/>
  <c r="C462" i="1"/>
  <c r="C464" i="1"/>
  <c r="C469" i="1"/>
  <c r="C470" i="1"/>
  <c r="C474" i="1"/>
  <c r="C475" i="1"/>
  <c r="C476" i="1"/>
  <c r="C478" i="1"/>
  <c r="C480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500" i="1"/>
  <c r="C501" i="1"/>
  <c r="C502" i="1"/>
  <c r="C503" i="1"/>
  <c r="C506" i="1"/>
  <c r="C507" i="1"/>
  <c r="C508" i="1"/>
  <c r="C509" i="1"/>
  <c r="C510" i="1"/>
  <c r="C511" i="1"/>
  <c r="C512" i="1"/>
  <c r="C513" i="1"/>
  <c r="C514" i="1"/>
  <c r="C515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3" i="1"/>
  <c r="C573" i="1"/>
  <c r="C579" i="1"/>
  <c r="C583" i="1"/>
  <c r="C592" i="1"/>
  <c r="C599" i="1"/>
  <c r="C603" i="1"/>
  <c r="C605" i="1"/>
  <c r="C613" i="1"/>
  <c r="C614" i="1"/>
  <c r="C615" i="1"/>
  <c r="C616" i="1"/>
  <c r="C617" i="1"/>
  <c r="C618" i="1"/>
  <c r="C619" i="1"/>
  <c r="C620" i="1"/>
  <c r="C621" i="1"/>
  <c r="C632" i="1"/>
  <c r="C642" i="1"/>
  <c r="C652" i="1"/>
  <c r="C658" i="1"/>
  <c r="C662" i="1"/>
  <c r="C672" i="1"/>
  <c r="C681" i="1"/>
  <c r="C682" i="1"/>
  <c r="C683" i="1"/>
  <c r="C686" i="1"/>
  <c r="C694" i="1"/>
  <c r="C707" i="1"/>
  <c r="C711" i="1"/>
  <c r="C717" i="1"/>
  <c r="C721" i="1"/>
  <c r="C722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1" i="1"/>
  <c r="C812" i="1"/>
  <c r="C814" i="1"/>
  <c r="C815" i="1"/>
  <c r="C816" i="1"/>
  <c r="C817" i="1"/>
  <c r="C818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7" i="1"/>
  <c r="C1097" i="1"/>
  <c r="C1107" i="1"/>
  <c r="C1127" i="1"/>
  <c r="C1321" i="1"/>
  <c r="C1366" i="1"/>
  <c r="C1383" i="1"/>
  <c r="C1401" i="1"/>
  <c r="C1418" i="1"/>
  <c r="C1478" i="1"/>
  <c r="C1491" i="1"/>
  <c r="C1492" i="1"/>
  <c r="C1493" i="1"/>
  <c r="C1498" i="1"/>
  <c r="C1516" i="1"/>
  <c r="C1517" i="1"/>
  <c r="C1518" i="1"/>
  <c r="C1531" i="1"/>
  <c r="C1539" i="1"/>
  <c r="C1546" i="1"/>
  <c r="C1547" i="1"/>
  <c r="C1548" i="1"/>
  <c r="C1549" i="1"/>
  <c r="C1550" i="1"/>
  <c r="C1551" i="1"/>
  <c r="C1575" i="1"/>
  <c r="C1576" i="1"/>
  <c r="C1577" i="1"/>
  <c r="C1579" i="1"/>
  <c r="C1580" i="1"/>
  <c r="C1581" i="1"/>
  <c r="C1585" i="1"/>
  <c r="C1587" i="1"/>
  <c r="C1588" i="1"/>
  <c r="C1589" i="1"/>
  <c r="C1590" i="1"/>
  <c r="C1593" i="1"/>
  <c r="C1595" i="1"/>
  <c r="C1596" i="1"/>
  <c r="C1607" i="1"/>
  <c r="C1611" i="1"/>
  <c r="C1612" i="1"/>
  <c r="C1613" i="1"/>
  <c r="C1617" i="1"/>
  <c r="C1646" i="1"/>
  <c r="C1668" i="1"/>
  <c r="C1674" i="1"/>
  <c r="C1676" i="1"/>
  <c r="C1681" i="1"/>
  <c r="C1682" i="1"/>
  <c r="C1685" i="1"/>
  <c r="C1696" i="1"/>
  <c r="C1706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19" i="1"/>
  <c r="C1820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9" i="1"/>
  <c r="C1848" i="1"/>
  <c r="C1851" i="1"/>
  <c r="C1858" i="1"/>
  <c r="C1860" i="1"/>
  <c r="C1862" i="1"/>
  <c r="C1866" i="1"/>
  <c r="C1867" i="1"/>
  <c r="C1877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9" i="1"/>
  <c r="C1910" i="1"/>
  <c r="C1911" i="1"/>
  <c r="C1912" i="1"/>
  <c r="C1913" i="1"/>
  <c r="C1914" i="1"/>
  <c r="C1915" i="1"/>
  <c r="C1918" i="1"/>
  <c r="C1922" i="1"/>
  <c r="C1923" i="1"/>
  <c r="C1924" i="1"/>
  <c r="C1925" i="1"/>
  <c r="C1926" i="1"/>
  <c r="C1927" i="1"/>
  <c r="C1928" i="1"/>
  <c r="C1931" i="1"/>
  <c r="C1932" i="1"/>
  <c r="C1933" i="1"/>
  <c r="C1934" i="1"/>
  <c r="C1935" i="1"/>
  <c r="C1936" i="1"/>
  <c r="C1937" i="1"/>
  <c r="C1938" i="1"/>
  <c r="C1939" i="1"/>
  <c r="C1945" i="1"/>
  <c r="C1949" i="1"/>
  <c r="C1950" i="1"/>
  <c r="C1951" i="1"/>
  <c r="C1952" i="1"/>
  <c r="C1953" i="1"/>
  <c r="C1955" i="1"/>
  <c r="C1963" i="1"/>
  <c r="C1969" i="1"/>
  <c r="C1970" i="1"/>
  <c r="C1971" i="1"/>
  <c r="C1972" i="1"/>
  <c r="C1973" i="1"/>
  <c r="C1981" i="1"/>
  <c r="C2008" i="1"/>
  <c r="C2033" i="1"/>
  <c r="C2051" i="1"/>
  <c r="C2060" i="1"/>
  <c r="C2082" i="1"/>
  <c r="C2085" i="1"/>
  <c r="C2089" i="1"/>
  <c r="C2090" i="1"/>
  <c r="C2095" i="1"/>
  <c r="C2097" i="1"/>
  <c r="C2119" i="1"/>
  <c r="C2247" i="1"/>
  <c r="C2253" i="1"/>
  <c r="C2254" i="1"/>
  <c r="C2255" i="1"/>
  <c r="C2256" i="1"/>
  <c r="C2257" i="1"/>
  <c r="C2258" i="1"/>
  <c r="C2259" i="1"/>
  <c r="C2272" i="1"/>
  <c r="C2276" i="1"/>
  <c r="C2280" i="1"/>
  <c r="C2283" i="1"/>
  <c r="C2292" i="1"/>
  <c r="C2293" i="1"/>
  <c r="C2294" i="1"/>
  <c r="C2295" i="1"/>
  <c r="C2296" i="1"/>
  <c r="C2297" i="1"/>
  <c r="C2298" i="1"/>
  <c r="C2299" i="1"/>
  <c r="C2305" i="1"/>
  <c r="C2308" i="1"/>
  <c r="C2309" i="1"/>
  <c r="C2317" i="1"/>
  <c r="C2318" i="1"/>
  <c r="C2319" i="1"/>
  <c r="C2320" i="1"/>
  <c r="C2322" i="1"/>
  <c r="C2323" i="1"/>
  <c r="C2325" i="1"/>
  <c r="C2327" i="1"/>
  <c r="C2332" i="1"/>
  <c r="C2333" i="1"/>
  <c r="C2335" i="1"/>
  <c r="C2355" i="1"/>
  <c r="C2376" i="1"/>
  <c r="C2386" i="1"/>
  <c r="C2392" i="1"/>
  <c r="C2395" i="1"/>
  <c r="C2396" i="1"/>
  <c r="C2397" i="1"/>
  <c r="C2398" i="1"/>
  <c r="C2407" i="1"/>
  <c r="C2408" i="1"/>
  <c r="C2409" i="1"/>
  <c r="C2410" i="1"/>
  <c r="C2412" i="1"/>
  <c r="C2413" i="1"/>
  <c r="C2416" i="1"/>
  <c r="C2430" i="1"/>
  <c r="C2431" i="1"/>
  <c r="C2436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2" i="1"/>
  <c r="C2483" i="1"/>
  <c r="C2484" i="1"/>
  <c r="C2485" i="1"/>
  <c r="C2486" i="1"/>
  <c r="C2487" i="1"/>
  <c r="C2488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7" i="1"/>
  <c r="C2658" i="1"/>
  <c r="C2659" i="1"/>
  <c r="C2661" i="1"/>
  <c r="C2662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9" i="1"/>
  <c r="C2716" i="1"/>
  <c r="C2719" i="1"/>
  <c r="C2749" i="1"/>
  <c r="C2759" i="1"/>
  <c r="C2760" i="1"/>
  <c r="C2769" i="1"/>
  <c r="C2789" i="1"/>
  <c r="C2795" i="1"/>
  <c r="C2796" i="1"/>
  <c r="C2797" i="1"/>
  <c r="C2807" i="1"/>
  <c r="C2808" i="1"/>
  <c r="C2815" i="1"/>
  <c r="C2816" i="1"/>
  <c r="C2817" i="1"/>
  <c r="C2818" i="1"/>
  <c r="C2845" i="1"/>
  <c r="C2846" i="1"/>
  <c r="C2848" i="1"/>
  <c r="C2849" i="1"/>
  <c r="C2850" i="1"/>
  <c r="C2865" i="1"/>
  <c r="C2877" i="1"/>
  <c r="C2878" i="1"/>
  <c r="C2879" i="1"/>
  <c r="C2880" i="1"/>
  <c r="C2881" i="1"/>
  <c r="C2887" i="1"/>
  <c r="C2889" i="1"/>
  <c r="C2890" i="1"/>
  <c r="C2891" i="1"/>
  <c r="C2892" i="1"/>
  <c r="C2893" i="1"/>
  <c r="C2894" i="1"/>
  <c r="C2895" i="1"/>
  <c r="C2896" i="1"/>
  <c r="C2897" i="1"/>
  <c r="C2903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7" i="1"/>
  <c r="C2946" i="1"/>
  <c r="C2955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3004" i="1"/>
  <c r="C3005" i="1"/>
  <c r="C3006" i="1"/>
  <c r="C3007" i="1"/>
  <c r="C3008" i="1"/>
  <c r="C3009" i="1"/>
  <c r="C3010" i="1"/>
  <c r="C3011" i="1"/>
  <c r="C3012" i="1"/>
  <c r="C3013" i="1"/>
  <c r="C3015" i="1"/>
  <c r="C3022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4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3" i="1"/>
  <c r="C3355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3" i="1"/>
  <c r="C3454" i="1"/>
  <c r="C3455" i="1"/>
  <c r="C3456" i="1"/>
  <c r="C3457" i="1"/>
  <c r="C3458" i="1"/>
  <c r="C3460" i="1"/>
  <c r="C3461" i="1"/>
  <c r="C3462" i="1"/>
  <c r="C3463" i="1"/>
  <c r="C3464" i="1"/>
  <c r="C3465" i="1"/>
  <c r="C3466" i="1"/>
  <c r="C3473" i="1"/>
  <c r="C3474" i="1"/>
  <c r="C3475" i="1"/>
  <c r="C3476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5" i="1"/>
  <c r="C3826" i="1"/>
  <c r="C3827" i="1"/>
  <c r="C3828" i="1"/>
  <c r="C3829" i="1"/>
  <c r="C3830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7" i="1"/>
  <c r="C3858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900" i="1"/>
  <c r="C3909" i="1"/>
  <c r="C3926" i="1"/>
  <c r="C3935" i="1"/>
  <c r="C3944" i="1"/>
  <c r="C3961" i="1"/>
  <c r="C3970" i="1"/>
  <c r="C3979" i="1"/>
  <c r="C3988" i="1"/>
  <c r="C3997" i="1"/>
  <c r="C4006" i="1"/>
  <c r="C4015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133" i="1"/>
  <c r="C4143" i="1"/>
  <c r="C4213" i="1"/>
  <c r="C4232" i="1"/>
  <c r="C4267" i="1"/>
  <c r="C4268" i="1"/>
  <c r="C4269" i="1"/>
  <c r="C4278" i="1"/>
  <c r="C4282" i="1"/>
  <c r="C4293" i="1"/>
  <c r="C4300" i="1"/>
  <c r="C4313" i="1"/>
  <c r="C4356" i="1"/>
  <c r="C4363" i="1"/>
  <c r="C4370" i="1"/>
  <c r="C4371" i="1"/>
  <c r="C4372" i="1"/>
  <c r="C4373" i="1"/>
  <c r="C4374" i="1"/>
  <c r="C4381" i="1"/>
  <c r="C4383" i="1"/>
  <c r="C4408" i="1"/>
  <c r="C4410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52" i="1"/>
  <c r="C4560" i="1"/>
  <c r="C4561" i="1"/>
  <c r="C4562" i="1"/>
  <c r="C4563" i="1"/>
  <c r="C4564" i="1"/>
  <c r="C4565" i="1"/>
  <c r="C4566" i="1"/>
  <c r="C4567" i="1"/>
  <c r="C4569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702" i="1"/>
  <c r="C4703" i="1"/>
  <c r="C4720" i="1"/>
  <c r="C4741" i="1"/>
  <c r="C4747" i="1"/>
  <c r="C4756" i="1"/>
  <c r="C4760" i="1"/>
  <c r="C4765" i="1"/>
  <c r="C4815" i="1"/>
  <c r="C4825" i="1"/>
  <c r="C4835" i="1"/>
  <c r="C4845" i="1"/>
  <c r="C4885" i="1"/>
  <c r="C4896" i="1"/>
  <c r="C4898" i="1"/>
  <c r="C4904" i="1"/>
  <c r="C4921" i="1"/>
  <c r="C4922" i="1"/>
  <c r="C4926" i="1"/>
  <c r="C4927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61" i="1"/>
  <c r="C4962" i="1"/>
  <c r="C4963" i="1"/>
  <c r="C4964" i="1"/>
  <c r="C4971" i="1"/>
  <c r="C4972" i="1"/>
  <c r="C4973" i="1"/>
  <c r="C4974" i="1"/>
  <c r="C4975" i="1"/>
  <c r="C4978" i="1"/>
  <c r="C4979" i="1"/>
  <c r="C4980" i="1"/>
  <c r="C4981" i="1"/>
  <c r="C4982" i="1"/>
  <c r="C4983" i="1"/>
  <c r="C4984" i="1"/>
  <c r="C4985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203" i="1"/>
  <c r="C5214" i="1"/>
  <c r="C5225" i="1"/>
  <c r="C5236" i="1"/>
  <c r="C5247" i="1"/>
  <c r="C5258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9" i="1"/>
  <c r="C5621" i="1"/>
  <c r="C5622" i="1"/>
  <c r="C5623" i="1"/>
  <c r="C5624" i="1"/>
  <c r="C5706" i="1"/>
  <c r="C5725" i="1"/>
  <c r="C5727" i="1"/>
  <c r="C5728" i="1"/>
  <c r="C5729" i="1"/>
  <c r="C5730" i="1"/>
  <c r="C5736" i="1"/>
  <c r="C5737" i="1"/>
  <c r="C5738" i="1"/>
</calcChain>
</file>

<file path=xl/sharedStrings.xml><?xml version="1.0" encoding="utf-8"?>
<sst xmlns="http://schemas.openxmlformats.org/spreadsheetml/2006/main" count="9094" uniqueCount="8340">
  <si>
    <t>GEOGCS["HD1909",DATUM["Hungarian_Datum_1909",SPHEROID["Bessel 1841",6377397.155,299.1528128,AUTHORITY["EPSG","7004"]],TOWGS84[595.48,121.69,515.35,4.115,-2.9383,0.853,-3.408],AUTHORITY["EPSG","1024"]],PRIMEM["Greenwich",0,AUTHORITY["EPSG","8901"]],UNIT["degree",0.0174532925199433,AUTHORITY["EPSG","9122"]],AUTHORITY["EPSG","3819"]]</t>
  </si>
  <si>
    <t xml:space="preserve">+proj=longlat +ellps=bessel +towgs84=595.48,121.69,515.35,4.115,-2.9383,0.853,-3.408 +no_defs </t>
  </si>
  <si>
    <t>GEOGCS["TWD67",DATUM["Taiwan_Datum_1967",SPHEROID["GRS 1967 Modified",6378160,298.25,AUTHORITY["EPSG","7050"]],AUTHORITY["EPSG","1025"]],PRIMEM["Greenwich",0,AUTHORITY["EPSG","8901"]],UNIT["degree",0.0174532925199433,AUTHORITY["EPSG","9122"]],AUTHORITY["EPSG","3821"]]</t>
  </si>
  <si>
    <t>GEOGCS["TWD97",DATUM["Taiwan_Datum_1997",SPHEROID["GRS 1980",6378137,298.257222101,AUTHORITY["EPSG","7019"]],TOWGS84[0,0,0,0,0,0,0],AUTHORITY["EPSG","1026"]],PRIMEM["Greenwich",0,AUTHORITY["EPSG","8901"]],UNIT["degree",0.0174532925199433,AUTHORITY["EPSG","9122"]],AUTHORITY["EPSG","3824"]]</t>
  </si>
  <si>
    <t xml:space="preserve">+proj=longlat +ellps=GRS80 +towgs84=0,0,0,0,0,0,0 +no_defs </t>
  </si>
  <si>
    <t>GEOGCS["IGRS",DATUM["Iraqi_Geospatial_Reference_System",SPHEROID["GRS 1980",6378137,298.257222101,AUTHORITY["EPSG","7019"]],TOWGS84[0,0,0,0,0,0,0],AUTHORITY["EPSG","1029"]],PRIMEM["Greenwich",0,AUTHORITY["EPSG","8901"]],UNIT["degree",0.0174532925199433,AUTHORITY["EPSG","9122"]],AUTHORITY["EPSG","3889"]]</t>
  </si>
  <si>
    <t>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</t>
  </si>
  <si>
    <t xml:space="preserve">+proj=longlat +ellps=bessel +towgs84=682,-203,480,0,0,0,0 +no_defs </t>
  </si>
  <si>
    <t>GEOGCS["Unknown datum based upon the Airy 1830 ellipsoid",DATUM["Not_specified_based_on_Airy_1830_ellipsoid",SPHEROID["Airy 1830",6377563.396,299.3249646,AUTHORITY["EPSG","7001"]],AUTHORITY["EPSG","6001"]],PRIMEM["Greenwich",0,AUTHORITY["EPSG","8901"]],UNIT["degree",0.0174532925199433,AUTHORITY["EPSG","9122"]],AUTHORITY["EPSG","4001"]]</t>
  </si>
  <si>
    <t>GEOGCS["Unknown datum based upon the Airy Modified 1849 ellipsoid",DATUM["Not_specified_based_on_Airy_Modified_1849_ellipsoid",SPHEROID["Airy Modified 1849",6377340.189,299.3249646,AUTHORITY["EPSG","7002"]],AUTHORITY["EPSG","6002"]],PRIMEM["Greenwich",0,AUTHORITY["EPSG","8901"]],UNIT["degree",0.0174532925199433,AUTHORITY["EPSG","9122"]],AUTHORITY["EPSG","4002"]]</t>
  </si>
  <si>
    <t>GEOGCS["Unknown datum based upon the Australian National Spheroid",DATUM["Not_specified_based_on_Australian_National_Spheroid",SPHEROID["Australian National Spheroid",6378160,298.25,AUTHORITY["EPSG","7003"]],AUTHORITY["EPSG","6003"]],PRIMEM["Greenwich",0,AUTHORITY["EPSG","8901"]],UNIT["degree",0.0174532925199433,AUTHORITY["EPSG","9122"]],AUTHORITY["EPSG","4003"]]</t>
  </si>
  <si>
    <t>GEOGCS["Unknown datum based upon the Bessel 1841 ellipsoid",DATUM["Not_specified_based_on_Bessel_1841_ellipsoid",SPHEROID["Bessel 1841",6377397.155,299.1528128,AUTHORITY["EPSG","7004"]],AUTHORITY["EPSG","6004"]],PRIMEM["Greenwich",0,AUTHORITY["EPSG","8901"]],UNIT["degree",0.0174532925199433,AUTHORITY["EPSG","9122"]],AUTHORITY["EPSG","4004"]]</t>
  </si>
  <si>
    <t>GEOGCS["Unknown datum based upon the Bessel Modified ellipsoid",DATUM["Not_specified_based_on_Bessel_Modified_ellipsoid",SPHEROID["Bessel Modified",6377492.018,299.1528128,AUTHORITY["EPSG","7005"]],AUTHORITY["EPSG","6005"]],PRIMEM["Greenwich",0,AUTHORITY["EPSG","8901"]],UNIT["degree",0.0174532925199433,AUTHORITY["EPSG","9122"]],AUTHORITY["EPSG","4005"]]</t>
  </si>
  <si>
    <t>GEOGCS["Unknown datum based upon the Bessel Namibia ellipsoid",DATUM["Not_specified_based_on_Bessel_Namibia_ellipsoid",SPHEROID["Bessel Namibia (GLM)",6377483.865280419,299.1528128,AUTHORITY["EPSG","7046"]],AUTHORITY["EPSG","6006"]],PRIMEM["Greenwich",0,AUTHORITY["EPSG","8901"]],UNIT["degree",0.0174532925199433,AUTHORITY["EPSG","9122"]],AUTHORITY["EPSG","4006"]]</t>
  </si>
  <si>
    <t>GEOGCS["Unknown datum based upon the Clarke 1858 ellipsoid",DATUM["Not_specified_based_on_Clarke_1858_ellipsoid",SPHEROID["Clarke 1858",6378293.645208759,294.2606763692606,AUTHORITY["EPSG","7007"]],AUTHORITY["EPSG","6007"]],PRIMEM["Greenwich",0,AUTHORITY["EPSG","8901"]],UNIT["degree",0.0174532925199433,AUTHORITY["EPSG","9122"]],AUTHORITY["EPSG","4007"]]</t>
  </si>
  <si>
    <t>GEOGCS["Unknown datum based upon the Clarke 1866 ellipsoid",DATUM["Not_specified_based_on_Clarke_1866_ellipsoid",SPHEROID["Clarke 1866",6378206.4,294.9786982138982,AUTHORITY["EPSG","7008"]],AUTHORITY["EPSG","6008"]],PRIMEM["Greenwich",0,AUTHORITY["EPSG","8901"]],UNIT["degree",0.0174532925199433,AUTHORITY["EPSG","9122"]],AUTHORITY["EPSG","4008"]]</t>
  </si>
  <si>
    <t>GEOGCS["Unknown datum based upon the Clarke 1866 Michigan ellipsoid",DATUM["Not_specified_based_on_Clarke_1866_Michigan_ellipsoid",SPHEROID["Clarke 1866 Michigan",6378450.047548896,294.9786971646772,AUTHORITY["EPSG","7009"]],AUTHORITY["EPSG","6009"]],PRIMEM["Greenwich",0,AUTHORITY["EPSG","8901"]],UNIT["degree",0.0174532925199433,AUTHORITY["EPSG","9122"]],AUTHORITY["EPSG","4009"]]</t>
  </si>
  <si>
    <t>GEOGCS["Unknown datum based upon the Clarke 1880 (Benoit) ellipsoid",DATUM["Not_specified_based_on_Clarke_1880_Benoit_ellipsoid",SPHEROID["Clarke 1880 (Benoit)",6378300.789,293.4663155389811,AUTHORITY["EPSG","7010"]],AUTHORITY["EPSG","6010"]],PRIMEM["Greenwich",0,AUTHORITY["EPSG","8901"]],UNIT["degree",0.0174532925199433,AUTHORITY["EPSG","9122"]],AUTHORITY["EPSG","4010"]]</t>
  </si>
  <si>
    <t>GEOGCS["Unknown datum based upon the Clarke 1880 (IGN) ellipsoid",DATUM["Not_specified_based_on_Clarke_1880_IGN_ellipsoid",SPHEROID["Clarke 1880 (IGN)",6378249.2,293.4660212936269,AUTHORITY["EPSG","7011"]],AUTHORITY["EPSG","6011"]],PRIMEM["Greenwich",0,AUTHORITY["EPSG","8901"]],UNIT["degree",0.0174532925199433,AUTHORITY["EPSG","9122"]],AUTHORITY["EPSG","4011"]]</t>
  </si>
  <si>
    <t>GEOGCS["Unknown datum based upon the Clarke 1880 (RGS) ellipsoid",DATUM["Not_specified_based_on_Clarke_1880_RGS_ellipsoid",SPHEROID["Clarke 1880 (RGS)",6378249.145,293.465,AUTHORITY["EPSG","7012"]],AUTHORITY["EPSG","6012"]],PRIMEM["Greenwich",0,AUTHORITY["EPSG","8901"]],UNIT["degree",0.0174532925199433,AUTHORITY["EPSG","9122"]],AUTHORITY["EPSG","4012"]]</t>
  </si>
  <si>
    <t>GEOGCS["Unknown datum based upon the Clarke 1880 (Arc) ellipsoid",DATUM["Not_specified_based_on_Clarke_1880_Arc_ellipsoid",SPHEROID["Clarke 1880 (Arc)",6378249.145,293.4663077,AUTHORITY["EPSG","7013"]],AUTHORITY["EPSG","6013"]],PRIMEM["Greenwich",0,AUTHORITY["EPSG","8901"]],UNIT["degree",0.0174532925199433,AUTHORITY["EPSG","9122"]],AUTHORITY["EPSG","4013"]]</t>
  </si>
  <si>
    <t>GEOGCS["Unknown datum based upon the Clarke 1880 (SGA 1922) ellipsoid",DATUM["Not_specified_based_on_Clarke_1880_SGA_1922_ellipsoid",SPHEROID["Clarke 1880 (SGA 1922)",6378249.2,293.46598,AUTHORITY["EPSG","7014"]],AUTHORITY["EPSG","6014"]],PRIMEM["Greenwich",0,AUTHORITY["EPSG","8901"]],UNIT["degree",0.0174532925199433,AUTHORITY["EPSG","9122"]],AUTHORITY["EPSG","4014"]]</t>
  </si>
  <si>
    <t>GEOGCS["Unknown datum based upon the Everest 1830 (1937 Adjustment) ellipsoid",DATUM["Not_specified_based_on_Everest_1830_1937_Adjustment_ellipsoid",SPHEROID["Everest 1830 (1937 Adjustment)",6377276.345,300.8017,AUTHORITY["EPSG","7015"]],AUTHORITY["EPSG","6015"]],PRIMEM["Greenwich",0,AUTHORITY["EPSG","8901"]],UNIT["degree",0.0174532925199433,AUTHORITY["EPSG","9122"]],AUTHORITY["EPSG","4015"]]</t>
  </si>
  <si>
    <t>GEOGCS["Unknown datum based upon the Everest 1830 (1967 Definition) ellipsoid",DATUM["Not_specified_based_on_Everest_1830_1967_Definition_ellipsoid",SPHEROID["Everest 1830 (1967 Definition)",6377298.556,300.8017,AUTHORITY["EPSG","7016"]],AUTHORITY["EPSG","6016"]],PRIMEM["Greenwich",0,AUTHORITY["EPSG","8901"]],UNIT["degree",0.0174532925199433,AUTHORITY["EPSG","9122"]],AUTHORITY["EPSG","4016"]]</t>
  </si>
  <si>
    <t>GEOGCS["Unknown datum based upon the Everest 1830 Modified ellipsoid",DATUM["Not_specified_based_on_Everest_1830_Modified_ellipsoid",SPHEROID["Everest 1830 Modified",6377304.063,300.8017,AUTHORITY["EPSG","7018"]],AUTHORITY["EPSG","6018"]],PRIMEM["Greenwich",0,AUTHORITY["EPSG","8901"]],UNIT["degree",0.0174532925199433,AUTHORITY["EPSG","9122"]],AUTHORITY["EPSG","4018"]]</t>
  </si>
  <si>
    <t>GEOGCS["Unknown datum based upon the GRS 1980 ellipsoid",DATUM["Not_specified_based_on_GRS_1980_ellipsoid",SPHEROID["GRS 1980",6378137,298.257222101,AUTHORITY["EPSG","7019"]],AUTHORITY["EPSG","6019"]],PRIMEM["Greenwich",0,AUTHORITY["EPSG","8901"]],UNIT["degree",0.0174532925199433,AUTHORITY["EPSG","9122"]],AUTHORITY["EPSG","4019"]]</t>
  </si>
  <si>
    <t>GEOGCS["Unknown datum based upon the Helmert 1906 ellipsoid",DATUM["Not_specified_based_on_Helmert_1906_ellipsoid",SPHEROID["Helmert 1906",6378200,298.3,AUTHORITY["EPSG","7020"]],AUTHORITY["EPSG","6020"]],PRIMEM["Greenwich",0,AUTHORITY["EPSG","8901"]],UNIT["degree",0.0174532925199433,AUTHORITY["EPSG","9122"]],AUTHORITY["EPSG","4020"]]</t>
  </si>
  <si>
    <t>GEOGCS["Unknown datum based upon the Indonesian National Spheroid",DATUM["Not_specified_based_on_Indonesian_National_Spheroid",SPHEROID["Indonesian National Spheroid",6378160,298.247,AUTHORITY["EPSG","7021"]],AUTHORITY["EPSG","6021"]],PRIMEM["Greenwich",0,AUTHORITY["EPSG","8901"]],UNIT["degree",0.0174532925199433,AUTHORITY["EPSG","9122"]],AUTHORITY["EPSG","4021"]]</t>
  </si>
  <si>
    <t>GEOGCS["Unknown datum based upon the International 1924 ellipsoid",DATUM["Not_specified_based_on_International_1924_ellipsoid",SPHEROID["International 1924",6378388,297,AUTHORITY["EPSG","7022"]],AUTHORITY["EPSG","6022"]],PRIMEM["Greenwich",0,AUTHORITY["EPSG","8901"]],UNIT["degree",0.0174532925199433,AUTHORITY["EPSG","9122"]],AUTHORITY["EPSG","4022"]]</t>
  </si>
  <si>
    <t>GEOGCS["MOLDREF99",DATUM["MOLDREF99",SPHEROID["GRS 1980",6378137,298.257222101,AUTHORITY["EPSG","7019"]],TOWGS84[0,0,0,0,0,0,0],AUTHORITY["EPSG","1032"]],PRIMEM["Greenwich",0,AUTHORITY["EPSG","8901"]],UNIT["degree",0.0174532925199433,AUTHORITY["EPSG","9122"]],AUTHORITY["EPSG","4023"]]</t>
  </si>
  <si>
    <t>GEOGCS["Unknown datum based upon the Krassowsky 1940 ellipsoid",DATUM["Not_specified_based_on_Krassowsky_1940_ellipsoid",SPHEROID["Krassowsky 1940",6378245,298.3,AUTHORITY["EPSG","7024"]],AUTHORITY["EPSG","6024"]],PRIMEM["Greenwich",0,AUTHORITY["EPSG","8901"]],UNIT["degree",0.0174532925199433,AUTHORITY["EPSG","9122"]],AUTHORITY["EPSG","4024"]]</t>
  </si>
  <si>
    <t>GEOGCS["Unknown datum based upon the NWL 9D ellipsoid",DATUM["Not_specified_based_on_NWL_9D_ellipsoid",SPHEROID["NWL 9D",6378145,298.25,AUTHORITY["EPSG","7025"]],AUTHORITY["EPSG","6025"]],PRIMEM["Greenwich",0,AUTHORITY["EPSG","8901"]],UNIT["degree",0.0174532925199433,AUTHORITY["EPSG","9122"]],AUTHORITY["EPSG","4025"]]</t>
  </si>
  <si>
    <t>GEOGCS["Unknown datum based upon the Plessis 1817 ellipsoid",DATUM["Not_specified_based_on_Plessis_1817_ellipsoid",SPHEROID["Plessis 1817",6376523,308.64,AUTHORITY["EPSG","7027"]],AUTHORITY["EPSG","6027"]],PRIMEM["Greenwich",0,AUTHORITY["EPSG","8901"]],UNIT["degree",0.0174532925199433,AUTHORITY["EPSG","9122"]],AUTHORITY["EPSG","4027"]]</t>
  </si>
  <si>
    <t>GEOGCS["Unknown datum based upon the Struve 1860 ellipsoid",DATUM["Not_specified_based_on_Struve_1860_ellipsoid",SPHEROID["Struve 1860",6378298.3,294.73,AUTHORITY["EPSG","7028"]],AUTHORITY["EPSG","6028"]],PRIMEM["Greenwich",0,AUTHORITY["EPSG","8901"]],UNIT["degree",0.0174532925199433,AUTHORITY["EPSG","9122"]],AUTHORITY["EPSG","4028"]]</t>
  </si>
  <si>
    <t>GEOGCS["Unknown datum based upon the War Office ellipsoid",DATUM["Not_specified_based_on_War_Office_ellipsoid",SPHEROID["War Office",6378300,296,AUTHORITY["EPSG","7029"]],AUTHORITY["EPSG","6029"]],PRIMEM["Greenwich",0,AUTHORITY["EPSG","8901"]],UNIT["degree",0.0174532925199433,AUTHORITY["EPSG","9122"]],AUTHORITY["EPSG","4029"]]</t>
  </si>
  <si>
    <t>GEOGCS["Unknown datum based upon the WGS 84 ellipsoid",DATUM["Not_specified_based_on_WGS_84_ellipsoid",SPHEROID["WGS 84",6378137,298.257223563,AUTHORITY["EPSG","7030"]],AUTHORITY["EPSG","6030"]],PRIMEM["Greenwich",0,AUTHORITY["EPSG","8901"]],UNIT["degree",0.0174532925199433,AUTHORITY["EPSG","9122"]],AUTHORITY["EPSG","4030"]]</t>
  </si>
  <si>
    <t>GEOGCS["Unknown datum based upon the GEM 10C ellipsoid",DATUM["Not_specified_based_on_GEM_10C_ellipsoid",SPHEROID["GEM 10C",6378137,298.257223563,AUTHORITY["EPSG","7031"]],AUTHORITY["EPSG","6031"]],PRIMEM["Greenwich",0,AUTHORITY["EPSG","8901"]],UNIT["degree",0.0174532925199433,AUTHORITY["EPSG","9122"]],AUTHORITY["EPSG","4031"]]</t>
  </si>
  <si>
    <t>GEOGCS["Unknown datum based upon the OSU86F ellipsoid",DATUM["Not_specified_based_on_OSU86F_ellipsoid",SPHEROID["OSU86F",6378136.2,298.257223563,AUTHORITY["EPSG","7032"]],AUTHORITY["EPSG","6032"]],PRIMEM["Greenwich",0,AUTHORITY["EPSG","8901"]],UNIT["degree",0.0174532925199433,AUTHORITY["EPSG","9122"]],AUTHORITY["EPSG","4032"]]</t>
  </si>
  <si>
    <t>GEOGCS["Unknown datum based upon the OSU91A ellipsoid",DATUM["Not_specified_based_on_OSU91A_ellipsoid",SPHEROID["OSU91A",6378136.3,298.257223563,AUTHORITY["EPSG","7033"]],AUTHORITY["EPSG","6033"]],PRIMEM["Greenwich",0,AUTHORITY["EPSG","8901"]],UNIT["degree",0.0174532925199433,AUTHORITY["EPSG","9122"]],AUTHORITY["EPSG","4033"]]</t>
  </si>
  <si>
    <t>GEOGCS["Unknown datum based upon the Clarke 1880 ellipsoid",DATUM["Not_specified_based_on_Clarke_1880_ellipsoid",SPHEROID["Clarke 1880",6378249.144808011,293.4663076556365,AUTHORITY["EPSG","7034"]],AUTHORITY["EPSG","6034"]],PRIMEM["Greenwich",0,AUTHORITY["EPSG","8901"]],UNIT["degree",0.0174532925199433,AUTHORITY["EPSG","9122"]],AUTHORITY["EPSG","4034"]]</t>
  </si>
  <si>
    <t>GEOGCS["Unknown datum based upon the Authalic Sphere",DATUM["Not_specified_based_on_Authalic_Sphere",SPHEROID["Sphere",6371000,0,AUTHORITY["EPSG","7035"]],AUTHORITY["EPSG","6035"]],PRIMEM["Greenwich",0,AUTHORITY["EPSG","8901"]],UNIT["degree",0.0174532925199433,AUTHORITY["EPSG","9108"]],AUTHORITY["EPSG","4035"]]</t>
  </si>
  <si>
    <t>GEOGCS["Unknown datum based upon the GRS 1967 ellipsoid",DATUM["Not_specified_based_on_GRS_1967_ellipsoid",SPHEROID["GRS 1967",6378160,298.247167427,AUTHORITY["EPSG","7036"]],AUTHORITY["EPSG","6036"]],PRIMEM["Greenwich",0,AUTHORITY["EPSG","8901"]],UNIT["degree",0.0174532925199433,AUTHORITY["EPSG","9122"]],AUTHORITY["EPSG","4036"]]</t>
  </si>
  <si>
    <t>GEOGCS["Unknown datum based upon the Average Terrestrial System 1977 ellipsoid",DATUM["Not_specified_based_on_Average_Terrestrial_System_1977_ellipsoid",SPHEROID["Average Terrestrial System 1977",6378135,298.257,AUTHORITY["EPSG","7041"]],AUTHORITY["EPSG","6041"]],PRIMEM["Greenwich",0,AUTHORITY["EPSG","8901"]],UNIT["degree",0.0174532925199433,AUTHORITY["EPSG","9122"]],AUTHORITY["EPSG","4041"]]</t>
  </si>
  <si>
    <t>GEOGCS["Unknown datum based upon the Everest (1830 Definition) ellipsoid",DATUM["Not_specified_based_on_Everest_1830_Definition_ellipsoid",SPHEROID["Everest (1830 Definition)",6377299.36559538,300.8017255433549,AUTHORITY["EPSG","7042"]],AUTHORITY["EPSG","6042"]],PRIMEM["Greenwich",0,AUTHORITY["EPSG","8901"]],UNIT["degree",0.0174532925199433,AUTHORITY["EPSG","9122"]],AUTHORITY["EPSG","4042"]]</t>
  </si>
  <si>
    <t>GEOGCS["Unknown datum based upon the WGS 72 ellipsoid",DATUM["Not_specified_based_on_WGS_72_ellipsoid",SPHEROID["WGS 72",6378135,298.26,AUTHORITY["EPSG","7043"]],AUTHORITY["EPSG","6043"]],PRIMEM["Greenwich",0,AUTHORITY["EPSG","8901"]],UNIT["degree",0.0174532925199433,AUTHORITY["EPSG","9122"]],AUTHORITY["EPSG","4043"]]</t>
  </si>
  <si>
    <t>GEOGCS["Unknown datum based upon the Everest 1830 (1962 Definition) ellipsoid",DATUM["Not_specified_based_on_Everest_1830_1962_Definition_ellipsoid",SPHEROID["Everest 1830 (1962 Definition)",6377301.243,300.8017255,AUTHORITY["EPSG","7044"]],AUTHORITY["EPSG","6044"]],PRIMEM["Greenwich",0,AUTHORITY["EPSG","8901"]],UNIT["degree",0.0174532925199433,AUTHORITY["EPSG","9122"]],AUTHORITY["EPSG","4044"]]</t>
  </si>
  <si>
    <t>GEOGCS["Unknown datum based upon the Everest 1830 (1975 Definition) ellipsoid",DATUM["Not_specified_based_on_Everest_1830_1975_Definition_ellipsoid",SPHEROID["Everest 1830 (1975 Definition)",6377299.151,300.8017255,AUTHORITY["EPSG","7045"]],AUTHORITY["EPSG","6045"]],PRIMEM["Greenwich",0,AUTHORITY["EPSG","8901"]],UNIT["degree",0.0174532925199433,AUTHORITY["EPSG","9122"]],AUTHORITY["EPSG","4045"]]</t>
  </si>
  <si>
    <t>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</t>
  </si>
  <si>
    <t>GEOGCS["Unspecified datum based upon the GRS 1980 Authalic Sphere",DATUM["Not_specified_based_on_GRS_1980_Authalic_Sphere",SPHEROID["GRS 1980 Authalic Sphere",6371007,0,AUTHORITY["EPSG","7048"]],AUTHORITY["EPSG","6047"]],PRIMEM["Greenwich",0,AUTHORITY["EPSG","8901"]],UNIT["degree",0.0174532925199433,AUTHORITY["EPSG","9122"]],AUTHORITY["EPSG","4047"]]</t>
  </si>
  <si>
    <t>GEOGCS["Unspecified datum based upon the Clarke 1866 Authalic Sphere",DATUM["Not_specified_based_on_Clarke_1866_Authalic_Sphere",SPHEROID["Clarke 1866 Authalic Sphere",6370997,0,AUTHORITY["EPSG","7052"]],AUTHORITY["EPSG","6052"]],PRIMEM["Greenwich",0,AUTHORITY["EPSG","8901"]],UNIT["degree",0.0174532925199433,AUTHORITY["EPSG","9122"]],AUTHORITY["EPSG","4052"]]</t>
  </si>
  <si>
    <t>GEOGCS["Unspecified datum based upon the International 1924 Authalic Sphere",DATUM["Not_specified_based_on_International_1924_Authalic_Sphere",SPHEROID["International 1924 Authalic Sphere",6371228,0,AUTHORITY["EPSG","7057"]],AUTHORITY["EPSG","6053"]],PRIMEM["Greenwich",0,AUTHORITY["EPSG","8901"]],UNIT["degree",0.0174532925199433,AUTHORITY["EPSG","9122"]],AUTHORITY["EPSG","4053"]]</t>
  </si>
  <si>
    <t>GEOGCS["Unspecified datum based upon the Hughes 1980 ellipsoid",DATUM["Not_specified_based_on_Hughes_1980_ellipsoid",SPHEROID["Hughes 1980",6378273,298.279411123064,AUTHORITY["EPSG","7058"]],AUTHORITY["EPSG","6054"]],PRIMEM["Greenwich",0,AUTHORITY["EPSG","8901"]],UNIT["degree",0.0174532925199433,AUTHORITY["EPSG","9122"]],AUTHORITY["EPSG","4054"]]</t>
  </si>
  <si>
    <t>GEOGCS["Popular Visualisation CRS",DATUM["Popular_Visualisation_Datum",SPHEROID["Popular Visualisation Sphere",6378137,0,AUTHORITY["EPSG","7059"]],TOWGS84[0,0,0,0,0,0,0],AUTHORITY["EPSG","6055"]],PRIMEM["Greenwich",0,AUTHORITY["EPSG","8901"]],UNIT["degree",0.0174532925199433,AUTHORITY["EPSG","9122"]],AUTHORITY["EPSG","4055"]]</t>
  </si>
  <si>
    <t xml:space="preserve">+proj=longlat +a=6378137 +b=6378137 +towgs84=0,0,0,0,0,0,0 +no_defs </t>
  </si>
  <si>
    <t>GEOGCS["SREF98",DATUM["Serbian_Reference_Network_1998",SPHEROID["GRS 1980",6378137,298.257222101,AUTHORITY["EPSG","7019"]],TOWGS84[0,0,0,0,0,0,0],AUTHORITY["EPSG","1034"]],PRIMEM["Greenwich",0,AUTHORITY["EPSG","8901"]],UNIT["degree",0.0174532925199433,AUTHORITY["EPSG","9122"]],AUTHORITY["EPSG","4075"]]</t>
  </si>
  <si>
    <t>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</t>
  </si>
  <si>
    <t>GEOGCS["Greek",DATUM["Greek",SPHEROID["Bessel 1841",6377397.155,299.1528128,AUTHORITY["EPSG","7004"]],AUTHORITY["EPSG","6120"]],PRIMEM["Greenwich",0,AUTHORITY["EPSG","8901"]],UNIT["degree",0.0174532925199433,AUTHORITY["EPSG","9122"]],AUTHORITY["EPSG","4120"]]</t>
  </si>
  <si>
    <t>GEOGCS["GGRS87",DATUM["Greek_Geodetic_Reference_System_1987",SPHEROID["GRS 1980",6378137,298.257222101,AUTHORITY["EPSG","7019"]],TOWGS84[-199.87,74.79,246.62,0,0,0,0],AUTHORITY["EPSG","6121"]],PRIMEM["Greenwich",0,AUTHORITY["EPSG","8901"]],UNIT["degree",0.0174532925199433,AUTHORITY["EPSG","9122"]],AUTHORITY["EPSG","4121"]]</t>
  </si>
  <si>
    <t>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</t>
  </si>
  <si>
    <t>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</t>
  </si>
  <si>
    <t xml:space="preserve">+proj=longlat +ellps=intl +towgs84=-96.062,-82.428,-121.753,4.801,0.345,-1.376,1.496 +no_defs </t>
  </si>
  <si>
    <t>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</t>
  </si>
  <si>
    <t xml:space="preserve">+proj=longlat +ellps=bessel +towgs84=414.1,41.3,603.1,-0.855,2.141,-7.023,0 +no_defs </t>
  </si>
  <si>
    <t>GEOGCS["Samboja",DATUM["Samboja",SPHEROID["Bessel 1841",6377397.155,299.1528128,AUTHORITY["EPSG","7004"]],TOWGS84[-404.78,685.68,45.47,0,0,0,0],AUTHORITY["EPSG","6125"]],PRIMEM["Greenwich",0,AUTHORITY["EPSG","8901"]],UNIT["degree",0.0174532925199433,AUTHORITY["EPSG","9108"]],AUTHORITY["EPSG","4125"]]</t>
  </si>
  <si>
    <t xml:space="preserve">+proj=longlat +ellps=bessel +towgs84=-404.78,685.68,45.47,0,0,0,0 +no_defs </t>
  </si>
  <si>
    <t>GEOGCS["LKS94 (ETRS89)",DATUM["Lithuania_1994_ETRS89",SPHEROID["GRS 1980",6378137,298.257222101,AUTHORITY["EPSG","7019"]],AUTHORITY["EPSG","6126"]],PRIMEM["Greenwich",0,AUTHORITY["EPSG","8901"]],UNIT["degree",0.0174532925199433,AUTHORITY["EPSG","9108"]],AUTHORITY["EPSG","4126"]]</t>
  </si>
  <si>
    <t>GEOGCS["Tete",DATUM["Tete",SPHEROID["Clarke 1866",6378206.4,294.9786982138982,AUTHORITY["EPSG","7008"]],TOWGS84[-80,-100,-228,0,0,0,0],AUTHORITY["EPSG","6127"]],PRIMEM["Greenwich",0,AUTHORITY["EPSG","8901"]],UNIT["degree",0.0174532925199433,AUTHORITY["EPSG","9122"]],AUTHORITY["EPSG","4127"]]</t>
  </si>
  <si>
    <t xml:space="preserve">+proj=longlat +ellps=clrk66 +towgs84=-80,-100,-228,0,0,0,0 +no_defs </t>
  </si>
  <si>
    <t>GEOGCS["Madzansua",DATUM["Madzansua",SPHEROID["Clarke 1866",6378206.4,294.9786982138982,AUTHORITY["EPSG","7008"]],AUTHORITY["EPSG","6128"]],PRIMEM["Greenwich",0,AUTHORITY["EPSG","8901"]],UNIT["degree",0.0174532925199433,AUTHORITY["EPSG","9122"]],AUTHORITY["EPSG","4128"]]</t>
  </si>
  <si>
    <t>GEOGCS["Observatario",DATUM["Observatario",SPHEROID["Clarke 1866",6378206.4,294.9786982138982,AUTHORITY["EPSG","7008"]],TOWGS84[-132,-110,-335,0,0,0,0],AUTHORITY["EPSG","6129"]],PRIMEM["Greenwich",0,AUTHORITY["EPSG","8901"]],UNIT["degree",0.0174532925199433,AUTHORITY["EPSG","9122"]],AUTHORITY["EPSG","4129"]]</t>
  </si>
  <si>
    <t xml:space="preserve">+proj=longlat +ellps=clrk66 +towgs84=-132,-110,-335,0,0,0,0 +no_defs </t>
  </si>
  <si>
    <t>GEOGCS["Moznet",DATUM["Moznet_ITRF94",SPHEROID["WGS 84",6378137,298.257223563,AUTHORITY["EPSG","7030"]],TOWGS84[0,0,0,0,0,0,0],AUTHORITY["EPSG","6130"]],PRIMEM["Greenwich",0,AUTHORITY["EPSG","8901"]],UNIT["degree",0.0174532925199433,AUTHORITY["EPSG","9122"]],AUTHORITY["EPSG","4130"]]</t>
  </si>
  <si>
    <t xml:space="preserve">+proj=longlat +ellps=WGS84 +towgs84=0,0,0,0,0,0,0 +no_defs </t>
  </si>
  <si>
    <t>GEOGCS["Indian 1960",DATUM["Indian_1960",SPHEROID["Everest 1830 (1937 Adjustment)",6377276.345,300.8017,AUTHORITY["EPSG","7015"]],TOWGS84[198,881,317,0,0,0,0],AUTHORITY["EPSG","6131"]],PRIMEM["Greenwich",0,AUTHORITY["EPSG","8901"]],UNIT["degree",0.0174532925199433,AUTHORITY["EPSG","9122"]],AUTHORITY["EPSG","4131"]]</t>
  </si>
  <si>
    <t xml:space="preserve">+proj=longlat +a=6377276.345 +b=6356075.41314024 +towgs84=198,881,317,0,0,0,0 +no_defs </t>
  </si>
  <si>
    <t>GEOGCS["FD58",DATUM["Final_Datum_1958",SPHEROID["Clarke 1880 (RGS)",6378249.145,293.465,AUTHORITY["EPSG","7012"]],TOWGS84[-241.54,-163.64,396.06,0,0,0,0],AUTHORITY["EPSG","6132"]],PRIMEM["Greenwich",0,AUTHORITY["EPSG","8901"]],UNIT["degree",0.0174532925199433,AUTHORITY["EPSG","9122"]],AUTHORITY["EPSG","4132"]]</t>
  </si>
  <si>
    <t xml:space="preserve">+proj=longlat +ellps=clrk80 +towgs84=-241.54,-163.64,396.06,0,0,0,0 +no_defs </t>
  </si>
  <si>
    <t>GEOGCS["EST92",DATUM["Estonia_1992",SPHEROID["GRS 1980",6378137,298.257222101,AUTHORITY["EPSG","7019"]],TOWGS84[0.055,-0.541,-0.185,0.0183,-0.0003,-0.007,-0.014],AUTHORITY["EPSG","6133"]],PRIMEM["Greenwich",0,AUTHORITY["EPSG","8901"]],UNIT["degree",0.0174532925199433,AUTHORITY["EPSG","9122"]],AUTHORITY["EPSG","4133"]]</t>
  </si>
  <si>
    <t xml:space="preserve">+proj=longlat +ellps=GRS80 +towgs84=0.055,-0.541,-0.185,0.0183,-0.0003,-0.007,-0.014 +no_defs </t>
  </si>
  <si>
    <t>GEOGCS["PSD93",DATUM["PDO_Survey_Datum_1993",SPHEROID["Clarke 1880 (RGS)",6378249.145,293.465,AUTHORITY["EPSG","7012"]],TOWGS84[-180.624,-225.516,173.919,-0.81,-1.898,8.336,16.71006],AUTHORITY["EPSG","6134"]],PRIMEM["Greenwich",0,AUTHORITY["EPSG","8901"]],UNIT["degree",0.0174532925199433,AUTHORITY["EPSG","9122"]],AUTHORITY["EPSG","4134"]]</t>
  </si>
  <si>
    <t xml:space="preserve">+proj=longlat +ellps=clrk80 +towgs84=-180.624,-225.516,173.919,-0.81,-1.898,8.336,16.71006 +no_defs </t>
  </si>
  <si>
    <t>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</t>
  </si>
  <si>
    <t xml:space="preserve">+proj=longlat +ellps=clrk66 +towgs84=61,-285,-181,0,0,0,0 +no_defs </t>
  </si>
  <si>
    <t>GEOGCS["St. Lawrence Island",DATUM["St_Lawrence_Island",SPHEROID["Clarke 1866",6378206.4,294.9786982138982,AUTHORITY["EPSG","7008"]],AUTHORITY["EPSG","6136"]],PRIMEM["Greenwich",0,AUTHORITY["EPSG","8901"]],UNIT["degree",0.0174532925199433,AUTHORITY["EPSG","9122"]],AUTHORITY["EPSG","4136"]]</t>
  </si>
  <si>
    <t>GEOGCS["St. Paul Island",DATUM["St_Paul_Island",SPHEROID["Clarke 1866",6378206.4,294.9786982138982,AUTHORITY["EPSG","7008"]],AUTHORITY["EPSG","6137"]],PRIMEM["Greenwich",0,AUTHORITY["EPSG","8901"]],UNIT["degree",0.0174532925199433,AUTHORITY["EPSG","9122"]],AUTHORITY["EPSG","4137"]]</t>
  </si>
  <si>
    <t>GEOGCS["St. George Island",DATUM["St_George_Island",SPHEROID["Clarke 1866",6378206.4,294.9786982138982,AUTHORITY["EPSG","7008"]],AUTHORITY["EPSG","6138"]],PRIMEM["Greenwich",0,AUTHORITY["EPSG","8901"]],UNIT["degree",0.0174532925199433,AUTHORITY["EPSG","9122"]],AUTHORITY["EPSG","4138"]]</t>
  </si>
  <si>
    <t>GEOGCS["Puerto Rico",DATUM["Puerto_Rico",SPHEROID["Clarke 1866",6378206.4,294.9786982138982,AUTHORITY["EPSG","7008"]],TOWGS84[11,72,-101,0,0,0,0],AUTHORITY["EPSG","6139"]],PRIMEM["Greenwich",0,AUTHORITY["EPSG","8901"]],UNIT["degree",0.0174532925199433,AUTHORITY["EPSG","9122"]],AUTHORITY["EPSG","4139"]]</t>
  </si>
  <si>
    <t xml:space="preserve">+proj=longlat +ellps=clrk66 +towgs84=11,72,-101,0,0,0,0 +no_defs </t>
  </si>
  <si>
    <t>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</t>
  </si>
  <si>
    <t>GEOGCS["Israel 1993",DATUM["Israel_1993",SPHEROID["GRS 1980",6378137,298.257222101,AUTHORITY["EPSG","7019"]],TOWGS84[-48,55,52,0,0,0,0],AUTHORITY["EPSG","6141"]],PRIMEM["Greenwich",0,AUTHORITY["EPSG","8901"]],UNIT["degree",0.0174532925199433,AUTHORITY["EPSG","9122"]],AUTHORITY["EPSG","4141"]]</t>
  </si>
  <si>
    <t xml:space="preserve">+proj=longlat +ellps=GRS80 +towgs84=-48,55,52,0,0,0,0 +no_defs </t>
  </si>
  <si>
    <t>GEOGCS["Locodjo 1965",DATUM["Locodjo_1965",SPHEROID["Clarke 1880 (RGS)",6378249.145,293.465,AUTHORITY["EPSG","7012"]],TOWGS84[-125,53,467,0,0,0,0],AUTHORITY["EPSG","6142"]],PRIMEM["Greenwich",0,AUTHORITY["EPSG","8901"]],UNIT["degree",0.0174532925199433,AUTHORITY["EPSG","9122"]],AUTHORITY["EPSG","4142"]]</t>
  </si>
  <si>
    <t xml:space="preserve">+proj=longlat +ellps=clrk80 +towgs84=-125,53,467,0,0,0,0 +no_defs </t>
  </si>
  <si>
    <t>GEOGCS["Abidjan 1987",DATUM["Abidjan_1987",SPHEROID["Clarke 1880 (RGS)",6378249.145,293.465,AUTHORITY["EPSG","7012"]],TOWGS84[-124.76,53,466.79,0,0,0,0],AUTHORITY["EPSG","6143"]],PRIMEM["Greenwich",0,AUTHORITY["EPSG","8901"]],UNIT["degree",0.0174532925199433,AUTHORITY["EPSG","9122"]],AUTHORITY["EPSG","4143"]]</t>
  </si>
  <si>
    <t xml:space="preserve">+proj=longlat +ellps=clrk80 +towgs84=-124.76,53,466.79,0,0,0,0 +no_defs </t>
  </si>
  <si>
    <t>GEOGCS["Kalianpur 1937",DATUM["Kalianpur_1937",SPHEROID["Everest 1830 (1937 Adjustment)",6377276.345,300.8017,AUTHORITY["EPSG","7015"]],TOWGS84[214,804,268,0,0,0,0],AUTHORITY["EPSG","6144"]],PRIMEM["Greenwich",0,AUTHORITY["EPSG","8901"]],UNIT["degree",0.0174532925199433,AUTHORITY["EPSG","9122"]],AUTHORITY["EPSG","4144"]]</t>
  </si>
  <si>
    <t xml:space="preserve">+proj=longlat +a=6377276.345 +b=6356075.41314024 +towgs84=214,804,268,0,0,0,0 +no_defs </t>
  </si>
  <si>
    <t>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</t>
  </si>
  <si>
    <t xml:space="preserve">+proj=longlat +a=6377301.243 +b=6356100.230165384 +towgs84=283,682,231,0,0,0,0 +no_defs </t>
  </si>
  <si>
    <t>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</t>
  </si>
  <si>
    <t xml:space="preserve">+proj=longlat +a=6377299.151 +b=6356098.145120132 +towgs84=295,736,257,0,0,0,0 +no_defs </t>
  </si>
  <si>
    <t>GEOGCS["Hanoi 1972",DATUM["Hanoi_1972",SPHEROID["Krassowsky 1940",6378245,298.3,AUTHORITY["EPSG","7024"]],TOWGS84[-17.51,-108.32,-62.39,0,0,0,0],AUTHORITY["EPSG","6147"]],PRIMEM["Greenwich",0,AUTHORITY["EPSG","8901"]],UNIT["degree",0.0174532925199433,AUTHORITY["EPSG","9122"]],AUTHORITY["EPSG","4147"]]</t>
  </si>
  <si>
    <t xml:space="preserve">+proj=longlat +ellps=krass +towgs84=-17.51,-108.32,-62.39,0,0,0,0 +no_defs </t>
  </si>
  <si>
    <t>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</t>
  </si>
  <si>
    <t>GEOGCS["CH1903",DATUM["CH1903",SPHEROID["Bessel 1841",6377397.155,299.1528128,AUTHORITY["EPSG","7004"]],TOWGS84[674.374,15.056,405.346,0,0,0,0],AUTHORITY["EPSG","6149"]],PRIMEM["Greenwich",0,AUTHORITY["EPSG","8901"]],UNIT["degree",0.0174532925199433,AUTHORITY["EPSG","9122"]],AUTHORITY["EPSG","4149"]]</t>
  </si>
  <si>
    <t xml:space="preserve">+proj=longlat +ellps=bessel +towgs84=674.374,15.056,405.346,0,0,0,0 +no_defs </t>
  </si>
  <si>
    <t>GEOGCS["CH1903+",DATUM["CH1903+",SPHEROID["Bessel 1841",6377397.155,299.1528128,AUTHORITY["EPSG","7004"]],TOWGS84[674.374,15.056,405.346,0,0,0,0],AUTHORITY["EPSG","6150"]],PRIMEM["Greenwich",0,AUTHORITY["EPSG","8901"]],UNIT["degree",0.0174532925199433,AUTHORITY["EPSG","9122"]],AUTHORITY["EPSG","4150"]]</t>
  </si>
  <si>
    <t>GEOGCS["CHTRF95",DATUM["Swiss_Terrestrial_Reference_Frame_1995",SPHEROID["GRS 1980",6378137,298.257222101,AUTHORITY["EPSG","7019"]],TOWGS84[0,0,0,0,0,0,0],AUTHORITY["EPSG","6151"]],PRIMEM["Greenwich",0,AUTHORITY["EPSG","8901"]],UNIT["degree",0.0174532925199433,AUTHORITY["EPSG","9122"]],AUTHORITY["EPSG","4151"]]</t>
  </si>
  <si>
    <t>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</t>
  </si>
  <si>
    <t>GEOGCS["Rassadiran",DATUM["Rassadiran",SPHEROID["International 1924",6378388,297,AUTHORITY["EPSG","7022"]],TOWGS84[-133.63,-157.5,-158.62,0,0,0,0],AUTHORITY["EPSG","6153"]],PRIMEM["Greenwich",0,AUTHORITY["EPSG","8901"]],UNIT["degree",0.0174532925199433,AUTHORITY["EPSG","9122"]],AUTHORITY["EPSG","4153"]]</t>
  </si>
  <si>
    <t xml:space="preserve">+proj=longlat +ellps=intl +towgs84=-133.63,-157.5,-158.62,0,0,0,0 +no_defs </t>
  </si>
  <si>
    <t>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</t>
  </si>
  <si>
    <t xml:space="preserve">+proj=longlat +ellps=intl +towgs84=-117,-132,-164,0,0,0,0 +no_defs </t>
  </si>
  <si>
    <t>GEOGCS["Dabola 1981",DATUM["Dabola_1981",SPHEROID["Clarke 1880 (IGN)",6378249.2,293.4660212936269,AUTHORITY["EPSG","7011"]],TOWGS84[-83,37,124,0,0,0,0],AUTHORITY["EPSG","6155"]],PRIMEM["Greenwich",0,AUTHORITY["EPSG","8901"]],UNIT["degree",0.0174532925199433,AUTHORITY["EPSG","9122"]],AUTHORITY["EPSG","4155"]]</t>
  </si>
  <si>
    <t xml:space="preserve">+proj=longlat +a=6378249.2 +b=6356515 +towgs84=-83,37,124,0,0,0,0 +no_defs </t>
  </si>
  <si>
    <t>GEOGCS["S-JTSK",DATUM["System_Jednotne_Trigonometricke_Site_Katastralni",SPHEROID["Bessel 1841",6377397.155,299.1528128,AUTHORITY["EPSG","7004"]],TOWGS84[589,76,480,0,0,0,0],AUTHORITY["EPSG","6156"]],PRIMEM["Greenwich",0,AUTHORITY["EPSG","8901"]],UNIT["degree",0.0174532925199433,AUTHORITY["EPSG","9122"]],AUTHORITY["EPSG","4156"]]</t>
  </si>
  <si>
    <t xml:space="preserve">+proj=longlat +ellps=bessel +towgs84=589,76,480,0,0,0,0 +no_defs </t>
  </si>
  <si>
    <t>GEOGCS["Mount Dillon",DATUM["Mount_Dillon",SPHEROID["Clarke 1858",6378293.645208759,294.2606763692606,AUTHORITY["EPSG","7007"]],AUTHORITY["EPSG","6157"]],PRIMEM["Greenwich",0,AUTHORITY["EPSG","8901"]],UNIT["degree",0.0174532925199433,AUTHORITY["EPSG","9122"]],AUTHORITY["EPSG","4157"]]</t>
  </si>
  <si>
    <t>GEOGCS["Naparima 1955",DATUM["Naparima_1955",SPHEROID["International 1924",6378388,297,AUTHORITY["EPSG","7022"]],TOWGS84[-0.465,372.095,171.736,0,0,0,0],AUTHORITY["EPSG","6158"]],PRIMEM["Greenwich",0,AUTHORITY["EPSG","8901"]],UNIT["degree",0.0174532925199433,AUTHORITY["EPSG","9122"]],AUTHORITY["EPSG","4158"]]</t>
  </si>
  <si>
    <t xml:space="preserve">+proj=longlat +ellps=intl +towgs84=-0.465,372.095,171.736,0,0,0,0 +no_defs </t>
  </si>
  <si>
    <t>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</t>
  </si>
  <si>
    <t xml:space="preserve">+proj=longlat +ellps=intl +towgs84=-115.8543,-99.0583,-152.4616,0,0,0,0 +no_defs </t>
  </si>
  <si>
    <t>GEOGCS["Chos Malal 1914",DATUM["Chos_Malal_1914",SPHEROID["International 1924",6378388,297,AUTHORITY["EPSG","7022"]],AUTHORITY["EPSG","6160"]],PRIMEM["Greenwich",0,AUTHORITY["EPSG","8901"]],UNIT["degree",0.0174532925199433,AUTHORITY["EPSG","9122"]],AUTHORITY["EPSG","4160"]]</t>
  </si>
  <si>
    <t>GEOGCS["Pampa del Castillo",DATUM["Pampa_del_Castillo",SPHEROID["International 1924",6378388,297,AUTHORITY["EPSG","7022"]],TOWGS84[27.5,14,186.4,0,0,0,0],AUTHORITY["EPSG","6161"]],PRIMEM["Greenwich",0,AUTHORITY["EPSG","8901"]],UNIT["degree",0.0174532925199433,AUTHORITY["EPSG","9122"]],AUTHORITY["EPSG","4161"]]</t>
  </si>
  <si>
    <t xml:space="preserve">+proj=longlat +ellps=intl +towgs84=27.5,14,186.4,0,0,0,0 +no_defs </t>
  </si>
  <si>
    <t>GEOGCS["Korean 1985",DATUM["Korean_Datum_1985",SPHEROID["Bessel 1841",6377397.155,299.1528128,AUTHORITY["EPSG","7004"]],AUTHORITY["EPSG","6162"]],PRIMEM["Greenwich",0,AUTHORITY["EPSG","8901"]],UNIT["degree",0.0174532925199433,AUTHORITY["EPSG","9122"]],AUTHORITY["EPSG","4162"]]</t>
  </si>
  <si>
    <t>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</t>
  </si>
  <si>
    <t>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</t>
  </si>
  <si>
    <t xml:space="preserve">+proj=longlat +ellps=krass +towgs84=-76,-138,67,0,0,0,0 +no_defs </t>
  </si>
  <si>
    <t>GEOGCS["Bissau",DATUM["Bissau",SPHEROID["International 1924",6378388,297,AUTHORITY["EPSG","7022"]],TOWGS84[-173,253,27,0,0,0,0],AUTHORITY["EPSG","6165"]],PRIMEM["Greenwich",0,AUTHORITY["EPSG","8901"]],UNIT["degree",0.0174532925199433,AUTHORITY["EPSG","9122"]],AUTHORITY["EPSG","4165"]]</t>
  </si>
  <si>
    <t xml:space="preserve">+proj=longlat +ellps=intl +towgs84=-173,253,27,0,0,0,0 +no_defs </t>
  </si>
  <si>
    <t>GEOGCS["Korean 1995",DATUM["Korean_Datum_1995",SPHEROID["WGS 84",6378137,298.257223563,AUTHORITY["EPSG","7030"]],TOWGS84[0,0,0,0,0,0,0],AUTHORITY["EPSG","6166"]],PRIMEM["Greenwich",0,AUTHORITY["EPSG","8901"]],UNIT["degree",0.0174532925199433,AUTHORITY["EPSG","9122"]],AUTHORITY["EPSG","4166"]]</t>
  </si>
  <si>
    <t>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</t>
  </si>
  <si>
    <t>GEOGCS["Accra",DATUM["Accra",SPHEROID["War Office",6378300,296,AUTHORITY["EPSG","7029"]],TOWGS84[-199,32,322,0,0,0,0],AUTHORITY["EPSG","6168"]],PRIMEM["Greenwich",0,AUTHORITY["EPSG","8901"]],UNIT["degree",0.0174532925199433,AUTHORITY["EPSG","9122"]],AUTHORITY["EPSG","4168"]]</t>
  </si>
  <si>
    <t xml:space="preserve">+proj=longlat +a=6378300 +b=6356751.689189189 +towgs84=-199,32,322,0,0,0,0 +no_defs </t>
  </si>
  <si>
    <t>GEOGCS["American Samoa 1962",DATUM["American_Samoa_1962",SPHEROID["Clarke 1866",6378206.4,294.9786982138982,AUTHORITY["EPSG","7008"]],TOWGS84[-115,118,426,0,0,0,0],AUTHORITY["EPSG","6169"]],PRIMEM["Greenwich",0,AUTHORITY["EPSG","8901"]],UNIT["degree",0.0174532925199433,AUTHORITY["EPSG","9122"]],AUTHORITY["EPSG","4169"]]</t>
  </si>
  <si>
    <t xml:space="preserve">+proj=longlat +ellps=clrk66 +towgs84=-115,118,426,0,0,0,0 +no_defs </t>
  </si>
  <si>
    <t>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</t>
  </si>
  <si>
    <t>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</t>
  </si>
  <si>
    <t>GEOGCS["POSGAR",DATUM["Posiciones_Geodesicas_Argentinas",SPHEROID["GRS 1980",6378137,298.257222101,AUTHORITY["EPSG","7019"]],TOWGS84[0,0,0,0,0,0,0],AUTHORITY["EPSG","6172"]],PRIMEM["Greenwich",0,AUTHORITY["EPSG","8901"]],UNIT["degree",0.0174532925199433,AUTHORITY["EPSG","9108"]],AUTHORITY["EPSG","4172"]]</t>
  </si>
  <si>
    <t>GEOGCS["IRENET95",DATUM["IRENET95",SPHEROID["GRS 1980",6378137,298.257222101,AUTHORITY["EPSG","7019"]],TOWGS84[0,0,0,0,0,0,0],AUTHORITY["EPSG","6173"]],PRIMEM["Greenwich",0,AUTHORITY["EPSG","8901"]],UNIT["degree",0.0174532925199433,AUTHORITY["EPSG","9122"]],AUTHORITY["EPSG","4173"]]</t>
  </si>
  <si>
    <t>GEOGCS["Sierra Leone 1924",DATUM["Sierra_Leone_Colony_1924",SPHEROID["War Office",6378300,296,AUTHORITY["EPSG","7029"]],AUTHORITY["EPSG","6174"]],PRIMEM["Greenwich",0,AUTHORITY["EPSG","8901"]],UNIT["degree",0.0174532925199433,AUTHORITY["EPSG","9122"]],AUTHORITY["EPSG","4174"]]</t>
  </si>
  <si>
    <t>GEOGCS["Sierra Leone 1968",DATUM["Sierra_Leone_1968",SPHEROID["Clarke 1880 (RGS)",6378249.145,293.465,AUTHORITY["EPSG","7012"]],TOWGS84[-88,4,101,0,0,0,0],AUTHORITY["EPSG","6175"]],PRIMEM["Greenwich",0,AUTHORITY["EPSG","8901"]],UNIT["degree",0.0174532925199433,AUTHORITY["EPSG","9122"]],AUTHORITY["EPSG","4175"]]</t>
  </si>
  <si>
    <t xml:space="preserve">+proj=longlat +ellps=clrk80 +towgs84=-88,4,101,0,0,0,0 +no_defs </t>
  </si>
  <si>
    <t>GEOGCS["Australian Antarctic",DATUM["Australian_Antarctic_Datum_1998",SPHEROID["GRS 1980",6378137,298.257222101,AUTHORITY["EPSG","7019"]],TOWGS84[0,0,0,0,0,0,0],AUTHORITY["EPSG","6176"]],PRIMEM["Greenwich",0,AUTHORITY["EPSG","8901"]],UNIT["degree",0.0174532925199433,AUTHORITY["EPSG","9122"]],AUTHORITY["EPSG","4176"]]</t>
  </si>
  <si>
    <t>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</t>
  </si>
  <si>
    <t xml:space="preserve">+proj=longlat +ellps=krass +towgs84=26,-121,-78,0,0,0,0 +no_defs </t>
  </si>
  <si>
    <t>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</t>
  </si>
  <si>
    <t xml:space="preserve">+proj=longlat +ellps=krass +towgs84=33.4,-146.6,-76.3,-0.359,-0.053,0.844,-0.84 +no_defs </t>
  </si>
  <si>
    <t>GEOGCS["EST97",DATUM["Estonia_1997",SPHEROID["GRS 1980",6378137,298.257222101,AUTHORITY["EPSG","7019"]],TOWGS84[0,0,0,0,0,0,0],AUTHORITY["EPSG","6180"]],PRIMEM["Greenwich",0,AUTHORITY["EPSG","8901"]],UNIT["degree",0.0174532925199433,AUTHORITY["EPSG","9122"]],AUTHORITY["EPSG","4180"]]</t>
  </si>
  <si>
    <t>GEOGCS["Luxembourg 1930",DATUM["Luxembourg_1930",SPHEROID["International 1924",6378388,297,AUTHORITY["EPSG","7022"]],TOWGS84[-189.6806,18.3463,-42.7695,-0.33746,-3.09264,2.53861,0.4598],AUTHORITY["EPSG","6181"]],PRIMEM["Greenwich",0,AUTHORITY["EPSG","8901"]],UNIT["degree",0.0174532925199433,AUTHORITY["EPSG","9122"]],AUTHORITY["EPSG","4181"]]</t>
  </si>
  <si>
    <t xml:space="preserve">+proj=longlat +ellps=intl +towgs84=-189.6806,18.3463,-42.7695,-0.33746,-3.09264,2.53861,0.4598 +no_defs </t>
  </si>
  <si>
    <t>GEOGCS["Azores Occidental 1939",DATUM["Azores_Occidental_Islands_1939",SPHEROID["International 1924",6378388,297,AUTHORITY["EPSG","7022"]],TOWGS84[-425,-169,81,0,0,0,0],AUTHORITY["EPSG","6182"]],PRIMEM["Greenwich",0,AUTHORITY["EPSG","8901"]],UNIT["degree",0.0174532925199433,AUTHORITY["EPSG","9122"]],AUTHORITY["EPSG","4182"]]</t>
  </si>
  <si>
    <t xml:space="preserve">+proj=longlat +ellps=intl +towgs84=-425,-169,81,0,0,0,0 +no_defs </t>
  </si>
  <si>
    <t>GEOGCS["Azores Central 1948",DATUM["Azores_Central_Islands_1948",SPHEROID["International 1924",6378388,297,AUTHORITY["EPSG","7022"]],TOWGS84[-104,167,-38,0,0,0,0],AUTHORITY["EPSG","6183"]],PRIMEM["Greenwich",0,AUTHORITY["EPSG","8901"]],UNIT["degree",0.0174532925199433,AUTHORITY["EPSG","9122"]],AUTHORITY["EPSG","4183"]]</t>
  </si>
  <si>
    <t xml:space="preserve">+proj=longlat +ellps=intl +towgs84=-104,167,-38,0,0,0,0 +no_defs </t>
  </si>
  <si>
    <t>GEOGCS["Azores Oriental 1940",DATUM["Azores_Oriental_Islands_1940",SPHEROID["International 1924",6378388,297,AUTHORITY["EPSG","7022"]],TOWGS84[-203,141,53,0,0,0,0],AUTHORITY["EPSG","6184"]],PRIMEM["Greenwich",0,AUTHORITY["EPSG","8901"]],UNIT["degree",0.0174532925199433,AUTHORITY["EPSG","9122"]],AUTHORITY["EPSG","4184"]]</t>
  </si>
  <si>
    <t xml:space="preserve">+proj=longlat +ellps=intl +towgs84=-203,141,53,0,0,0,0 +no_defs </t>
  </si>
  <si>
    <t>GEOGCS["Madeira 1936",DATUM["Madeira_1936",SPHEROID["International 1924",6378388,297,AUTHORITY["EPSG","7022"]],AUTHORITY["EPSG","6185"]],PRIMEM["Greenwich",0,AUTHORITY["EPSG","8901"]],UNIT["degree",0.0174532925199433,AUTHORITY["EPSG","9108"]],AUTHORITY["EPSG","4185"]]</t>
  </si>
  <si>
    <t>GEOGCS["OSNI 1952",DATUM["OSNI_1952",SPHEROID["Airy 1830",6377563.396,299.3249646,AUTHORITY["EPSG","7001"]],TOWGS84[482.5,-130.6,564.6,-1.042,-0.214,-0.631,8.15],AUTHORITY["EPSG","6188"]],PRIMEM["Greenwich",0,AUTHORITY["EPSG","8901"]],UNIT["degree",0.0174532925199433,AUTHORITY["EPSG","9122"]],AUTHORITY["EPSG","4188"]]</t>
  </si>
  <si>
    <t xml:space="preserve">+proj=longlat +ellps=airy +towgs84=482.5,-130.6,564.6,-1.042,-0.214,-0.631,8.15 +no_defs </t>
  </si>
  <si>
    <t>GEOGCS["REGVEN",DATUM["Red_Geodesica_Venezolana",SPHEROID["GRS 1980",6378137,298.257222101,AUTHORITY["EPSG","7019"]],TOWGS84[0,0,0,0,0,0,0],AUTHORITY["EPSG","6189"]],PRIMEM["Greenwich",0,AUTHORITY["EPSG","8901"]],UNIT["degree",0.0174532925199433,AUTHORITY["EPSG","9122"]],AUTHORITY["EPSG","4189"]]</t>
  </si>
  <si>
    <t>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</t>
  </si>
  <si>
    <t>GEOGCS["Albanian 1987",DATUM["Albanian_1987",SPHEROID["Krassowsky 1940",6378245,298.3,AUTHORITY["EPSG","7024"]],TOWGS84[-44.183,-0.58,-38.489,2.3867,2.7072,-3.5196,-8.2703],AUTHORITY["EPSG","6191"]],PRIMEM["Greenwich",0,AUTHORITY["EPSG","8901"]],UNIT["degree",0.0174532925199433,AUTHORITY["EPSG","9122"]],AUTHORITY["EPSG","4191"]]</t>
  </si>
  <si>
    <t xml:space="preserve">+proj=longlat +ellps=krass +towgs84=-44.183,-0.58,-38.489,2.3867,2.7072,-3.5196,-8.2703 +no_defs </t>
  </si>
  <si>
    <t>GEOGCS["Douala 1948",DATUM["Douala_1948",SPHEROID["International 1924",6378388,297,AUTHORITY["EPSG","7022"]],TOWGS84[-206.1,-174.7,-87.7,0,0,0,0],AUTHORITY["EPSG","6192"]],PRIMEM["Greenwich",0,AUTHORITY["EPSG","8901"]],UNIT["degree",0.0174532925199433,AUTHORITY["EPSG","9122"]],AUTHORITY["EPSG","4192"]]</t>
  </si>
  <si>
    <t xml:space="preserve">+proj=longlat +ellps=intl +towgs84=-206.1,-174.7,-87.7,0,0,0,0 +no_defs </t>
  </si>
  <si>
    <t>GEOGCS["Manoca 1962",DATUM["Manoca_1962",SPHEROID["Clarke 1880 (IGN)",6378249.2,293.4660212936269,AUTHORITY["EPSG","7011"]],TOWGS84[-70.9,-151.8,-41.4,0,0,0,0],AUTHORITY["EPSG","6193"]],PRIMEM["Greenwich",0,AUTHORITY["EPSG","8901"]],UNIT["degree",0.0174532925199433,AUTHORITY["EPSG","9122"]],AUTHORITY["EPSG","4193"]]</t>
  </si>
  <si>
    <t xml:space="preserve">+proj=longlat +a=6378249.2 +b=6356515 +towgs84=-70.9,-151.8,-41.4,0,0,0,0 +no_defs </t>
  </si>
  <si>
    <t>GEOGCS["Qornoq 1927",DATUM["Qornoq_1927",SPHEROID["International 1924",6378388,297,AUTHORITY["EPSG","7022"]],TOWGS84[164,138,-189,0,0,0,0],AUTHORITY["EPSG","6194"]],PRIMEM["Greenwich",0,AUTHORITY["EPSG","8901"]],UNIT["degree",0.0174532925199433,AUTHORITY["EPSG","9122"]],AUTHORITY["EPSG","4194"]]</t>
  </si>
  <si>
    <t xml:space="preserve">+proj=longlat +ellps=intl +towgs84=164,138,-189,0,0,0,0 +no_defs </t>
  </si>
  <si>
    <t>GEOGCS["Scoresbysund 1952",DATUM["Scoresbysund_1952",SPHEROID["International 1924",6378388,297,AUTHORITY["EPSG","7022"]],TOWGS84[105,326,-102.5,0,0,0.814,-0.6],AUTHORITY["EPSG","6195"]],PRIMEM["Greenwich",0,AUTHORITY["EPSG","8901"]],UNIT["degree",0.0174532925199433,AUTHORITY["EPSG","9122"]],AUTHORITY["EPSG","4195"]]</t>
  </si>
  <si>
    <t xml:space="preserve">+proj=longlat +ellps=intl +towgs84=105,326,-102.5,0,0,0.814,-0.6 +no_defs </t>
  </si>
  <si>
    <t>GEOGCS["Ammassalik 1958",DATUM["Ammassalik_1958",SPHEROID["International 1924",6378388,297,AUTHORITY["EPSG","7022"]],TOWGS84[-45,417,-3.5,0,0,0.814,-0.6],AUTHORITY["EPSG","6196"]],PRIMEM["Greenwich",0,AUTHORITY["EPSG","8901"]],UNIT["degree",0.0174532925199433,AUTHORITY["EPSG","9122"]],AUTHORITY["EPSG","4196"]]</t>
  </si>
  <si>
    <t xml:space="preserve">+proj=longlat +ellps=intl +towgs84=-45,417,-3.5,0,0,0.814,-0.6 +no_defs </t>
  </si>
  <si>
    <t>GEOGCS["Garoua",DATUM["Garoua",SPHEROID["Clarke 1880 (RGS)",6378249.145,293.465,AUTHORITY["EPSG","7012"]],AUTHORITY["EPSG","6197"]],PRIMEM["Greenwich",0,AUTHORITY["EPSG","8901"]],UNIT["degree",0.0174532925199433,AUTHORITY["EPSG","9122"]],AUTHORITY["EPSG","4197"]]</t>
  </si>
  <si>
    <t>GEOGCS["Kousseri",DATUM["Kousseri",SPHEROID["Clarke 1880 (RGS)",6378249.145,293.465,AUTHORITY["EPSG","7012"]],AUTHORITY["EPSG","6198"]],PRIMEM["Greenwich",0,AUTHORITY["EPSG","8901"]],UNIT["degree",0.0174532925199433,AUTHORITY["EPSG","9122"]],AUTHORITY["EPSG","4198"]]</t>
  </si>
  <si>
    <t>GEOGCS["Egypt 1930",DATUM["Egypt_1930",SPHEROID["International 1924",6378388,297,AUTHORITY["EPSG","7022"]],AUTHORITY["EPSG","6199"]],PRIMEM["Greenwich",0,AUTHORITY["EPSG","8901"]],UNIT["degree",0.0174532925199433,AUTHORITY["EPSG","9122"]],AUTHORITY["EPSG","4199"]]</t>
  </si>
  <si>
    <t>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</t>
  </si>
  <si>
    <t xml:space="preserve">+proj=longlat +ellps=krass +towgs84=24.47,-130.89,-81.56,0,0,0.13,-0.22 +no_defs </t>
  </si>
  <si>
    <t>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</t>
  </si>
  <si>
    <t xml:space="preserve">+proj=longlat +ellps=clrk80 +towgs84=-166,-15,204,0,0,0,0 +no_defs </t>
  </si>
  <si>
    <t>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</t>
  </si>
  <si>
    <t xml:space="preserve">+proj=longlat +ellps=aust_SA +towgs84=-117.808,-51.536,137.784,0.303,0.446,0.234,-0.29 +no_defs </t>
  </si>
  <si>
    <t>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</t>
  </si>
  <si>
    <t xml:space="preserve">+proj=longlat +ellps=aust_SA +towgs84=-134,-48,149,0,0,0,0 +no_defs </t>
  </si>
  <si>
    <t>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</t>
  </si>
  <si>
    <t xml:space="preserve">+proj=longlat +ellps=intl +towgs84=-143,-236,7,0,0,0,0 +no_defs </t>
  </si>
  <si>
    <t>GEOGCS["Afgooye",DATUM["Afgooye",SPHEROID["Krassowsky 1940",6378245,298.3,AUTHORITY["EPSG","7024"]],TOWGS84[-43,-163,45,0,0,0,0],AUTHORITY["EPSG","6205"]],PRIMEM["Greenwich",0,AUTHORITY["EPSG","8901"]],UNIT["degree",0.0174532925199433,AUTHORITY["EPSG","9122"]],AUTHORITY["EPSG","4205"]]</t>
  </si>
  <si>
    <t xml:space="preserve">+proj=longlat +ellps=krass +towgs84=-43,-163,45,0,0,0,0 +no_defs </t>
  </si>
  <si>
    <t>GEOGCS["Agadez",DATUM["Agadez",SPHEROID["Clarke 1880 (IGN)",6378249.2,293.4660212936269,AUTHORITY["EPSG","7011"]],AUTHORITY["EPSG","6206"]],PRIMEM["Greenwich",0,AUTHORITY["EPSG","8901"]],UNIT["degree",0.0174532925199433,AUTHORITY["EPSG","9122"]],AUTHORITY["EPSG","4206"]]</t>
  </si>
  <si>
    <t>GEOGCS["Lisbon",DATUM["Lisbon_1937",SPHEROID["International 1924",6378388,297,AUTHORITY["EPSG","7022"]],TOWGS84[-304.046,-60.576,103.64,0,0,0,0],AUTHORITY["EPSG","6207"]],PRIMEM["Greenwich",0,AUTHORITY["EPSG","8901"]],UNIT["degree",0.0174532925199433,AUTHORITY["EPSG","9122"]],AUTHORITY["EPSG","4207"]]</t>
  </si>
  <si>
    <t xml:space="preserve">+proj=longlat +ellps=intl +towgs84=-304.046,-60.576,103.64,0,0,0,0 +no_defs </t>
  </si>
  <si>
    <t>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</t>
  </si>
  <si>
    <t xml:space="preserve">+proj=longlat +ellps=intl +towgs84=-151.99,287.04,-147.45,0,0,0,0 +no_defs </t>
  </si>
  <si>
    <t>GEOGCS["Arc 1950",DATUM["Arc_1950",SPHEROID["Clarke 1880 (Arc)",6378249.145,293.4663077,AUTHORITY["EPSG","7013"]],TOWGS84[-143,-90,-294,0,0,0,0],AUTHORITY["EPSG","6209"]],PRIMEM["Greenwich",0,AUTHORITY["EPSG","8901"]],UNIT["degree",0.0174532925199433,AUTHORITY["EPSG","9122"]],AUTHORITY["EPSG","4209"]]</t>
  </si>
  <si>
    <t xml:space="preserve">+proj=longlat +a=6378249.145 +b=6356514.966398753 +towgs84=-143,-90,-294,0,0,0,0 +no_defs </t>
  </si>
  <si>
    <t>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</t>
  </si>
  <si>
    <t xml:space="preserve">+proj=longlat +ellps=clrk80 +towgs84=-160,-6,-302,0,0,0,0 +no_defs </t>
  </si>
  <si>
    <t>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</t>
  </si>
  <si>
    <t xml:space="preserve">+proj=longlat +ellps=bessel +towgs84=-377,681,-50,0,0,0,0 +no_defs </t>
  </si>
  <si>
    <t>GEOGCS["Barbados 1938",DATUM["Barbados_1938",SPHEROID["Clarke 1880 (RGS)",6378249.145,293.465,AUTHORITY["EPSG","7012"]],TOWGS84[31.95,300.99,419.19,0,0,0,0],AUTHORITY["EPSG","6212"]],PRIMEM["Greenwich",0,AUTHORITY["EPSG","8901"]],UNIT["degree",0.0174532925199433,AUTHORITY["EPSG","9122"]],AUTHORITY["EPSG","4212"]]</t>
  </si>
  <si>
    <t xml:space="preserve">+proj=longlat +ellps=clrk80 +towgs84=31.95,300.99,419.19,0,0,0,0 +no_defs </t>
  </si>
  <si>
    <t>GEOGCS["Beduaram",DATUM["Beduaram",SPHEROID["Clarke 1880 (IGN)",6378249.2,293.4660212936269,AUTHORITY["EPSG","7011"]],TOWGS84[-106,-87,188,0,0,0,0],AUTHORITY["EPSG","6213"]],PRIMEM["Greenwich",0,AUTHORITY["EPSG","8901"]],UNIT["degree",0.0174532925199433,AUTHORITY["EPSG","9122"]],AUTHORITY["EPSG","4213"]]</t>
  </si>
  <si>
    <t xml:space="preserve">+proj=longlat +a=6378249.2 +b=6356515 +towgs84=-106,-87,188,0,0,0,0 +no_defs </t>
  </si>
  <si>
    <t>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</t>
  </si>
  <si>
    <t xml:space="preserve">+proj=longlat +ellps=krass +towgs84=15.8,-154.4,-82.3,0,0,0,0 +no_defs </t>
  </si>
  <si>
    <t>GEOGCS["Belge 1950",DATUM["Reseau_National_Belge_1950",SPHEROID["International 1924",6378388,297,AUTHORITY["EPSG","7022"]],AUTHORITY["EPSG","6215"]],PRIMEM["Greenwich",0,AUTHORITY["EPSG","8901"]],UNIT["degree",0.0174532925199433,AUTHORITY["EPSG","9122"]],AUTHORITY["EPSG","4215"]]</t>
  </si>
  <si>
    <t>GEOGCS["Bermuda 1957",DATUM["Bermuda_1957",SPHEROID["Clarke 1866",6378206.4,294.9786982138982,AUTHORITY["EPSG","7008"]],TOWGS84[-73,213,296,0,0,0,0],AUTHORITY["EPSG","6216"]],PRIMEM["Greenwich",0,AUTHORITY["EPSG","8901"]],UNIT["degree",0.0174532925199433,AUTHORITY["EPSG","9122"]],AUTHORITY["EPSG","4216"]]</t>
  </si>
  <si>
    <t xml:space="preserve">+proj=longlat +ellps=clrk66 +towgs84=-73,213,296,0,0,0,0 +no_defs </t>
  </si>
  <si>
    <t>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</t>
  </si>
  <si>
    <t xml:space="preserve">+proj=longlat +ellps=intl +towgs84=307,304,-318,0,0,0,0 +no_defs </t>
  </si>
  <si>
    <t>GEOGCS["Bukit Rimpah",DATUM["Bukit_Rimpah",SPHEROID["Bessel 1841",6377397.155,299.1528128,AUTHORITY["EPSG","7004"]],TOWGS84[-384,664,-48,0,0,0,0],AUTHORITY["EPSG","6219"]],PRIMEM["Greenwich",0,AUTHORITY["EPSG","8901"]],UNIT["degree",0.0174532925199433,AUTHORITY["EPSG","9122"]],AUTHORITY["EPSG","4219"]]</t>
  </si>
  <si>
    <t xml:space="preserve">+proj=longlat +ellps=bessel +towgs84=-384,664,-48,0,0,0,0 +no_defs </t>
  </si>
  <si>
    <t>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</t>
  </si>
  <si>
    <t xml:space="preserve">+proj=longlat +ellps=clrk80 +towgs84=-50.9,-347.6,-231,0,0,0,0 +no_defs </t>
  </si>
  <si>
    <t>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</t>
  </si>
  <si>
    <t xml:space="preserve">+proj=longlat +ellps=intl +towgs84=-148,136,90,0,0,0,0 +no_defs </t>
  </si>
  <si>
    <t>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</t>
  </si>
  <si>
    <t xml:space="preserve">+proj=longlat +a=6378249.145 +b=6356514.966398753 +towgs84=-136,-108,-292,0,0,0,0 +no_defs </t>
  </si>
  <si>
    <t>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</t>
  </si>
  <si>
    <t>GEOGCS["Chua",DATUM["Chua",SPHEROID["International 1924",6378388,297,AUTHORITY["EPSG","7022"]],TOWGS84[-143.87,243.37,-33.52,0,0,0,0],AUTHORITY["EPSG","6224"]],PRIMEM["Greenwich",0,AUTHORITY["EPSG","8901"]],UNIT["degree",0.0174532925199433,AUTHORITY["EPSG","9122"]],AUTHORITY["EPSG","4224"]]</t>
  </si>
  <si>
    <t xml:space="preserve">+proj=longlat +ellps=intl +towgs84=-143.87,243.37,-33.52,0,0,0,0 +no_defs </t>
  </si>
  <si>
    <t>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</t>
  </si>
  <si>
    <t xml:space="preserve">+proj=longlat +ellps=intl +towgs84=-205.57,168.77,-4.12,0,0,0,0 +no_defs </t>
  </si>
  <si>
    <t>GEOGCS["Cote d'Ivoire",DATUM["Cote_d_Ivoire",SPHEROID["Clarke 1880 (IGN)",6378249.2,293.4660212936269,AUTHORITY["EPSG","7011"]],AUTHORITY["EPSG","6226"]],PRIMEM["Greenwich",0,AUTHORITY["EPSG","8901"]],UNIT["degree",0.0174532925199433,AUTHORITY["EPSG","9108"]],AUTHORITY["EPSG","4226"]]</t>
  </si>
  <si>
    <t>GEOGCS["Deir ez Zor",DATUM["Deir_ez_Zor",SPHEROID["Clarke 1880 (IGN)",6378249.2,293.4660212936269,AUTHORITY["EPSG","7011"]],TOWGS84[-190.421,8.532,238.69,0,0,0,0],AUTHORITY["EPSG","6227"]],PRIMEM["Greenwich",0,AUTHORITY["EPSG","8901"]],UNIT["degree",0.0174532925199433,AUTHORITY["EPSG","9122"]],AUTHORITY["EPSG","4227"]]</t>
  </si>
  <si>
    <t xml:space="preserve">+proj=longlat +a=6378249.2 +b=6356515 +towgs84=-190.421,8.532,238.69,0,0,0,0 +no_defs </t>
  </si>
  <si>
    <t>GEOGCS["Douala",DATUM["Douala",SPHEROID["Clarke 1880 (IGN)",6378249.2,293.4660212936269,AUTHORITY["EPSG","7011"]],AUTHORITY["EPSG","6228"]],PRIMEM["Greenwich",0,AUTHORITY["EPSG","8901"]],UNIT["degree",0.0174532925199433,AUTHORITY["EPSG","9108"]],AUTHORITY["EPSG","4228"]]</t>
  </si>
  <si>
    <t>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</t>
  </si>
  <si>
    <t xml:space="preserve">+proj=longlat +ellps=helmert +towgs84=-130,110,-13,0,0,0,0 +no_defs </t>
  </si>
  <si>
    <t>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</t>
  </si>
  <si>
    <t xml:space="preserve">+proj=longlat +ellps=intl +towgs84=-87,-98,-121,0,0,0,0 +no_defs </t>
  </si>
  <si>
    <t>GEOGCS["ED87",DATUM["European_Datum_1987",SPHEROID["International 1924",6378388,297,AUTHORITY["EPSG","7022"]],TOWGS84[-83.11,-97.38,-117.22,0.005693,-0.044698,0.044285,0.1218],AUTHORITY["EPSG","6231"]],PRIMEM["Greenwich",0,AUTHORITY["EPSG","8901"]],UNIT["degree",0.0174532925199433,AUTHORITY["EPSG","9122"]],AUTHORITY["EPSG","4231"]]</t>
  </si>
  <si>
    <t xml:space="preserve">+proj=longlat +ellps=intl +towgs84=-83.11,-97.38,-117.22,0.005693,-0.044698,0.044285,0.1218 +no_defs </t>
  </si>
  <si>
    <t>GEOGCS["Fahud",DATUM["Fahud",SPHEROID["Clarke 1880 (RGS)",6378249.145,293.465,AUTHORITY["EPSG","7012"]],TOWGS84[-333.102,-11.02,230.69,0,0,0.554,0.219],AUTHORITY["EPSG","6232"]],PRIMEM["Greenwich",0,AUTHORITY["EPSG","8901"]],UNIT["degree",0.0174532925199433,AUTHORITY["EPSG","9122"]],AUTHORITY["EPSG","4232"]]</t>
  </si>
  <si>
    <t xml:space="preserve">+proj=longlat +ellps=clrk80 +towgs84=-333.102,-11.02,230.69,0,0,0.554,0.219 +no_defs </t>
  </si>
  <si>
    <t>GEOGCS["Gandajika 1970",DATUM["Gandajika_1970",SPHEROID["International 1924",6378388,297,AUTHORITY["EPSG","7022"]],TOWGS84[-133,-321,50,0,0,0,0],AUTHORITY["EPSG","6233"]],PRIMEM["Greenwich",0,AUTHORITY["EPSG","8901"]],UNIT["degree",0.0174532925199433,AUTHORITY["EPSG","9122"]],AUTHORITY["EPSG","4233"]]</t>
  </si>
  <si>
    <t xml:space="preserve">+proj=longlat +ellps=intl +towgs84=-133,-321,50,0,0,0,0 +no_defs </t>
  </si>
  <si>
    <t>GEOGCS["Garoua",DATUM["Garoua",SPHEROID["Clarke 1880 (IGN)",6378249.2,293.4660212936269,AUTHORITY["EPSG","7011"]],AUTHORITY["EPSG","6234"]],PRIMEM["Greenwich",0,AUTHORITY["EPSG","8901"]],UNIT["degree",0.0174532925199433,AUTHORITY["EPSG","9108"]],AUTHORITY["EPSG","4234"]]</t>
  </si>
  <si>
    <t>GEOGCS["Guyane Francaise",DATUM["Guyane_Francaise",SPHEROID["International 1924",6378388,297,AUTHORITY["EPSG","7022"]],AUTHORITY["EPSG","6235"]],PRIMEM["Greenwich",0,AUTHORITY["EPSG","8901"]],UNIT["degree",0.0174532925199433,AUTHORITY["EPSG","9108"]],AUTHORITY["EPSG","4235"]]</t>
  </si>
  <si>
    <t>GEOGCS["Hu Tzu Shan 1950",DATUM["Hu_Tzu_Shan_1950",SPHEROID["International 1924",6378388,297,AUTHORITY["EPSG","7022"]],TOWGS84[-637,-549,-203,0,0,0,0],AUTHORITY["EPSG","6236"]],PRIMEM["Greenwich",0,AUTHORITY["EPSG","8901"]],UNIT["degree",0.0174532925199433,AUTHORITY["EPSG","9122"]],AUTHORITY["EPSG","4236"]]</t>
  </si>
  <si>
    <t xml:space="preserve">+proj=longlat +ellps=intl +towgs84=-637,-549,-203,0,0,0,0 +no_defs </t>
  </si>
  <si>
    <t>GEOGCS["HD72",DATUM["Hungarian_Datum_1972",SPHEROID["GRS 1967",6378160,298.247167427,AUTHORITY["EPSG","7036"]],TOWGS84[52.17,-71.82,-14.9,0,0,0,0],AUTHORITY["EPSG","6237"]],PRIMEM["Greenwich",0,AUTHORITY["EPSG","8901"]],UNIT["degree",0.0174532925199433,AUTHORITY["EPSG","9122"]],AUTHORITY["EPSG","4237"]]</t>
  </si>
  <si>
    <t xml:space="preserve">+proj=longlat +ellps=GRS67 +towgs84=52.17,-71.82,-14.9,0,0,0,0 +no_defs </t>
  </si>
  <si>
    <t>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</t>
  </si>
  <si>
    <t xml:space="preserve">+proj=longlat +a=6378160 +b=6356774.50408554 +towgs84=-24,-15,5,0,0,0,0 +no_defs </t>
  </si>
  <si>
    <t>GEOGCS["Indian 1954",DATUM["Indian_1954",SPHEROID["Everest 1830 (1937 Adjustment)",6377276.345,300.8017,AUTHORITY["EPSG","7015"]],TOWGS84[217,823,299,0,0,0,0],AUTHORITY["EPSG","6239"]],PRIMEM["Greenwich",0,AUTHORITY["EPSG","8901"]],UNIT["degree",0.0174532925199433,AUTHORITY["EPSG","9122"]],AUTHORITY["EPSG","4239"]]</t>
  </si>
  <si>
    <t xml:space="preserve">+proj=longlat +a=6377276.345 +b=6356075.41314024 +towgs84=217,823,299,0,0,0,0 +no_defs </t>
  </si>
  <si>
    <t>GEOGCS["Indian 1975",DATUM["Indian_1975",SPHEROID["Everest 1830 (1937 Adjustment)",6377276.345,300.8017,AUTHORITY["EPSG","7015"]],TOWGS84[210,814,289,0,0,0,0],AUTHORITY["EPSG","6240"]],PRIMEM["Greenwich",0,AUTHORITY["EPSG","8901"]],UNIT["degree",0.0174532925199433,AUTHORITY["EPSG","9122"]],AUTHORITY["EPSG","4240"]]</t>
  </si>
  <si>
    <t xml:space="preserve">+proj=longlat +a=6377276.345 +b=6356075.41314024 +towgs84=210,814,289,0,0,0,0 +no_defs </t>
  </si>
  <si>
    <t>GEOGCS["Jamaica 1875",DATUM["Jamaica_1875",SPHEROID["Clarke 1880",6378249.144808011,293.4663076556365,AUTHORITY["EPSG","7034"]],AUTHORITY["EPSG","6241"]],PRIMEM["Greenwich",0,AUTHORITY["EPSG","8901"]],UNIT["degree",0.0174532925199433,AUTHORITY["EPSG","9122"]],AUTHORITY["EPSG","4241"]]</t>
  </si>
  <si>
    <t>GEOGCS["JAD69",DATUM["Jamaica_1969",SPHEROID["Clarke 1866",6378206.4,294.9786982138982,AUTHORITY["EPSG","7008"]],TOWGS84[70,207,389.5,0,0,0,0],AUTHORITY["EPSG","6242"]],PRIMEM["Greenwich",0,AUTHORITY["EPSG","8901"]],UNIT["degree",0.0174532925199433,AUTHORITY["EPSG","9122"]],AUTHORITY["EPSG","4242"]]</t>
  </si>
  <si>
    <t xml:space="preserve">+proj=longlat +ellps=clrk66 +towgs84=70,207,389.5,0,0,0,0 +no_defs </t>
  </si>
  <si>
    <t>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</t>
  </si>
  <si>
    <t>GEOGCS["Kandawala",DATUM["Kandawala",SPHEROID["Everest 1830 (1937 Adjustment)",6377276.345,300.8017,AUTHORITY["EPSG","7015"]],TOWGS84[-97,787,86,0,0,0,0],AUTHORITY["EPSG","6244"]],PRIMEM["Greenwich",0,AUTHORITY["EPSG","8901"]],UNIT["degree",0.0174532925199433,AUTHORITY["EPSG","9122"]],AUTHORITY["EPSG","4244"]]</t>
  </si>
  <si>
    <t xml:space="preserve">+proj=longlat +a=6377276.345 +b=6356075.41314024 +towgs84=-97,787,86,0,0,0,0 +no_defs </t>
  </si>
  <si>
    <t>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</t>
  </si>
  <si>
    <t xml:space="preserve">+proj=longlat +a=6377304.063 +b=6356103.038993155 +towgs84=-11,851,5,0,0,0,0 +no_defs </t>
  </si>
  <si>
    <t>GEOGCS["KOC",DATUM["Kuwait_Oil_Company",SPHEROID["Clarke 1880 (RGS)",6378249.145,293.465,AUTHORITY["EPSG","7012"]],TOWGS84[-294.7,-200.1,525.5,0,0,0,0],AUTHORITY["EPSG","6246"]],PRIMEM["Greenwich",0,AUTHORITY["EPSG","8901"]],UNIT["degree",0.0174532925199433,AUTHORITY["EPSG","9122"]],AUTHORITY["EPSG","4246"]]</t>
  </si>
  <si>
    <t xml:space="preserve">+proj=longlat +ellps=clrk80 +towgs84=-294.7,-200.1,525.5,0,0,0,0 +no_defs </t>
  </si>
  <si>
    <t>GEOGCS["La Canoa",DATUM["La_Canoa",SPHEROID["International 1924",6378388,297,AUTHORITY["EPSG","7022"]],TOWGS84[-273.5,110.6,-357.9,0,0,0,0],AUTHORITY["EPSG","6247"]],PRIMEM["Greenwich",0,AUTHORITY["EPSG","8901"]],UNIT["degree",0.0174532925199433,AUTHORITY["EPSG","9122"]],AUTHORITY["EPSG","4247"]]</t>
  </si>
  <si>
    <t xml:space="preserve">+proj=longlat +ellps=intl +towgs84=-273.5,110.6,-357.9,0,0,0,0 +no_defs </t>
  </si>
  <si>
    <t>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</t>
  </si>
  <si>
    <t xml:space="preserve">+proj=longlat +ellps=intl +towgs84=-288,175,-376,0,0,0,0 +no_defs </t>
  </si>
  <si>
    <t>GEOGCS["Lake",DATUM["Lake",SPHEROID["International 1924",6378388,297,AUTHORITY["EPSG","7022"]],AUTHORITY["EPSG","6249"]],PRIMEM["Greenwich",0,AUTHORITY["EPSG","8901"]],UNIT["degree",0.0174532925199433,AUTHORITY["EPSG","9122"]],AUTHORITY["EPSG","4249"]]</t>
  </si>
  <si>
    <t>GEOGCS["Leigon",DATUM["Leigon",SPHEROID["Clarke 1880 (RGS)",6378249.145,293.465,AUTHORITY["EPSG","7012"]],TOWGS84[-130,29,364,0,0,0,0],AUTHORITY["EPSG","6250"]],PRIMEM["Greenwich",0,AUTHORITY["EPSG","8901"]],UNIT["degree",0.0174532925199433,AUTHORITY["EPSG","9122"]],AUTHORITY["EPSG","4250"]]</t>
  </si>
  <si>
    <t xml:space="preserve">+proj=longlat +ellps=clrk80 +towgs84=-130,29,364,0,0,0,0 +no_defs </t>
  </si>
  <si>
    <t>GEOGCS["Liberia 1964",DATUM["Liberia_1964",SPHEROID["Clarke 1880 (RGS)",6378249.145,293.465,AUTHORITY["EPSG","7012"]],TOWGS84[-90,40,88,0,0,0,0],AUTHORITY["EPSG","6251"]],PRIMEM["Greenwich",0,AUTHORITY["EPSG","8901"]],UNIT["degree",0.0174532925199433,AUTHORITY["EPSG","9122"]],AUTHORITY["EPSG","4251"]]</t>
  </si>
  <si>
    <t xml:space="preserve">+proj=longlat +ellps=clrk80 +towgs84=-90,40,88,0,0,0,0 +no_defs </t>
  </si>
  <si>
    <t>GEOGCS["Lome",DATUM["Lome",SPHEROID["Clarke 1880 (IGN)",6378249.2,293.4660212936269,AUTHORITY["EPSG","7011"]],AUTHORITY["EPSG","6252"]],PRIMEM["Greenwich",0,AUTHORITY["EPSG","8901"]],UNIT["degree",0.0174532925199433,AUTHORITY["EPSG","9122"]],AUTHORITY["EPSG","4252"]]</t>
  </si>
  <si>
    <t>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</t>
  </si>
  <si>
    <t xml:space="preserve">+proj=longlat +ellps=clrk66 +towgs84=-133,-77,-51,0,0,0,0 +no_defs </t>
  </si>
  <si>
    <t>GEOGCS["Hito XVIII 1963",DATUM["Hito_XVIII_1963",SPHEROID["International 1924",6378388,297,AUTHORITY["EPSG","7022"]],TOWGS84[16,196,93,0,0,0,0],AUTHORITY["EPSG","6254"]],PRIMEM["Greenwich",0,AUTHORITY["EPSG","8901"]],UNIT["degree",0.0174532925199433,AUTHORITY["EPSG","9122"]],AUTHORITY["EPSG","4254"]]</t>
  </si>
  <si>
    <t xml:space="preserve">+proj=longlat +ellps=intl +towgs84=16,196,93,0,0,0,0 +no_defs </t>
  </si>
  <si>
    <t>GEOGCS["Herat North",DATUM["Herat_North",SPHEROID["International 1924",6378388,297,AUTHORITY["EPSG","7022"]],TOWGS84[-333,-222,114,0,0,0,0],AUTHORITY["EPSG","6255"]],PRIMEM["Greenwich",0,AUTHORITY["EPSG","8901"]],UNIT["degree",0.0174532925199433,AUTHORITY["EPSG","9122"]],AUTHORITY["EPSG","4255"]]</t>
  </si>
  <si>
    <t xml:space="preserve">+proj=longlat +ellps=intl +towgs84=-333,-222,114,0,0,0,0 +no_defs </t>
  </si>
  <si>
    <t>GEOGCS["Mahe 1971",DATUM["Mahe_1971",SPHEROID["Clarke 1880 (RGS)",6378249.145,293.465,AUTHORITY["EPSG","7012"]],TOWGS84[41,-220,-134,0,0,0,0],AUTHORITY["EPSG","6256"]],PRIMEM["Greenwich",0,AUTHORITY["EPSG","8901"]],UNIT["degree",0.0174532925199433,AUTHORITY["EPSG","9122"]],AUTHORITY["EPSG","4256"]]</t>
  </si>
  <si>
    <t xml:space="preserve">+proj=longlat +ellps=clrk80 +towgs84=41,-220,-134,0,0,0,0 +no_defs </t>
  </si>
  <si>
    <t>GEOGCS["Makassar",DATUM["Makassar",SPHEROID["Bessel 1841",6377397.155,299.1528128,AUTHORITY["EPSG","7004"]],TOWGS84[-587.8,519.75,145.76,0,0,0,0],AUTHORITY["EPSG","6257"]],PRIMEM["Greenwich",0,AUTHORITY["EPSG","8901"]],UNIT["degree",0.0174532925199433,AUTHORITY["EPSG","9122"]],AUTHORITY["EPSG","4257"]]</t>
  </si>
  <si>
    <t xml:space="preserve">+proj=longlat +ellps=bessel +towgs84=-587.8,519.75,145.76,0,0,0,0 +no_defs </t>
  </si>
  <si>
    <t>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</t>
  </si>
  <si>
    <t>GEOGCS["Malongo 1987",DATUM["Malongo_1987",SPHEROID["International 1924",6378388,297,AUTHORITY["EPSG","7022"]],TOWGS84[-254.1,-5.36,-100.29,0,0,0,0],AUTHORITY["EPSG","6259"]],PRIMEM["Greenwich",0,AUTHORITY["EPSG","8901"]],UNIT["degree",0.0174532925199433,AUTHORITY["EPSG","9122"]],AUTHORITY["EPSG","4259"]]</t>
  </si>
  <si>
    <t xml:space="preserve">+proj=longlat +ellps=intl +towgs84=-254.1,-5.36,-100.29,0,0,0,0 +no_defs </t>
  </si>
  <si>
    <t>GEOGCS["Manoca",DATUM["Manoca",SPHEROID["Clarke 1880 (RGS)",6378249.145,293.465,AUTHORITY["EPSG","7012"]],TOWGS84[-70.9,-151.8,-41.4,0,0,0,0],AUTHORITY["EPSG","6260"]],PRIMEM["Greenwich",0,AUTHORITY["EPSG","8901"]],UNIT["degree",0.0174532925199433,AUTHORITY["EPSG","9108"]],AUTHORITY["EPSG","4260"]]</t>
  </si>
  <si>
    <t xml:space="preserve">+proj=longlat +ellps=clrk80 +towgs84=-70.9,-151.8,-41.4,0,0,0,0 +no_defs </t>
  </si>
  <si>
    <t>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</t>
  </si>
  <si>
    <t xml:space="preserve">+proj=longlat +a=6378249.2 +b=6356515 +towgs84=31,146,47,0,0,0,0 +no_defs </t>
  </si>
  <si>
    <t>GEOGCS["Massawa",DATUM["Massawa",SPHEROID["Bessel 1841",6377397.155,299.1528128,AUTHORITY["EPSG","7004"]],TOWGS84[639,405,60,0,0,0,0],AUTHORITY["EPSG","6262"]],PRIMEM["Greenwich",0,AUTHORITY["EPSG","8901"]],UNIT["degree",0.0174532925199433,AUTHORITY["EPSG","9122"]],AUTHORITY["EPSG","4262"]]</t>
  </si>
  <si>
    <t xml:space="preserve">+proj=longlat +ellps=bessel +towgs84=639,405,60,0,0,0,0 +no_defs </t>
  </si>
  <si>
    <t>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</t>
  </si>
  <si>
    <t xml:space="preserve">+proj=longlat +ellps=clrk80 +towgs84=-92,-93,122,0,0,0,0 +no_defs </t>
  </si>
  <si>
    <t>GEOGCS["Mhast",DATUM["Mhast",SPHEROID["International 1924",6378388,297,AUTHORITY["EPSG","7022"]],TOWGS84[-252.95,-4.11,-96.38,0,0,0,0],AUTHORITY["EPSG","6264"]],PRIMEM["Greenwich",0,AUTHORITY["EPSG","8901"]],UNIT["degree",0.0174532925199433,AUTHORITY["EPSG","9122"]],AUTHORITY["EPSG","4264"]]</t>
  </si>
  <si>
    <t xml:space="preserve">+proj=longlat +ellps=intl +towgs84=-252.95,-4.11,-96.38,0,0,0,0 +no_defs </t>
  </si>
  <si>
    <t>GEOGCS["Monte Mario",DATUM["Monte_Mario",SPHEROID["International 1924",6378388,297,AUTHORITY["EPSG","7022"]],TOWGS84[-104.1,-49.1,-9.9,0.971,-2.917,0.714,-11.68],AUTHORITY["EPSG","6265"]],PRIMEM["Greenwich",0,AUTHORITY["EPSG","8901"]],UNIT["degree",0.0174532925199433,AUTHORITY["EPSG","9122"]],AUTHORITY["EPSG","4265"]]</t>
  </si>
  <si>
    <t xml:space="preserve">+proj=longlat +ellps=intl +towgs84=-104.1,-49.1,-9.9,0.971,-2.917,0.714,-11.68 +no_defs </t>
  </si>
  <si>
    <t>GEOGCS["M'poraloko",DATUM["M_poraloko",SPHEROID["Clarke 1880 (IGN)",6378249.2,293.4660212936269,AUTHORITY["EPSG","7011"]],TOWGS84[-74,-130,42,0,0,0,0],AUTHORITY["EPSG","6266"]],PRIMEM["Greenwich",0,AUTHORITY["EPSG","8901"]],UNIT["degree",0.0174532925199433,AUTHORITY["EPSG","9122"]],AUTHORITY["EPSG","4266"]]</t>
  </si>
  <si>
    <t xml:space="preserve">+proj=longlat +a=6378249.2 +b=6356515 +towgs84=-74,-130,42,0,0,0,0 +no_defs </t>
  </si>
  <si>
    <t>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</t>
  </si>
  <si>
    <t>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</t>
  </si>
  <si>
    <t>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</t>
  </si>
  <si>
    <t>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</t>
  </si>
  <si>
    <t xml:space="preserve">+proj=longlat +ellps=clrk80 +towgs84=-249,-156,381,0,0,0,0 +no_defs </t>
  </si>
  <si>
    <t>GEOGCS["Naparima 1972",DATUM["Naparima_1972",SPHEROID["International 1924",6378388,297,AUTHORITY["EPSG","7022"]],TOWGS84[-10,375,165,0,0,0,0],AUTHORITY["EPSG","6271"]],PRIMEM["Greenwich",0,AUTHORITY["EPSG","8901"]],UNIT["degree",0.0174532925199433,AUTHORITY["EPSG","9122"]],AUTHORITY["EPSG","4271"]]</t>
  </si>
  <si>
    <t xml:space="preserve">+proj=longlat +ellps=intl +towgs84=-10,375,165,0,0,0,0 +no_defs </t>
  </si>
  <si>
    <t>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</t>
  </si>
  <si>
    <t xml:space="preserve">+proj=longlat +datum=nzgd49 +towgs84=59.47,-5.04,187.44,0.47,-0.1,1.024,-4.5993 +nadgrids=nzgd2kgrid0005.gsb +no_defs </t>
  </si>
  <si>
    <t>GEOGCS["NGO 1948",DATUM["NGO_1948",SPHEROID["Bessel Modified",6377492.018,299.1528128,AUTHORITY["EPSG","7005"]],TOWGS84[278.3,93,474.5,7.889,0.05,-6.61,6.21],AUTHORITY["EPSG","6273"]],PRIMEM["Greenwich",0,AUTHORITY["EPSG","8901"]],UNIT["degree",0.0174532925199433,AUTHORITY["EPSG","9122"]],AUTHORITY["EPSG","4273"]]</t>
  </si>
  <si>
    <t xml:space="preserve">+proj=longlat +a=6377492.018 +b=6356173.508712696 +towgs84=278.3,93,474.5,7.889,0.05,-6.61,6.21 +no_defs </t>
  </si>
  <si>
    <t>GEOGCS["Datum 73",DATUM["Datum_73",SPHEROID["International 1924",6378388,297,AUTHORITY["EPSG","7022"]],TOWGS84[-223.237,110.193,36.649,0,0,0,0],AUTHORITY["EPSG","6274"]],PRIMEM["Greenwich",0,AUTHORITY["EPSG","8901"]],UNIT["degree",0.0174532925199433,AUTHORITY["EPSG","9122"]],AUTHORITY["EPSG","4274"]]</t>
  </si>
  <si>
    <t xml:space="preserve">+proj=longlat +ellps=intl +towgs84=-223.237,110.193,36.649,0,0,0,0 +no_defs </t>
  </si>
  <si>
    <t>GEOGCS["NTF",DATUM["Nouvelle_Triangulation_Francaise",SPHEROID["Clarke 1880 (IGN)",6378249.2,293.4660212936269,AUTHORITY["EPSG","7011"]],TOWGS84[-168,-60,320,0,0,0,0],AUTHORITY["EPSG","6275"]],PRIMEM["Greenwich",0,AUTHORITY["EPSG","8901"]],UNIT["degree",0.0174532925199433,AUTHORITY["EPSG","9122"]],AUTHORITY["EPSG","4275"]]</t>
  </si>
  <si>
    <t xml:space="preserve">+proj=longlat +a=6378249.2 +b=6356515 +towgs84=-168,-60,320,0,0,0,0 +no_defs </t>
  </si>
  <si>
    <t>GEOGCS["NSWC 9Z-2",DATUM["NSWC_9Z_2",SPHEROID["NWL 9D",6378145,298.25,AUTHORITY["EPSG","7025"]],AUTHORITY["EPSG","6276"]],PRIMEM["Greenwich",0,AUTHORITY["EPSG","8901"]],UNIT["degree",0.0174532925199433,AUTHORITY["EPSG","9122"]],AUTHORITY["EPSG","4276"]]</t>
  </si>
  <si>
    <t>GEOGCS["OSGB 1936",DATUM["OSGB_1936",SPHEROID["Airy 1830",6377563.396,299.3249646,AUTHORITY["EPSG","7001"]],TOWGS84[446.448,-125.157,542.06,0.15,0.247,0.842,-20.489],AUTHORITY["EPSG","6277"]],PRIMEM["Greenwich",0,AUTHORITY["EPSG","8901"]],UNIT["degree",0.0174532925199433,AUTHORITY["EPSG","9122"]],AUTHORITY["EPSG","4277"]]</t>
  </si>
  <si>
    <t>GEOGCS["OSGB70",DATUM["OSGB_1970_SN",SPHEROID["Airy 1830",6377563.396,299.3249646,AUTHORITY["EPSG","7001"]],AUTHORITY["EPSG","6278"]],PRIMEM["Greenwich",0,AUTHORITY["EPSG","8901"]],UNIT["degree",0.0174532925199433,AUTHORITY["EPSG","9122"]],AUTHORITY["EPSG","4278"]]</t>
  </si>
  <si>
    <t>GEOGCS["OS(SN)80",DATUM["OS_SN_1980",SPHEROID["Airy 1830",6377563.396,299.3249646,AUTHORITY["EPSG","7001"]],AUTHORITY["EPSG","6279"]],PRIMEM["Greenwich",0,AUTHORITY["EPSG","8901"]],UNIT["degree",0.0174532925199433,AUTHORITY["EPSG","9122"]],AUTHORITY["EPSG","4279"]]</t>
  </si>
  <si>
    <t>GEOGCS["Padang",DATUM["Padang_1884",SPHEROID["Bessel 1841",6377397.155,299.1528128,AUTHORITY["EPSG","7004"]],AUTHORITY["EPSG","6280"]],PRIMEM["Greenwich",0,AUTHORITY["EPSG","8901"]],UNIT["degree",0.0174532925199433,AUTHORITY["EPSG","9122"]],AUTHORITY["EPSG","4280"]]</t>
  </si>
  <si>
    <t>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</t>
  </si>
  <si>
    <t xml:space="preserve">+proj=longlat +a=6378300.789 +b=6356566.435 +towgs84=-275.7224,94.7824,340.8944,-8.001,-4.42,-11.821,1 +no_defs </t>
  </si>
  <si>
    <t>GEOGCS["Pointe Noire",DATUM["Congo_1960_Pointe_Noire",SPHEROID["Clarke 1880 (IGN)",6378249.2,293.4660212936269,AUTHORITY["EPSG","7011"]],TOWGS84[-148,51,-291,0,0,0,0],AUTHORITY["EPSG","6282"]],PRIMEM["Greenwich",0,AUTHORITY["EPSG","8901"]],UNIT["degree",0.0174532925199433,AUTHORITY["EPSG","9122"]],AUTHORITY["EPSG","4282"]]</t>
  </si>
  <si>
    <t xml:space="preserve">+proj=longlat +a=6378249.2 +b=6356515 +towgs84=-148,51,-291,0,0,0,0 +no_defs </t>
  </si>
  <si>
    <t>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</t>
  </si>
  <si>
    <t>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</t>
  </si>
  <si>
    <t xml:space="preserve">+proj=longlat +ellps=krass +towgs84=23.92,-141.27,-80.9,0,0.35,0.82,-0.12 +no_defs </t>
  </si>
  <si>
    <t>GEOGCS["Qatar 1974",DATUM["Qatar_1974",SPHEROID["International 1924",6378388,297,AUTHORITY["EPSG","7022"]],TOWGS84[-128.16,-282.42,21.93,0,0,0,0],AUTHORITY["EPSG","6285"]],PRIMEM["Greenwich",0,AUTHORITY["EPSG","8901"]],UNIT["degree",0.0174532925199433,AUTHORITY["EPSG","9122"]],AUTHORITY["EPSG","4285"]]</t>
  </si>
  <si>
    <t xml:space="preserve">+proj=longlat +ellps=intl +towgs84=-128.16,-282.42,21.93,0,0,0,0 +no_defs </t>
  </si>
  <si>
    <t>GEOGCS["Qatar 1948",DATUM["Qatar_1948",SPHEROID["Helmert 1906",6378200,298.3,AUTHORITY["EPSG","7020"]],AUTHORITY["EPSG","6286"]],PRIMEM["Greenwich",0,AUTHORITY["EPSG","8901"]],UNIT["degree",0.0174532925199433,AUTHORITY["EPSG","9122"]],AUTHORITY["EPSG","4286"]]</t>
  </si>
  <si>
    <t>GEOGCS["Qornoq",DATUM["Qornoq",SPHEROID["International 1924",6378388,297,AUTHORITY["EPSG","7022"]],TOWGS84[164,138,-189,0,0,0,0],AUTHORITY["EPSG","6287"]],PRIMEM["Greenwich",0,AUTHORITY["EPSG","8901"]],UNIT["degree",0.0174532925199433,AUTHORITY["EPSG","9108"]],AUTHORITY["EPSG","4287"]]</t>
  </si>
  <si>
    <t>GEOGCS["Loma Quintana",DATUM["Loma_Quintana",SPHEROID["International 1924",6378388,297,AUTHORITY["EPSG","7022"]],AUTHORITY["EPSG","6288"]],PRIMEM["Greenwich",0,AUTHORITY["EPSG","8901"]],UNIT["degree",0.0174532925199433,AUTHORITY["EPSG","9122"]],AUTHORITY["EPSG","4288"]]</t>
  </si>
  <si>
    <t>GEOGCS["Amersfoort",DATUM["Amersfoort",SPHEROID["Bessel 1841",6377397.155,299.1528128,AUTHORITY["EPSG","7004"]],TOWGS84[565.2369,50.0087,465.658,-0.406857,0.350733,-1.87035,4.0812],AUTHORITY["EPSG","6289"]],PRIMEM["Greenwich",0,AUTHORITY["EPSG","8901"]],UNIT["degree",0.0174532925199433,AUTHORITY["EPSG","9122"]],AUTHORITY["EPSG","4289"]]</t>
  </si>
  <si>
    <t xml:space="preserve">+proj=longlat +ellps=bessel +towgs84=565.2369,50.0087,465.658,-0.406857,0.350733,-1.87035,4.0812 +no_defs </t>
  </si>
  <si>
    <t>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</t>
  </si>
  <si>
    <t xml:space="preserve">+proj=longlat +ellps=GRS67 +towgs84=-57,1,-41,0,0,0,0 +no_defs </t>
  </si>
  <si>
    <t>GEOGCS["Sapper Hill 1943",DATUM["Sapper_Hill_1943",SPHEROID["International 1924",6378388,297,AUTHORITY["EPSG","7022"]],TOWGS84[-355,21,72,0,0,0,0],AUTHORITY["EPSG","6292"]],PRIMEM["Greenwich",0,AUTHORITY["EPSG","8901"]],UNIT["degree",0.0174532925199433,AUTHORITY["EPSG","9122"]],AUTHORITY["EPSG","4292"]]</t>
  </si>
  <si>
    <t xml:space="preserve">+proj=longlat +ellps=intl +towgs84=-355,21,72,0,0,0,0 +no_defs </t>
  </si>
  <si>
    <t>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</t>
  </si>
  <si>
    <t xml:space="preserve">+proj=longlat +ellps=bess_nam +towgs84=616,97,-251,0,0,0,0 +no_defs </t>
  </si>
  <si>
    <t>GEOGCS["Segora",DATUM["Segora",SPHEROID["Bessel 1841",6377397.155,299.1528128,AUTHORITY["EPSG","7004"]],TOWGS84[-403,684,41,0,0,0,0],AUTHORITY["EPSG","6294"]],PRIMEM["Greenwich",0,AUTHORITY["EPSG","8901"]],UNIT["degree",0.0174532925199433,AUTHORITY["EPSG","9108"]],AUTHORITY["EPSG","4294"]]</t>
  </si>
  <si>
    <t xml:space="preserve">+proj=longlat +ellps=bessel +towgs84=-403,684,41,0,0,0,0 +no_defs </t>
  </si>
  <si>
    <t>GEOGCS["Serindung",DATUM["Serindung",SPHEROID["Bessel 1841",6377397.155,299.1528128,AUTHORITY["EPSG","7004"]],AUTHORITY["EPSG","6295"]],PRIMEM["Greenwich",0,AUTHORITY["EPSG","8901"]],UNIT["degree",0.0174532925199433,AUTHORITY["EPSG","9122"]],AUTHORITY["EPSG","4295"]]</t>
  </si>
  <si>
    <t>GEOGCS["Sudan",DATUM["Sudan",SPHEROID["Clarke 1880 (IGN)",6378249.2,293.4660212936269,AUTHORITY["EPSG","7011"]],AUTHORITY["EPSG","6296"]],PRIMEM["Greenwich",0,AUTHORITY["EPSG","8901"]],UNIT["degree",0.0174532925199433,AUTHORITY["EPSG","9108"]],AUTHORITY["EPSG","4296"]]</t>
  </si>
  <si>
    <t>GEOGCS["NAD83(CSRS)v4",DATUM["North_American_Datum_of_1983_CSRS_version_4",SPHEROID["GRS 1980",6378137,298.257222101,AUTHORITY["EPSG","7019"]],AUTHORITY["EPSG","1195"]],PRIMEM["Greenwich",0,AUTHORITY["EPSG","8901"]],UNIT["degree",0.0174532925199433,AUTHORITY["EPSG","9122"]],AUTHORITY["EPSG","8246"]]</t>
  </si>
  <si>
    <t>GEOGCS["Tananarive",DATUM["Tananarive_1925",SPHEROID["International 1924",6378388,297,AUTHORITY["EPSG","7022"]],TOWGS84[-189,-242,-91,0,0,0,0],AUTHORITY["EPSG","6297"]],PRIMEM["Greenwich",0,AUTHORITY["EPSG","8901"]],UNIT["degree",0.0174532925199433,AUTHORITY["EPSG","9122"]],AUTHORITY["EPSG","4297"]]</t>
  </si>
  <si>
    <t xml:space="preserve">+proj=longlat +ellps=intl +towgs84=-189,-242,-91,0,0,0,0 +no_defs </t>
  </si>
  <si>
    <t>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</t>
  </si>
  <si>
    <t xml:space="preserve">+proj=longlat +ellps=evrstSS +towgs84=-679,669,-48,0,0,0,0 +no_defs </t>
  </si>
  <si>
    <t>GEOGCS["TM65",DATUM["TM65",SPHEROID["Airy Modified 1849",6377340.189,299.3249646,AUTHORITY["EPSG","7002"]],TOWGS84[482.5,-130.6,564.6,-1.042,-0.214,-0.631,8.15],AUTHORITY["EPSG","6299"]],PRIMEM["Greenwich",0,AUTHORITY["EPSG","8901"]],UNIT["degree",0.0174532925199433,AUTHORITY["EPSG","9122"]],AUTHORITY["EPSG","4299"]]</t>
  </si>
  <si>
    <t>GEOGCS["TM75",DATUM["Geodetic_Datum_of_1965",SPHEROID["Airy Modified 1849",6377340.189,299.3249646,AUTHORITY["EPSG","7002"]],TOWGS84[482.5,-130.6,564.6,-1.042,-0.214,-0.631,8.15],AUTHORITY["EPSG","6300"]],PRIMEM["Greenwich",0,AUTHORITY["EPSG","8901"]],UNIT["degree",0.0174532925199433,AUTHORITY["EPSG","9122"]],AUTHORITY["EPSG","4300"]]</t>
  </si>
  <si>
    <t xml:space="preserve">+proj=longlat +ellps=mod_airy +towgs84=482.5,-130.6,564.6,-1.042,-0.214,-0.631,8.15 +no_defs </t>
  </si>
  <si>
    <t>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</t>
  </si>
  <si>
    <t xml:space="preserve">+proj=longlat +ellps=bessel +towgs84=-146.414,507.337,680.507,0,0,0,0 +no_defs </t>
  </si>
  <si>
    <t>GEOGCS["Trinidad 1903",DATUM["Trinidad_1903",SPHEROID["Clarke 1858",6378293.645208759,294.2606763692606,AUTHORITY["EPSG","7007"]],TOWGS84[-61.702,284.488,472.052,0,0,0,0],AUTHORITY["EPSG","6302"]],PRIMEM["Greenwich",0,AUTHORITY["EPSG","8901"]],UNIT["degree",0.0174532925199433,AUTHORITY["EPSG","9122"]],AUTHORITY["EPSG","4302"]]</t>
  </si>
  <si>
    <t xml:space="preserve">+proj=longlat +a=6378293.645208759 +b=6356617.987679838 +towgs84=-61.702,284.488,472.052,0,0,0,0 +no_defs </t>
  </si>
  <si>
    <t>GEOGCS["TC(1948)",DATUM["Trucial_Coast_1948",SPHEROID["Helmert 1906",6378200,298.3,AUTHORITY["EPSG","7020"]],AUTHORITY["EPSG","6303"]],PRIMEM["Greenwich",0,AUTHORITY["EPSG","8901"]],UNIT["degree",0.0174532925199433,AUTHORITY["EPSG","9122"]],AUTHORITY["EPSG","4303"]]</t>
  </si>
  <si>
    <t>GEOGCS["Voirol 1875",DATUM["Voirol_1875",SPHEROID["Clarke 1880 (IGN)",6378249.2,293.4660212936269,AUTHORITY["EPSG","7011"]],TOWGS84[-73,-247,227,0,0,0,0],AUTHORITY["EPSG","6304"]],PRIMEM["Greenwich",0,AUTHORITY["EPSG","8901"]],UNIT["degree",0.0174532925199433,AUTHORITY["EPSG","9122"]],AUTHORITY["EPSG","4304"]]</t>
  </si>
  <si>
    <t xml:space="preserve">+proj=longlat +a=6378249.2 +b=6356515 +towgs84=-73,-247,227,0,0,0,0 +no_defs </t>
  </si>
  <si>
    <t>GEOGCS["Bern 1938",DATUM["Bern_1938",SPHEROID["Bessel 1841",6377397.155,299.1528128,AUTHORITY["EPSG","7004"]],AUTHORITY["EPSG","6306"]],PRIMEM["Greenwich",0,AUTHORITY["EPSG","8901"]],UNIT["degree",0.0174532925199433,AUTHORITY["EPSG","9122"]],AUTHORITY["EPSG","4306"]]</t>
  </si>
  <si>
    <t>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</t>
  </si>
  <si>
    <t xml:space="preserve">+proj=longlat +ellps=clrk80 +towgs84=-209.3622,-87.8162,404.6198,0.0046,3.4784,0.5805,-1.4547 +no_defs </t>
  </si>
  <si>
    <t>GEOGCS["RT38",DATUM["Stockholm_1938",SPHEROID["Bessel 1841",6377397.155,299.1528128,AUTHORITY["EPSG","7004"]],AUTHORITY["EPSG","6308"]],PRIMEM["Greenwich",0,AUTHORITY["EPSG","8901"]],UNIT["degree",0.0174532925199433,AUTHORITY["EPSG","9122"]],AUTHORITY["EPSG","4308"]]</t>
  </si>
  <si>
    <t>GEOGCS["Yacare",DATUM["Yacare",SPHEROID["International 1924",6378388,297,AUTHORITY["EPSG","7022"]],TOWGS84[-155,171,37,0,0,0,0],AUTHORITY["EPSG","6309"]],PRIMEM["Greenwich",0,AUTHORITY["EPSG","8901"]],UNIT["degree",0.0174532925199433,AUTHORITY["EPSG","9122"]],AUTHORITY["EPSG","4309"]]</t>
  </si>
  <si>
    <t xml:space="preserve">+proj=longlat +ellps=intl +towgs84=-155,171,37,0,0,0,0 +no_defs </t>
  </si>
  <si>
    <t>GEOGCS["Yoff",DATUM["Yoff",SPHEROID["Clarke 1880 (IGN)",6378249.2,293.4660212936269,AUTHORITY["EPSG","7011"]],TOWGS84[-30,190,89,0,0,0,0],AUTHORITY["EPSG","6310"]],PRIMEM["Greenwich",0,AUTHORITY["EPSG","8901"]],UNIT["degree",0.0174532925199433,AUTHORITY["EPSG","9122"]],AUTHORITY["EPSG","4310"]]</t>
  </si>
  <si>
    <t xml:space="preserve">+proj=longlat +a=6378249.2 +b=6356515 +towgs84=-30,190,89,0,0,0,0 +no_defs </t>
  </si>
  <si>
    <t>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</t>
  </si>
  <si>
    <t xml:space="preserve">+proj=longlat +ellps=intl +towgs84=-265,120,-358,0,0,0,0 +no_defs </t>
  </si>
  <si>
    <t>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</t>
  </si>
  <si>
    <t>GEOGCS["Belge 1972",DATUM["Reseau_National_Belge_1972",SPHEROID["International 1924",6378388,297,AUTHORITY["EPSG","7022"]],TOWGS84[-106.8686,52.2978,-103.7239,0.3366,-0.457,1.8422,-1.2747],AUTHORITY["EPSG","6313"]],PRIMEM["Greenwich",0,AUTHORITY["EPSG","8901"]],UNIT["degree",0.0174532925199433,AUTHORITY["EPSG","9122"]],AUTHORITY["EPSG","4313"]]</t>
  </si>
  <si>
    <t xml:space="preserve">+proj=longlat +ellps=intl +towgs84=-106.8686,52.2978,-103.7239,0.3366,-0.457,1.8422,-1.2747 +no_defs </t>
  </si>
  <si>
    <t>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</t>
  </si>
  <si>
    <t>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</t>
  </si>
  <si>
    <t xml:space="preserve">+proj=longlat +a=6378249.2 +b=6356515 +towgs84=-23,259,-9,0,0,0,0 +no_defs </t>
  </si>
  <si>
    <t>GEOGCS["St. Kitts 1955",DATUM["St_Kitts_1955",SPHEROID["Clarke 1880 (RGS)",6378249.145,293.465,AUTHORITY["EPSG","7012"]],TOWGS84[9,183,236,0,0,0,0],AUTHORITY["EPSG","6605"]],PRIMEM["Greenwich",0,AUTHORITY["EPSG","8901"]],UNIT["degree",0.0174532925199433,AUTHORITY["EPSG","9122"]],AUTHORITY["EPSG","4605"]]</t>
  </si>
  <si>
    <t xml:space="preserve">+proj=longlat +ellps=clrk80 +towgs84=9,183,236,0,0,0,0 +no_defs </t>
  </si>
  <si>
    <t>GEOGCS["Dealul Piscului 1930",DATUM["Dealul_Piscului_1930",SPHEROID["International 1924",6378388,297,AUTHORITY["EPSG","7022"]],TOWGS84[103.25,-100.4,-307.19,0,0,0,0],AUTHORITY["EPSG","6316"]],PRIMEM["Greenwich",0,AUTHORITY["EPSG","8901"]],UNIT["degree",0.0174532925199433,AUTHORITY["EPSG","9122"]],AUTHORITY["EPSG","4316"]]</t>
  </si>
  <si>
    <t xml:space="preserve">+proj=longlat +ellps=intl +towgs84=103.25,-100.4,-307.19,0,0,0,0 +no_defs </t>
  </si>
  <si>
    <t>GEOGCS["Dealul Piscului 1970",DATUM["Dealul_Piscului_1970",SPHEROID["Krassowsky 1940",6378245,298.3,AUTHORITY["EPSG","7024"]],TOWGS84[28,-121,-77,0,0,0,0],AUTHORITY["EPSG","6317"]],PRIMEM["Greenwich",0,AUTHORITY["EPSG","8901"]],UNIT["degree",0.0174532925199433,AUTHORITY["EPSG","9122"]],AUTHORITY["EPSG","4317"]]</t>
  </si>
  <si>
    <t xml:space="preserve">+proj=longlat +ellps=krass +towgs84=28,-121,-77,0,0,0,0 +no_defs </t>
  </si>
  <si>
    <t>GEOGCS["NGN",DATUM["National_Geodetic_Network",SPHEROID["WGS 84",6378137,298.257223563,AUTHORITY["EPSG","7030"]],TOWGS84[-3.2,-5.7,2.8,0,0,0,0],AUTHORITY["EPSG","6318"]],PRIMEM["Greenwich",0,AUTHORITY["EPSG","8901"]],UNIT["degree",0.0174532925199433,AUTHORITY["EPSG","9122"]],AUTHORITY["EPSG","4318"]]</t>
  </si>
  <si>
    <t xml:space="preserve">+proj=longlat +ellps=WGS84 +towgs84=-3.2,-5.7,2.8,0,0,0,0 +no_defs </t>
  </si>
  <si>
    <t>GEOGCS["KUDAMS",DATUM["Kuwait_Utility",SPHEROID["GRS 1980",6378137,298.257222101,AUTHORITY["EPSG","7019"]],TOWGS84[-20.8,11.3,2.4,0,0,0,0],AUTHORITY["EPSG","6319"]],PRIMEM["Greenwich",0,AUTHORITY["EPSG","8901"]],UNIT["degree",0.0174532925199433,AUTHORITY["EPSG","9122"]],AUTHORITY["EPSG","4319"]]</t>
  </si>
  <si>
    <t xml:space="preserve">+proj=longlat +ellps=GRS80 +towgs84=-20.8,11.3,2.4,0,0,0,0 +no_defs </t>
  </si>
  <si>
    <t>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</t>
  </si>
  <si>
    <t xml:space="preserve">+proj=longlat +ellps=WGS72 +towgs84=0,0,4.5,0,0,0.554,0.2263 +no_defs </t>
  </si>
  <si>
    <t>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</t>
  </si>
  <si>
    <t xml:space="preserve">+proj=longlat +ellps=WGS72 +towgs84=0,0,1.9,0,0,0.814,-0.38 +no_defs </t>
  </si>
  <si>
    <t>GEOGCS["WGS 84",DATUM["WGS_1984",SPHEROID["WGS 84",6378137,298.257223563,AUTHORITY["EPSG","7030"]],AUTHORITY["EPSG","6326"]],PRIMEM["Greenwich",0,AUTHORITY["EPSG","8901"]],UNIT["degree",0.0174532925199433,AUTHORITY["EPSG","9122"]],AUTHORITY["EPSG","4326"]]</t>
  </si>
  <si>
    <t>GEOGCS["RGSPM06",DATUM["Reseau_Geodesique_de_Saint_Pierre_et_Miquelon_2006",SPHEROID["GRS 1980",6378137,298.257222101,AUTHORITY["EPSG","7019"]],TOWGS84[0,0,0,0,0,0,0],AUTHORITY["EPSG","1038"]],PRIMEM["Greenwich",0,AUTHORITY["EPSG","8901"]],UNIT["degree",0.0174532925199433,AUTHORITY["EPSG","9122"]],AUTHORITY["EPSG","4463"]]</t>
  </si>
  <si>
    <t>GEOGCS["RGM04",DATUM["Reseau_Geodesique_de_Mayotte_2004",SPHEROID["GRS 1980",6378137,298.257222101,AUTHORITY["EPSG","7019"]],TOWGS84[0,0,0,0,0,0,0],AUTHORITY["EPSG","1036"]],PRIMEM["Greenwich",0,AUTHORITY["EPSG","8901"]],UNIT["degree",0.0174532925199433,AUTHORITY["EPSG","9122"]],AUTHORITY["EPSG","4470"]]</t>
  </si>
  <si>
    <t>GEOGCS["Cadastre 1997",DATUM["Cadastre_1997",SPHEROID["International 1924",6378388,297,AUTHORITY["EPSG","7022"]],TOWGS84[-381.788,-57.501,-256.673,0,0,0,0],AUTHORITY["EPSG","1037"]],PRIMEM["Greenwich",0,AUTHORITY["EPSG","8901"]],UNIT["degree",0.0174532925199433,AUTHORITY["EPSG","9122"]],AUTHORITY["EPSG","4475"]]</t>
  </si>
  <si>
    <t xml:space="preserve">+proj=longlat +ellps=intl +towgs84=-381.788,-57.501,-256.673,0,0,0,0 +no_defs </t>
  </si>
  <si>
    <t>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</t>
  </si>
  <si>
    <t>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</t>
  </si>
  <si>
    <t>GEOGCS["New Beijing",DATUM["New_Beijing",SPHEROID["Krassowsky 1940",6378245,298.3,AUTHORITY["EPSG","7024"]],AUTHORITY["EPSG","1045"]],PRIMEM["Greenwich",0,AUTHORITY["EPSG","8901"]],UNIT["degree",0.0174532925199433,AUTHORITY["EPSG","9122"]],AUTHORITY["EPSG","4555"]]</t>
  </si>
  <si>
    <t>GEOGCS["RRAF 1991",DATUM["Reseau_de_Reference_des_Antilles_Francaises_1991",SPHEROID["GRS 1980",6378137,298.257222101,AUTHORITY["EPSG","7019"]],TOWGS84[0,0,0,0,0,0,0],AUTHORITY["EPSG","1047"]],PRIMEM["Greenwich",0,AUTHORITY["EPSG","8901"]],UNIT["degree",0.0174532925199433,AUTHORITY["EPSG","9122"]],AUTHORITY["EPSG","4558"]]</t>
  </si>
  <si>
    <t>GEOGCS["Anguilla 1957",DATUM["Anguilla_1957",SPHEROID["Clarke 1880 (RGS)",6378249.145,293.465,AUTHORITY["EPSG","7012"]],AUTHORITY["EPSG","6600"]],PRIMEM["Greenwich",0,AUTHORITY["EPSG","8901"]],UNIT["degree",0.0174532925199433,AUTHORITY["EPSG","9122"]],AUTHORITY["EPSG","4600"]]</t>
  </si>
  <si>
    <t>GEOGCS["Antigua 1943",DATUM["Antigua_1943",SPHEROID["Clarke 1880 (RGS)",6378249.145,293.465,AUTHORITY["EPSG","7012"]],TOWGS84[-255,-15,71,0,0,0,0],AUTHORITY["EPSG","6601"]],PRIMEM["Greenwich",0,AUTHORITY["EPSG","8901"]],UNIT["degree",0.0174532925199433,AUTHORITY["EPSG","9122"]],AUTHORITY["EPSG","4601"]]</t>
  </si>
  <si>
    <t xml:space="preserve">+proj=longlat +ellps=clrk80 +towgs84=-255,-15,71,0,0,0,0 +no_defs </t>
  </si>
  <si>
    <t>GEOGCS["Dominica 1945",DATUM["Dominica_1945",SPHEROID["Clarke 1880 (RGS)",6378249.145,293.465,AUTHORITY["EPSG","7012"]],TOWGS84[725,685,536,0,0,0,0],AUTHORITY["EPSG","6602"]],PRIMEM["Greenwich",0,AUTHORITY["EPSG","8901"]],UNIT["degree",0.0174532925199433,AUTHORITY["EPSG","9122"]],AUTHORITY["EPSG","4602"]]</t>
  </si>
  <si>
    <t xml:space="preserve">+proj=longlat +ellps=clrk80 +towgs84=725,685,536,0,0,0,0 +no_defs </t>
  </si>
  <si>
    <t>GEOGCS["Grenada 1953",DATUM["Grenada_1953",SPHEROID["Clarke 1880 (RGS)",6378249.145,293.465,AUTHORITY["EPSG","7012"]],TOWGS84[72,213.7,93,0,0,0,0],AUTHORITY["EPSG","6603"]],PRIMEM["Greenwich",0,AUTHORITY["EPSG","8901"]],UNIT["degree",0.0174532925199433,AUTHORITY["EPSG","9122"]],AUTHORITY["EPSG","4603"]]</t>
  </si>
  <si>
    <t xml:space="preserve">+proj=longlat +ellps=clrk80 +towgs84=72,213.7,93,0,0,0,0 +no_defs </t>
  </si>
  <si>
    <t>GEOGCS["Montserrat 1958",DATUM["Montserrat_1958",SPHEROID["Clarke 1880 (RGS)",6378249.145,293.465,AUTHORITY["EPSG","7012"]],TOWGS84[174,359,365,0,0,0,0],AUTHORITY["EPSG","6604"]],PRIMEM["Greenwich",0,AUTHORITY["EPSG","8901"]],UNIT["degree",0.0174532925199433,AUTHORITY["EPSG","9122"]],AUTHORITY["EPSG","4604"]]</t>
  </si>
  <si>
    <t xml:space="preserve">+proj=longlat +ellps=clrk80 +towgs84=174,359,365,0,0,0,0 +no_defs </t>
  </si>
  <si>
    <t>GEOGCS["St. Lucia 1955",DATUM["St_Lucia_1955",SPHEROID["Clarke 1880 (RGS)",6378249.145,293.465,AUTHORITY["EPSG","7012"]],TOWGS84[-149,128,296,0,0,0,0],AUTHORITY["EPSG","6606"]],PRIMEM["Greenwich",0,AUTHORITY["EPSG","8901"]],UNIT["degree",0.0174532925199433,AUTHORITY["EPSG","9122"]],AUTHORITY["EPSG","4606"]]</t>
  </si>
  <si>
    <t xml:space="preserve">+proj=longlat +ellps=clrk80 +towgs84=-149,128,296,0,0,0,0 +no_defs </t>
  </si>
  <si>
    <t>GEOGCS["St. Vincent 1945",DATUM["St_Vincent_1945",SPHEROID["Clarke 1880 (RGS)",6378249.145,293.465,AUTHORITY["EPSG","7012"]],TOWGS84[195.671,332.517,274.607,0,0,0,0],AUTHORITY["EPSG","6607"]],PRIMEM["Greenwich",0,AUTHORITY["EPSG","8901"]],UNIT["degree",0.0174532925199433,AUTHORITY["EPSG","9122"]],AUTHORITY["EPSG","4607"]]</t>
  </si>
  <si>
    <t xml:space="preserve">+proj=longlat +ellps=clrk80 +towgs84=195.671,332.517,274.607,0,0,0,0 +no_defs </t>
  </si>
  <si>
    <t>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</t>
  </si>
  <si>
    <t>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</t>
  </si>
  <si>
    <t>GEOGCS["Xian 1980",DATUM["Xian_1980",SPHEROID["IAG 1975",6378140,298.257,AUTHORITY["EPSG","7049"]],AUTHORITY["EPSG","6610"]],PRIMEM["Greenwich",0,AUTHORITY["EPSG","8901"]],UNIT["degree",0.0174532925199433,AUTHORITY["EPSG","9122"]],AUTHORITY["EPSG","4610"]]</t>
  </si>
  <si>
    <t>GEOGCS["Hong Kong 1980",DATUM["Hong_Kong_1980",SPHEROID["International 1924",6378388,297,AUTHORITY["EPSG","7022"]],TOWGS84[-162.619,-276.959,-161.764,0.067753,-2.243649,-1.158827,-1.094246],AUTHORITY["EPSG","6611"]],PRIMEM["Greenwich",0,AUTHORITY["EPSG","8901"]],UNIT["degree",0.0174532925199433,AUTHORITY["EPSG","9122"]],AUTHORITY["EPSG","4611"]]</t>
  </si>
  <si>
    <t xml:space="preserve">+proj=longlat +ellps=intl +towgs84=-162.619,-276.959,-161.764,0.067753,-2.243649,-1.158827,-1.094246 +no_defs </t>
  </si>
  <si>
    <t>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</t>
  </si>
  <si>
    <t>GEOGCS["Segara",DATUM["Gunung_Segara",SPHEROID["Bessel 1841",6377397.155,299.1528128,AUTHORITY["EPSG","7004"]],TOWGS84[-403,684,41,0,0,0,0],AUTHORITY["EPSG","6613"]],PRIMEM["Greenwich",0,AUTHORITY["EPSG","8901"]],UNIT["degree",0.0174532925199433,AUTHORITY["EPSG","9122"]],AUTHORITY["EPSG","4613"]]</t>
  </si>
  <si>
    <t>GEOGCS["QND95",DATUM["Qatar_National_Datum_1995",SPHEROID["International 1924",6378388,297,AUTHORITY["EPSG","7022"]],TOWGS84[-119.4248,-303.65872,-11.00061,1.164298,0.174458,1.096259,3.657065],AUTHORITY["EPSG","6614"]],PRIMEM["Greenwich",0,AUTHORITY["EPSG","8901"]],UNIT["degree",0.0174532925199433,AUTHORITY["EPSG","9122"]],AUTHORITY["EPSG","4614"]]</t>
  </si>
  <si>
    <t xml:space="preserve">+proj=longlat +ellps=intl +towgs84=-119.4248,-303.65872,-11.00061,1.164298,0.174458,1.096259,3.657065 +no_defs </t>
  </si>
  <si>
    <t>GEOGCS["Porto Santo",DATUM["Porto_Santo_1936",SPHEROID["International 1924",6378388,297,AUTHORITY["EPSG","7022"]],TOWGS84[-499,-249,314,0,0,0,0],AUTHORITY["EPSG","6615"]],PRIMEM["Greenwich",0,AUTHORITY["EPSG","8901"]],UNIT["degree",0.0174532925199433,AUTHORITY["EPSG","9122"]],AUTHORITY["EPSG","4615"]]</t>
  </si>
  <si>
    <t xml:space="preserve">+proj=longlat +ellps=intl +towgs84=-499,-249,314,0,0,0,0 +no_defs </t>
  </si>
  <si>
    <t>GEOGCS["Selvagem Grande",DATUM["Selvagem_Grande",SPHEROID["International 1924",6378388,297,AUTHORITY["EPSG","7022"]],TOWGS84[-289,-124,60,0,0,0,0],AUTHORITY["EPSG","6616"]],PRIMEM["Greenwich",0,AUTHORITY["EPSG","8901"]],UNIT["degree",0.0174532925199433,AUTHORITY["EPSG","9122"]],AUTHORITY["EPSG","4616"]]</t>
  </si>
  <si>
    <t xml:space="preserve">+proj=longlat +ellps=intl +towgs84=-289,-124,60,0,0,0,0 +no_defs </t>
  </si>
  <si>
    <t>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</t>
  </si>
  <si>
    <t>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</t>
  </si>
  <si>
    <t xml:space="preserve">+proj=longlat +ellps=aust_SA +towgs84=-66.87,4.37,-38.52,0,0,0,0 +no_defs </t>
  </si>
  <si>
    <t>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</t>
  </si>
  <si>
    <t>GEOGCS["Point 58",DATUM["Point_58",SPHEROID["Clarke 1880 (RGS)",6378249.145,293.465,AUTHORITY["EPSG","7012"]],TOWGS84[-106,-129,165,0,0,0,0],AUTHORITY["EPSG","6620"]],PRIMEM["Greenwich",0,AUTHORITY["EPSG","8901"]],UNIT["degree",0.0174532925199433,AUTHORITY["EPSG","9122"]],AUTHORITY["EPSG","4620"]]</t>
  </si>
  <si>
    <t xml:space="preserve">+proj=longlat +ellps=clrk80 +towgs84=-106,-129,165,0,0,0,0 +no_defs </t>
  </si>
  <si>
    <t>GEOGCS["Fort Marigot",DATUM["Fort_Marigot",SPHEROID["International 1924",6378388,297,AUTHORITY["EPSG","7022"]],TOWGS84[137,248,-430,0,0,0,0],AUTHORITY["EPSG","6621"]],PRIMEM["Greenwich",0,AUTHORITY["EPSG","8901"]],UNIT["degree",0.0174532925199433,AUTHORITY["EPSG","9122"]],AUTHORITY["EPSG","4621"]]</t>
  </si>
  <si>
    <t xml:space="preserve">+proj=longlat +ellps=intl +towgs84=137,248,-430,0,0,0,0 +no_defs </t>
  </si>
  <si>
    <t>GEOGCS["Guadeloupe 1948",DATUM["Guadeloupe_1948",SPHEROID["International 1924",6378388,297,AUTHORITY["EPSG","7022"]],TOWGS84[-467,-16,-300,0,0,0,0],AUTHORITY["EPSG","6622"]],PRIMEM["Greenwich",0,AUTHORITY["EPSG","8901"]],UNIT["degree",0.0174532925199433,AUTHORITY["EPSG","9122"]],AUTHORITY["EPSG","4622"]]</t>
  </si>
  <si>
    <t xml:space="preserve">+proj=longlat +ellps=intl +towgs84=-467,-16,-300,0,0,0,0 +no_defs </t>
  </si>
  <si>
    <t>GEOGCS["CSG67",DATUM["Centre_Spatial_Guyanais_1967",SPHEROID["International 1924",6378388,297,AUTHORITY["EPSG","7022"]],TOWGS84[-186,230,110,0,0,0,0],AUTHORITY["EPSG","6623"]],PRIMEM["Greenwich",0,AUTHORITY["EPSG","8901"]],UNIT["degree",0.0174532925199433,AUTHORITY["EPSG","9122"]],AUTHORITY["EPSG","4623"]]</t>
  </si>
  <si>
    <t xml:space="preserve">+proj=longlat +ellps=intl +towgs84=-186,230,110,0,0,0,0 +no_defs </t>
  </si>
  <si>
    <t>GEOGCS["RGFG95",DATUM["Reseau_Geodesique_Francais_Guyane_1995",SPHEROID["GRS 1980",6378137,298.257222101,AUTHORITY["EPSG","7019"]],TOWGS84[0,0,0,0,0,0,0],AUTHORITY["EPSG","6624"]],PRIMEM["Greenwich",0,AUTHORITY["EPSG","8901"]],UNIT["degree",0.0174532925199433,AUTHORITY["EPSG","9122"]],AUTHORITY["EPSG","4624"]]</t>
  </si>
  <si>
    <t>GEOGCS["Martinique 1938",DATUM["Martinique_1938",SPHEROID["International 1924",6378388,297,AUTHORITY["EPSG","7022"]],TOWGS84[186,482,151,0,0,0,0],AUTHORITY["EPSG","6625"]],PRIMEM["Greenwich",0,AUTHORITY["EPSG","8901"]],UNIT["degree",0.0174532925199433,AUTHORITY["EPSG","9122"]],AUTHORITY["EPSG","4625"]]</t>
  </si>
  <si>
    <t xml:space="preserve">+proj=longlat +ellps=intl +towgs84=186,482,151,0,0,0,0 +no_defs </t>
  </si>
  <si>
    <t>GEOGCS["Reunion 1947",DATUM["Reunion_1947",SPHEROID["International 1924",6378388,297,AUTHORITY["EPSG","7022"]],TOWGS84[94,-948,-1262,0,0,0,0],AUTHORITY["EPSG","6626"]],PRIMEM["Greenwich",0,AUTHORITY["EPSG","8901"]],UNIT["degree",0.0174532925199433,AUTHORITY["EPSG","9122"]],AUTHORITY["EPSG","4626"]]</t>
  </si>
  <si>
    <t xml:space="preserve">+proj=longlat +ellps=intl +towgs84=94,-948,-1262,0,0,0,0 +no_defs </t>
  </si>
  <si>
    <t>GEOGCS["RGR92",DATUM["Reseau_Geodesique_de_la_Reunion_1992",SPHEROID["GRS 1980",6378137,298.257222101,AUTHORITY["EPSG","7019"]],TOWGS84[0,0,0,0,0,0,0],AUTHORITY["EPSG","6627"]],PRIMEM["Greenwich",0,AUTHORITY["EPSG","8901"]],UNIT["degree",0.0174532925199433,AUTHORITY["EPSG","9122"]],AUTHORITY["EPSG","4627"]]</t>
  </si>
  <si>
    <t>GEOGCS["Tahiti 52",DATUM["Tahiti_52",SPHEROID["International 1924",6378388,297,AUTHORITY["EPSG","7022"]],TOWGS84[162,117,154,0,0,0,0],AUTHORITY["EPSG","6628"]],PRIMEM["Greenwich",0,AUTHORITY["EPSG","8901"]],UNIT["degree",0.0174532925199433,AUTHORITY["EPSG","9122"]],AUTHORITY["EPSG","4628"]]</t>
  </si>
  <si>
    <t xml:space="preserve">+proj=longlat +ellps=intl +towgs84=162,117,154,0,0,0,0 +no_defs </t>
  </si>
  <si>
    <t>GEOGCS["Tahaa 54",DATUM["Tahaa_54",SPHEROID["International 1924",6378388,297,AUTHORITY["EPSG","7022"]],TOWGS84[72.438,345.918,79.486,1.6045,0.8823,0.5565,1.3746],AUTHORITY["EPSG","6629"]],PRIMEM["Greenwich",0,AUTHORITY["EPSG","8901"]],UNIT["degree",0.0174532925199433,AUTHORITY["EPSG","9122"]],AUTHORITY["EPSG","4629"]]</t>
  </si>
  <si>
    <t xml:space="preserve">+proj=longlat +ellps=intl +towgs84=72.438,345.918,79.486,1.6045,0.8823,0.5565,1.3746 +no_defs </t>
  </si>
  <si>
    <t>GEOGCS["IGN72 Nuku Hiva",DATUM["IGN72_Nuku_Hiva",SPHEROID["International 1924",6378388,297,AUTHORITY["EPSG","7022"]],TOWGS84[84,274,65,0,0,0,0],AUTHORITY["EPSG","6630"]],PRIMEM["Greenwich",0,AUTHORITY["EPSG","8901"]],UNIT["degree",0.0174532925199433,AUTHORITY["EPSG","9122"]],AUTHORITY["EPSG","4630"]]</t>
  </si>
  <si>
    <t xml:space="preserve">+proj=longlat +ellps=intl +towgs84=84,274,65,0,0,0,0 +no_defs </t>
  </si>
  <si>
    <t>GEOGCS["K0 1949",DATUM["K0_1949",SPHEROID["International 1924",6378388,297,AUTHORITY["EPSG","7022"]],TOWGS84[145,-187,103,0,0,0,0],AUTHORITY["EPSG","6631"]],PRIMEM["Greenwich",0,AUTHORITY["EPSG","8901"]],UNIT["degree",0.0174532925199433,AUTHORITY["EPSG","9122"]],AUTHORITY["EPSG","4631"]]</t>
  </si>
  <si>
    <t xml:space="preserve">+proj=longlat +ellps=intl +towgs84=145,-187,103,0,0,0,0 +no_defs </t>
  </si>
  <si>
    <t>GEOGCS["Combani 1950",DATUM["Combani_1950",SPHEROID["International 1924",6378388,297,AUTHORITY["EPSG","7022"]],TOWGS84[-382,-59,-262,0,0,0,0],AUTHORITY["EPSG","6632"]],PRIMEM["Greenwich",0,AUTHORITY["EPSG","8901"]],UNIT["degree",0.0174532925199433,AUTHORITY["EPSG","9122"]],AUTHORITY["EPSG","4632"]]</t>
  </si>
  <si>
    <t xml:space="preserve">+proj=longlat +ellps=intl +towgs84=-382,-59,-262,0,0,0,0 +no_defs </t>
  </si>
  <si>
    <t>GEOGCS["IGN56 Lifou",DATUM["IGN56_Lifou",SPHEROID["International 1924",6378388,297,AUTHORITY["EPSG","7022"]],TOWGS84[335.47,222.58,-230.94,0,0,0,0],AUTHORITY["EPSG","6633"]],PRIMEM["Greenwich",0,AUTHORITY["EPSG","8901"]],UNIT["degree",0.0174532925199433,AUTHORITY["EPSG","9122"]],AUTHORITY["EPSG","4633"]]</t>
  </si>
  <si>
    <t xml:space="preserve">+proj=longlat +ellps=intl +towgs84=335.47,222.58,-230.94,0,0,0,0 +no_defs </t>
  </si>
  <si>
    <t>GEOGCS["IGN72 Grand Terre",DATUM["IGN72_Grande_Terre",SPHEROID["International 1924",6378388,297,AUTHORITY["EPSG","7022"]],TOWGS84[-13,-348,292,0,0,0,0],AUTHORITY["EPSG","6634"]],PRIMEM["Greenwich",0,AUTHORITY["EPSG","8901"]],UNIT["degree",0.0174532925199433,AUTHORITY["EPSG","9108"]],AUTHORITY["EPSG","4634"]]</t>
  </si>
  <si>
    <t xml:space="preserve">+proj=longlat +ellps=intl +towgs84=-13,-348,292,0,0,0,0 +no_defs </t>
  </si>
  <si>
    <t>GEOGCS["ST87 Ouvea",DATUM["ST87_Ouvea",SPHEROID["International 1924",6378388,297,AUTHORITY["EPSG","7022"]],TOWGS84[-122.383,-188.696,103.344,3.5107,-4.9668,-5.7047,4.4798],AUTHORITY["EPSG","6635"]],PRIMEM["Greenwich",0,AUTHORITY["EPSG","8901"]],UNIT["degree",0.0174532925199433,AUTHORITY["EPSG","9122"]],AUTHORITY["EPSG","4635"]]</t>
  </si>
  <si>
    <t xml:space="preserve">+proj=longlat +ellps=intl +towgs84=-122.383,-188.696,103.344,3.5107,-4.9668,-5.7047,4.4798 +no_defs </t>
  </si>
  <si>
    <t>GEOGCS["Petrels 1972",DATUM["Petrels_1972",SPHEROID["International 1924",6378388,297,AUTHORITY["EPSG","7022"]],TOWGS84[365,194,166,0,0,0,0],AUTHORITY["EPSG","6636"]],PRIMEM["Greenwich",0,AUTHORITY["EPSG","8901"]],UNIT["degree",0.0174532925199433,AUTHORITY["EPSG","9122"]],AUTHORITY["EPSG","4636"]]</t>
  </si>
  <si>
    <t xml:space="preserve">+proj=longlat +ellps=intl +towgs84=365,194,166,0,0,0,0 +no_defs </t>
  </si>
  <si>
    <t>GEOGCS["Perroud 1950",DATUM["Pointe_Geologie_Perroud_1950",SPHEROID["International 1924",6378388,297,AUTHORITY["EPSG","7022"]],TOWGS84[325,154,172,0,0,0,0],AUTHORITY["EPSG","6637"]],PRIMEM["Greenwich",0,AUTHORITY["EPSG","8901"]],UNIT["degree",0.0174532925199433,AUTHORITY["EPSG","9122"]],AUTHORITY["EPSG","4637"]]</t>
  </si>
  <si>
    <t xml:space="preserve">+proj=longlat +ellps=intl +towgs84=325,154,172,0,0,0,0 +no_defs </t>
  </si>
  <si>
    <t>GEOGCS["Saint Pierre et Miquelon 1950",DATUM["Saint_Pierre_et_Miquelon_1950",SPHEROID["Clarke 1866",6378206.4,294.9786982138982,AUTHORITY["EPSG","7008"]],TOWGS84[11.363,424.148,373.13,0,0,0,0],AUTHORITY["EPSG","6638"]],PRIMEM["Greenwich",0,AUTHORITY["EPSG","8901"]],UNIT["degree",0.0174532925199433,AUTHORITY["EPSG","9122"]],AUTHORITY["EPSG","4638"]]</t>
  </si>
  <si>
    <t xml:space="preserve">+proj=longlat +ellps=clrk66 +towgs84=11.363,424.148,373.13,0,0,0,0 +no_defs </t>
  </si>
  <si>
    <t>GEOGCS["MOP78",DATUM["MOP78",SPHEROID["International 1924",6378388,297,AUTHORITY["EPSG","7022"]],TOWGS84[253,-132,-127,0,0,0,0],AUTHORITY["EPSG","6639"]],PRIMEM["Greenwich",0,AUTHORITY["EPSG","8901"]],UNIT["degree",0.0174532925199433,AUTHORITY["EPSG","9122"]],AUTHORITY["EPSG","4639"]]</t>
  </si>
  <si>
    <t xml:space="preserve">+proj=longlat +ellps=intl +towgs84=253,-132,-127,0,0,0,0 +no_defs </t>
  </si>
  <si>
    <t>GEOGCS["RRAF 1991",DATUM["Reseau_de_Reference_des_Antilles_Francaises_1991",SPHEROID["WGS 84",6378137,298.257223563,AUTHORITY["EPSG","7030"]],TOWGS84[0,0,0,0,0,0,0],AUTHORITY["EPSG","6640"]],PRIMEM["Greenwich",0,AUTHORITY["EPSG","8901"]],UNIT["degree",0.0174532925199433,AUTHORITY["EPSG","9122"]],AUTHORITY["EPSG","4640"]]</t>
  </si>
  <si>
    <t>GEOGCS["IGN53 Mare",DATUM["IGN53_Mare",SPHEROID["International 1924",6378388,297,AUTHORITY["EPSG","7022"]],TOWGS84[287.58,177.78,-135.41,0,0,0,0],AUTHORITY["EPSG","6641"]],PRIMEM["Greenwich",0,AUTHORITY["EPSG","8901"]],UNIT["degree",0.0174532925199433,AUTHORITY["EPSG","9122"]],AUTHORITY["EPSG","4641"]]</t>
  </si>
  <si>
    <t xml:space="preserve">+proj=longlat +ellps=intl +towgs84=287.58,177.78,-135.41,0,0,0,0 +no_defs </t>
  </si>
  <si>
    <t>GEOGCS["ST84 Ile des Pins",DATUM["ST84_Ile_des_Pins",SPHEROID["International 1924",6378388,297,AUTHORITY["EPSG","7022"]],TOWGS84[-13,-348,292,0,0,0,0],AUTHORITY["EPSG","6642"]],PRIMEM["Greenwich",0,AUTHORITY["EPSG","8901"]],UNIT["degree",0.0174532925199433,AUTHORITY["EPSG","9122"]],AUTHORITY["EPSG","4642"]]</t>
  </si>
  <si>
    <t>GEOGCS["Voirol 1879",DATUM["Voirol_1879",SPHEROID["Clarke 1880 (IGN)",6378249.2,293.4660212936269,AUTHORITY["EPSG","7011"]],AUTHORITY["EPSG","6671"]],PRIMEM["Greenwich",0,AUTHORITY["EPSG","8901"]],UNIT["degree",0.0174532925199433,AUTHORITY["EPSG","9122"]],AUTHORITY["EPSG","4671"]]</t>
  </si>
  <si>
    <t>GEOGCS["ST71 Belep",DATUM["ST71_Belep",SPHEROID["International 1924",6378388,297,AUTHORITY["EPSG","7022"]],TOWGS84[-480.26,-438.32,-643.429,16.3119,20.1721,-4.0349,-111.7002],AUTHORITY["EPSG","6643"]],PRIMEM["Greenwich",0,AUTHORITY["EPSG","8901"]],UNIT["degree",0.0174532925199433,AUTHORITY["EPSG","9122"]],AUTHORITY["EPSG","4643"]]</t>
  </si>
  <si>
    <t xml:space="preserve">+proj=longlat +ellps=intl +towgs84=-480.26,-438.32,-643.429,16.3119,20.1721,-4.0349,-111.7002 +no_defs </t>
  </si>
  <si>
    <t>GEOGCS["NEA74 Noumea",DATUM["NEA74_Noumea",SPHEROID["International 1924",6378388,297,AUTHORITY["EPSG","7022"]],TOWGS84[-10.18,-350.43,291.37,0,0,0,0],AUTHORITY["EPSG","6644"]],PRIMEM["Greenwich",0,AUTHORITY["EPSG","8901"]],UNIT["degree",0.0174532925199433,AUTHORITY["EPSG","9122"]],AUTHORITY["EPSG","4644"]]</t>
  </si>
  <si>
    <t xml:space="preserve">+proj=longlat +ellps=intl +towgs84=-10.18,-350.43,291.37,0,0,0,0 +no_defs </t>
  </si>
  <si>
    <t>GEOGCS["RGNC 1991",DATUM["Reseau_Geodesique_Nouvelle_Caledonie_1991",SPHEROID["International 1924",6378388,297,AUTHORITY["EPSG","7022"]],TOWGS84[0,0,0,0,0,0,0],AUTHORITY["EPSG","6645"]],PRIMEM["Greenwich",0,AUTHORITY["EPSG","8901"]],UNIT["degree",0.0174532925199433,AUTHORITY["EPSG","9122"]],AUTHORITY["EPSG","4645"]]</t>
  </si>
  <si>
    <t xml:space="preserve">+proj=longlat +ellps=intl +towgs84=0,0,0,0,0,0,0 +no_defs </t>
  </si>
  <si>
    <t>GEOGCS["Grand Comoros",DATUM["Grand_Comoros",SPHEROID["International 1924",6378388,297,AUTHORITY["EPSG","7022"]],TOWGS84[-963,510,-359,0,0,0,0],AUTHORITY["EPSG","6646"]],PRIMEM["Greenwich",0,AUTHORITY["EPSG","8901"]],UNIT["degree",0.0174532925199433,AUTHORITY["EPSG","9122"]],AUTHORITY["EPSG","4646"]]</t>
  </si>
  <si>
    <t xml:space="preserve">+proj=longlat +ellps=intl +towgs84=-963,510,-359,0,0,0,0 +no_defs </t>
  </si>
  <si>
    <t>GEOGCS["Reykjavik 1900",DATUM["Reykjavik_1900",SPHEROID["Danish 1876",6377019.27,300,AUTHORITY["EPSG","7051"]],TOWGS84[-28,199,5,0,0,0,0],AUTHORITY["EPSG","6657"]],PRIMEM["Greenwich",0,AUTHORITY["EPSG","8901"]],UNIT["degree",0.0174532925199433,AUTHORITY["EPSG","9122"]],AUTHORITY["EPSG","4657"]]</t>
  </si>
  <si>
    <t xml:space="preserve">+proj=longlat +a=6377019.27 +b=6355762.5391 +towgs84=-28,199,5,0,0,0,0 +no_defs </t>
  </si>
  <si>
    <t>GEOGCS["Hjorsey 1955",DATUM["Hjorsey_1955",SPHEROID["International 1924",6378388,297,AUTHORITY["EPSG","7022"]],TOWGS84[-73,47,-83,0,0,0,0],AUTHORITY["EPSG","6658"]],PRIMEM["Greenwich",0,AUTHORITY["EPSG","8901"]],UNIT["degree",0.0174532925199433,AUTHORITY["EPSG","9122"]],AUTHORITY["EPSG","4658"]]</t>
  </si>
  <si>
    <t xml:space="preserve">+proj=longlat +ellps=intl +towgs84=-73,47,-83,0,0,0,0 +no_defs </t>
  </si>
  <si>
    <t>GEOGCS["ISN93",DATUM["Islands_Net_1993",SPHEROID["GRS 1980",6378137,298.257222101,AUTHORITY["EPSG","7019"]],TOWGS84[0,0,0,0,0,0,0],AUTHORITY["EPSG","6659"]],PRIMEM["Greenwich",0,AUTHORITY["EPSG","8901"]],UNIT["degree",0.0174532925199433,AUTHORITY["EPSG","9122"]],AUTHORITY["EPSG","4659"]]</t>
  </si>
  <si>
    <t>GEOGCS["Helle 1954",DATUM["Helle_1954",SPHEROID["International 1924",6378388,297,AUTHORITY["EPSG","7022"]],TOWGS84[982.6087,552.753,-540.873,6.6816266,-31.6114924,-19.84816,16.805],AUTHORITY["EPSG","6660"]],PRIMEM["Greenwich",0,AUTHORITY["EPSG","8901"]],UNIT["degree",0.0174532925199433,AUTHORITY["EPSG","9122"]],AUTHORITY["EPSG","4660"]]</t>
  </si>
  <si>
    <t xml:space="preserve">+proj=longlat +ellps=intl +towgs84=982.6087,552.753,-540.873,6.6816266,-31.6114924,-19.84816,16.805 +no_defs </t>
  </si>
  <si>
    <t>GEOGCS["LKS92",DATUM["Latvia_1992",SPHEROID["GRS 1980",6378137,298.257222101,AUTHORITY["EPSG","7019"]],TOWGS84[0,0,0,0,0,0,0],AUTHORITY["EPSG","6661"]],PRIMEM["Greenwich",0,AUTHORITY["EPSG","8901"]],UNIT["degree",0.0174532925199433,AUTHORITY["EPSG","9122"]],AUTHORITY["EPSG","4661"]]</t>
  </si>
  <si>
    <t>GEOGCS["IGN72 Grande Terre",DATUM["IGN72_Grande_Terre",SPHEROID["International 1924",6378388,297,AUTHORITY["EPSG","7022"]],TOWGS84[-11.64,-348.6,291.98,0,0,0,0],AUTHORITY["EPSG","6634"]],PRIMEM["Greenwich",0,AUTHORITY["EPSG","8901"]],UNIT["degree",0.0174532925199433,AUTHORITY["EPSG","9122"]],AUTHORITY["EPSG","4662"]]</t>
  </si>
  <si>
    <t xml:space="preserve">+proj=longlat +ellps=intl +towgs84=-11.64,-348.6,291.98,0,0,0,0 +no_defs </t>
  </si>
  <si>
    <t>GEOGCS["Porto Santo 1995",DATUM["Porto_Santo_1995",SPHEROID["International 1924",6378388,297,AUTHORITY["EPSG","7022"]],TOWGS84[-502.862,-247.438,312.724,0,0,0,0],AUTHORITY["EPSG","6663"]],PRIMEM["Greenwich",0,AUTHORITY["EPSG","8901"]],UNIT["degree",0.0174532925199433,AUTHORITY["EPSG","9122"]],AUTHORITY["EPSG","4663"]]</t>
  </si>
  <si>
    <t xml:space="preserve">+proj=longlat +ellps=intl +towgs84=-502.862,-247.438,312.724,0,0,0,0 +no_defs </t>
  </si>
  <si>
    <t>GEOGCS["Azores Oriental 1995",DATUM["Azores_Oriental_Islands_1995",SPHEROID["International 1924",6378388,297,AUTHORITY["EPSG","7022"]],TOWGS84[-204.619,140.176,55.226,0,0,0,0],AUTHORITY["EPSG","6664"]],PRIMEM["Greenwich",0,AUTHORITY["EPSG","8901"]],UNIT["degree",0.0174532925199433,AUTHORITY["EPSG","9122"]],AUTHORITY["EPSG","4664"]]</t>
  </si>
  <si>
    <t xml:space="preserve">+proj=longlat +ellps=intl +towgs84=-204.619,140.176,55.226,0,0,0,0 +no_defs </t>
  </si>
  <si>
    <t>GEOGCS["Azores Central 1995",DATUM["Azores_Central_Islands_1995",SPHEROID["International 1924",6378388,297,AUTHORITY["EPSG","7022"]],TOWGS84[-106.226,166.366,-37.893,0,0,0,0],AUTHORITY["EPSG","6665"]],PRIMEM["Greenwich",0,AUTHORITY["EPSG","8901"]],UNIT["degree",0.0174532925199433,AUTHORITY["EPSG","9122"]],AUTHORITY["EPSG","4665"]]</t>
  </si>
  <si>
    <t xml:space="preserve">+proj=longlat +ellps=intl +towgs84=-106.226,166.366,-37.893,0,0,0,0 +no_defs </t>
  </si>
  <si>
    <t>GEOGCS["Lisbon 1890",DATUM["Lisbon_1890",SPHEROID["Bessel 1841",6377397.155,299.1528128,AUTHORITY["EPSG","7004"]],TOWGS84[508.088,-191.042,565.223,0,0,0,0],AUTHORITY["EPSG","6666"]],PRIMEM["Greenwich",0,AUTHORITY["EPSG","8901"]],UNIT["degree",0.0174532925199433,AUTHORITY["EPSG","9122"]],AUTHORITY["EPSG","4666"]]</t>
  </si>
  <si>
    <t xml:space="preserve">+proj=longlat +ellps=bessel +towgs84=508.088,-191.042,565.223,0,0,0,0 +no_defs </t>
  </si>
  <si>
    <t>GEOGCS["IKBD-92",DATUM["Iraq_Kuwait_Boundary_Datum_1992",SPHEROID["WGS 84",6378137,298.257223563,AUTHORITY["EPSG","7030"]],TOWGS84[0,0,0,0,0,0,0],AUTHORITY["EPSG","6667"]],PRIMEM["Greenwich",0,AUTHORITY["EPSG","8901"]],UNIT["degree",0.0174532925199433,AUTHORITY["EPSG","9122"]],AUTHORITY["EPSG","4667"]]</t>
  </si>
  <si>
    <t>GEOGCS["ED79",DATUM["European_Datum_1979",SPHEROID["International 1924",6378388,297,AUTHORITY["EPSG","7022"]],TOWGS84[-86,-98,-119,0,0,0,0],AUTHORITY["EPSG","6668"]],PRIMEM["Greenwich",0,AUTHORITY["EPSG","8901"]],UNIT["degree",0.0174532925199433,AUTHORITY["EPSG","9122"]],AUTHORITY["EPSG","4668"]]</t>
  </si>
  <si>
    <t xml:space="preserve">+proj=longlat +ellps=intl +towgs84=-86,-98,-119,0,0,0,0 +no_defs </t>
  </si>
  <si>
    <t>GEOGCS["LKS94",DATUM["Lithuania_1994_ETRS89",SPHEROID["GRS 1980",6378137,298.257222101,AUTHORITY["EPSG","7019"]],TOWGS84[0,0,0,0,0,0,0],AUTHORITY["EPSG","6126"]],PRIMEM["Greenwich",0,AUTHORITY["EPSG","8901"]],UNIT["degree",0.0174532925199433,AUTHORITY["EPSG","9122"]],AUTHORITY["EPSG","4669"]]</t>
  </si>
  <si>
    <t>GEOGCS["IGM95",DATUM["Istituto_Geografico_Militaire_1995",SPHEROID["WGS 84",6378137,298.257223563,AUTHORITY["EPSG","7030"]],TOWGS84[0,0,0,0,0,0,0],AUTHORITY["EPSG","6670"]],PRIMEM["Greenwich",0,AUTHORITY["EPSG","8901"]],UNIT["degree",0.0174532925199433,AUTHORITY["EPSG","9122"]],AUTHORITY["EPSG","4670"]]</t>
  </si>
  <si>
    <t>GEOGCS["PD/83",DATUM["Potsdam_Datum_83",SPHEROID["Bessel 1841",6377397.155,299.1528128,AUTHORITY["EPSG","7004"]],AUTHORITY["EPSG","6746"]],PRIMEM["Greenwich",0,AUTHORITY["EPSG","8901"]],UNIT["degree",0.0174532925199433,AUTHORITY["EPSG","9122"]],AUTHORITY["EPSG","4746"]]</t>
  </si>
  <si>
    <t>GEOGCS["Chatham Islands 1971",DATUM["Chatham_Islands_Datum_1971",SPHEROID["International 1924",6378388,297,AUTHORITY["EPSG","7022"]],TOWGS84[175,-38,113,0,0,0,0],AUTHORITY["EPSG","6672"]],PRIMEM["Greenwich",0,AUTHORITY["EPSG","8901"]],UNIT["degree",0.0174532925199433,AUTHORITY["EPSG","9122"]],AUTHORITY["EPSG","4672"]]</t>
  </si>
  <si>
    <t xml:space="preserve">+proj=longlat +ellps=intl +towgs84=175,-38,113,0,0,0,0 +no_defs </t>
  </si>
  <si>
    <t>GEOGCS["Chatham Islands 1979",DATUM["Chatham_Islands_Datum_1979",SPHEROID["International 1924",6378388,297,AUTHORITY["EPSG","7022"]],TOWGS84[174.05,-25.49,112.57,0,0,0.554,0.2263],AUTHORITY["EPSG","6673"]],PRIMEM["Greenwich",0,AUTHORITY["EPSG","8901"]],UNIT["degree",0.0174532925199433,AUTHORITY["EPSG","9122"]],AUTHORITY["EPSG","4673"]]</t>
  </si>
  <si>
    <t xml:space="preserve">+proj=longlat +ellps=intl +towgs84=174.05,-25.49,112.57,0,0,0.554,0.2263 +no_defs </t>
  </si>
  <si>
    <t>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</t>
  </si>
  <si>
    <t>GEOGCS["Guam 1963",DATUM["Guam_1963",SPHEROID["Clarke 1866",6378206.4,294.9786982138982,AUTHORITY["EPSG","7008"]],TOWGS84[-100,-248,259,0,0,0,0],AUTHORITY["EPSG","6675"]],PRIMEM["Greenwich",0,AUTHORITY["EPSG","8901"]],UNIT["degree",0.0174532925199433,AUTHORITY["EPSG","9122"]],AUTHORITY["EPSG","4675"]]</t>
  </si>
  <si>
    <t xml:space="preserve">+proj=longlat +ellps=clrk66 +towgs84=-100,-248,259,0,0,0,0 +no_defs </t>
  </si>
  <si>
    <t>GEOGCS["Vientiane 1982",DATUM["Vientiane_1982",SPHEROID["Krassowsky 1940",6378245,298.3,AUTHORITY["EPSG","7024"]],AUTHORITY["EPSG","6676"]],PRIMEM["Greenwich",0,AUTHORITY["EPSG","8901"]],UNIT["degree",0.0174532925199433,AUTHORITY["EPSG","9122"]],AUTHORITY["EPSG","4676"]]</t>
  </si>
  <si>
    <t>GEOGCS["Lao 1993",DATUM["Lao_1993",SPHEROID["Krassowsky 1940",6378245,298.3,AUTHORITY["EPSG","7024"]],AUTHORITY["EPSG","6677"]],PRIMEM["Greenwich",0,AUTHORITY["EPSG","8901"]],UNIT["degree",0.0174532925199433,AUTHORITY["EPSG","9122"]],AUTHORITY["EPSG","4677"]]</t>
  </si>
  <si>
    <t>GEOGCS["Lao 1997",DATUM["Lao_National_Datum_1997",SPHEROID["Krassowsky 1940",6378245,298.3,AUTHORITY["EPSG","7024"]],TOWGS84[44.585,-131.212,-39.544,0,0,0,0],AUTHORITY["EPSG","6678"]],PRIMEM["Greenwich",0,AUTHORITY["EPSG","8901"]],UNIT["degree",0.0174532925199433,AUTHORITY["EPSG","9122"]],AUTHORITY["EPSG","4678"]]</t>
  </si>
  <si>
    <t xml:space="preserve">+proj=longlat +ellps=krass +towgs84=44.585,-131.212,-39.544,0,0,0,0 +no_defs </t>
  </si>
  <si>
    <t>GEOGCS["Jouik 1961",DATUM["Jouik_1961",SPHEROID["Clarke 1880 (RGS)",6378249.145,293.465,AUTHORITY["EPSG","7012"]],TOWGS84[-80.01,253.26,291.19,0,0,0,0],AUTHORITY["EPSG","6679"]],PRIMEM["Greenwich",0,AUTHORITY["EPSG","8901"]],UNIT["degree",0.0174532925199433,AUTHORITY["EPSG","9122"]],AUTHORITY["EPSG","4679"]]</t>
  </si>
  <si>
    <t xml:space="preserve">+proj=longlat +ellps=clrk80 +towgs84=-80.01,253.26,291.19,0,0,0,0 +no_defs </t>
  </si>
  <si>
    <t>GEOGCS["Nouakchott 1965",DATUM["Nouakchott_1965",SPHEROID["Clarke 1880 (RGS)",6378249.145,293.465,AUTHORITY["EPSG","7012"]],TOWGS84[124.5,-63.5,-281,0,0,0,0],AUTHORITY["EPSG","6680"]],PRIMEM["Greenwich",0,AUTHORITY["EPSG","8901"]],UNIT["degree",0.0174532925199433,AUTHORITY["EPSG","9122"]],AUTHORITY["EPSG","4680"]]</t>
  </si>
  <si>
    <t xml:space="preserve">+proj=longlat +ellps=clrk80 +towgs84=124.5,-63.5,-281,0,0,0,0 +no_defs </t>
  </si>
  <si>
    <t>GEOGCS["Mauritania 1999",DATUM["Mauritania_1999",SPHEROID["Clarke 1880 (RGS)",6378249.145,293.465,AUTHORITY["EPSG","7012"]],AUTHORITY["EPSG","6681"]],PRIMEM["Greenwich",0,AUTHORITY["EPSG","8901"]],UNIT["degree",0.0174532925199433,AUTHORITY["EPSG","9122"]],AUTHORITY["EPSG","4681"]]</t>
  </si>
  <si>
    <t>GEOGCS["Gulshan 303",DATUM["Gulshan_303",SPHEROID["Everest 1830 (1937 Adjustment)",6377276.345,300.8017,AUTHORITY["EPSG","7015"]],TOWGS84[283.7,735.9,261.1,0,0,0,0],AUTHORITY["EPSG","6682"]],PRIMEM["Greenwich",0,AUTHORITY["EPSG","8901"]],UNIT["degree",0.0174532925199433,AUTHORITY["EPSG","9122"]],AUTHORITY["EPSG","4682"]]</t>
  </si>
  <si>
    <t xml:space="preserve">+proj=longlat +a=6377276.345 +b=6356075.41314024 +towgs84=283.7,735.9,261.1,0,0,0,0 +no_defs </t>
  </si>
  <si>
    <t>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</t>
  </si>
  <si>
    <t xml:space="preserve">+proj=longlat +ellps=clrk66 +towgs84=-127.62,-67.24,-47.04,-3.068,4.903,1.578,-1.06 +no_defs </t>
  </si>
  <si>
    <t>GEOGCS["Gan 1970",DATUM["Gan_1970",SPHEROID["International 1924",6378388,297,AUTHORITY["EPSG","7022"]],TOWGS84[-133,-321,50,0,0,0,0],AUTHORITY["EPSG","6684"]],PRIMEM["Greenwich",0,AUTHORITY["EPSG","8901"]],UNIT["degree",0.0174532925199433,AUTHORITY["EPSG","9122"]],AUTHORITY["EPSG","4684"]]</t>
  </si>
  <si>
    <t>GEOGCS["Gandajika",DATUM["Gandajika",SPHEROID["International 1924",6378388,297,AUTHORITY["EPSG","7022"]],AUTHORITY["EPSG","6685"]],PRIMEM["Greenwich",0,AUTHORITY["EPSG","8901"]],UNIT["degree",0.0174532925199433,AUTHORITY["EPSG","9122"]],AUTHORITY["EPSG","4685"]]</t>
  </si>
  <si>
    <t>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</t>
  </si>
  <si>
    <t>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</t>
  </si>
  <si>
    <t xml:space="preserve">+proj=longlat +ellps=GRS80 +towgs84=0.072,-0.507,-0.245,-0.0183,0.0003,-0.007,-0.0093 +no_defs </t>
  </si>
  <si>
    <t>GEOGCS["Fatu Iva 72",DATUM["Fatu_Iva_72",SPHEROID["International 1924",6378388,297,AUTHORITY["EPSG","7022"]],TOWGS84[347.103,1078.125,2623.922,-33.8875,70.6773,-9.3943,186.074],AUTHORITY["EPSG","6688"]],PRIMEM["Greenwich",0,AUTHORITY["EPSG","8901"]],UNIT["degree",0.0174532925199433,AUTHORITY["EPSG","9122"]],AUTHORITY["EPSG","4688"]]</t>
  </si>
  <si>
    <t xml:space="preserve">+proj=longlat +ellps=intl +towgs84=347.103,1078.125,2623.922,-33.8875,70.6773,-9.3943,186.074 +no_defs </t>
  </si>
  <si>
    <t>GEOGCS["IGN63 Hiva Oa",DATUM["IGN63_Hiva_Oa",SPHEROID["International 1924",6378388,297,AUTHORITY["EPSG","7022"]],TOWGS84[410.721,55.049,80.746,2.5779,2.3514,0.6664,17.3311],AUTHORITY["EPSG","6689"]],PRIMEM["Greenwich",0,AUTHORITY["EPSG","8901"]],UNIT["degree",0.0174532925199433,AUTHORITY["EPSG","9122"]],AUTHORITY["EPSG","4689"]]</t>
  </si>
  <si>
    <t xml:space="preserve">+proj=longlat +ellps=intl +towgs84=410.721,55.049,80.746,2.5779,2.3514,0.6664,17.3311 +no_defs </t>
  </si>
  <si>
    <t>GEOGCS["RGM04 (lon-lat)",DATUM["Reseau_Geodesique_de_Mayotte_2004",SPHEROID["GRS 1980",6378137,298.257222101,AUTHORITY["EPSG","7019"]],AUTHORITY["EPSG","1036"]],PRIMEM["Greenwich",0,AUTHORITY["EPSG","8901"]],UNIT["degree",0.0174532925199433,AUTHORITY["EPSG","9122"]],AUTHORITY["EPSG","7039"]]</t>
  </si>
  <si>
    <t>GEOGCS["Tahiti 79",DATUM["Tahiti_79",SPHEROID["International 1924",6378388,297,AUTHORITY["EPSG","7022"]],TOWGS84[221.525,152.948,176.768,-2.3847,-1.3896,-0.877,11.4741],AUTHORITY["EPSG","6690"]],PRIMEM["Greenwich",0,AUTHORITY["EPSG","8901"]],UNIT["degree",0.0174532925199433,AUTHORITY["EPSG","9122"]],AUTHORITY["EPSG","4690"]]</t>
  </si>
  <si>
    <t xml:space="preserve">+proj=longlat +ellps=intl +towgs84=221.525,152.948,176.768,-2.3847,-1.3896,-0.877,11.4741 +no_defs </t>
  </si>
  <si>
    <t>GEOGCS["Moorea 87",DATUM["Moorea_87",SPHEROID["International 1924",6378388,297,AUTHORITY["EPSG","7022"]],TOWGS84[215.525,149.593,176.229,-3.2624,-1.692,-1.1571,10.4773],AUTHORITY["EPSG","6691"]],PRIMEM["Greenwich",0,AUTHORITY["EPSG","8901"]],UNIT["degree",0.0174532925199433,AUTHORITY["EPSG","9122"]],AUTHORITY["EPSG","4691"]]</t>
  </si>
  <si>
    <t xml:space="preserve">+proj=longlat +ellps=intl +towgs84=215.525,149.593,176.229,-3.2624,-1.692,-1.1571,10.4773 +no_defs </t>
  </si>
  <si>
    <t>GEOGCS["Maupiti 83",DATUM["Maupiti_83",SPHEROID["International 1924",6378388,297,AUTHORITY["EPSG","7022"]],TOWGS84[217.037,86.959,23.956,0,0,0,0],AUTHORITY["EPSG","6692"]],PRIMEM["Greenwich",0,AUTHORITY["EPSG","8901"]],UNIT["degree",0.0174532925199433,AUTHORITY["EPSG","9122"]],AUTHORITY["EPSG","4692"]]</t>
  </si>
  <si>
    <t xml:space="preserve">+proj=longlat +ellps=intl +towgs84=217.037,86.959,23.956,0,0,0,0 +no_defs </t>
  </si>
  <si>
    <t>GEOGCS["Nakhl-e Ghanem",DATUM["Nakhl_e_Ghanem",SPHEROID["WGS 84",6378137,298.257223563,AUTHORITY["EPSG","7030"]],TOWGS84[0,-0.15,0.68,0,0,0,0],AUTHORITY["EPSG","6693"]],PRIMEM["Greenwich",0,AUTHORITY["EPSG","8901"]],UNIT["degree",0.0174532925199433,AUTHORITY["EPSG","9122"]],AUTHORITY["EPSG","4693"]]</t>
  </si>
  <si>
    <t xml:space="preserve">+proj=longlat +ellps=WGS84 +towgs84=0,-0.15,0.68,0,0,0,0 +no_defs </t>
  </si>
  <si>
    <t>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</t>
  </si>
  <si>
    <t>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</t>
  </si>
  <si>
    <t xml:space="preserve">+proj=longlat +ellps=clrk66 +towgs84=-103.746,-9.614,-255.95,0,0,0,0 +no_defs </t>
  </si>
  <si>
    <t>GEOGCS["Kasai 1953",DATUM["Kasai_1953",SPHEROID["Clarke 1880 (RGS)",6378249.145,293.465,AUTHORITY["EPSG","7012"]],AUTHORITY["EPSG","6696"]],PRIMEM["Greenwich",0,AUTHORITY["EPSG","8901"]],UNIT["degree",0.0174532925199433,AUTHORITY["EPSG","9122"]],AUTHORITY["EPSG","4696"]]</t>
  </si>
  <si>
    <t>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</t>
  </si>
  <si>
    <t>GEOGCS["IGN 1962 Kerguelen",DATUM["IGN_1962_Kerguelen",SPHEROID["International 1924",6378388,297,AUTHORITY["EPSG","7022"]],TOWGS84[145,-187,103,0,0,0,0],AUTHORITY["EPSG","6698"]],PRIMEM["Greenwich",0,AUTHORITY["EPSG","8901"]],UNIT["degree",0.0174532925199433,AUTHORITY["EPSG","9122"]],AUTHORITY["EPSG","4698"]]</t>
  </si>
  <si>
    <t>GEOGCS["Le Pouce 1934",DATUM["Le_Pouce_1934",SPHEROID["Clarke 1880 (RGS)",6378249.145,293.465,AUTHORITY["EPSG","7012"]],TOWGS84[-770.1,158.4,-498.2,0,0,0,0],AUTHORITY["EPSG","6699"]],PRIMEM["Greenwich",0,AUTHORITY["EPSG","8901"]],UNIT["degree",0.0174532925199433,AUTHORITY["EPSG","9122"]],AUTHORITY["EPSG","4699"]]</t>
  </si>
  <si>
    <t xml:space="preserve">+proj=longlat +ellps=clrk80 +towgs84=-770.1,158.4,-498.2,0,0,0,0 +no_defs </t>
  </si>
  <si>
    <t>GEOGCS["IGN Astro 1960",DATUM["IGN_Astro_1960",SPHEROID["Clarke 1880 (RGS)",6378249.145,293.465,AUTHORITY["EPSG","7012"]],AUTHORITY["EPSG","6700"]],PRIMEM["Greenwich",0,AUTHORITY["EPSG","8901"]],UNIT["degree",0.0174532925199433,AUTHORITY["EPSG","9122"]],AUTHORITY["EPSG","4700"]]</t>
  </si>
  <si>
    <t>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</t>
  </si>
  <si>
    <t xml:space="preserve">+proj=longlat +ellps=clrk80 +towgs84=-79.9,-158,-168.9,0,0,0,0 +no_defs </t>
  </si>
  <si>
    <t>GEOGCS["Mauritania 1999",DATUM["Mauritania_1999",SPHEROID["GRS 1980",6378137,298.257222101,AUTHORITY["EPSG","7019"]],TOWGS84[0,0,0,0,0,0,0],AUTHORITY["EPSG","6702"]],PRIMEM["Greenwich",0,AUTHORITY["EPSG","8901"]],UNIT["degree",0.0174532925199433,AUTHORITY["EPSG","9122"]],AUTHORITY["EPSG","4702"]]</t>
  </si>
  <si>
    <t>GEOGCS["Mhast 1951",DATUM["Missao_Hidrografico_Angola_y_Sao_Tome_1951",SPHEROID["Clarke 1880 (RGS)",6378249.145,293.465,AUTHORITY["EPSG","7012"]],AUTHORITY["EPSG","6703"]],PRIMEM["Greenwich",0,AUTHORITY["EPSG","8901"]],UNIT["degree",0.0174532925199433,AUTHORITY["EPSG","9122"]],AUTHORITY["EPSG","4703"]]</t>
  </si>
  <si>
    <t>GEOGCS["Mhast (onshore)",DATUM["Mhast_onshore",SPHEROID["International 1924",6378388,297,AUTHORITY["EPSG","7022"]],AUTHORITY["EPSG","6704"]],PRIMEM["Greenwich",0,AUTHORITY["EPSG","8901"]],UNIT["degree",0.0174532925199433,AUTHORITY["EPSG","9122"]],AUTHORITY["EPSG","4704"]]</t>
  </si>
  <si>
    <t>GEOGCS["Mhast (offshore)",DATUM["Mhast_offshore",SPHEROID["International 1924",6378388,297,AUTHORITY["EPSG","7022"]],AUTHORITY["EPSG","6705"]],PRIMEM["Greenwich",0,AUTHORITY["EPSG","8901"]],UNIT["degree",0.0174532925199433,AUTHORITY["EPSG","9122"]],AUTHORITY["EPSG","4705"]]</t>
  </si>
  <si>
    <t>GEOGCS["Egypt Gulf of Suez S-650 TL",DATUM["Egypt_Gulf_of_Suez_S_650_TL",SPHEROID["Helmert 1906",6378200,298.3,AUTHORITY["EPSG","7020"]],TOWGS84[-146.21,112.63,4.05,0,0,0,0],AUTHORITY["EPSG","6706"]],PRIMEM["Greenwich",0,AUTHORITY["EPSG","8901"]],UNIT["degree",0.0174532925199433,AUTHORITY["EPSG","9122"]],AUTHORITY["EPSG","4706"]]</t>
  </si>
  <si>
    <t xml:space="preserve">+proj=longlat +ellps=helmert +towgs84=-146.21,112.63,4.05,0,0,0,0 +no_defs </t>
  </si>
  <si>
    <t>GEOGCS["Tern Island 1961",DATUM["Tern_Island_1961",SPHEROID["International 1924",6378388,297,AUTHORITY["EPSG","7022"]],TOWGS84[114,-116,-333,0,0,0,0],AUTHORITY["EPSG","6707"]],PRIMEM["Greenwich",0,AUTHORITY["EPSG","8901"]],UNIT["degree",0.0174532925199433,AUTHORITY["EPSG","9122"]],AUTHORITY["EPSG","4707"]]</t>
  </si>
  <si>
    <t xml:space="preserve">+proj=longlat +ellps=intl +towgs84=114,-116,-333,0,0,0,0 +no_defs </t>
  </si>
  <si>
    <t>GEOGCS["Cocos Islands 1965",DATUM["Cocos_Islands_1965",SPHEROID["Australian National Spheroid",6378160,298.25,AUTHORITY["EPSG","7003"]],TOWGS84[-491,-22,435,0,0,0,0],AUTHORITY["EPSG","6708"]],PRIMEM["Greenwich",0,AUTHORITY["EPSG","8901"]],UNIT["degree",0.0174532925199433,AUTHORITY["EPSG","9122"]],AUTHORITY["EPSG","4708"]]</t>
  </si>
  <si>
    <t xml:space="preserve">+proj=longlat +ellps=aust_SA +towgs84=-491,-22,435,0,0,0,0 +no_defs </t>
  </si>
  <si>
    <t>GEOGCS["Iwo Jima 1945",DATUM["Iwo_Jima_1945",SPHEROID["International 1924",6378388,297,AUTHORITY["EPSG","7022"]],TOWGS84[145,75,-272,0,0,0,0],AUTHORITY["EPSG","6709"]],PRIMEM["Greenwich",0,AUTHORITY["EPSG","8901"]],UNIT["degree",0.0174532925199433,AUTHORITY["EPSG","9122"]],AUTHORITY["EPSG","4709"]]</t>
  </si>
  <si>
    <t xml:space="preserve">+proj=longlat +ellps=intl +towgs84=145,75,-272,0,0,0,0 +no_defs </t>
  </si>
  <si>
    <t>GEOGCS["Astro DOS 71",DATUM["Astro_DOS_71",SPHEROID["International 1924",6378388,297,AUTHORITY["EPSG","7022"]],TOWGS84[-320,550,-494,0,0,0,0],AUTHORITY["EPSG","6710"]],PRIMEM["Greenwich",0,AUTHORITY["EPSG","8901"]],UNIT["degree",0.0174532925199433,AUTHORITY["EPSG","9122"]],AUTHORITY["EPSG","4710"]]</t>
  </si>
  <si>
    <t xml:space="preserve">+proj=longlat +ellps=intl +towgs84=-320,550,-494,0,0,0,0 +no_defs </t>
  </si>
  <si>
    <t>GEOGCS["Marcus Island 1952",DATUM["Marcus_Island_1952",SPHEROID["International 1924",6378388,297,AUTHORITY["EPSG","7022"]],TOWGS84[124,-234,-25,0,0,0,0],AUTHORITY["EPSG","6711"]],PRIMEM["Greenwich",0,AUTHORITY["EPSG","8901"]],UNIT["degree",0.0174532925199433,AUTHORITY["EPSG","9122"]],AUTHORITY["EPSG","4711"]]</t>
  </si>
  <si>
    <t xml:space="preserve">+proj=longlat +ellps=intl +towgs84=124,-234,-25,0,0,0,0 +no_defs </t>
  </si>
  <si>
    <t>GEOGCS["Ascension Island 1958",DATUM["Ascension_Island_1958",SPHEROID["International 1924",6378388,297,AUTHORITY["EPSG","7022"]],TOWGS84[-205,107,53,0,0,0,0],AUTHORITY["EPSG","6712"]],PRIMEM["Greenwich",0,AUTHORITY["EPSG","8901"]],UNIT["degree",0.0174532925199433,AUTHORITY["EPSG","9122"]],AUTHORITY["EPSG","4712"]]</t>
  </si>
  <si>
    <t xml:space="preserve">+proj=longlat +ellps=intl +towgs84=-205,107,53,0,0,0,0 +no_defs </t>
  </si>
  <si>
    <t>GEOGCS["Ayabelle Lighthouse",DATUM["Ayabelle_Lighthouse",SPHEROID["Clarke 1880 (RGS)",6378249.145,293.465,AUTHORITY["EPSG","7012"]],TOWGS84[-77,-128,142,0,0,0,0],AUTHORITY["EPSG","6713"]],PRIMEM["Greenwich",0,AUTHORITY["EPSG","8901"]],UNIT["degree",0.0174532925199433,AUTHORITY["EPSG","9122"]],AUTHORITY["EPSG","4713"]]</t>
  </si>
  <si>
    <t xml:space="preserve">+proj=longlat +ellps=clrk80 +towgs84=-77,-128,142,0,0,0,0 +no_defs </t>
  </si>
  <si>
    <t>GEOGCS["Bellevue",DATUM["Bellevue",SPHEROID["International 1924",6378388,297,AUTHORITY["EPSG","7022"]],TOWGS84[-127,-769,472,0,0,0,0],AUTHORITY["EPSG","6714"]],PRIMEM["Greenwich",0,AUTHORITY["EPSG","8901"]],UNIT["degree",0.0174532925199433,AUTHORITY["EPSG","9122"]],AUTHORITY["EPSG","4714"]]</t>
  </si>
  <si>
    <t xml:space="preserve">+proj=longlat +ellps=intl +towgs84=-127,-769,472,0,0,0,0 +no_defs </t>
  </si>
  <si>
    <t>GEOGCS["Camp Area Astro",DATUM["Camp_Area_Astro",SPHEROID["International 1924",6378388,297,AUTHORITY["EPSG","7022"]],TOWGS84[-104,-129,239,0,0,0,0],AUTHORITY["EPSG","6715"]],PRIMEM["Greenwich",0,AUTHORITY["EPSG","8901"]],UNIT["degree",0.0174532925199433,AUTHORITY["EPSG","9122"]],AUTHORITY["EPSG","4715"]]</t>
  </si>
  <si>
    <t xml:space="preserve">+proj=longlat +ellps=intl +towgs84=-104,-129,239,0,0,0,0 +no_defs </t>
  </si>
  <si>
    <t>GEOGCS["Phoenix Islands 1966",DATUM["Phoenix_Islands_1966",SPHEROID["International 1924",6378388,297,AUTHORITY["EPSG","7022"]],TOWGS84[298,-304,-375,0,0,0,0],AUTHORITY["EPSG","6716"]],PRIMEM["Greenwich",0,AUTHORITY["EPSG","8901"]],UNIT["degree",0.0174532925199433,AUTHORITY["EPSG","9122"]],AUTHORITY["EPSG","4716"]]</t>
  </si>
  <si>
    <t xml:space="preserve">+proj=longlat +ellps=intl +towgs84=298,-304,-375,0,0,0,0 +no_defs </t>
  </si>
  <si>
    <t>GEOGCS["Cape Canaveral",DATUM["Cape_Canaveral",SPHEROID["Clarke 1866",6378206.4,294.9786982138982,AUTHORITY["EPSG","7008"]],TOWGS84[-2,151,181,0,0,0,0],AUTHORITY["EPSG","6717"]],PRIMEM["Greenwich",0,AUTHORITY["EPSG","8901"]],UNIT["degree",0.0174532925199433,AUTHORITY["EPSG","9122"]],AUTHORITY["EPSG","4717"]]</t>
  </si>
  <si>
    <t xml:space="preserve">+proj=longlat +ellps=clrk66 +towgs84=-2,151,181,0,0,0,0 +no_defs </t>
  </si>
  <si>
    <t>GEOGCS["Solomon 1968",DATUM["Solomon_1968",SPHEROID["International 1924",6378388,297,AUTHORITY["EPSG","7022"]],TOWGS84[230,-199,-752,0,0,0,0],AUTHORITY["EPSG","6718"]],PRIMEM["Greenwich",0,AUTHORITY["EPSG","8901"]],UNIT["degree",0.0174532925199433,AUTHORITY["EPSG","9122"]],AUTHORITY["EPSG","4718"]]</t>
  </si>
  <si>
    <t xml:space="preserve">+proj=longlat +ellps=intl +towgs84=230,-199,-752,0,0,0,0 +no_defs </t>
  </si>
  <si>
    <t>GEOGCS["Easter Island 1967",DATUM["Easter_Island_1967",SPHEROID["International 1924",6378388,297,AUTHORITY["EPSG","7022"]],TOWGS84[211,147,111,0,0,0,0],AUTHORITY["EPSG","6719"]],PRIMEM["Greenwich",0,AUTHORITY["EPSG","8901"]],UNIT["degree",0.0174532925199433,AUTHORITY["EPSG","9122"]],AUTHORITY["EPSG","4719"]]</t>
  </si>
  <si>
    <t xml:space="preserve">+proj=longlat +ellps=intl +towgs84=211,147,111,0,0,0,0 +no_defs </t>
  </si>
  <si>
    <t>GEOGCS["Fiji 1986",DATUM["Fiji_Geodetic_Datum_1986",SPHEROID["WGS 72",6378135,298.26,AUTHORITY["EPSG","7043"]],TOWGS84[0,0,4.5,0,0,0.554,0.2263],AUTHORITY["EPSG","6720"]],PRIMEM["Greenwich",0,AUTHORITY["EPSG","8901"]],UNIT["degree",0.0174532925199433,AUTHORITY["EPSG","9122"]],AUTHORITY["EPSG","4720"]]</t>
  </si>
  <si>
    <t>GEOGCS["Fiji 1956",DATUM["Fiji_1956",SPHEROID["International 1924",6378388,297,AUTHORITY["EPSG","7022"]],TOWGS84[265.025,384.929,-194.046,0,0,0,0],AUTHORITY["EPSG","6721"]],PRIMEM["Greenwich",0,AUTHORITY["EPSG","8901"]],UNIT["degree",0.0174532925199433,AUTHORITY["EPSG","9122"]],AUTHORITY["EPSG","4721"]]</t>
  </si>
  <si>
    <t xml:space="preserve">+proj=longlat +ellps=intl +towgs84=265.025,384.929,-194.046,0,0,0,0 +no_defs </t>
  </si>
  <si>
    <t>GEOGCS["South Georgia 1968",DATUM["South_Georgia_1968",SPHEROID["International 1924",6378388,297,AUTHORITY["EPSG","7022"]],TOWGS84[-794,119,-298,0,0,0,0],AUTHORITY["EPSG","6722"]],PRIMEM["Greenwich",0,AUTHORITY["EPSG","8901"]],UNIT["degree",0.0174532925199433,AUTHORITY["EPSG","9122"]],AUTHORITY["EPSG","4722"]]</t>
  </si>
  <si>
    <t xml:space="preserve">+proj=longlat +ellps=intl +towgs84=-794,119,-298,0,0,0,0 +no_defs </t>
  </si>
  <si>
    <t>GEOGCS["GCGD59",DATUM["Grand_Cayman_Geodetic_Datum_1959",SPHEROID["Clarke 1866",6378206.4,294.9786982138982,AUTHORITY["EPSG","7008"]],TOWGS84[-179.483,-69.379,-27.584,-7.862,8.163,6.042,-13.925],AUTHORITY["EPSG","6723"]],PRIMEM["Greenwich",0,AUTHORITY["EPSG","8901"]],UNIT["degree",0.0174532925199433,AUTHORITY["EPSG","9122"]],AUTHORITY["EPSG","4723"]]</t>
  </si>
  <si>
    <t xml:space="preserve">+proj=longlat +ellps=clrk66 +towgs84=-179.483,-69.379,-27.584,-7.862,8.163,6.042,-13.925 +no_defs </t>
  </si>
  <si>
    <t>GEOGCS["Diego Garcia 1969",DATUM["Diego_Garcia_1969",SPHEROID["International 1924",6378388,297,AUTHORITY["EPSG","7022"]],TOWGS84[208,-435,-229,0,0,0,0],AUTHORITY["EPSG","6724"]],PRIMEM["Greenwich",0,AUTHORITY["EPSG","8901"]],UNIT["degree",0.0174532925199433,AUTHORITY["EPSG","9122"]],AUTHORITY["EPSG","4724"]]</t>
  </si>
  <si>
    <t xml:space="preserve">+proj=longlat +ellps=intl +towgs84=208,-435,-229,0,0,0,0 +no_defs </t>
  </si>
  <si>
    <t>GEOGCS["Johnston Island 1961",DATUM["Johnston_Island_1961",SPHEROID["International 1924",6378388,297,AUTHORITY["EPSG","7022"]],TOWGS84[189,-79,-202,0,0,0,0],AUTHORITY["EPSG","6725"]],PRIMEM["Greenwich",0,AUTHORITY["EPSG","8901"]],UNIT["degree",0.0174532925199433,AUTHORITY["EPSG","9122"]],AUTHORITY["EPSG","4725"]]</t>
  </si>
  <si>
    <t xml:space="preserve">+proj=longlat +ellps=intl +towgs84=189,-79,-202,0,0,0,0 +no_defs </t>
  </si>
  <si>
    <t>GEOGCS["SIGD61",DATUM["Sister_Islands_Geodetic_Datum_1961",SPHEROID["Clarke 1866",6378206.4,294.9786982138982,AUTHORITY["EPSG","7008"]],TOWGS84[8.853,-52.644,180.304,-0.393,-2.323,2.96,-24.081],AUTHORITY["EPSG","6726"]],PRIMEM["Greenwich",0,AUTHORITY["EPSG","8901"]],UNIT["degree",0.0174532925199433,AUTHORITY["EPSG","9122"]],AUTHORITY["EPSG","4726"]]</t>
  </si>
  <si>
    <t xml:space="preserve">+proj=longlat +ellps=clrk66 +towgs84=8.853,-52.644,180.304,-0.393,-2.323,2.96,-24.081 +no_defs </t>
  </si>
  <si>
    <t>GEOGCS["Midway 1961",DATUM["Midway_1961",SPHEROID["International 1924",6378388,297,AUTHORITY["EPSG","7022"]],TOWGS84[403,-81,277,0,0,0,0],AUTHORITY["EPSG","6727"]],PRIMEM["Greenwich",0,AUTHORITY["EPSG","8901"]],UNIT["degree",0.0174532925199433,AUTHORITY["EPSG","9122"]],AUTHORITY["EPSG","4727"]]</t>
  </si>
  <si>
    <t xml:space="preserve">+proj=longlat +ellps=intl +towgs84=403,-81,277,0,0,0,0 +no_defs </t>
  </si>
  <si>
    <t>GEOGCS["Pico de las Nieves 1984",DATUM["Pico_de_las_Nieves_1984",SPHEROID["International 1924",6378388,297,AUTHORITY["EPSG","7022"]],TOWGS84[-307,-92,127,0,0,0,0],AUTHORITY["EPSG","6728"]],PRIMEM["Greenwich",0,AUTHORITY["EPSG","8901"]],UNIT["degree",0.0174532925199433,AUTHORITY["EPSG","9122"]],AUTHORITY["EPSG","4728"]]</t>
  </si>
  <si>
    <t xml:space="preserve">+proj=longlat +ellps=intl +towgs84=-307,-92,127,0,0,0,0 +no_defs </t>
  </si>
  <si>
    <t>GEOGCS["Pitcairn 1967",DATUM["Pitcairn_1967",SPHEROID["International 1924",6378388,297,AUTHORITY["EPSG","7022"]],TOWGS84[185,165,42,0,0,0,0],AUTHORITY["EPSG","6729"]],PRIMEM["Greenwich",0,AUTHORITY["EPSG","8901"]],UNIT["degree",0.0174532925199433,AUTHORITY["EPSG","9122"]],AUTHORITY["EPSG","4729"]]</t>
  </si>
  <si>
    <t xml:space="preserve">+proj=longlat +ellps=intl +towgs84=185,165,42,0,0,0,0 +no_defs </t>
  </si>
  <si>
    <t>GEOGCS["Santo 1965",DATUM["Santo_1965",SPHEROID["International 1924",6378388,297,AUTHORITY["EPSG","7022"]],TOWGS84[170,42,84,0,0,0,0],AUTHORITY["EPSG","6730"]],PRIMEM["Greenwich",0,AUTHORITY["EPSG","8901"]],UNIT["degree",0.0174532925199433,AUTHORITY["EPSG","9122"]],AUTHORITY["EPSG","4730"]]</t>
  </si>
  <si>
    <t xml:space="preserve">+proj=longlat +ellps=intl +towgs84=170,42,84,0,0,0,0 +no_defs </t>
  </si>
  <si>
    <t>GEOGCS["Viti Levu 1916",DATUM["Viti_Levu_1916",SPHEROID["Clarke 1880 (RGS)",6378249.145,293.465,AUTHORITY["EPSG","7012"]],TOWGS84[51,391,-36,0,0,0,0],AUTHORITY["EPSG","6731"]],PRIMEM["Greenwich",0,AUTHORITY["EPSG","8901"]],UNIT["degree",0.0174532925199433,AUTHORITY["EPSG","9122"]],AUTHORITY["EPSG","4731"]]</t>
  </si>
  <si>
    <t xml:space="preserve">+proj=longlat +ellps=clrk80 +towgs84=51,391,-36,0,0,0,0 +no_defs </t>
  </si>
  <si>
    <t>GEOGCS["Marshall Islands 1960",DATUM["Marshall_Islands_1960",SPHEROID["Hough 1960",6378270,297,AUTHORITY["EPSG","7053"]],TOWGS84[102,52,-38,0,0,0,0],AUTHORITY["EPSG","6732"]],PRIMEM["Greenwich",0,AUTHORITY["EPSG","8901"]],UNIT["degree",0.0174532925199433,AUTHORITY["EPSG","9122"]],AUTHORITY["EPSG","4732"]]</t>
  </si>
  <si>
    <t xml:space="preserve">+proj=longlat +a=6378270 +b=6356794.343434343 +towgs84=102,52,-38,0,0,0,0 +no_defs </t>
  </si>
  <si>
    <t>GEOGCS["Wake Island 1952",DATUM["Wake_Island_1952",SPHEROID["International 1924",6378388,297,AUTHORITY["EPSG","7022"]],TOWGS84[276,-57,149,0,0,0,0],AUTHORITY["EPSG","6733"]],PRIMEM["Greenwich",0,AUTHORITY["EPSG","8901"]],UNIT["degree",0.0174532925199433,AUTHORITY["EPSG","9122"]],AUTHORITY["EPSG","4733"]]</t>
  </si>
  <si>
    <t xml:space="preserve">+proj=longlat +ellps=intl +towgs84=276,-57,149,0,0,0,0 +no_defs </t>
  </si>
  <si>
    <t>GEOGCS["Tristan 1968",DATUM["Tristan_1968",SPHEROID["International 1924",6378388,297,AUTHORITY["EPSG","7022"]],TOWGS84[-632,438,-609,0,0,0,0],AUTHORITY["EPSG","6734"]],PRIMEM["Greenwich",0,AUTHORITY["EPSG","8901"]],UNIT["degree",0.0174532925199433,AUTHORITY["EPSG","9122"]],AUTHORITY["EPSG","4734"]]</t>
  </si>
  <si>
    <t xml:space="preserve">+proj=longlat +ellps=intl +towgs84=-632,438,-609,0,0,0,0 +no_defs </t>
  </si>
  <si>
    <t>GEOGCS["Kusaie 1951",DATUM["Kusaie_1951",SPHEROID["International 1924",6378388,297,AUTHORITY["EPSG","7022"]],TOWGS84[647,1777,-1124,0,0,0,0],AUTHORITY["EPSG","6735"]],PRIMEM["Greenwich",0,AUTHORITY["EPSG","8901"]],UNIT["degree",0.0174532925199433,AUTHORITY["EPSG","9122"]],AUTHORITY["EPSG","4735"]]</t>
  </si>
  <si>
    <t xml:space="preserve">+proj=longlat +ellps=intl +towgs84=647,1777,-1124,0,0,0,0 +no_defs </t>
  </si>
  <si>
    <t>GEOGCS["Deception Island",DATUM["Deception_Island",SPHEROID["Clarke 1880 (RGS)",6378249.145,293.465,AUTHORITY["EPSG","7012"]],TOWGS84[260,12,-147,0,0,0,0],AUTHORITY["EPSG","6736"]],PRIMEM["Greenwich",0,AUTHORITY["EPSG","8901"]],UNIT["degree",0.0174532925199433,AUTHORITY["EPSG","9122"]],AUTHORITY["EPSG","4736"]]</t>
  </si>
  <si>
    <t xml:space="preserve">+proj=longlat +ellps=clrk80 +towgs84=260,12,-147,0,0,0,0 +no_defs </t>
  </si>
  <si>
    <t>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</t>
  </si>
  <si>
    <t>GEOGCS["Hong Kong 1963",DATUM["Hong_Kong_1963",SPHEROID["Clarke 1858",6378293.645208759,294.2606763692606,AUTHORITY["EPSG","7007"]],AUTHORITY["EPSG","6738"]],PRIMEM["Greenwich",0,AUTHORITY["EPSG","8901"]],UNIT["degree",0.0174532925199433,AUTHORITY["EPSG","9122"]],AUTHORITY["EPSG","4738"]]</t>
  </si>
  <si>
    <t>GEOGCS["Hong Kong 1963(67)",DATUM["Hong_Kong_1963_67",SPHEROID["International 1924",6378388,297,AUTHORITY["EPSG","7022"]],TOWGS84[-156,-271,-189,0,0,0,0],AUTHORITY["EPSG","6739"]],PRIMEM["Greenwich",0,AUTHORITY["EPSG","8901"]],UNIT["degree",0.0174532925199433,AUTHORITY["EPSG","9122"]],AUTHORITY["EPSG","4739"]]</t>
  </si>
  <si>
    <t xml:space="preserve">+proj=longlat +ellps=intl +towgs84=-156,-271,-189,0,0,0,0 +no_defs </t>
  </si>
  <si>
    <t>GEOGCS["PZ-90",DATUM["Parametry_Zemli_1990",SPHEROID["PZ-90",6378136,298.257839303,AUTHORITY["EPSG","7054"]],TOWGS84[0,0,1.5,0,0,0.076,0],AUTHORITY["EPSG","6740"]],PRIMEM["Greenwich",0,AUTHORITY["EPSG","8901"]],UNIT["degree",0.0174532925199433,AUTHORITY["EPSG","9122"]],AUTHORITY["EPSG","4740"]]</t>
  </si>
  <si>
    <t xml:space="preserve">+proj=longlat +a=6378136 +b=6356751.361745712 +towgs84=0,0,1.5,0,0,0.076,0 +no_defs </t>
  </si>
  <si>
    <t>GEOGCS["FD54",DATUM["Faroe_Datum_1954",SPHEROID["International 1924",6378388,297,AUTHORITY["EPSG","7022"]],AUTHORITY["EPSG","6741"]],PRIMEM["Greenwich",0,AUTHORITY["EPSG","8901"]],UNIT["degree",0.0174532925199433,AUTHORITY["EPSG","9122"]],AUTHORITY["EPSG","4741"]]</t>
  </si>
  <si>
    <t>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</t>
  </si>
  <si>
    <t>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</t>
  </si>
  <si>
    <t xml:space="preserve">+proj=longlat +ellps=clrk80 +towgs84=70.995,-335.916,262.898,0,0,0,0 +no_defs </t>
  </si>
  <si>
    <t>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</t>
  </si>
  <si>
    <t xml:space="preserve">+proj=longlat +ellps=clrk80 +towgs84=-242.2,-144.9,370.3,0,0,0,0 +no_defs </t>
  </si>
  <si>
    <t>GEOGCS["RD/83",DATUM["Rauenberg_Datum_83",SPHEROID["Bessel 1841",6377397.155,299.1528128,AUTHORITY["EPSG","7004"]],AUTHORITY["EPSG","6745"]],PRIMEM["Greenwich",0,AUTHORITY["EPSG","8901"]],UNIT["degree",0.0174532925199433,AUTHORITY["EPSG","9122"]],AUTHORITY["EPSG","4745"]]</t>
  </si>
  <si>
    <t>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</t>
  </si>
  <si>
    <t>GEOGCS["Vanua Levu 1915",DATUM["Vanua_Levu_1915",SPHEROID["Clarke 1880 (international foot)",6378306.3696,293.4663076556355,AUTHORITY["EPSG","7055"]],TOWGS84[51,391,-36,0,0,0,0],AUTHORITY["EPSG","6748"]],PRIMEM["Greenwich",0,AUTHORITY["EPSG","8901"]],UNIT["degree",0.0174532925199433,AUTHORITY["EPSG","9122"]],AUTHORITY["EPSG","4748"]]</t>
  </si>
  <si>
    <t xml:space="preserve">+proj=longlat +a=6378306.3696 +b=6356571.996 +towgs84=51,391,-36,0,0,0,0 +no_defs </t>
  </si>
  <si>
    <t>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</t>
  </si>
  <si>
    <t>GEOGCS["ST87 Ouvea",DATUM["ST87_Ouvea",SPHEROID["WGS 84",6378137,298.257223563,AUTHORITY["EPSG","7030"]],TOWGS84[-56.263,16.136,-22.856,0,0,0,0],AUTHORITY["EPSG","6750"]],PRIMEM["Greenwich",0,AUTHORITY["EPSG","8901"]],UNIT["degree",0.0174532925199433,AUTHORITY["EPSG","9122"]],AUTHORITY["EPSG","4750"]]</t>
  </si>
  <si>
    <t xml:space="preserve">+proj=longlat +ellps=WGS84 +towgs84=-56.263,16.136,-22.856,0,0,0,0 +no_defs </t>
  </si>
  <si>
    <t>GEOGCS["Kertau (RSO)",DATUM["Kertau_RSO",SPHEROID["Everest 1830 (RSO 1969)",6377295.664,300.8017,AUTHORITY["EPSG","7056"]],AUTHORITY["EPSG","6751"]],PRIMEM["Greenwich",0,AUTHORITY["EPSG","8901"]],UNIT["degree",0.0174532925199433,AUTHORITY["EPSG","9122"]],AUTHORITY["EPSG","4751"]]</t>
  </si>
  <si>
    <t>GEOGCS["Viti Levu 1912",DATUM["Viti_Levu_1912",SPHEROID["Clarke 1880 (international foot)",6378306.3696,293.4663076556355,AUTHORITY["EPSG","7055"]],TOWGS84[98,390,-22,0,0,0,0],AUTHORITY["EPSG","6752"]],PRIMEM["Greenwich",0,AUTHORITY["EPSG","8901"]],UNIT["degree",0.0174532925199433,AUTHORITY["EPSG","9122"]],AUTHORITY["EPSG","4752"]]</t>
  </si>
  <si>
    <t xml:space="preserve">+proj=longlat +a=6378306.3696 +b=6356571.996 +towgs84=98,390,-22,0,0,0,0 +no_defs </t>
  </si>
  <si>
    <t>GEOGCS["fk89",DATUM["fk89",SPHEROID["International 1924",6378388,297,AUTHORITY["EPSG","7022"]],AUTHORITY["EPSG","6753"]],PRIMEM["Greenwich",0,AUTHORITY["EPSG","8901"]],UNIT["degree",0.0174532925199433,AUTHORITY["EPSG","9122"]],AUTHORITY["EPSG","4753"]]</t>
  </si>
  <si>
    <t>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</t>
  </si>
  <si>
    <t xml:space="preserve">+proj=longlat +ellps=intl +towgs84=-208.4058,-109.8777,-2.5764,0,0,0,0 +no_defs </t>
  </si>
  <si>
    <t>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</t>
  </si>
  <si>
    <t>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</t>
  </si>
  <si>
    <t xml:space="preserve">+proj=longlat +ellps=WGS84 +towgs84=-191.90441429,-39.30318279,-111.45032835,0.00928836,-0.01975479,0.00427372,0.252906278 +no_defs </t>
  </si>
  <si>
    <t>GEOGCS["SVY21",DATUM["SVY21",SPHEROID["WGS 84",6378137,298.257223563,AUTHORITY["EPSG","7030"]],AUTHORITY["EPSG","6757"]],PRIMEM["Greenwich",0,AUTHORITY["EPSG","8901"]],UNIT["degree",0.0174532925199433,AUTHORITY["EPSG","9122"]],AUTHORITY["EPSG","4757"]]</t>
  </si>
  <si>
    <t>GEOGCS["JAD2001",DATUM["Jamaica_2001",SPHEROID["WGS 84",6378137,298.257223563,AUTHORITY["EPSG","7030"]],TOWGS84[0,0,0,0,0,0,0],AUTHORITY["EPSG","6758"]],PRIMEM["Greenwich",0,AUTHORITY["EPSG","8901"]],UNIT["degree",0.0174532925199433,AUTHORITY["EPSG","9122"]],AUTHORITY["EPSG","4758"]]</t>
  </si>
  <si>
    <t>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</t>
  </si>
  <si>
    <t>GEOGCS["WGS 66",DATUM["World_Geodetic_System_1966",SPHEROID["NWL 9D",6378145,298.25,AUTHORITY["EPSG","7025"]],AUTHORITY["EPSG","6760"]],PRIMEM["Greenwich",0,AUTHORITY["EPSG","8901"]],UNIT["degree",0.0174532925199433,AUTHORITY["EPSG","9122"]],AUTHORITY["EPSG","4760"]]</t>
  </si>
  <si>
    <t>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</t>
  </si>
  <si>
    <t>GEOGCS["BDA2000",DATUM["Bermuda_2000",SPHEROID["WGS 84",6378137,298.257223563,AUTHORITY["EPSG","7030"]],TOWGS84[0,0,0,0,0,0,0],AUTHORITY["EPSG","6762"]],PRIMEM["Greenwich",0,AUTHORITY["EPSG","8901"]],UNIT["degree",0.0174532925199433,AUTHORITY["EPSG","9122"]],AUTHORITY["EPSG","4762"]]</t>
  </si>
  <si>
    <t>GEOGCS["Pitcairn 2006",DATUM["Pitcairn_2006",SPHEROID["WGS 84",6378137,298.257223563,AUTHORITY["EPSG","7030"]],TOWGS84[0,0,0,0,0,0,0],AUTHORITY["EPSG","6763"]],PRIMEM["Greenwich",0,AUTHORITY["EPSG","8901"]],UNIT["degree",0.0174532925199433,AUTHORITY["EPSG","9122"]],AUTHORITY["EPSG","4763"]]</t>
  </si>
  <si>
    <t>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</t>
  </si>
  <si>
    <t>GEOGCS["Slovenia 1996",DATUM["Slovenia_Geodetic_Datum_1996",SPHEROID["GRS 1980",6378137,298.257222101,AUTHORITY["EPSG","7019"]],TOWGS84[0,0,0,0,0,0,0],AUTHORITY["EPSG","6765"]],PRIMEM["Greenwich",0,AUTHORITY["EPSG","8901"]],UNIT["degree",0.0174532925199433,AUTHORITY["EPSG","9122"]],AUTHORITY["EPSG","4765"]]</t>
  </si>
  <si>
    <t>GEOGCS["Bern 1898 (Bern)",DATUM["CH1903_Bern",SPHEROID["Bessel 1841",6377397.155,299.1528128,AUTHORITY["EPSG","7004"]],TOWGS84[674.374,15.056,405.346,0,0,0,0],AUTHORITY["EPSG","6801"]],PRIMEM["Bern",7.439583333333333,AUTHORITY["EPSG","8907"]],UNIT["degree",0.0174532925199433,AUTHORITY["EPSG","9122"]],AUTHORITY["EPSG","4801"]]</t>
  </si>
  <si>
    <t xml:space="preserve">+proj=longlat +ellps=bessel +towgs84=674.374,15.056,405.346,0,0,0,0 +pm=bern +no_defs </t>
  </si>
  <si>
    <t>GEOGCS["Bogota 1975 (Bogota)",DATUM["Bogota_1975_Bogota",SPHEROID["International 1924",6378388,297,AUTHORITY["EPSG","7022"]],TOWGS84[307,304,-318,0,0,0,0],AUTHORITY["EPSG","6802"]],PRIMEM["Bogota",-74.08091666666667,AUTHORITY["EPSG","8904"]],UNIT["degree",0.0174532925199433,AUTHORITY["EPSG","9122"]],AUTHORITY["EPSG","4802"]]</t>
  </si>
  <si>
    <t xml:space="preserve">+proj=longlat +ellps=intl +towgs84=307,304,-318,0,0,0,0 +pm=bogota +no_defs </t>
  </si>
  <si>
    <t>GEOGCS["Lisbon (Lisbon)",DATUM["Lisbon_1937_Lisbon",SPHEROID["International 1924",6378388,297,AUTHORITY["EPSG","7022"]],TOWGS84[-304.046,-60.576,103.64,0,0,0,0],AUTHORITY["EPSG","6803"]],PRIMEM["Lisbon",-9.131906111111112,AUTHORITY["EPSG","8902"]],UNIT["degree",0.0174532925199433,AUTHORITY["EPSG","9122"]],AUTHORITY["EPSG","4803"]]</t>
  </si>
  <si>
    <t xml:space="preserve">+proj=longlat +ellps=intl +towgs84=-304.046,-60.576,103.64,0,0,0,0 +pm=lisbon +no_defs </t>
  </si>
  <si>
    <t>GEOGCS["Makassar (Jakarta)",DATUM["Makassar_Jakarta",SPHEROID["Bessel 1841",6377397.155,299.1528128,AUTHORITY["EPSG","7004"]],TOWGS84[-587.8,519.75,145.76,0,0,0,0],AUTHORITY["EPSG","6804"]],PRIMEM["Jakarta",106.8077194444444,AUTHORITY["EPSG","8908"]],UNIT["degree",0.0174532925199433,AUTHORITY["EPSG","9122"]],AUTHORITY["EPSG","4804"]]</t>
  </si>
  <si>
    <t xml:space="preserve">+proj=longlat +ellps=bessel +towgs84=-587.8,519.75,145.76,0,0,0,0 +pm=jakarta +no_defs </t>
  </si>
  <si>
    <t>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</t>
  </si>
  <si>
    <t xml:space="preserve">+proj=longlat +ellps=bessel +towgs84=682,-203,480,0,0,0,0 +pm=ferro +no_defs </t>
  </si>
  <si>
    <t>GEOGCS["Monte Mario (Rome)",DATUM["Monte_Mario_Rome",SPHEROID["International 1924",6378388,297,AUTHORITY["EPSG","7022"]],TOWGS84[-104.1,-49.1,-9.9,0.971,-2.917,0.714,-11.68],AUTHORITY["EPSG","6806"]],PRIMEM["Rome",12.45233333333333,AUTHORITY["EPSG","8906"]],UNIT["degree",0.0174532925199433,AUTHORITY["EPSG","9122"]],AUTHORITY["EPSG","4806"]]</t>
  </si>
  <si>
    <t xml:space="preserve">+proj=longlat +ellps=intl +towgs84=-104.1,-49.1,-9.9,0.971,-2.917,0.714,-11.68 +pm=rome +no_defs </t>
  </si>
  <si>
    <t>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</t>
  </si>
  <si>
    <t xml:space="preserve">+proj=longlat +a=6378249.2 +b=6356515 +towgs84=-168,-60,320,0,0,0,0 +pm=paris +no_defs </t>
  </si>
  <si>
    <t>GEOGCS["Padang (Jakarta)",DATUM["Padang_1884_Jakarta",SPHEROID["Bessel 1841",6377397.155,299.1528128,AUTHORITY["EPSG","7004"]],AUTHORITY["EPSG","6808"]],PRIMEM["Jakarta",106.8077194444444,AUTHORITY["EPSG","8908"]],UNIT["degree",0.0174532925199433,AUTHORITY["EPSG","9122"]],AUTHORITY["EPSG","4808"]]</t>
  </si>
  <si>
    <t>GEOGCS["Belge 1950 (Brussels)",DATUM["Reseau_National_Belge_1950_Brussels",SPHEROID["International 1924",6378388,297,AUTHORITY["EPSG","7022"]],AUTHORITY["EPSG","6809"]],PRIMEM["Brussels",4.367975,AUTHORITY["EPSG","8910"]],UNIT["degree",0.0174532925199433,AUTHORITY["EPSG","9122"]],AUTHORITY["EPSG","4809"]]</t>
  </si>
  <si>
    <t>GEOGCS["Tananarive (Paris)",DATUM["Tananarive_1925_Paris",SPHEROID["International 1924",6378388,297,AUTHORITY["EPSG","7022"]],TOWGS84[-189,-242,-91,0,0,0,0],AUTHORITY["EPSG","6810"]],PRIMEM["Paris",2.33722917,AUTHORITY["EPSG","8903"]],UNIT["grad",0.01570796326794897,AUTHORITY["EPSG","9105"]],AUTHORITY["EPSG","4810"]]</t>
  </si>
  <si>
    <t xml:space="preserve">+proj=longlat +ellps=intl +towgs84=-189,-242,-91,0,0,0,0 +pm=paris +no_defs </t>
  </si>
  <si>
    <t>GEOGCS["Voirol 1875 (Paris)",DATUM["Voirol_1875_Paris",SPHEROID["Clarke 1880 (IGN)",6378249.2,293.4660212936269,AUTHORITY["EPSG","7011"]],TOWGS84[-73,-247,227,0,0,0,0],AUTHORITY["EPSG","6811"]],PRIMEM["Paris",2.33722917,AUTHORITY["EPSG","8903"]],UNIT["grad",0.01570796326794897,AUTHORITY["EPSG","9105"]],AUTHORITY["EPSG","4811"]]</t>
  </si>
  <si>
    <t xml:space="preserve">+proj=longlat +a=6378249.2 +b=6356515 +towgs84=-73,-247,227,0,0,0,0 +pm=paris +no_defs </t>
  </si>
  <si>
    <t>GEOGCS["Batavia (Jakarta)",DATUM["Batavia_Jakarta",SPHEROID["Bessel 1841",6377397.155,299.1528128,AUTHORITY["EPSG","7004"]],TOWGS84[-377,681,-50,0,0,0,0],AUTHORITY["EPSG","6813"]],PRIMEM["Jakarta",106.8077194444444,AUTHORITY["EPSG","8908"]],UNIT["degree",0.0174532925199433,AUTHORITY["EPSG","9122"]],AUTHORITY["EPSG","4813"]]</t>
  </si>
  <si>
    <t xml:space="preserve">+proj=longlat +ellps=bessel +towgs84=-377,681,-50,0,0,0,0 +pm=jakarta +no_defs </t>
  </si>
  <si>
    <t>GEOGCS["RT38 (Stockholm)",DATUM["Stockholm_1938_Stockholm",SPHEROID["Bessel 1841",6377397.155,299.1528128,AUTHORITY["EPSG","7004"]],AUTHORITY["EPSG","6814"]],PRIMEM["Stockholm",18.05827777777778,AUTHORITY["EPSG","8911"]],UNIT["degree",0.0174532925199433,AUTHORITY["EPSG","9122"]],AUTHORITY["EPSG","4814"]]</t>
  </si>
  <si>
    <t>GEOGCS["Greek (Athens)",DATUM["Greek_Athens",SPHEROID["Bessel 1841",6377397.155,299.1528128,AUTHORITY["EPSG","7004"]],AUTHORITY["EPSG","6815"]],PRIMEM["Athens",23.7163375,AUTHORITY["EPSG","8912"]],UNIT["degree",0.0174532925199433,AUTHORITY["EPSG","9122"]],AUTHORITY["EPSG","4815"]]</t>
  </si>
  <si>
    <t>GEOGCS["Carthage (Paris)",DATUM["Carthage_Paris",SPHEROID["Clarke 1880 (IGN)",6378249.2,293.4660212936269,AUTHORITY["EPSG","7011"]],TOWGS84[-263,6,431,0,0,0,0],AUTHORITY["EPSG","6816"]],PRIMEM["Paris",2.33722917,AUTHORITY["EPSG","8903"]],UNIT["grad",0.01570796326794897,AUTHORITY["EPSG","9105"]],AUTHORITY["EPSG","4816"]]</t>
  </si>
  <si>
    <t xml:space="preserve">+proj=longlat +a=6378249.2 +b=6356515 +towgs84=-263,6,431,0,0,0,0 +pm=paris +no_defs </t>
  </si>
  <si>
    <t>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</t>
  </si>
  <si>
    <t xml:space="preserve">+proj=longlat +a=6377492.018 +b=6356173.508712696 +towgs84=278.3,93,474.5,7.889,0.05,-6.61,6.21 +pm=oslo +no_defs </t>
  </si>
  <si>
    <t>GEOGCS["S-JTSK (Ferro)",DATUM["System_Jednotne_Trigonometricke_Site_Katastralni_Ferro",SPHEROID["Bessel 1841",6377397.155,299.1528128,AUTHORITY["EPSG","7004"]],TOWGS84[589,76,480,0,0,0,0],AUTHORITY["EPSG","6818"]],PRIMEM["Ferro",-17.66666666666667,AUTHORITY["EPSG","8909"]],UNIT["degree",0.0174532925199433,AUTHORITY["EPSG","9122"]],AUTHORITY["EPSG","4818"]]</t>
  </si>
  <si>
    <t xml:space="preserve">+proj=longlat +ellps=bessel +towgs84=589,76,480,0,0,0,0 +pm=ferro +no_defs </t>
  </si>
  <si>
    <t>GEOGCS["RGFG95 (lon-lat)",DATUM["Reseau_Geodesique_Francais_Guyane_1995",SPHEROID["GRS 1980",6378137,298.257222101,AUTHORITY["EPSG","7019"]],AUTHORITY["EPSG","6624"]],PRIMEM["Greenwich",0,AUTHORITY["EPSG","8901"]],UNIT["degree",0.0174532925199433,AUTHORITY["EPSG","9122"]],AUTHORITY["EPSG","7041"]]</t>
  </si>
  <si>
    <t>GEOGCS["Nord Sahara 1959 (Paris)",DATUM["Nord_Sahara_1959_Paris",SPHEROID["Clarke 1880 (RGS)",6378249.145,293.465,AUTHORITY["EPSG","7012"]],TOWGS84[-209.3622,-87.8162,404.6198,0.0046,3.4784,0.5805,-1.4547],AUTHORITY["EPSG","6819"]],PRIMEM["Paris",2.33722917,AUTHORITY["EPSG","8903"]],UNIT["grad",0.01570796326794897,AUTHORITY["EPSG","9105"]],AUTHORITY["EPSG","4819"]]</t>
  </si>
  <si>
    <t xml:space="preserve">+proj=longlat +ellps=clrk80 +towgs84=-209.3622,-87.8162,404.6198,0.0046,3.4784,0.5805,-1.4547 +pm=paris +no_defs </t>
  </si>
  <si>
    <t>GEOGCS["Segara (Jakarta)",DATUM["Gunung_Segara_Jakarta",SPHEROID["Bessel 1841",6377397.155,299.1528128,AUTHORITY["EPSG","7004"]],TOWGS84[-403,684,41,0,0,0,0],AUTHORITY["EPSG","6820"]],PRIMEM["Jakarta",106.8077194444444,AUTHORITY["EPSG","8908"]],UNIT["degree",0.0174532925199433,AUTHORITY["EPSG","9122"]],AUTHORITY["EPSG","4820"]]</t>
  </si>
  <si>
    <t xml:space="preserve">+proj=longlat +ellps=bessel +towgs84=-403,684,41,0,0,0,0 +pm=jakarta +no_defs </t>
  </si>
  <si>
    <t>GEOGCS["Voirol 1879 (Paris)",DATUM["Voirol_1879_Paris",SPHEROID["Clarke 1880 (IGN)",6378249.2,293.4660212936269,AUTHORITY["EPSG","7011"]],AUTHORITY["EPSG","6821"]],PRIMEM["Paris",2.33722917,AUTHORITY["EPSG","8903"]],UNIT["grad",0.01570796326794897,AUTHORITY["EPSG","9105"]],AUTHORITY["EPSG","4821"]]</t>
  </si>
  <si>
    <t>GEOGCS["Sao Tome",DATUM["Sao_Tome",SPHEROID["International 1924",6378388,297,AUTHORITY["EPSG","7022"]],AUTHORITY["EPSG","1044"]],PRIMEM["Greenwich",0,AUTHORITY["EPSG","8901"]],UNIT["degree",0.0174532925199433,AUTHORITY["EPSG","9122"]],AUTHORITY["EPSG","4823"]]</t>
  </si>
  <si>
    <t>GEOGCS["Principe",DATUM["Principe",SPHEROID["International 1924",6378388,297,AUTHORITY["EPSG","7022"]],AUTHORITY["EPSG","1046"]],PRIMEM["Greenwich",0,AUTHORITY["EPSG","8901"]],UNIT["degree",0.0174532925199433,AUTHORITY["EPSG","9122"]],AUTHORITY["EPSG","4824"]]</t>
  </si>
  <si>
    <t>GEOGCS["ATF (Paris)",DATUM["Ancienne_Triangulation_Francaise_Paris",SPHEROID["Plessis 1817",6376523,308.64,AUTHORITY["EPSG","7027"]],AUTHORITY["EPSG","6901"]],PRIMEM["Paris RGS",2.337208333333333,AUTHORITY["EPSG","8914"]],UNIT["grad",0.01570796326794897,AUTHORITY["EPSG","9105"]],AUTHORITY["EPSG","4901"]]</t>
  </si>
  <si>
    <t>GEOGCS["NDG (Paris)",DATUM["Nord_de_Guerre_Paris",SPHEROID["Plessis 1817",6376523,308.64,AUTHORITY["EPSG","7027"]],AUTHORITY["EPSG","6902"]],PRIMEM["Paris",2.33722917,AUTHORITY["EPSG","8903"]],UNIT["grad",0.01570796326794897,AUTHORITY["EPSG","9105"]],AUTHORITY["EPSG","4902"]]</t>
  </si>
  <si>
    <t>GEOGCS["Madrid 1870 (Madrid)",DATUM["Madrid_1870_Madrid",SPHEROID["Struve 1860",6378298.3,294.73,AUTHORITY["EPSG","7028"]],AUTHORITY["EPSG","6903"]],PRIMEM["Madrid",-3.687938888888889,AUTHORITY["EPSG","8905"]],UNIT["degree",0.0174532925199433,AUTHORITY["EPSG","9122"]],AUTHORITY["EPSG","4903"]]</t>
  </si>
  <si>
    <t>GEOGCS["Lisbon 1890 (Lisbon)",DATUM["Lisbon_1890_Lisbon",SPHEROID["Bessel 1841",6377397.155,299.1528128,AUTHORITY["EPSG","7004"]],TOWGS84[508.088,-191.042,565.223,0,0,0,0],AUTHORITY["EPSG","6904"]],PRIMEM["Lisbon",-9.131906111111112,AUTHORITY["EPSG","8902"]],UNIT["degree",0.0174532925199433,AUTHORITY["EPSG","9122"]],AUTHORITY["EPSG","4904"]]</t>
  </si>
  <si>
    <t xml:space="preserve">+proj=longlat +ellps=bessel +towgs84=508.088,-191.042,565.223,0,0,0,0 +pm=lisbon +no_defs </t>
  </si>
  <si>
    <t>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</t>
  </si>
  <si>
    <t>GEOGCS["Tokyo 1892",DATUM["Tokyo_1892",SPHEROID["Bessel 1841",6377397.155,299.1528128,AUTHORITY["EPSG","7004"]],AUTHORITY["EPSG","1048"]],PRIMEM["Greenwich",0,AUTHORITY["EPSG","8901"]],UNIT["degree",0.0174532925199433,AUTHORITY["EPSG","9122"]],AUTHORITY["EPSG","5132"]]</t>
  </si>
  <si>
    <t>GEOGCS["S-JTSK/05",DATUM["System_Jednotne_Trigonometricke_Site_Katastralni_05",SPHEROID["Bessel 1841",6377397.155,299.1528128,AUTHORITY["EPSG","7004"]],TOWGS84[572.213,85.334,461.94,4.9732,1.529,5.2484,3.5378],AUTHORITY["EPSG","1052"]],PRIMEM["Greenwich",0,AUTHORITY["EPSG","8901"]],UNIT["degree",0.0174532925199433,AUTHORITY["EPSG","9122"]],AUTHORITY["EPSG","5228"]]</t>
  </si>
  <si>
    <t xml:space="preserve">+proj=longlat +ellps=bessel +towgs84=572.213,85.334,461.94,4.9732,1.529,5.2484,3.5378 +no_defs </t>
  </si>
  <si>
    <t>GEOGCS["S-JTSK/05 (Ferro)",DATUM["System_Jednotne_Trigonometricke_Site_Katastralni_05_Ferro",SPHEROID["Bessel 1841",6377397.155,299.1528128,AUTHORITY["EPSG","7004"]],TOWGS84[572.213,85.334,461.94,4.9732,1.529,5.2484,3.5378],AUTHORITY["EPSG","1055"]],PRIMEM["Ferro",-17.66666666666667,AUTHORITY["EPSG","8909"]],UNIT["degree",0.0174532925199433,AUTHORITY["EPSG","9122"]],AUTHORITY["EPSG","5229"]]</t>
  </si>
  <si>
    <t xml:space="preserve">+proj=longlat +ellps=bessel +towgs84=572.213,85.334,461.94,4.9732,1.529,5.2484,3.5378 +pm=ferro +no_defs </t>
  </si>
  <si>
    <t>GEOGCS["SLD99",DATUM["Sri_Lanka_Datum_1999",SPHEROID["Everest 1830 (1937 Adjustment)",6377276.345,300.8017,AUTHORITY["EPSG","7015"]],TOWGS84[-0.293,766.95,87.713,0.195704,1.695068,3.473016,-0.039338],AUTHORITY["EPSG","1053"]],PRIMEM["Greenwich",0,AUTHORITY["EPSG","8901"]],UNIT["degree",0.0174532925199433,AUTHORITY["EPSG","9122"]],AUTHORITY["EPSG","5233"]]</t>
  </si>
  <si>
    <t xml:space="preserve">+proj=longlat +a=6377276.345 +b=6356075.41314024 +towgs84=-0.293,766.95,87.713,0.195704,1.695068,3.473016,-0.039338 +no_defs </t>
  </si>
  <si>
    <t>GEOGCS["GDBD2009",DATUM["Geocentric_Datum_Brunei_Darussalam_2009",SPHEROID["GRS 1980",6378137,298.257222101,AUTHORITY["EPSG","7019"]],TOWGS84[0,0,0,0,0,0,0],AUTHORITY["EPSG","1056"]],PRIMEM["Greenwich",0,AUTHORITY["EPSG","8901"]],UNIT["degree",0.0174532925199433,AUTHORITY["EPSG","9122"]],AUTHORITY["EPSG","5246"]]</t>
  </si>
  <si>
    <t>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</t>
  </si>
  <si>
    <t>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</t>
  </si>
  <si>
    <t>GEOGCS["ISN2004",DATUM["Islands_Net_2004",SPHEROID["GRS 1980",6378137,298.257222101,AUTHORITY["EPSG","7019"]],TOWGS84[0,0,0,0,0,0,0],AUTHORITY["EPSG","1060"]],PRIMEM["Greenwich",0,AUTHORITY["EPSG","8901"]],UNIT["degree",0.0174532925199433,AUTHORITY["EPSG","9122"]],AUTHORITY["EPSG","5324"]]</t>
  </si>
  <si>
    <t>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</t>
  </si>
  <si>
    <t>GEOGCS["MARGEN",DATUM["Marco_Geodesico_Nacional_de_Bolivia",SPHEROID["GRS 1980",6378137,298.257222101,AUTHORITY["EPSG","7019"]],TOWGS84[0,0,0,0,0,0,0],AUTHORITY["EPSG","1063"]],PRIMEM["Greenwich",0,AUTHORITY["EPSG","8901"]],UNIT["degree",0.0174532925199433,AUTHORITY["EPSG","9122"]],AUTHORITY["EPSG","5354"]]</t>
  </si>
  <si>
    <t>GEOGCS["SIRGAS-Chile",DATUM["SIRGAS_Chile",SPHEROID["GRS 1980",6378137,298.257222101,AUTHORITY["EPSG","7019"]],TOWGS84[0,0,0,0,0,0,0],AUTHORITY["EPSG","1064"]],PRIMEM["Greenwich",0,AUTHORITY["EPSG","8901"]],UNIT["degree",0.0174532925199433,AUTHORITY["EPSG","9122"]],AUTHORITY["EPSG","5360"]]</t>
  </si>
  <si>
    <t>GEOGCS["CR05",DATUM["Costa_Rica_2005",SPHEROID["WGS 84",6378137,298.257223563,AUTHORITY["EPSG","7030"]],TOWGS84[0,0,0,0,0,0,0],AUTHORITY["EPSG","1065"]],PRIMEM["Greenwich",0,AUTHORITY["EPSG","8901"]],UNIT["degree",0.0174532925199433,AUTHORITY["EPSG","9122"]],AUTHORITY["EPSG","5365"]]</t>
  </si>
  <si>
    <t>GEOGCS["MACARIO SOLIS",DATUM["Sistema_Geodesico_Nacional_de_Panama_MACARIO_SOLIS",SPHEROID["GRS 1980",6378137,298.257222101,AUTHORITY["EPSG","7019"]],TOWGS84[0,0,0,0,0,0,0],AUTHORITY["EPSG","1066"]],PRIMEM["Greenwich",0,AUTHORITY["EPSG","8901"]],UNIT["degree",0.0174532925199433,AUTHORITY["EPSG","9122"]],AUTHORITY["EPSG","5371"]]</t>
  </si>
  <si>
    <t>GEOGCS["Peru96",DATUM["Peru96",SPHEROID["GRS 1980",6378137,298.257222101,AUTHORITY["EPSG","7019"]],TOWGS84[0,0,0,0,0,0,0],AUTHORITY["EPSG","1067"]],PRIMEM["Greenwich",0,AUTHORITY["EPSG","8901"]],UNIT["degree",0.0174532925199433,AUTHORITY["EPSG","9122"]],AUTHORITY["EPSG","5373"]]</t>
  </si>
  <si>
    <t>GEOGCS["SIRGAS-ROU98",DATUM["SIRGAS_ROU98",SPHEROID["WGS 84",6378137,298.257223563,AUTHORITY["EPSG","7030"]],TOWGS84[0,0,0,0,0,0,0],AUTHORITY["EPSG","1068"]],PRIMEM["Greenwich",0,AUTHORITY["EPSG","8901"]],UNIT["degree",0.0174532925199433,AUTHORITY["EPSG","9122"]],AUTHORITY["EPSG","5381"]]</t>
  </si>
  <si>
    <t>GEOGCS["SIRGAS_ES2007.8",DATUM["SIRGAS_ES2007_8",SPHEROID["GRS 1980",6378137,298.257222101,AUTHORITY["EPSG","7019"]],TOWGS84[0,0,0,0,0,0,0],AUTHORITY["EPSG","1069"]],PRIMEM["Greenwich",0,AUTHORITY["EPSG","8901"]],UNIT["degree",0.0174532925199433,AUTHORITY["EPSG","9122"]],AUTHORITY["EPSG","5393"]]</t>
  </si>
  <si>
    <t>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</t>
  </si>
  <si>
    <t xml:space="preserve">+proj=longlat +ellps=clrk66 +towgs84=205,96,-98,0,0,0,0 +no_defs </t>
  </si>
  <si>
    <t>GEOGCS["Sibun Gorge 1922",DATUM["Sibun_Gorge_1922",SPHEROID["Clarke 1858",6378293.645208759,294.2606763692606,AUTHORITY["EPSG","7007"]],AUTHORITY["EPSG","1071"]],PRIMEM["Greenwich",0,AUTHORITY["EPSG","8901"]],UNIT["degree",0.0174532925199433,AUTHORITY["EPSG","9122"]],AUTHORITY["EPSG","5464"]]</t>
  </si>
  <si>
    <t>GEOGCS["Panama-Colon 1911",DATUM["Panama_Colon_1911",SPHEROID["Clarke 1866",6378206.4,294.9786982138982,AUTHORITY["EPSG","7008"]],AUTHORITY["EPSG","1072"]],PRIMEM["Greenwich",0,AUTHORITY["EPSG","8901"]],UNIT["degree",0.0174532925199433,AUTHORITY["EPSG","9122"]],AUTHORITY["EPSG","5467"]]</t>
  </si>
  <si>
    <t>GEOGCS["RGAF09",DATUM["Reseau_Geodesique_des_Antilles_Francaises_2009",SPHEROID["GRS 1980",6378137,298.257222101,AUTHORITY["EPSG","7019"]],TOWGS84[0,0,0,0,0,0,0],AUTHORITY["EPSG","1073"]],PRIMEM["Greenwich",0,AUTHORITY["EPSG","8901"]],UNIT["degree",0.0174532925199433,AUTHORITY["EPSG","9122"]],AUTHORITY["EPSG","5489"]]</t>
  </si>
  <si>
    <t>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</t>
  </si>
  <si>
    <t>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</t>
  </si>
  <si>
    <t xml:space="preserve">+proj=longlat +ellps=aust_SA +towgs84=-67.35,3.88,-38.22,0,0,0,0 +no_defs </t>
  </si>
  <si>
    <t>GEOGCS["PNG94",DATUM["Papua_New_Guinea_Geodetic_Datum_1994",SPHEROID["GRS 1980",6378137,298.257222101,AUTHORITY["EPSG","7019"]],TOWGS84[0,0,0,0,0,0,0],AUTHORITY["EPSG","1076"]],PRIMEM["Greenwich",0,AUTHORITY["EPSG","8901"]],UNIT["degree",0.0174532925199433,AUTHORITY["EPSG","9122"]],AUTHORITY["EPSG","5546"]]</t>
  </si>
  <si>
    <t>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</t>
  </si>
  <si>
    <t xml:space="preserve">+proj=longlat +ellps=krass +towgs84=25,-141,-78.5,0,0.35,0.736,0 +no_defs </t>
  </si>
  <si>
    <t>GEOGCS["FEH2010",DATUM["Fehmarnbelt_Datum_2010",SPHEROID["GRS 1980",6378137,298.257222101,AUTHORITY["EPSG","7019"]],TOWGS84[0,0,0,0,0,0,0],AUTHORITY["EPSG","1078"]],PRIMEM["Greenwich",0,AUTHORITY["EPSG","8901"]],UNIT["degree",0.0174532925199433,AUTHORITY["EPSG","9122"]],AUTHORITY["EPSG","5593"]]</t>
  </si>
  <si>
    <t>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</t>
  </si>
  <si>
    <t>GEOGCS["TGD2005",DATUM["Tonga_Geodetic_Datum_2005",SPHEROID["GRS 1980",6378137,298.257222101,AUTHORITY["EPSG","7019"]],AUTHORITY["EPSG","1095"]],PRIMEM["Greenwich",0,AUTHORITY["EPSG","8901"]],UNIT["degree",0.0174532925199433,AUTHORITY["EPSG","9122"]],AUTHORITY["EPSG","5886"]]</t>
  </si>
  <si>
    <t>GEOGCS["CIGD11",DATUM["Cayman_Islands_Geodetic_Datum_2011",SPHEROID["GRS 1980",6378137,298.257222101,AUTHORITY["EPSG","7019"]],TOWGS84[0,0,0,0,0,0,0],AUTHORITY["EPSG","1100"]],PRIMEM["Greenwich",0,AUTHORITY["EPSG","8901"]],UNIT["degree",0.0174532925199433,AUTHORITY["EPSG","9122"]],AUTHORITY["EPSG","6135"]]</t>
  </si>
  <si>
    <t>GEOGCS["Nepal 1981",DATUM["Nepal_1981",SPHEROID["Everest 1830 (1937 Adjustment)",6377276.345,300.8017,AUTHORITY["EPSG","7015"]],TOWGS84[293.17,726.18,245.36,0,0,0,0],AUTHORITY["EPSG","1111"]],PRIMEM["Greenwich",0,AUTHORITY["EPSG","8901"]],UNIT["degree",0.0174532925199433,AUTHORITY["EPSG","9122"]],AUTHORITY["EPSG","6207"]]</t>
  </si>
  <si>
    <t xml:space="preserve">+proj=longlat +a=6377276.345 +b=6356075.41314024 +towgs84=293.17,726.18,245.36,0,0,0,0 +no_defs </t>
  </si>
  <si>
    <t>GEOGCS["CGRS93",DATUM["Cyprus_Geodetic_Reference_System_1993",SPHEROID["WGS 84",6378137,298.257223563,AUTHORITY["EPSG","7030"]],TOWGS84[8.846,-4.394,-1.122,-0.00237,-0.146528,0.130428,0.783926],AUTHORITY["EPSG","1112"]],PRIMEM["Greenwich",0,AUTHORITY["EPSG","8901"]],UNIT["degree",0.0174532925199433,AUTHORITY["EPSG","9122"]],AUTHORITY["EPSG","6311"]]</t>
  </si>
  <si>
    <t xml:space="preserve">+proj=longlat +ellps=WGS84 +towgs84=8.846,-4.394,-1.122,-0.00237,-0.146528,0.130428,0.783926 +no_defs </t>
  </si>
  <si>
    <t>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</t>
  </si>
  <si>
    <t>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</t>
  </si>
  <si>
    <t>GEOGCS["NAD83(MA11)",DATUM["NAD83_National_Spatial_Reference_System_MA11",SPHEROID["GRS 1980",6378137,298.257222101,AUTHORITY["EPSG","7019"]],AUTHORITY["EPSG","1118"]],PRIMEM["Greenwich",0,AUTHORITY["EPSG","8901"]],UNIT["degree",0.0174532925199433,AUTHORITY["EPSG","9122"]],AUTHORITY["EPSG","6325"]]</t>
  </si>
  <si>
    <t>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</t>
  </si>
  <si>
    <t>GEOGCS["JGD2011",DATUM["Japanese_Geodetic_Datum_2011",SPHEROID["GRS 1980",6378137,298.257222101,AUTHORITY["EPSG","7019"]],AUTHORITY["EPSG","1128"]],PRIMEM["Greenwich",0,AUTHORITY["EPSG","8901"]],UNIT["degree",0.0174532925199433,AUTHORITY["EPSG","9122"]],AUTHORITY["EPSG","6668"]]</t>
  </si>
  <si>
    <t>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</t>
  </si>
  <si>
    <t>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</t>
  </si>
  <si>
    <t>GEOGCS["Aden 1925",DATUM["Aden_1925",SPHEROID["Clarke 1880 (RGS)",6378249.145,293.465,AUTHORITY["EPSG","7012"]],TOWGS84[-24,-203,268,0,0,0,0],AUTHORITY["EPSG","1135"]],PRIMEM["Greenwich",0,AUTHORITY["EPSG","8901"]],UNIT["degree",0.0174532925199433,AUTHORITY["EPSG","9122"]],AUTHORITY["EPSG","6881"]]</t>
  </si>
  <si>
    <t xml:space="preserve">+proj=longlat +ellps=clrk80 +towgs84=-24,-203,268,0,0,0,0 +no_defs </t>
  </si>
  <si>
    <t>GEOGCS["Bekaa Valley 1920",DATUM["Bekaa_Valley_1920",SPHEROID["Clarke 1880 (RGS)",6378249.145,293.465,AUTHORITY["EPSG","7012"]],TOWGS84[-183,-15,273,0,0,0,0],AUTHORITY["EPSG","1137"]],PRIMEM["Greenwich",0,AUTHORITY["EPSG","8901"]],UNIT["degree",0.0174532925199433,AUTHORITY["EPSG","9122"]],AUTHORITY["EPSG","6882"]]</t>
  </si>
  <si>
    <t xml:space="preserve">+proj=longlat +ellps=clrk80 +towgs84=-183,-15,273,0,0,0,0 +no_defs </t>
  </si>
  <si>
    <t>GEOGCS["Bioko",DATUM["Bioko",SPHEROID["International 1924",6378388,297,AUTHORITY["EPSG","7022"]],TOWGS84[-235,-110,393,0,0,0,0],AUTHORITY["EPSG","1136"]],PRIMEM["Greenwich",0,AUTHORITY["EPSG","8901"]],UNIT["degree",0.0174532925199433,AUTHORITY["EPSG","9122"]],AUTHORITY["EPSG","6883"]]</t>
  </si>
  <si>
    <t xml:space="preserve">+proj=longlat +ellps=intl +towgs84=-235,-110,393,0,0,0,0 +no_defs </t>
  </si>
  <si>
    <t>GEOGCS["South East Island 1943",DATUM["South_East_Island_1943",SPHEROID["Clarke 1880 (RGS)",6378249.145,293.465,AUTHORITY["EPSG","7012"]],TOWGS84[-43.685,-179.785,-267.721,0,0,0,0],AUTHORITY["EPSG","1138"]],PRIMEM["Greenwich",0,AUTHORITY["EPSG","8901"]],UNIT["degree",0.0174532925199433,AUTHORITY["EPSG","9122"]],AUTHORITY["EPSG","6892"]]</t>
  </si>
  <si>
    <t xml:space="preserve">+proj=longlat +ellps=clrk80 +towgs84=-43.685,-179.785,-267.721,0,0,0,0 +no_defs </t>
  </si>
  <si>
    <t>GEOGCS["Gambia",DATUM["Gambia",SPHEROID["Clarke 1880 (RGS)",6378249.145,293.465,AUTHORITY["EPSG","7012"]],TOWGS84[-63,176,185,0,0,0,0],AUTHORITY["EPSG","1139"]],PRIMEM["Greenwich",0,AUTHORITY["EPSG","8901"]],UNIT["degree",0.0174532925199433,AUTHORITY["EPSG","9122"]],AUTHORITY["EPSG","6894"]]</t>
  </si>
  <si>
    <t xml:space="preserve">+proj=longlat +ellps=clrk80 +towgs84=-63,176,185,0,0,0,0 +no_defs </t>
  </si>
  <si>
    <t>GEOGCS["IGD05",DATUM["Israeli_Geodetic_Datum_2005",SPHEROID["GRS 1980",6378137,298.257222101,AUTHORITY["EPSG","7019"]],AUTHORITY["EPSG","1143"]],PRIMEM["Greenwich",0,AUTHORITY["EPSG","8901"]],UNIT["degree",0.0174532925199433,AUTHORITY["EPSG","9122"]],AUTHORITY["EPSG","6980"]]</t>
  </si>
  <si>
    <t>GEOGCS["IG05 Intermediate CRS",DATUM["IG05_Intermediate_Datum",SPHEROID["GRS 1980",6378137,298.257222101,AUTHORITY["EPSG","7019"]],AUTHORITY["EPSG","1142"]],PRIMEM["Greenwich",0,AUTHORITY["EPSG","8901"]],UNIT["degree",0.0174532925199433,AUTHORITY["EPSG","9122"]],AUTHORITY["EPSG","6983"]]</t>
  </si>
  <si>
    <t>GEOGCS["IGD05/12",DATUM["Israeli_Geodetic_Datum_2005_2012",SPHEROID["GRS 1980",6378137,298.257222101,AUTHORITY["EPSG","7019"]],AUTHORITY["EPSG","1145"]],PRIMEM["Greenwich",0,AUTHORITY["EPSG","8901"]],UNIT["degree",0.0174532925199433,AUTHORITY["EPSG","9122"]],AUTHORITY["EPSG","6987"]]</t>
  </si>
  <si>
    <t>GEOGCS["IG05/12 Intermediate CRS",DATUM["IG05_12_Intermediate_Datum",SPHEROID["GRS 1980",6378137,298.257222101,AUTHORITY["EPSG","7019"]],AUTHORITY["EPSG","1144"]],PRIMEM["Greenwich",0,AUTHORITY["EPSG","8901"]],UNIT["degree",0.0174532925199433,AUTHORITY["EPSG","9122"]],AUTHORITY["EPSG","6990"]]</t>
  </si>
  <si>
    <t>GEOGCS["RGSPM06 (lon-lat)",DATUM["Reseau_Geodesique_de_Saint_Pierre_et_Miquelon_2006",SPHEROID["GRS 1980",6378137,298.257222101,AUTHORITY["EPSG","7019"]],AUTHORITY["EPSG","1038"]],PRIMEM["Greenwich",0,AUTHORITY["EPSG","8901"]],UNIT["degree",0.0174532925199433,AUTHORITY["EPSG","9122"]],AUTHORITY["EPSG","7035"]]</t>
  </si>
  <si>
    <t>GEOGCS["RGR92 (lon-lat)",DATUM["Reseau_Geodesique_de_la_Reunion_1992",SPHEROID["GRS 1980",6378137,298.257222101,AUTHORITY["EPSG","7019"]],AUTHORITY["EPSG","6627"]],PRIMEM["Greenwich",0,AUTHORITY["EPSG","8901"]],UNIT["degree",0.0174532925199433,AUTHORITY["EPSG","9122"]],AUTHORITY["EPSG","7037"]]</t>
  </si>
  <si>
    <t>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</t>
  </si>
  <si>
    <t>GEOGCS["RGF93 (lon-lat)",DATUM["Reseau_Geodesique_Francais_1993",SPHEROID["GRS 1980",6378137,298.257222101,AUTHORITY["EPSG","7019"]],AUTHORITY["EPSG","6171"]],PRIMEM["Greenwich",0,AUTHORITY["EPSG","8901"]],UNIT["degree",0.0174532925199433,AUTHORITY["EPSG","9122"]],AUTHORITY["EPSG","7084"]]</t>
  </si>
  <si>
    <t>GEOGCS["RGAF09 (lon-lat)",DATUM["Reseau_Geodesique_des_Antilles_Francaises_2009",SPHEROID["GRS 1980",6378137,298.257222101,AUTHORITY["EPSG","7019"]],AUTHORITY["EPSG","1073"]],PRIMEM["Greenwich",0,AUTHORITY["EPSG","8901"]],UNIT["degree",0.0174532925199433,AUTHORITY["EPSG","9122"]],AUTHORITY["EPSG","7086"]]</t>
  </si>
  <si>
    <t>GEOGCS["RGTAAF07 (lon-lat)",DATUM["Reseau_Geodesique_des_Terres_Australes_et_Antarctiques_Francaises_2007",SPHEROID["GRS 1980",6378137,298.257222101,AUTHORITY["EPSG","7019"]],AUTHORITY["EPSG","1113"]],PRIMEM["Greenwich",0,AUTHORITY["EPSG","8901"]],UNIT["degree",0.0174532925199433,AUTHORITY["EPSG","9122"]],AUTHORITY["EPSG","7088"]]</t>
  </si>
  <si>
    <t>GEOGCS["RGTAAF07 (lon-lat)",DATUM["Reseau_Geodesique_des_Terres_Australes_et_Antarctiques_Francaises_2007",SPHEROID["GRS 1980",6378137,298.257222101,AUTHORITY["EPSG","7019"]],AUTHORITY["EPSG","1113"]],PRIMEM["Greenwich",0,AUTHORITY["EPSG","8901"]],UNIT["degree",0.0174532925199433,AUTHORITY["EPSG","9122"]],AUTHORITY["EPSG","7133"]]</t>
  </si>
  <si>
    <t>GEOGCS["IGD05",DATUM["Israeli_Geodetic_Datum_2005",SPHEROID["WGS 84",6378137,298.257223563,AUTHORITY["EPSG","7030"]],AUTHORITY["EPSG","1114"]],PRIMEM["Greenwich",0,AUTHORITY["EPSG","8901"]],UNIT["degree",0.0174532925199433,AUTHORITY["EPSG","9122"]],AUTHORITY["EPSG","7136"]]</t>
  </si>
  <si>
    <t>GEOGCS["IGD05/12",DATUM["Israeli_Geodetic_Datum_2005_2012",SPHEROID["WGS 84",6378137,298.257223563,AUTHORITY["EPSG","7030"]],AUTHORITY["EPSG","1115"]],PRIMEM["Greenwich",0,AUTHORITY["EPSG","8901"]],UNIT["degree",0.0174532925199433,AUTHORITY["EPSG","9122"]],AUTHORITY["EPSG","7139"]]</t>
  </si>
  <si>
    <t>GEOGCS["ONGD14",DATUM["Oman_National_Geodetic_Datum_2014",SPHEROID["GRS 1980",6378137,298.257222101,AUTHORITY["EPSG","7019"]],TOWGS84[0,0,0,0,0,0,0],AUTHORITY["EPSG","1147"]],PRIMEM["Greenwich",0,AUTHORITY["EPSG","8901"]],UNIT["degree",0.0174532925199433,AUTHORITY["EPSG","9122"]],AUTHORITY["EPSG","7373"]]</t>
  </si>
  <si>
    <t>GEOGCS["GSK-2011",DATUM["Geodezicheskaya_Sistema_Koordinat_2011",SPHEROID["GSK-2011",6378136.5,298.2564151,AUTHORITY["EPSG","1025"]],AUTHORITY["EPSG","1159"]],PRIMEM["Greenwich",0,AUTHORITY["EPSG","8901"]],UNIT["degree",0.0174532925199433,AUTHORITY["EPSG","9122"]],AUTHORITY["EPSG","7683"]]</t>
  </si>
  <si>
    <t>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</t>
  </si>
  <si>
    <t>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</t>
  </si>
  <si>
    <t>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</t>
  </si>
  <si>
    <t>GEOGCS["St. Helena Tritan",DATUM["St_Helena_Tritan",SPHEROID["WGS 84",6378137,298.257223563,AUTHORITY["EPSG","7030"]],TOWGS84[-0.077,0.079,0.086,0,0,0,0],AUTHORITY["EPSG","1173"]],PRIMEM["Greenwich",0,AUTHORITY["EPSG","8901"]],UNIT["degree",0.0174532925199433,AUTHORITY["EPSG","9122"]],AUTHORITY["EPSG","7881"]]</t>
  </si>
  <si>
    <t xml:space="preserve">+proj=longlat +ellps=WGS84 +towgs84=-0.077,0.079,0.086,0,0,0,0 +no_defs </t>
  </si>
  <si>
    <t>GEOGCS["SHGD2015",DATUM["St_Helena_Geodetic_Datum_2015",SPHEROID["GRS 1980",6378137,298.257222101,AUTHORITY["EPSG","7019"]],TOWGS84[0,0,0,0,0,0,0],AUTHORITY["EPSG","1174"]],PRIMEM["Greenwich",0,AUTHORITY["EPSG","8901"]],UNIT["degree",0.0174532925199433,AUTHORITY["EPSG","9122"]],AUTHORITY["EPSG","7886"]]</t>
  </si>
  <si>
    <t>GEOGCS["Gusterberg (Ferro)",DATUM["Gusterberg_Ferro",SPHEROID["Zach 1812",6376045,310,AUTHORITY["EPSG","1026"]],AUTHORITY["EPSG","1188"]],PRIMEM["Ferro",-17.66666666666667,AUTHORITY["EPSG","8909"]],UNIT["degree",0.0174532925199433,AUTHORITY["EPSG","9122"]],AUTHORITY["EPSG","8042"]]</t>
  </si>
  <si>
    <t>GEOGCS["St. Stephen (Ferro)",DATUM["St_Stephen_Ferro",SPHEROID["Zach 1812",6376045,310,AUTHORITY["EPSG","1026"]],AUTHORITY["EPSG","1189"]],PRIMEM["Ferro",-17.66666666666667,AUTHORITY["EPSG","8909"]],UNIT["degree",0.0174532925199433,AUTHORITY["EPSG","9122"]],AUTHORITY["EPSG","8043"]]</t>
  </si>
  <si>
    <t>GEOGCS["ISN2016",DATUM["Islands_Net_2016",SPHEROID["GRS 1980",6378137,298.257222101,AUTHORITY["EPSG","7019"]],AUTHORITY["EPSG","1187"]],PRIMEM["Greenwich",0,AUTHORITY["EPSG","8901"]],UNIT["degree",0.0174532925199433,AUTHORITY["EPSG","9122"]],AUTHORITY["EPSG","8086"]]</t>
  </si>
  <si>
    <t>GEOGCS["NAD83(CSRS96)",DATUM["North_American_Datum_of_1983_CSRS96",SPHEROID["GRS 1980",6378137,298.257222101,AUTHORITY["EPSG","7019"]],AUTHORITY["EPSG","1192"]],PRIMEM["Greenwich",0,AUTHORITY["EPSG","8901"]],UNIT["degree",0.0174532925199433,AUTHORITY["EPSG","9122"]],AUTHORITY["EPSG","8232"]]</t>
  </si>
  <si>
    <t>GEOGCS["NAD83(CSRS)v2",DATUM["North_American_Datum_of_1983_CSRS_version_2",SPHEROID["GRS 1980",6378137,298.257222101,AUTHORITY["EPSG","7019"]],AUTHORITY["EPSG","1193"]],PRIMEM["Greenwich",0,AUTHORITY["EPSG","8901"]],UNIT["degree",0.0174532925199433,AUTHORITY["EPSG","9122"]],AUTHORITY["EPSG","8237"]]</t>
  </si>
  <si>
    <t>GEOGCS["NAD83(CSRS)v3",DATUM["North_American_Datum_of_1983_CSRS_version_3",SPHEROID["GRS 1980",6378137,298.257222101,AUTHORITY["EPSG","7019"]],AUTHORITY["EPSG","1194"]],PRIMEM["Greenwich",0,AUTHORITY["EPSG","8901"]],UNIT["degree",0.0174532925199433,AUTHORITY["EPSG","9122"]],AUTHORITY["EPSG","8240"]]</t>
  </si>
  <si>
    <t>GEOGCS["NAD83(CSRS)v5",DATUM["North_American_Datum_of_1983_CSRS_version_5",SPHEROID["GRS 1980",6378137,298.257222101,AUTHORITY["EPSG","7019"]],AUTHORITY["EPSG","1196"]],PRIMEM["Greenwich",0,AUTHORITY["EPSG","8901"]],UNIT["degree",0.0174532925199433,AUTHORITY["EPSG","9122"]],AUTHORITY["EPSG","8249"]]</t>
  </si>
  <si>
    <t>GEOGCS["NAD83(CSRS)v6",DATUM["North_American_Datum_of_1983_CSRS_version_6",SPHEROID["GRS 1980",6378137,298.257222101,AUTHORITY["EPSG","7019"]],AUTHORITY["EPSG","1197"]],PRIMEM["Greenwich",0,AUTHORITY["EPSG","8901"]],UNIT["degree",0.0174532925199433,AUTHORITY["EPSG","9122"]],AUTHORITY["EPSG","8252"]]</t>
  </si>
  <si>
    <t>GEOGCS["NAD83(CSRS)v7",DATUM["North_American_Datum_of_1983_CSRS_version_7",SPHEROID["GRS 1980",6378137,298.257222101,AUTHORITY["EPSG","7019"]],AUTHORITY["EPSG","1198"]],PRIMEM["Greenwich",0,AUTHORITY["EPSG","8901"]],UNIT["degree",0.0174532925199433,AUTHORITY["EPSG","9122"]],AUTHORITY["EPSG","8255"]]</t>
  </si>
  <si>
    <t>PROJCS["Anguilla 1957 / British West Indies Grid",GEOGCS["Anguilla 1957",DATUM["Anguilla_1957",SPHEROID["Clarke 1880 (RGS)",6378249.145,293.465,AUTHORITY["EPSG","7012"]],AUTHORITY["EPSG","6600"]],PRIMEM["Greenwich",0,AUTHORITY["EPSG","8901"]],UNIT["degree",0.0174532925199433,AUTHORITY["EPSG","9122"]],AUTHORITY["EPSG","4600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2000"]]</t>
  </si>
  <si>
    <t>PROJCS["Antigua 1943 / British West Indies Grid",GEOGCS["Antigua 1943",DATUM["Antigua_1943",SPHEROID["Clarke 1880 (RGS)",6378249.145,293.465,AUTHORITY["EPSG","7012"]],TOWGS84[-255,-15,71,0,0,0,0],AUTHORITY["EPSG","6601"]],PRIMEM["Greenwich",0,AUTHORITY["EPSG","8901"]],UNIT["degree",0.0174532925199433,AUTHORITY["EPSG","9122"]],AUTHORITY["EPSG","4601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2001"]]</t>
  </si>
  <si>
    <t xml:space="preserve">+proj=tmerc +lat_0=0 +lon_0=-62 +k=0.9995000000000001 +x_0=400000 +y_0=0 +ellps=clrk80 +towgs84=-255,-15,71,0,0,0,0 +units=m +no_defs </t>
  </si>
  <si>
    <t>PROJCS["Dominica 1945 / British West Indies Grid",GEOGCS["Dominica 1945",DATUM["Dominica_1945",SPHEROID["Clarke 1880 (RGS)",6378249.145,293.465,AUTHORITY["EPSG","7012"]],TOWGS84[725,685,536,0,0,0,0],AUTHORITY["EPSG","6602"]],PRIMEM["Greenwich",0,AUTHORITY["EPSG","8901"]],UNIT["degree",0.0174532925199433,AUTHORITY["EPSG","9122"]],AUTHORITY["EPSG","4602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2002"]]</t>
  </si>
  <si>
    <t xml:space="preserve">+proj=tmerc +lat_0=0 +lon_0=-62 +k=0.9995000000000001 +x_0=400000 +y_0=0 +ellps=clrk80 +towgs84=725,685,536,0,0,0,0 +units=m +no_defs </t>
  </si>
  <si>
    <t>PROJCS["Grenada 1953 / British West Indies Grid",GEOGCS["Grenada 1953",DATUM["Grenada_1953",SPHEROID["Clarke 1880 (RGS)",6378249.145,293.465,AUTHORITY["EPSG","7012"]],TOWGS84[72,213.7,93,0,0,0,0],AUTHORITY["EPSG","6603"]],PRIMEM["Greenwich",0,AUTHORITY["EPSG","8901"]],UNIT["degree",0.0174532925199433,AUTHORITY["EPSG","9122"]],AUTHORITY["EPSG","4603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2003"]]</t>
  </si>
  <si>
    <t xml:space="preserve">+proj=tmerc +lat_0=0 +lon_0=-62 +k=0.9995000000000001 +x_0=400000 +y_0=0 +ellps=clrk80 +towgs84=72,213.7,93,0,0,0,0 +units=m +no_defs </t>
  </si>
  <si>
    <t>PROJCS["Montserrat 1958 / British West Indies Grid",GEOGCS["Montserrat 1958",DATUM["Montserrat_1958",SPHEROID["Clarke 1880 (RGS)",6378249.145,293.465,AUTHORITY["EPSG","7012"]],TOWGS84[174,359,365,0,0,0,0],AUTHORITY["EPSG","6604"]],PRIMEM["Greenwich",0,AUTHORITY["EPSG","8901"]],UNIT["degree",0.0174532925199433,AUTHORITY["EPSG","9122"]],AUTHORITY["EPSG","4604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2004"]]</t>
  </si>
  <si>
    <t xml:space="preserve">+proj=tmerc +lat_0=0 +lon_0=-62 +k=0.9995000000000001 +x_0=400000 +y_0=0 +ellps=clrk80 +towgs84=174,359,365,0,0,0,0 +units=m +no_defs </t>
  </si>
  <si>
    <t>PROJCS["St. Kitts 1955 / British West Indies Grid",GEOGCS["St. Kitts 1955",DATUM["St_Kitts_1955",SPHEROID["Clarke 1880 (RGS)",6378249.145,293.465,AUTHORITY["EPSG","7012"]],TOWGS84[9,183,236,0,0,0,0],AUTHORITY["EPSG","6605"]],PRIMEM["Greenwich",0,AUTHORITY["EPSG","8901"]],UNIT["degree",0.0174532925199433,AUTHORITY["EPSG","9122"]],AUTHORITY["EPSG","4605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2005"]]</t>
  </si>
  <si>
    <t xml:space="preserve">+proj=tmerc +lat_0=0 +lon_0=-62 +k=0.9995000000000001 +x_0=400000 +y_0=0 +ellps=clrk80 +towgs84=9,183,236,0,0,0,0 +units=m +no_defs </t>
  </si>
  <si>
    <t>PROJCS["St. Lucia 1955 / British West Indies Grid",GEOGCS["St. Lucia 1955",DATUM["St_Lucia_1955",SPHEROID["Clarke 1880 (RGS)",6378249.145,293.465,AUTHORITY["EPSG","7012"]],TOWGS84[-149,128,296,0,0,0,0],AUTHORITY["EPSG","6606"]],PRIMEM["Greenwich",0,AUTHORITY["EPSG","8901"]],UNIT["degree",0.0174532925199433,AUTHORITY["EPSG","9122"]],AUTHORITY["EPSG","4606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2006"]]</t>
  </si>
  <si>
    <t xml:space="preserve">+proj=tmerc +lat_0=0 +lon_0=-62 +k=0.9995000000000001 +x_0=400000 +y_0=0 +ellps=clrk80 +towgs84=-149,128,296,0,0,0,0 +units=m +no_defs </t>
  </si>
  <si>
    <t>PROJCS["St. Vincent 45 / British West Indies Grid",GEOGCS["St. Vincent 1945",DATUM["St_Vincent_1945",SPHEROID["Clarke 1880 (RGS)",6378249.145,293.465,AUTHORITY["EPSG","7012"]],TOWGS84[195.671,332.517,274.607,0,0,0,0],AUTHORITY["EPSG","6607"]],PRIMEM["Greenwich",0,AUTHORITY["EPSG","8901"]],UNIT["degree",0.0174532925199433,AUTHORITY["EPSG","9122"]],AUTHORITY["EPSG","4607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2007"]]</t>
  </si>
  <si>
    <t xml:space="preserve">+proj=tmerc +lat_0=0 +lon_0=-62 +k=0.9995000000000001 +x_0=400000 +y_0=0 +ellps=clrk80 +towgs84=195.671,332.517,274.607,0,0,0,0 +units=m +no_defs </t>
  </si>
  <si>
    <t>PROJCS["NAD27(CGQ77) / SCoPQ zone 2 (deprecated)",GEOGCS["NAD27(CGQ77)",DATUM["North_American_Datum_1927_CGQ77",SPHEROID["Clarke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-55.5],PARAMETER["scale_factor",0.9999],PARAMETER["false_easting",304800],PARAMETER["false_northing",0],UNIT["metre",1,AUTHORITY["EPSG","9001"]],AXIS["X",EAST],AXIS["Y",NORTH],AUTHORITY["EPSG","2008"]]</t>
  </si>
  <si>
    <t>PROJCS["NAD27(CGQ77) / SCoPQ zone 3",GEOGCS["NAD27(CGQ77)",DATUM["North_American_Datum_1927_CGQ77",SPHEROID["Clarke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-58.5],PARAMETER["scale_factor",0.9999],PARAMETER["false_easting",304800],PARAMETER["false_northing",0],UNIT["metre",1,AUTHORITY["EPSG","9001"]],AXIS["X",EAST],AXIS["Y",NORTH],AUTHORITY["EPSG","2009"]]</t>
  </si>
  <si>
    <t>PROJCS["NAD27(CGQ77) / SCoPQ zone 4",GEOGCS["NAD27(CGQ77)",DATUM["North_American_Datum_1927_CGQ77",SPHEROID["Clarke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-61.5],PARAMETER["scale_factor",0.9999],PARAMETER["false_easting",304800],PARAMETER["false_northing",0],UNIT["metre",1,AUTHORITY["EPSG","9001"]],AXIS["X",EAST],AXIS["Y",NORTH],AUTHORITY["EPSG","2010"]]</t>
  </si>
  <si>
    <t>PROJCS["NAD27(CGQ77) / SCoPQ zone 5",GEOGCS["NAD27(CGQ77)",DATUM["North_American_Datum_1927_CGQ77",SPHEROID["Clarke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-64.5],PARAMETER["scale_factor",0.9999],PARAMETER["false_easting",304800],PARAMETER["false_northing",0],UNIT["metre",1,AUTHORITY["EPSG","9001"]],AXIS["X",EAST],AXIS["Y",NORTH],AUTHORITY["EPSG","2011"]]</t>
  </si>
  <si>
    <t>PROJCS["NAD27(CGQ77) / SCoPQ zone 6",GEOGCS["NAD27(CGQ77)",DATUM["North_American_Datum_1927_CGQ77",SPHEROID["Clarke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-67.5],PARAMETER["scale_factor",0.9999],PARAMETER["false_easting",304800],PARAMETER["false_northing",0],UNIT["metre",1,AUTHORITY["EPSG","9001"]],AXIS["X",EAST],AXIS["Y",NORTH],AUTHORITY["EPSG","2012"]]</t>
  </si>
  <si>
    <t>PROJCS["NAD27(CGQ77) / SCoPQ zone 7",GEOGCS["NAD27(CGQ77)",DATUM["North_American_Datum_1927_CGQ77",SPHEROID["Clarke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-70.5],PARAMETER["scale_factor",0.9999],PARAMETER["false_easting",304800],PARAMETER["false_northing",0],UNIT["metre",1,AUTHORITY["EPSG","9001"]],AXIS["X",EAST],AXIS["Y",NORTH],AUTHORITY["EPSG","2013"]]</t>
  </si>
  <si>
    <t>PROJCS["NAD27(CGQ77) / SCoPQ zone 8",GEOGCS["NAD27(CGQ77)",DATUM["North_American_Datum_1927_CGQ77",SPHEROID["Clarke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-73.5],PARAMETER["scale_factor",0.9999],PARAMETER["false_easting",304800],PARAMETER["false_northing",0],UNIT["metre",1,AUTHORITY["EPSG","9001"]],AXIS["X",EAST],AXIS["Y",NORTH],AUTHORITY["EPSG","2014"]]</t>
  </si>
  <si>
    <t>PROJCS["NAD27(CGQ77) / SCoPQ zone 9",GEOGCS["NAD27(CGQ77)",DATUM["North_American_Datum_1927_CGQ77",SPHEROID["Clarke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-76.5],PARAMETER["scale_factor",0.9999],PARAMETER["false_easting",304800],PARAMETER["false_northing",0],UNIT["metre",1,AUTHORITY["EPSG","9001"]],AXIS["X",EAST],AXIS["Y",NORTH],AUTHORITY["EPSG","2015"]]</t>
  </si>
  <si>
    <t>PROJCS["NAD27(CGQ77) / SCoPQ zone 10",GEOGCS["NAD27(CGQ77)",DATUM["North_American_Datum_1927_CGQ77",SPHEROID["Clarke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-79.5],PARAMETER["scale_factor",0.9999],PARAMETER["false_easting",304800],PARAMETER["false_northing",0],UNIT["metre",1,AUTHORITY["EPSG","9001"]],AXIS["X",EAST],AXIS["Y",NORTH],AUTHORITY["EPSG","2016"]]</t>
  </si>
  <si>
    <t>PROJCS["NAD27(76) / MTM zone 8",GEOGCS["NAD27(76)",DATUM["North_American_Datum_1927_1976",SPHEROID["Clarke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-73.5],PARAMETER["scale_factor",0.9999],PARAMETER["false_easting",304800],PARAMETER["false_northing",0],UNIT["metre",1,AUTHORITY["EPSG","9001"]],AXIS["X",EAST],AXIS["Y",NORTH],AUTHORITY["EPSG","2017"]]</t>
  </si>
  <si>
    <t>PROJCS["NAD27(76) / MTM zone 9",GEOGCS["NAD27(76)",DATUM["North_American_Datum_1927_1976",SPHEROID["Clarke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-76.5],PARAMETER["scale_factor",0.9999],PARAMETER["false_easting",304800],PARAMETER["false_northing",0],UNIT["metre",1,AUTHORITY["EPSG","9001"]],AXIS["X",EAST],AXIS["Y",NORTH],AUTHORITY["EPSG","2018"]]</t>
  </si>
  <si>
    <t>PROJCS["NAD27(76) / MTM zone 10",GEOGCS["NAD27(76)",DATUM["North_American_Datum_1927_1976",SPHEROID["Clarke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-79.5],PARAMETER["scale_factor",0.9999],PARAMETER["false_easting",304800],PARAMETER["false_northing",0],UNIT["metre",1,AUTHORITY["EPSG","9001"]],AXIS["X",EAST],AXIS["Y",NORTH],AUTHORITY["EPSG","2019"]]</t>
  </si>
  <si>
    <t>PROJCS["NAD27(76) / MTM zone 11",GEOGCS["NAD27(76)",DATUM["North_American_Datum_1927_1976",SPHEROID["Clarke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-82.5],PARAMETER["scale_factor",0.9999],PARAMETER["false_easting",304800],PARAMETER["false_northing",0],UNIT["metre",1,AUTHORITY["EPSG","9001"]],AXIS["Easting",EAST],AXIS["Northing",NORTH],AUTHORITY["EPSG","2020"]]</t>
  </si>
  <si>
    <t>PROJCS["NAD27(76) / MTM zone 12",GEOGCS["NAD27(76)",DATUM["North_American_Datum_1927_1976",SPHEROID["Clarke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-81],PARAMETER["scale_factor",0.9999],PARAMETER["false_easting",304800],PARAMETER["false_northing",0],UNIT["metre",1,AUTHORITY["EPSG","9001"]],AXIS["Easting",EAST],AXIS["Northing",NORTH],AUTHORITY["EPSG","2021"]]</t>
  </si>
  <si>
    <t>PROJCS["NAD27(76) / MTM zone 13",GEOGCS["NAD27(76)",DATUM["North_American_Datum_1927_1976",SPHEROID["Clarke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-84],PARAMETER["scale_factor",0.9999],PARAMETER["false_easting",304800],PARAMETER["false_northing",0],UNIT["metre",1,AUTHORITY["EPSG","9001"]],AXIS["Easting",EAST],AXIS["Northing",NORTH],AUTHORITY["EPSG","2022"]]</t>
  </si>
  <si>
    <t>PROJCS["NAD27(76) / MTM zone 14",GEOGCS["NAD27(76)",DATUM["North_American_Datum_1927_1976",SPHEROID["Clarke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-87],PARAMETER["scale_factor",0.9999],PARAMETER["false_easting",304800],PARAMETER["false_northing",0],UNIT["metre",1,AUTHORITY["EPSG","9001"]],AXIS["Easting",EAST],AXIS["Northing",NORTH],AUTHORITY["EPSG","2023"]]</t>
  </si>
  <si>
    <t>PROJCS["NAD27(76) / MTM zone 15",GEOGCS["NAD27(76)",DATUM["North_American_Datum_1927_1976",SPHEROID["Clarke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-90],PARAMETER["scale_factor",0.9999],PARAMETER["false_easting",304800],PARAMETER["false_northing",0],UNIT["metre",1,AUTHORITY["EPSG","9001"]],AXIS["Easting",EAST],AXIS["Northing",NORTH],AUTHORITY["EPSG","2024"]]</t>
  </si>
  <si>
    <t>PROJCS["NAD27(76) / MTM zone 16",GEOGCS["NAD27(76)",DATUM["North_American_Datum_1927_1976",SPHEROID["Clarke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-93],PARAMETER["scale_factor",0.9999],PARAMETER["false_easting",304800],PARAMETER["false_northing",0],UNIT["metre",1,AUTHORITY["EPSG","9001"]],AXIS["Easting",EAST],AXIS["Northing",NORTH],AUTHORITY["EPSG","2025"]]</t>
  </si>
  <si>
    <t>PROJCS["NAD27(76) / MTM zone 17",GEOGCS["NAD27(76)",DATUM["North_American_Datum_1927_1976",SPHEROID["Clarke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-96],PARAMETER["scale_factor",0.9999],PARAMETER["false_easting",304800],PARAMETER["false_northing",0],UNIT["metre",1,AUTHORITY["EPSG","9001"]],AXIS["Easting",EAST],AXIS["Northing",NORTH],AUTHORITY["EPSG","2026"]]</t>
  </si>
  <si>
    <t>PROJCS["NAD27(76) / UTM zone 15N",GEOGCS["NAD27(76)",DATUM["North_American_Datum_1927_1976",SPHEROID["Clarke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2027"]]</t>
  </si>
  <si>
    <t>PROJCS["NAD27(76) / UTM zone 16N",GEOGCS["NAD27(76)",DATUM["North_American_Datum_1927_1976",SPHEROID["Clarke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2028"]]</t>
  </si>
  <si>
    <t>PROJCS["NAD27(76) / UTM zone 17N",GEOGCS["NAD27(76)",DATUM["North_American_Datum_1927_1976",SPHEROID["Clarke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2029"]]</t>
  </si>
  <si>
    <t>PROJCS["NAD27(76) / UTM zone 18N",GEOGCS["NAD27(76)",DATUM["North_American_Datum_1927_1976",SPHEROID["Clarke 1866",6378206.4,294.9786982138982,AUTHORITY["EPSG","7008"]],AUTHORITY["EPSG","6608"]],PRIMEM["Greenwich",0,AUTHORITY["EPSG","8901"]],UNIT["degree",0.0174532925199433,AUTHORITY["EPSG","9122"]],AUTHORITY["EPSG","4608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2030"]]</t>
  </si>
  <si>
    <t>PROJCS["NAD27(CGQ77) / UTM zone 17N",GEOGCS["NAD27(CGQ77)",DATUM["North_American_Datum_1927_CGQ77",SPHEROID["Clarke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2031"]]</t>
  </si>
  <si>
    <t>PROJCS["NAD27(CGQ77) / UTM zone 18N",GEOGCS["NAD27(CGQ77)",DATUM["North_American_Datum_1927_CGQ77",SPHEROID["Clarke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2032"]]</t>
  </si>
  <si>
    <t>PROJCS["NAD27(CGQ77) / UTM zone 19N",GEOGCS["NAD27(CGQ77)",DATUM["North_American_Datum_1927_CGQ77",SPHEROID["Clarke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2033"]]</t>
  </si>
  <si>
    <t>PROJCS["NAD27(CGQ77) / UTM zone 20N",GEOGCS["NAD27(CGQ77)",DATUM["North_American_Datum_1927_CGQ77",SPHEROID["Clarke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2034"]]</t>
  </si>
  <si>
    <t>PROJCS["NAD27(CGQ77) / UTM zone 21N",GEOGCS["NAD27(CGQ77)",DATUM["North_American_Datum_1927_CGQ77",SPHEROID["Clarke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2035"]]</t>
  </si>
  <si>
    <t>PROJCS["NAD83(CSRS98) / New Brunswick Stereo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Oblique_Stereographic"],PARAMETER["latitude_of_origin",46.5],PARAMETER["central_meridian",-66.5],PARAMETER["scale_factor",0.999912],PARAMETER["false_easting",2500000],PARAMETER["false_northing",7500000],UNIT["metre",1,AUTHORITY["EPSG","9001"]],AUTHORITY["EPSG","2036"]]</t>
  </si>
  <si>
    <t xml:space="preserve">+proj=sterea +lat_0=46.5 +lon_0=-66.5 +k=0.999912 +x_0=2500000 +y_0=7500000 +ellps=GRS80 +towgs84=0,0,0,0,0,0,0 +units=m +no_defs </t>
  </si>
  <si>
    <t>PROJCS["NAD83(CSRS98) / UTM zone 19N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2037"]]</t>
  </si>
  <si>
    <t xml:space="preserve">+proj=utm +zone=19 +ellps=GRS80 +towgs84=0,0,0,0,0,0,0 +units=m +no_defs </t>
  </si>
  <si>
    <t>GEOCCS["ITRF97 (geocentric)",DATUM["International_Terrestrial_Reference_Frame_1997",SPHEROID["GRS 1980",6378137,298.257222101,AUTHORITY["EPSG","7019"]],AUTHORITY["EPSG","6655"]],PRIMEM["Greenwich",0,AUTHORITY["EPSG","8901"]],UNIT["metre",1,AUTHORITY["EPSG","9001"]],AXIS["Geocentric X",OTHER],AXIS["Geocentric Y",OTHER],AXIS["Geocentric Z",NORTH],AUTHORITY["EPSG","4338"]]</t>
  </si>
  <si>
    <t>PROJCS["NAD83(CSRS98) / UTM zone 20N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2038"]]</t>
  </si>
  <si>
    <t xml:space="preserve">+proj=utm +zone=20 +ellps=GRS80 +towgs84=0,0,0,0,0,0,0 +units=m +no_defs </t>
  </si>
  <si>
    <t>PROJCS["Israel 1993 / Israeli TM Grid",GEOGCS["Israel 1993",DATUM["Israel_1993",SPHEROID["GRS 1980",6378137,298.257222101,AUTHORITY["EPSG","7019"]],TOWGS84[-48,55,52,0,0,0,0],AUTHORITY["EPSG","6141"]],PRIMEM["Greenwich",0,AUTHORITY["EPSG","8901"]],UNIT["degree",0.0174532925199433,AUTHORITY["EPSG","9122"]],AUTHORITY["EPSG","4141"]],PROJECTION["Transverse_Mercator"],PARAMETER["latitude_of_origin",31.73439361111111],PARAMETER["central_meridian",35.20451694444445],PARAMETER["scale_factor",1.0000067],PARAMETER["false_easting",219529.584],PARAMETER["false_northing",626907.39],UNIT["metre",1,AUTHORITY["EPSG","9001"]],AXIS["Easting",EAST],AXIS["Northing",NORTH],AUTHORITY["EPSG","2039"]]</t>
  </si>
  <si>
    <t xml:space="preserve">+proj=tmerc +lat_0=31.73439361111111 +lon_0=35.20451694444445 +k=1.0000067 +x_0=219529.584 +y_0=626907.39 +ellps=GRS80 +towgs84=-48,55,52,0,0,0,0 +units=m +no_defs </t>
  </si>
  <si>
    <t>PROJCS["Locodjo 1965 / UTM zone 30N",GEOGCS["Locodjo 1965",DATUM["Locodjo_1965",SPHEROID["Clarke 1880 (RGS)",6378249.145,293.465,AUTHORITY["EPSG","7012"]],TOWGS84[-125,53,467,0,0,0,0],AUTHORITY["EPSG","6142"]],PRIMEM["Greenwich",0,AUTHORITY["EPSG","8901"]],UNIT["degree",0.0174532925199433,AUTHORITY["EPSG","9122"]],AUTHORITY["EPSG","4142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2040"]]</t>
  </si>
  <si>
    <t xml:space="preserve">+proj=utm +zone=30 +ellps=clrk80 +towgs84=-125,53,467,0,0,0,0 +units=m +no_defs </t>
  </si>
  <si>
    <t>PROJCS["Abidjan 1987 / UTM zone 30N",GEOGCS["Abidjan 1987",DATUM["Abidjan_1987",SPHEROID["Clarke 1880 (RGS)",6378249.145,293.465,AUTHORITY["EPSG","7012"]],TOWGS84[-124.76,53,466.79,0,0,0,0],AUTHORITY["EPSG","6143"]],PRIMEM["Greenwich",0,AUTHORITY["EPSG","8901"]],UNIT["degree",0.0174532925199433,AUTHORITY["EPSG","9122"]],AUTHORITY["EPSG","4143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2041"]]</t>
  </si>
  <si>
    <t xml:space="preserve">+proj=utm +zone=30 +ellps=clrk80 +towgs84=-124.76,53,466.79,0,0,0,0 +units=m +no_defs </t>
  </si>
  <si>
    <t>PROJCS["Locodjo 1965 / UTM zone 29N",GEOGCS["Locodjo 1965",DATUM["Locodjo_1965",SPHEROID["Clarke 1880 (RGS)",6378249.145,293.465,AUTHORITY["EPSG","7012"]],TOWGS84[-125,53,467,0,0,0,0],AUTHORITY["EPSG","6142"]],PRIMEM["Greenwich",0,AUTHORITY["EPSG","8901"]],UNIT["degree",0.0174532925199433,AUTHORITY["EPSG","9122"]],AUTHORITY["EPSG","4142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2042"]]</t>
  </si>
  <si>
    <t xml:space="preserve">+proj=utm +zone=29 +ellps=clrk80 +towgs84=-125,53,467,0,0,0,0 +units=m +no_defs </t>
  </si>
  <si>
    <t>PROJCS["Abidjan 1987 / UTM zone 29N",GEOGCS["Abidjan 1987",DATUM["Abidjan_1987",SPHEROID["Clarke 1880 (RGS)",6378249.145,293.465,AUTHORITY["EPSG","7012"]],TOWGS84[-124.76,53,466.79,0,0,0,0],AUTHORITY["EPSG","6143"]],PRIMEM["Greenwich",0,AUTHORITY["EPSG","8901"]],UNIT["degree",0.0174532925199433,AUTHORITY["EPSG","9122"]],AUTHORITY["EPSG","4143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2043"]]</t>
  </si>
  <si>
    <t xml:space="preserve">+proj=utm +zone=29 +ellps=clrk80 +towgs84=-124.76,53,466.79,0,0,0,0 +units=m +no_defs </t>
  </si>
  <si>
    <t>PROJCS["Hanoi 1972 / Gauss-Kruger zone 18",GEOGCS["Hanoi 1972",DATUM["Hanoi_1972",SPHEROID["Krassowsky 1940",6378245,298.3,AUTHORITY["EPSG","7024"]],TOWGS84[-17.51,-108.32,-62.39,0,0,0,0],AUTHORITY["EPSG","6147"]],PRIMEM["Greenwich",0,AUTHORITY["EPSG","8901"]],UNIT["degree",0.0174532925199433,AUTHORITY["EPSG","9122"]],AUTHORITY["EPSG","4147"]],PROJECTION["Transverse_Mercator"],PARAMETER["latitude_of_origin",0],PARAMETER["central_meridian",105],PARAMETER["scale_factor",1],PARAMETER["false_easting",18500000],PARAMETER["false_northing",0],UNIT["metre",1,AUTHORITY["EPSG","9001"]],AUTHORITY["EPSG","2044"]]</t>
  </si>
  <si>
    <t xml:space="preserve">+proj=tmerc +lat_0=0 +lon_0=105 +k=1 +x_0=18500000 +y_0=0 +ellps=krass +towgs84=-17.51,-108.32,-62.39,0,0,0,0 +units=m +no_defs </t>
  </si>
  <si>
    <t>PROJCS["Hanoi 1972 / Gauss-Kruger zone 19",GEOGCS["Hanoi 1972",DATUM["Hanoi_1972",SPHEROID["Krassowsky 1940",6378245,298.3,AUTHORITY["EPSG","7024"]],TOWGS84[-17.51,-108.32,-62.39,0,0,0,0],AUTHORITY["EPSG","6147"]],PRIMEM["Greenwich",0,AUTHORITY["EPSG","8901"]],UNIT["degree",0.0174532925199433,AUTHORITY["EPSG","9122"]],AUTHORITY["EPSG","4147"]],PROJECTION["Transverse_Mercator"],PARAMETER["latitude_of_origin",0],PARAMETER["central_meridian",111],PARAMETER["scale_factor",1],PARAMETER["false_easting",19500000],PARAMETER["false_northing",0],UNIT["metre",1,AUTHORITY["EPSG","9001"]],AUTHORITY["EPSG","2045"]]</t>
  </si>
  <si>
    <t xml:space="preserve">+proj=tmerc +lat_0=0 +lon_0=111 +k=1 +x_0=19500000 +y_0=0 +ellps=krass +towgs84=-17.51,-108.32,-62.39,0,0,0,0 +units=m +no_defs </t>
  </si>
  <si>
    <t>PROJCS["Hartebeesthoek94 / Lo15",GEOGCS["Hartebeesthoek94",DATUM["Hartebeesthoek94",SPHEROID["WGS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15],PARAMETER["scale_factor",1],PARAMETER["false_easting",0],PARAMETER["false_northing",0],UNIT["metre",1,AUTHORITY["EPSG","9001"]],AXIS["Y",WEST],AXIS["X",SOUTH],AUTHORITY["EPSG","2046"]]</t>
  </si>
  <si>
    <t xml:space="preserve">+proj=tmerc +lat_0=0 +lon_0=15 +k=1 +x_0=0 +y_0=0 +axis=wsu +ellps=WGS84 +towgs84=0,0,0,0,0,0,0 +units=m +no_defs </t>
  </si>
  <si>
    <t>PROJCS["Hartebeesthoek94 / Lo17",GEOGCS["Hartebeesthoek94",DATUM["Hartebeesthoek94",SPHEROID["WGS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17],PARAMETER["scale_factor",1],PARAMETER["false_easting",0],PARAMETER["false_northing",0],UNIT["metre",1,AUTHORITY["EPSG","9001"]],AXIS["Y",WEST],AXIS["X",SOUTH],AUTHORITY["EPSG","2047"]]</t>
  </si>
  <si>
    <t xml:space="preserve">+proj=tmerc +lat_0=0 +lon_0=17 +k=1 +x_0=0 +y_0=0 +axis=wsu +ellps=WGS84 +towgs84=0,0,0,0,0,0,0 +units=m +no_defs </t>
  </si>
  <si>
    <t>PROJCS["Hartebeesthoek94 / Lo19",GEOGCS["Hartebeesthoek94",DATUM["Hartebeesthoek94",SPHEROID["WGS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19],PARAMETER["scale_factor",1],PARAMETER["false_easting",0],PARAMETER["false_northing",0],UNIT["metre",1,AUTHORITY["EPSG","9001"]],AXIS["Y",WEST],AXIS["X",SOUTH],AUTHORITY["EPSG","2048"]]</t>
  </si>
  <si>
    <t xml:space="preserve">+proj=tmerc +lat_0=0 +lon_0=19 +k=1 +x_0=0 +y_0=0 +axis=wsu +ellps=WGS84 +towgs84=0,0,0,0,0,0,0 +units=m +no_defs </t>
  </si>
  <si>
    <t>PROJCS["Hartebeesthoek94 / Lo21",GEOGCS["Hartebeesthoek94",DATUM["Hartebeesthoek94",SPHEROID["WGS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21],PARAMETER["scale_factor",1],PARAMETER["false_easting",0],PARAMETER["false_northing",0],UNIT["metre",1,AUTHORITY["EPSG","9001"]],AXIS["Y",WEST],AXIS["X",SOUTH],AUTHORITY["EPSG","2049"]]</t>
  </si>
  <si>
    <t xml:space="preserve">+proj=tmerc +lat_0=0 +lon_0=21 +k=1 +x_0=0 +y_0=0 +axis=wsu +ellps=WGS84 +towgs84=0,0,0,0,0,0,0 +units=m +no_defs </t>
  </si>
  <si>
    <t>PROJCS["Hartebeesthoek94 / Lo23",GEOGCS["Hartebeesthoek94",DATUM["Hartebeesthoek94",SPHEROID["WGS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23],PARAMETER["scale_factor",1],PARAMETER["false_easting",0],PARAMETER["false_northing",0],UNIT["metre",1,AUTHORITY["EPSG","9001"]],AXIS["Y",WEST],AXIS["X",SOUTH],AUTHORITY["EPSG","2050"]]</t>
  </si>
  <si>
    <t xml:space="preserve">+proj=tmerc +lat_0=0 +lon_0=23 +k=1 +x_0=0 +y_0=0 +axis=wsu +ellps=WGS84 +towgs84=0,0,0,0,0,0,0 +units=m +no_defs </t>
  </si>
  <si>
    <t>PROJCS["Hartebeesthoek94 / Lo25",GEOGCS["Hartebeesthoek94",DATUM["Hartebeesthoek94",SPHEROID["WGS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25],PARAMETER["scale_factor",1],PARAMETER["false_easting",0],PARAMETER["false_northing",0],UNIT["metre",1,AUTHORITY["EPSG","9001"]],AXIS["Y",WEST],AXIS["X",SOUTH],AUTHORITY["EPSG","2051"]]</t>
  </si>
  <si>
    <t xml:space="preserve">+proj=tmerc +lat_0=0 +lon_0=25 +k=1 +x_0=0 +y_0=0 +axis=wsu +ellps=WGS84 +towgs84=0,0,0,0,0,0,0 +units=m +no_defs </t>
  </si>
  <si>
    <t>PROJCS["Hartebeesthoek94 / Lo27",GEOGCS["Hartebeesthoek94",DATUM["Hartebeesthoek94",SPHEROID["WGS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27],PARAMETER["scale_factor",1],PARAMETER["false_easting",0],PARAMETER["false_northing",0],UNIT["metre",1,AUTHORITY["EPSG","9001"]],AXIS["Y",WEST],AXIS["X",SOUTH],AUTHORITY["EPSG","2052"]]</t>
  </si>
  <si>
    <t xml:space="preserve">+proj=tmerc +lat_0=0 +lon_0=27 +k=1 +x_0=0 +y_0=0 +axis=wsu +ellps=WGS84 +towgs84=0,0,0,0,0,0,0 +units=m +no_defs </t>
  </si>
  <si>
    <t>PROJCS["Hartebeesthoek94 / Lo29",GEOGCS["Hartebeesthoek94",DATUM["Hartebeesthoek94",SPHEROID["WGS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29],PARAMETER["scale_factor",1],PARAMETER["false_easting",0],PARAMETER["false_northing",0],UNIT["metre",1,AUTHORITY["EPSG","9001"]],AXIS["Y",WEST],AXIS["X",SOUTH],AUTHORITY["EPSG","2053"]]</t>
  </si>
  <si>
    <t xml:space="preserve">+proj=tmerc +lat_0=0 +lon_0=29 +k=1 +x_0=0 +y_0=0 +axis=wsu +ellps=WGS84 +towgs84=0,0,0,0,0,0,0 +units=m +no_defs </t>
  </si>
  <si>
    <t>PROJCS["Hartebeesthoek94 / Lo31",GEOGCS["Hartebeesthoek94",DATUM["Hartebeesthoek94",SPHEROID["WGS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31],PARAMETER["scale_factor",1],PARAMETER["false_easting",0],PARAMETER["false_northing",0],UNIT["metre",1,AUTHORITY["EPSG","9001"]],AXIS["Y",WEST],AXIS["X",SOUTH],AUTHORITY["EPSG","2054"]]</t>
  </si>
  <si>
    <t xml:space="preserve">+proj=tmerc +lat_0=0 +lon_0=31 +k=1 +x_0=0 +y_0=0 +axis=wsu +ellps=WGS84 +towgs84=0,0,0,0,0,0,0 +units=m +no_defs </t>
  </si>
  <si>
    <t>PROJCS["Hartebeesthoek94 / Lo33",GEOGCS["Hartebeesthoek94",DATUM["Hartebeesthoek94",SPHEROID["WGS 84",6378137,298.257223563,AUTHORITY["EPSG","7030"]],TOWGS84[0,0,0,0,0,0,0],AUTHORITY["EPSG","6148"]],PRIMEM["Greenwich",0,AUTHORITY["EPSG","8901"]],UNIT["degree",0.0174532925199433,AUTHORITY["EPSG","9122"]],AUTHORITY["EPSG","4148"]],PROJECTION["Transverse_Mercator_South_Orientated"],PARAMETER["latitude_of_origin",0],PARAMETER["central_meridian",33],PARAMETER["scale_factor",1],PARAMETER["false_easting",0],PARAMETER["false_northing",0],UNIT["metre",1,AUTHORITY["EPSG","9001"]],AXIS["Y",WEST],AXIS["X",SOUTH],AUTHORITY["EPSG","2055"]]</t>
  </si>
  <si>
    <t xml:space="preserve">+proj=tmerc +lat_0=0 +lon_0=33 +k=1 +x_0=0 +y_0=0 +axis=wsu +ellps=WGS84 +towgs84=0,0,0,0,0,0,0 +units=m +no_defs </t>
  </si>
  <si>
    <t>PROJCS["CH1903+ / LV95",GEOGCS["CH1903+",DATUM["CH1903+",SPHEROID["Bessel 1841",6377397.155,299.1528128,AUTHORITY["EPSG","7004"]],TOWGS84[674.374,15.056,405.346,0,0,0,0],AUTHORITY["EPSG","6150"]],PRIMEM["Greenwich",0,AUTHORITY["EPSG","8901"]],UNIT["degree",0.0174532925199433,AUTHORITY["EPSG","9122"]],AUTHORITY["EPSG","4150"]],PROJECTION["Hotine_Oblique_Mercator_Azimuth_Center"],PARAMETER["latitude_of_center",46.95240555555556],PARAMETER["longitude_of_center",7.439583333333333],PARAMETER["azimuth",90],PARAMETER["rectified_grid_angle",90],PARAMETER["scale_factor",1],PARAMETER["false_easting",2600000],PARAMETER["false_northing",1200000],UNIT["metre",1,AUTHORITY["EPSG","9001"]],AXIS["Easting",EAST],AXIS["Northing",NORTH],AUTHORITY["EPSG","2056"]]</t>
  </si>
  <si>
    <t xml:space="preserve">+proj=somerc +lat_0=46.95240555555556 +lon_0=7.439583333333333 +k_0=1 +x_0=2600000 +y_0=1200000 +ellps=bessel +towgs84=674.374,15.056,405.346,0,0,0,0 +units=m +no_defs </t>
  </si>
  <si>
    <t>PROJCS["NAD27 / Cuba Norte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22.35],PARAMETER["central_meridian",-81],PARAMETER["scale_factor",0.99993602],PARAMETER["false_easting",500000],PARAMETER["false_northing",280296.016],UNIT["metre",1,AUTHORITY["EPSG","9001"]],AUTHORITY["EPSG","2085"]]</t>
  </si>
  <si>
    <t>PROJCS["Rassadiran / Nakhl e Taqi",GEOGCS["Rassadiran",DATUM["Rassadiran",SPHEROID["International 1924",6378388,297,AUTHORITY["EPSG","7022"]],TOWGS84[-133.63,-157.5,-158.62,0,0,0,0],AUTHORITY["EPSG","6153"]],PRIMEM["Greenwich",0,AUTHORITY["EPSG","8901"]],UNIT["degree",0.0174532925199433,AUTHORITY["EPSG","9122"]],AUTHORITY["EPSG","4153"]],PROJECTION["Hotine_Oblique_Mercator_Azimuth_Center"],PARAMETER["latitude_of_center",27.51882880555555],PARAMETER["longitude_of_center",52.60353916666667],PARAMETER["azimuth",0.5716611944444444],PARAMETER["rectified_grid_angle",0.5716611944444444],PARAMETER["scale_factor",0.999895934],PARAMETER["false_easting",658377.437],PARAMETER["false_northing",3044969.194],UNIT["metre",1,AUTHORITY["EPSG","9001"]],AXIS["Easting",EAST],AXIS["Northing",NORTH],AUTHORITY["EPSG","2057"]]</t>
  </si>
  <si>
    <t xml:space="preserve">+proj=omerc +lat_0=27.51882880555555 +lonc=52.60353916666667 +alpha=0.5716611944444444 +k=0.999895934 +x_0=658377.437 +y_0=3044969.194 +gamma=0.5716611944444444 +ellps=intl +towgs84=-133.63,-157.5,-158.62,0,0,0,0 +units=m +no_defs </t>
  </si>
  <si>
    <t>PROJCS["ED50(ED77) / UTM zone 38N",GEOGCS["ED50(ED77)",DATUM["European_Datum_1950_1977",SPHEROID["International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2058"]]</t>
  </si>
  <si>
    <t xml:space="preserve">+proj=utm +zone=38 +ellps=intl +towgs84=-117,-132,-164,0,0,0,0 +units=m +no_defs </t>
  </si>
  <si>
    <t>PROJCS["ED50(ED77) / UTM zone 39N",GEOGCS["ED50(ED77)",DATUM["European_Datum_1950_1977",SPHEROID["International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2059"]]</t>
  </si>
  <si>
    <t xml:space="preserve">+proj=utm +zone=39 +ellps=intl +towgs84=-117,-132,-164,0,0,0,0 +units=m +no_defs </t>
  </si>
  <si>
    <t>PROJCS["ED50(ED77) / UTM zone 40N",GEOGCS["ED50(ED77)",DATUM["European_Datum_1950_1977",SPHEROID["International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2060"]]</t>
  </si>
  <si>
    <t xml:space="preserve">+proj=utm +zone=40 +ellps=intl +towgs84=-117,-132,-164,0,0,0,0 +units=m +no_defs </t>
  </si>
  <si>
    <t>PROJCS["ED50(ED77) / UTM zone 41N",GEOGCS["ED50(ED77)",DATUM["European_Datum_1950_1977",SPHEROID["International 1924",6378388,297,AUTHORITY["EPSG","7022"]],TOWGS84[-117,-132,-164,0,0,0,0],AUTHORITY["EPSG","6154"]],PRIMEM["Greenwich",0,AUTHORITY["EPSG","8901"]],UNIT["degree",0.0174532925199433,AUTHORITY["EPSG","9122"]],AUTHORITY["EPSG","4154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2061"]]</t>
  </si>
  <si>
    <t xml:space="preserve">+proj=utm +zone=41 +ellps=intl +towgs84=-117,-132,-164,0,0,0,0 +units=m +no_defs </t>
  </si>
  <si>
    <t>PROJCS["Madrid 1870 (Madrid) / Spain",GEOGCS["Madrid 1870 (Madrid)",DATUM["Madrid_1870_Madrid",SPHEROID["Struve 1860",6378298.3,294.73,AUTHORITY["EPSG","7028"]],AUTHORITY["EPSG","6903"]],PRIMEM["Madrid",-3.687938888888889,AUTHORITY["EPSG","8905"]],UNIT["degree",0.0174532925199433,AUTHORITY["EPSG","9122"]],AUTHORITY["EPSG","4903"]],PROJECTION["Lambert_Conformal_Conic_1SP"],PARAMETER["latitude_of_origin",40],PARAMETER["central_meridian",0],PARAMETER["scale_factor",0.9988085293],PARAMETER["false_easting",600000],PARAMETER["false_northing",600000],UNIT["metre",1,AUTHORITY["EPSG","9001"]],AXIS["X",EAST],AXIS["Y",NORTH],AUTHORITY["EPSG","2062"]]</t>
  </si>
  <si>
    <t>PROJCS["Dabola 1981 / UTM zone 28N (deprecated)",GEOGCS["Conakry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2063"]]</t>
  </si>
  <si>
    <t xml:space="preserve">+proj=utm +zone=28 +a=6378249.2 +b=6356515 +towgs84=-23,259,-9,0,0,0,0 +units=m +no_defs </t>
  </si>
  <si>
    <t>PROJCS["Dabola 1981 / UTM zone 29N (deprecated)",GEOGCS["Conakry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2064"]]</t>
  </si>
  <si>
    <t xml:space="preserve">+proj=utm +zone=29 +a=6378249.2 +b=6356515 +towgs84=-23,259,-9,0,0,0,0 +units=m +no_defs </t>
  </si>
  <si>
    <t>PROJCS["S-JTSK (Ferro) / Krovak",GEOGCS["S-JTSK (Ferro)",DATUM["System_Jednotne_Trigonometricke_Site_Katastralni_Ferro",SPHEROID["Bessel 1841",6377397.155,299.1528128,AUTHORITY["EPSG","7004"]],TOWGS84[570.8,85.7,462.8,4.998,1.587,5.261,3.56],AUTHORITY["EPSG","6818"]],PRIMEM["Ferro",-17.66666666666667,AUTHORITY["EPSG","6818"]],UNIT["degree",0.0174532925199433,AUTHORITY["EPSG","9122"]],AUTHORITY["EPSG","4818"]],PROJECTION["Krovak"],PARAMETER["latitude_of_center",49.5],PARAMETER["longitude_of_center",42.5],PARAMETER["azimuth",30.28813972222222],PARAMETER["pseudo_standard_parallel_1",78.5],PARAMETER["scale_factor",0.9999],PARAMETER["false_easting",0],PARAMETER["false_northing",0],UNIT["metre",1,AUTHORITY["EPSG","9001"]],AXIS["X",SOUTH],AXIS["Y",WEST],AUTHORITY["EPSG","2065"]]</t>
  </si>
  <si>
    <t xml:space="preserve">+proj=krovak +lat_0=49.5 +lon_0=42.5 +alpha=30.28813972222222 +k=0.9999 +x_0=0 +y_0=0 +ellps=bessel +towgs84=570.8,85.7,462.8,4.998,1.587,5.261,3.56 +pm=ferro +units=m +no_defs </t>
  </si>
  <si>
    <t>PROJCS["Mount Dillon / Tobago Grid",GEOGCS["Mount Dillon",DATUM["Mount_Dillon",SPHEROID["Clarke 1858",6378293.645208759,294.2606763692606,AUTHORITY["EPSG","7007"]],AUTHORITY["EPSG","6157"]],PRIMEM["Greenwich",0,AUTHORITY["EPSG","8901"]],UNIT["degree",0.0174532925199433,AUTHORITY["EPSG","9122"]],AUTHORITY["EPSG","4157"]],PROJECTION["Cassini_Soldner"],PARAMETER["latitude_of_origin",11.25217861111111],PARAMETER["central_meridian",-60.68600888888889],PARAMETER["false_easting",187500],PARAMETER["false_northing",180000],UNIT["Clarke's link",0.201166195164,AUTHORITY["EPSG","9039"]],AXIS["Easting",EAST],AXIS["Northing",NORTH],AUTHORITY["EPSG","2066"]]</t>
  </si>
  <si>
    <t>PROJCS["Naparima 1955 / UTM zone 20N",GEOGCS["Naparima 1955",DATUM["Naparima_1955",SPHEROID["International 1924",6378388,297,AUTHORITY["EPSG","7022"]],TOWGS84[-0.465,372.095,171.736,0,0,0,0],AUTHORITY["EPSG","6158"]],PRIMEM["Greenwich",0,AUTHORITY["EPSG","8901"]],UNIT["degree",0.0174532925199433,AUTHORITY["EPSG","9122"]],AUTHORITY["EPSG","4158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2067"]]</t>
  </si>
  <si>
    <t xml:space="preserve">+proj=utm +zone=20 +ellps=intl +towgs84=-0.465,372.095,171.736,0,0,0,0 +units=m +no_defs </t>
  </si>
  <si>
    <t>PROJCS["ELD79 / Libya zone 5",GEOGCS["ELD79",DATUM["European_Libyan_Datum_1979",SPHEROID["International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9],PARAMETER["scale_factor",0.9999],PARAMETER["false_easting",200000],PARAMETER["false_northing",0],UNIT["metre",1,AUTHORITY["EPSG","9001"]],AXIS["X",EAST],AXIS["Y",NORTH],AUTHORITY["EPSG","2068"]]</t>
  </si>
  <si>
    <t xml:space="preserve">+proj=tmerc +lat_0=0 +lon_0=9 +k=0.9999 +x_0=200000 +y_0=0 +ellps=intl +towgs84=-115.8543,-99.0583,-152.4616,0,0,0,0 +units=m +no_defs </t>
  </si>
  <si>
    <t>PROJCS["ELD79 / Libya zone 6",GEOGCS["ELD79",DATUM["European_Libyan_Datum_1979",SPHEROID["International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11],PARAMETER["scale_factor",0.9999],PARAMETER["false_easting",200000],PARAMETER["false_northing",0],UNIT["metre",1,AUTHORITY["EPSG","9001"]],AXIS["X",EAST],AXIS["Y",NORTH],AUTHORITY["EPSG","2069"]]</t>
  </si>
  <si>
    <t xml:space="preserve">+proj=tmerc +lat_0=0 +lon_0=11 +k=0.9999 +x_0=200000 +y_0=0 +ellps=intl +towgs84=-115.8543,-99.0583,-152.4616,0,0,0,0 +units=m +no_defs </t>
  </si>
  <si>
    <t>PROJCS["ELD79 / Libya zone 7",GEOGCS["ELD79",DATUM["European_Libyan_Datum_1979",SPHEROID["International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13],PARAMETER["scale_factor",0.9999],PARAMETER["false_easting",200000],PARAMETER["false_northing",0],UNIT["metre",1,AUTHORITY["EPSG","9001"]],AXIS["X",EAST],AXIS["Y",NORTH],AUTHORITY["EPSG","2070"]]</t>
  </si>
  <si>
    <t xml:space="preserve">+proj=tmerc +lat_0=0 +lon_0=13 +k=0.9999 +x_0=200000 +y_0=0 +ellps=intl +towgs84=-115.8543,-99.0583,-152.4616,0,0,0,0 +units=m +no_defs </t>
  </si>
  <si>
    <t>PROJCS["ELD79 / Libya zone 8",GEOGCS["ELD79",DATUM["European_Libyan_Datum_1979",SPHEROID["International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15],PARAMETER["scale_factor",0.9999],PARAMETER["false_easting",200000],PARAMETER["false_northing",0],UNIT["metre",1,AUTHORITY["EPSG","9001"]],AXIS["X",EAST],AXIS["Y",NORTH],AUTHORITY["EPSG","2071"]]</t>
  </si>
  <si>
    <t xml:space="preserve">+proj=tmerc +lat_0=0 +lon_0=15 +k=0.9999 +x_0=200000 +y_0=0 +ellps=intl +towgs84=-115.8543,-99.0583,-152.4616,0,0,0,0 +units=m +no_defs </t>
  </si>
  <si>
    <t>PROJCS["ELD79 / Libya zone 9",GEOGCS["ELD79",DATUM["European_Libyan_Datum_1979",SPHEROID["International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17],PARAMETER["scale_factor",0.9999],PARAMETER["false_easting",200000],PARAMETER["false_northing",0],UNIT["metre",1,AUTHORITY["EPSG","9001"]],AXIS["X",EAST],AXIS["Y",NORTH],AUTHORITY["EPSG","2072"]]</t>
  </si>
  <si>
    <t xml:space="preserve">+proj=tmerc +lat_0=0 +lon_0=17 +k=0.9999 +x_0=200000 +y_0=0 +ellps=intl +towgs84=-115.8543,-99.0583,-152.4616,0,0,0,0 +units=m +no_defs </t>
  </si>
  <si>
    <t>PROJCS["ELD79 / Libya zone 10",GEOGCS["ELD79",DATUM["European_Libyan_Datum_1979",SPHEROID["International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19],PARAMETER["scale_factor",0.9999],PARAMETER["false_easting",200000],PARAMETER["false_northing",0],UNIT["metre",1,AUTHORITY["EPSG","9001"]],AXIS["X",EAST],AXIS["Y",NORTH],AUTHORITY["EPSG","2073"]]</t>
  </si>
  <si>
    <t xml:space="preserve">+proj=tmerc +lat_0=0 +lon_0=19 +k=0.9999 +x_0=200000 +y_0=0 +ellps=intl +towgs84=-115.8543,-99.0583,-152.4616,0,0,0,0 +units=m +no_defs </t>
  </si>
  <si>
    <t>PROJCS["ELD79 / Libya zone 11",GEOGCS["ELD79",DATUM["European_Libyan_Datum_1979",SPHEROID["International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21],PARAMETER["scale_factor",0.9999],PARAMETER["false_easting",200000],PARAMETER["false_northing",0],UNIT["metre",1,AUTHORITY["EPSG","9001"]],AXIS["X",EAST],AXIS["Y",NORTH],AUTHORITY["EPSG","2074"]]</t>
  </si>
  <si>
    <t xml:space="preserve">+proj=tmerc +lat_0=0 +lon_0=21 +k=0.9999 +x_0=200000 +y_0=0 +ellps=intl +towgs84=-115.8543,-99.0583,-152.4616,0,0,0,0 +units=m +no_defs </t>
  </si>
  <si>
    <t>GEOCCS["Australian Antarctic (geocentric)",DATUM["Australian_Antarctic_Datum_1998",SPHEROID["GRS 1980",6378137,298.257222101,AUTHORITY["EPSG","7019"]],AUTHORITY["EPSG","6176"]],PRIMEM["Greenwich",0,AUTHORITY["EPSG","8901"]],UNIT["metre",1,AUTHORITY["EPSG","9001"]],AXIS["Geocentric X",OTHER],AXIS["Geocentric Y",OTHER],AXIS["Geocentric Z",NORTH],AUTHORITY["EPSG","4340"]]</t>
  </si>
  <si>
    <t>PROJCS["ELD79 / Libya zone 12",GEOGCS["ELD79",DATUM["European_Libyan_Datum_1979",SPHEROID["International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23],PARAMETER["scale_factor",0.9999],PARAMETER["false_easting",200000],PARAMETER["false_northing",0],UNIT["metre",1,AUTHORITY["EPSG","9001"]],AXIS["X",EAST],AXIS["Y",NORTH],AUTHORITY["EPSG","2075"]]</t>
  </si>
  <si>
    <t xml:space="preserve">+proj=tmerc +lat_0=0 +lon_0=23 +k=0.9999 +x_0=200000 +y_0=0 +ellps=intl +towgs84=-115.8543,-99.0583,-152.4616,0,0,0,0 +units=m +no_defs </t>
  </si>
  <si>
    <t>PROJCS["ELD79 / Libya zone 13",GEOGCS["ELD79",DATUM["European_Libyan_Datum_1979",SPHEROID["International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25],PARAMETER["scale_factor",0.9999],PARAMETER["false_easting",200000],PARAMETER["false_northing",0],UNIT["metre",1,AUTHORITY["EPSG","9001"]],AXIS["X",EAST],AXIS["Y",NORTH],AUTHORITY["EPSG","2076"]]</t>
  </si>
  <si>
    <t xml:space="preserve">+proj=tmerc +lat_0=0 +lon_0=25 +k=0.9999 +x_0=200000 +y_0=0 +ellps=intl +towgs84=-115.8543,-99.0583,-152.4616,0,0,0,0 +units=m +no_defs </t>
  </si>
  <si>
    <t>PROJCS["ELD79 / UTM zone 32N",GEOGCS["ELD79",DATUM["European_Libyan_Datum_1979",SPHEROID["International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2077"]]</t>
  </si>
  <si>
    <t xml:space="preserve">+proj=utm +zone=32 +ellps=intl +towgs84=-115.8543,-99.0583,-152.4616,0,0,0,0 +units=m +no_defs </t>
  </si>
  <si>
    <t>PROJCS["ELD79 / UTM zone 33N",GEOGCS["ELD79",DATUM["European_Libyan_Datum_1979",SPHEROID["International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2078"]]</t>
  </si>
  <si>
    <t xml:space="preserve">+proj=utm +zone=33 +ellps=intl +towgs84=-115.8543,-99.0583,-152.4616,0,0,0,0 +units=m +no_defs </t>
  </si>
  <si>
    <t>PROJCS["ELD79 / UTM zone 34N",GEOGCS["ELD79",DATUM["European_Libyan_Datum_1979",SPHEROID["International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2079"]]</t>
  </si>
  <si>
    <t xml:space="preserve">+proj=utm +zone=34 +ellps=intl +towgs84=-115.8543,-99.0583,-152.4616,0,0,0,0 +units=m +no_defs </t>
  </si>
  <si>
    <t>PROJCS["ELD79 / UTM zone 35N",GEOGCS["ELD79",DATUM["European_Libyan_Datum_1979",SPHEROID["International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2080"]]</t>
  </si>
  <si>
    <t xml:space="preserve">+proj=utm +zone=35 +ellps=intl +towgs84=-115.8543,-99.0583,-152.4616,0,0,0,0 +units=m +no_defs </t>
  </si>
  <si>
    <t>PROJCS["Chos Malal 1914 / Argentina 2",GEOGCS["Chos Malal 1914",DATUM["Chos_Malal_1914",SPHEROID["International 1924",6378388,297,AUTHORITY["EPSG","7022"]],AUTHORITY["EPSG","6160"]],PRIMEM["Greenwich",0,AUTHORITY["EPSG","8901"]],UNIT["degree",0.0174532925199433,AUTHORITY["EPSG","9122"]],AUTHORITY["EPSG","4160"]],PROJECTION["Transverse_Mercator"],PARAMETER["latitude_of_origin",-90],PARAMETER["central_meridian",-69],PARAMETER["scale_factor",1],PARAMETER["false_easting",2500000],PARAMETER["false_northing",0],UNIT["metre",1,AUTHORITY["EPSG","9001"]],AUTHORITY["EPSG","2081"]]</t>
  </si>
  <si>
    <t>PROJCS["Pampa del Castillo / Argentina 2",GEOGCS["Pampa del Castillo",DATUM["Pampa_del_Castillo",SPHEROID["International 1924",6378388,297,AUTHORITY["EPSG","7022"]],TOWGS84[27.5,14,186.4,0,0,0,0],AUTHORITY["EPSG","6161"]],PRIMEM["Greenwich",0,AUTHORITY["EPSG","8901"]],UNIT["degree",0.0174532925199433,AUTHORITY["EPSG","9122"]],AUTHORITY["EPSG","4161"]],PROJECTION["Transverse_Mercator"],PARAMETER["latitude_of_origin",-90],PARAMETER["central_meridian",-69],PARAMETER["scale_factor",1],PARAMETER["false_easting",2500000],PARAMETER["false_northing",0],UNIT["metre",1,AUTHORITY["EPSG","9001"]],AUTHORITY["EPSG","2082"]]</t>
  </si>
  <si>
    <t xml:space="preserve">+proj=tmerc +lat_0=-90 +lon_0=-69 +k=1 +x_0=2500000 +y_0=0 +ellps=intl +towgs84=27.5,14,186.4,0,0,0,0 +units=m +no_defs </t>
  </si>
  <si>
    <t>PROJCS["Hito XVIII 1963 / Argentina 2",GEOGCS["Hito XVIII 1963",DATUM["Hito_XVIII_1963",SPHEROID["International 1924",6378388,297,AUTHORITY["EPSG","7022"]],TOWGS84[16,196,93,0,0,0,0],AUTHORITY["EPSG","6254"]],PRIMEM["Greenwich",0,AUTHORITY["EPSG","8901"]],UNIT["degree",0.0174532925199433,AUTHORITY["EPSG","9122"]],AUTHORITY["EPSG","4254"]],PROJECTION["Transverse_Mercator"],PARAMETER["latitude_of_origin",-90],PARAMETER["central_meridian",-69],PARAMETER["scale_factor",1],PARAMETER["false_easting",2500000],PARAMETER["false_northing",0],UNIT["metre",1,AUTHORITY["EPSG","9001"]],AUTHORITY["EPSG","2083"]]</t>
  </si>
  <si>
    <t xml:space="preserve">+proj=tmerc +lat_0=-90 +lon_0=-69 +k=1 +x_0=2500000 +y_0=0 +ellps=intl +towgs84=16,196,93,0,0,0,0 +units=m +no_defs </t>
  </si>
  <si>
    <t>PROJCS["Hito XVIII 1963 / UTM zone 19S",GEOGCS["Hito XVIII 1963",DATUM["Hito_XVIII_1963",SPHEROID["International 1924",6378388,297,AUTHORITY["EPSG","7022"]],TOWGS84[16,196,93,0,0,0,0],AUTHORITY["EPSG","6254"]],PRIMEM["Greenwich",0,AUTHORITY["EPSG","8901"]],UNIT["degree",0.0174532925199433,AUTHORITY["EPSG","9122"]],AUTHORITY["EPSG","4254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2084"]]</t>
  </si>
  <si>
    <t xml:space="preserve">+proj=utm +zone=19 +south +ellps=intl +towgs84=16,196,93,0,0,0,0 +units=m +no_defs </t>
  </si>
  <si>
    <t>PROJCS["NAD27 / Cuba Sur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20.71666666666667],PARAMETER["central_meridian",-76.83333333333333],PARAMETER["scale_factor",0.99994848],PARAMETER["false_easting",500000],PARAMETER["false_northing",229126.939],UNIT["metre",1,AUTHORITY["EPSG","9001"]],AUTHORITY["EPSG","2086"]]</t>
  </si>
  <si>
    <t>PROJCS["ELD79 / TM 12 NE",GEOGCS["ELD79",DATUM["European_Libyan_Datum_1979",SPHEROID["International 1924",6378388,297,AUTHORITY["EPSG","7022"]],TOWGS84[-115.8543,-99.0583,-152.4616,0,0,0,0],AUTHORITY["EPSG","6159"]],PRIMEM["Greenwich",0,AUTHORITY["EPSG","8901"]],UNIT["degree",0.0174532925199433,AUTHORITY["EPSG","9122"]],AUTHORITY["EPSG","4159"]],PROJECTION["Transverse_Mercator"],PARAMETER["latitude_of_origin",0],PARAMETER["central_meridian",12],PARAMETER["scale_factor",0.9996],PARAMETER["false_easting",500000],PARAMETER["false_northing",0],UNIT["metre",1,AUTHORITY["EPSG","9001"]],AXIS["Easting",EAST],AXIS["Northing",NORTH],AUTHORITY["EPSG","2087"]]</t>
  </si>
  <si>
    <t xml:space="preserve">+proj=tmerc +lat_0=0 +lon_0=12 +k=0.9996 +x_0=500000 +y_0=0 +ellps=intl +towgs84=-115.8543,-99.0583,-152.4616,0,0,0,0 +units=m +no_defs </t>
  </si>
  <si>
    <t>PROJCS["Carthage / TM 11 NE",GEOGCS["Carthage",DATUM["Carthage",SPHEROID["Clarke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,PROJECTION["Transverse_Mercator"],PARAMETER["latitude_of_origin",0],PARAMETER["central_meridian",11],PARAMETER["scale_factor",0.9996],PARAMETER["false_easting",500000],PARAMETER["false_northing",0],UNIT["metre",1,AUTHORITY["EPSG","9001"]],AXIS["Easting",EAST],AXIS["Northing",NORTH],AUTHORITY["EPSG","2088"]]</t>
  </si>
  <si>
    <t>PROJCS["Yemen NGN96 / UTM zone 38N",GEOGCS["Yemen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2089"]]</t>
  </si>
  <si>
    <t xml:space="preserve">+proj=utm +zone=38 +ellps=WGS84 +towgs84=0,0,0,0,0,0,0 +units=m +no_defs </t>
  </si>
  <si>
    <t>PROJCS["Yemen NGN96 / UTM zone 39N",GEOGCS["Yemen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2090"]]</t>
  </si>
  <si>
    <t xml:space="preserve">+proj=utm +zone=39 +ellps=WGS84 +towgs84=0,0,0,0,0,0,0 +units=m +no_defs </t>
  </si>
  <si>
    <t>PROJCS["South Yemen / Gauss Kruger zone 8 (deprecated)",GEOGCS["South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,PROJECTION["Transverse_Mercator"],PARAMETER["latitude_of_origin",0],PARAMETER["central_meridian",45],PARAMETER["scale_factor",1],PARAMETER["false_easting",8500000],PARAMETER["false_northing",0],UNIT["metre",1,AUTHORITY["EPSG","9001"]],AUTHORITY["EPSG","2091"]]</t>
  </si>
  <si>
    <t xml:space="preserve">+proj=tmerc +lat_0=0 +lon_0=45 +k=1 +x_0=8500000 +y_0=0 +ellps=krass +towgs84=-76,-138,67,0,0,0,0 +units=m +no_defs </t>
  </si>
  <si>
    <t>PROJCS["South Yemen / Gauss Kruger zone 9 (deprecated)",GEOGCS["South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,PROJECTION["Transverse_Mercator"],PARAMETER["latitude_of_origin",0],PARAMETER["central_meridian",51],PARAMETER["scale_factor",1],PARAMETER["false_easting",9500000],PARAMETER["false_northing",0],UNIT["metre",1,AUTHORITY["EPSG","9001"]],AUTHORITY["EPSG","2092"]]</t>
  </si>
  <si>
    <t xml:space="preserve">+proj=tmerc +lat_0=0 +lon_0=51 +k=1 +x_0=9500000 +y_0=0 +ellps=krass +towgs84=-76,-138,67,0,0,0,0 +units=m +no_defs </t>
  </si>
  <si>
    <t>PROJCS["Hanoi 1972 / GK 106 NE",GEOGCS["Hanoi 1972",DATUM["Hanoi_1972",SPHEROID["Krassowsky 1940",6378245,298.3,AUTHORITY["EPSG","7024"]],TOWGS84[-17.51,-108.32,-62.39,0,0,0,0],AUTHORITY["EPSG","6147"]],PRIMEM["Greenwich",0,AUTHORITY["EPSG","8901"]],UNIT["degree",0.0174532925199433,AUTHORITY["EPSG","9122"]],AUTHORITY["EPSG","4147"]],PROJECTION["Transverse_Mercator"],PARAMETER["latitude_of_origin",0],PARAMETER["central_meridian",106],PARAMETER["scale_factor",1],PARAMETER["false_easting",500000],PARAMETER["false_northing",0],UNIT["metre",1,AUTHORITY["EPSG","9001"]],AUTHORITY["EPSG","2093"]]</t>
  </si>
  <si>
    <t xml:space="preserve">+proj=tmerc +lat_0=0 +lon_0=106 +k=1 +x_0=500000 +y_0=0 +ellps=krass +towgs84=-17.51,-108.32,-62.39,0,0,0,0 +units=m +no_defs </t>
  </si>
  <si>
    <t>PROJCS["WGS 72BE / TM 106 NE",GEOGCS["WGS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106],PARAMETER["scale_factor",0.9996],PARAMETER["false_easting",500000],PARAMETER["false_northing",0],UNIT["metre",1,AUTHORITY["EPSG","9001"]],AXIS["Easting",EAST],AXIS["Northing",NORTH],AUTHORITY["EPSG","2094"]]</t>
  </si>
  <si>
    <t xml:space="preserve">+proj=tmerc +lat_0=0 +lon_0=106 +k=0.9996 +x_0=500000 +y_0=0 +ellps=WGS72 +towgs84=0,0,1.9,0,0,0.814,-0.38 +units=m +no_defs </t>
  </si>
  <si>
    <t>PROJCS["Bissau / UTM zone 28N",GEOGCS["Bissau",DATUM["Bissau",SPHEROID["International 1924",6378388,297,AUTHORITY["EPSG","7022"]],TOWGS84[-173,253,27,0,0,0,0],AUTHORITY["EPSG","6165"]],PRIMEM["Greenwich",0,AUTHORITY["EPSG","8901"]],UNIT["degree",0.0174532925199433,AUTHORITY["EPSG","9122"]],AUTHORITY["EPSG","4165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2095"]]</t>
  </si>
  <si>
    <t xml:space="preserve">+proj=utm +zone=28 +ellps=intl +towgs84=-173,253,27,0,0,0,0 +units=m +no_defs </t>
  </si>
  <si>
    <t>PROJCS["Korean 1985 / East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129],PARAMETER["scale_factor",1],PARAMETER["false_easting",200000],PARAMETER["false_northing",500000],UNIT["metre",1,AUTHORITY["EPSG","9001"]],AUTHORITY["EPSG","2096"]]</t>
  </si>
  <si>
    <t>PROJCS["Korean 1985 / Central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127],PARAMETER["scale_factor",1],PARAMETER["false_easting",200000],PARAMETER["false_northing",500000],UNIT["metre",1,AUTHORITY["EPSG","9001"]],AUTHORITY["EPSG","2097"]]</t>
  </si>
  <si>
    <t>PROJCS["Korean 1985 / West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125],PARAMETER["scale_factor",1],PARAMETER["false_easting",200000],PARAMETER["false_northing",500000],UNIT["metre",1,AUTHORITY["EPSG","9001"]],AUTHORITY["EPSG","2098"]]</t>
  </si>
  <si>
    <t>PROJCS["Qatar 1948 / Qatar Grid",GEOGCS["Qatar 1948",DATUM["Qatar_1948",SPHEROID["Helmert 1906",6378200,298.3,AUTHORITY["EPSG","7020"]],AUTHORITY["EPSG","6286"]],PRIMEM["Greenwich",0,AUTHORITY["EPSG","8901"]],UNIT["degree",0.0174532925199433,AUTHORITY["EPSG","9122"]],AUTHORITY["EPSG","4286"]],PROJECTION["Cassini_Soldner"],PARAMETER["latitude_of_origin",25.38236111111111],PARAMETER["central_meridian",50.76138888888889],PARAMETER["false_easting",100000],PARAMETER["false_northing",100000],UNIT["metre",1,AUTHORITY["EPSG","9001"]],AXIS["Easting",EAST],AXIS["Northing",NORTH],AUTHORITY["EPSG","2099"]]</t>
  </si>
  <si>
    <t>PROJCS["GGRS87 / Greek Grid",GEOGCS["GGRS87",DATUM["Greek_Geodetic_Reference_System_1987",SPHEROID["GRS 1980",6378137,298.257222101,AUTHORITY["EPSG","7019"]],TOWGS84[-199.87,74.79,246.62,0,0,0,0],AUTHORITY["EPSG","6121"]],PRIMEM["Greenwich",0,AUTHORITY["EPSG","8901"]],UNIT["degree",0.0174532925199433,AUTHORITY["EPSG","9122"]],AUTHORITY["EPSG","4121"]],PROJECTION["Transverse_Mercator"],PARAMETER["latitude_of_origin",0],PARAMETER["central_meridian",24],PARAMETER["scale_factor",0.9996],PARAMETER["false_easting",500000],PARAMETER["false_northing",0],UNIT["metre",1,AUTHORITY["EPSG","9001"]],AXIS["Easting",EAST],AXIS["Northing",NORTH],AUTHORITY["EPSG","2100"]]</t>
  </si>
  <si>
    <t>PROJCS["Lake / Maracaibo Grid M1",GEOGCS["Lake",DATUM["Lake",SPHEROID["International 1924",6378388,297,AUTHORITY["EPSG","7022"]],AUTHORITY["EPSG","6249"]],PRIMEM["Greenwich",0,AUTHORITY["EPSG","8901"]],UNIT["degree",0.0174532925199433,AUTHORITY["EPSG","9122"]],AUTHORITY["EPSG","4249"]],PROJECTION["Lambert_Conformal_Conic_1SP"],PARAMETER["latitude_of_origin",10.16666666666667],PARAMETER["central_meridian",-71.60561777777777],PARAMETER["scale_factor",1],PARAMETER["false_easting",0],PARAMETER["false_northing",-52684.972],UNIT["metre",1,AUTHORITY["EPSG","9001"]],AXIS["X",EAST],AXIS["Y",NORTH],AUTHORITY["EPSG","2101"]]</t>
  </si>
  <si>
    <t>PROJCS["Lake / Maracaibo Grid",GEOGCS["Lake",DATUM["Lake",SPHEROID["International 1924",6378388,297,AUTHORITY["EPSG","7022"]],AUTHORITY["EPSG","6249"]],PRIMEM["Greenwich",0,AUTHORITY["EPSG","8901"]],UNIT["degree",0.0174532925199433,AUTHORITY["EPSG","9122"]],AUTHORITY["EPSG","4249"]],PROJECTION["Lambert_Conformal_Conic_1SP"],PARAMETER["latitude_of_origin",10.16666666666667],PARAMETER["central_meridian",-71.60561777777777],PARAMETER["scale_factor",1],PARAMETER["false_easting",200000],PARAMETER["false_northing",147315.028],UNIT["metre",1,AUTHORITY["EPSG","9001"]],AXIS["X",EAST],AXIS["Y",NORTH],AUTHORITY["EPSG","2102"]]</t>
  </si>
  <si>
    <t>PROJCS["Lake / Maracaibo Grid M3",GEOGCS["Lake",DATUM["Lake",SPHEROID["International 1924",6378388,297,AUTHORITY["EPSG","7022"]],AUTHORITY["EPSG","6249"]],PRIMEM["Greenwich",0,AUTHORITY["EPSG","8901"]],UNIT["degree",0.0174532925199433,AUTHORITY["EPSG","9122"]],AUTHORITY["EPSG","4249"]],PROJECTION["Lambert_Conformal_Conic_1SP"],PARAMETER["latitude_of_origin",10.16666666666667],PARAMETER["central_meridian",-71.60561777777777],PARAMETER["scale_factor",1],PARAMETER["false_easting",500000],PARAMETER["false_northing",447315.028],UNIT["metre",1,AUTHORITY["EPSG","9001"]],AXIS["X",EAST],AXIS["Y",NORTH],AUTHORITY["EPSG","2103"]]</t>
  </si>
  <si>
    <t>PROJCS["Lake / Maracaibo La Rosa Grid",GEOGCS["Lake",DATUM["Lake",SPHEROID["International 1924",6378388,297,AUTHORITY["EPSG","7022"]],AUTHORITY["EPSG","6249"]],PRIMEM["Greenwich",0,AUTHORITY["EPSG","8901"]],UNIT["degree",0.0174532925199433,AUTHORITY["EPSG","9122"]],AUTHORITY["EPSG","4249"]],PROJECTION["Lambert_Conformal_Conic_1SP"],PARAMETER["latitude_of_origin",10.16666666666667],PARAMETER["central_meridian",-71.60561777777777],PARAMETER["scale_factor",1],PARAMETER["false_easting",-17044],PARAMETER["false_northing",-23139.97],UNIT["metre",1,AUTHORITY["EPSG","9001"]],AXIS["X",EAST],AXIS["Y",NORTH],AUTHORITY["EPSG","2104"]]</t>
  </si>
  <si>
    <t>PROJCS["NZGD2000 / Mount Eden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-36.87972222222222],PARAMETER["central_meridian",174.7641666666667],PARAMETER["scale_factor",0.9999],PARAMETER["false_easting",400000],PARAMETER["false_northing",800000],UNIT["metre",1,AUTHORITY["EPSG","9001"]],AUTHORITY["EPSG","2105"]]</t>
  </si>
  <si>
    <t xml:space="preserve">+proj=tmerc +lat_0=-36.87972222222222 +lon_0=174.7641666666667 +k=0.9999 +x_0=400000 +y_0=800000 +ellps=GRS80 +towgs84=0,0,0,0,0,0,0 +units=m +no_defs </t>
  </si>
  <si>
    <t>PROJCS["NZGD2000 / Bay of Plenty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-37.76111111111111],PARAMETER["central_meridian",176.4661111111111],PARAMETER["scale_factor",1],PARAMETER["false_easting",400000],PARAMETER["false_northing",800000],UNIT["metre",1,AUTHORITY["EPSG","9001"]],AUTHORITY["EPSG","2106"]]</t>
  </si>
  <si>
    <t xml:space="preserve">+proj=tmerc +lat_0=-37.76111111111111 +lon_0=176.4661111111111 +k=1 +x_0=400000 +y_0=800000 +ellps=GRS80 +towgs84=0,0,0,0,0,0,0 +units=m +no_defs </t>
  </si>
  <si>
    <t>PROJCS["NZGD2000 / Poverty Bay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-38.62444444444444],PARAMETER["central_meridian",177.8855555555556],PARAMETER["scale_factor",1],PARAMETER["false_easting",400000],PARAMETER["false_northing",800000],UNIT["metre",1,AUTHORITY["EPSG","9001"]],AUTHORITY["EPSG","2107"]]</t>
  </si>
  <si>
    <t xml:space="preserve">+proj=tmerc +lat_0=-38.62444444444444 +lon_0=177.8855555555556 +k=1 +x_0=400000 +y_0=800000 +ellps=GRS80 +towgs84=0,0,0,0,0,0,0 +units=m +no_defs </t>
  </si>
  <si>
    <t>PROJCS["NZGD2000 / Hawkes Bay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-39.65083333333333],PARAMETER["central_meridian",176.6736111111111],PARAMETER["scale_factor",1],PARAMETER["false_easting",400000],PARAMETER["false_northing",800000],UNIT["metre",1,AUTHORITY["EPSG","9001"]],AUTHORITY["EPSG","2108"]]</t>
  </si>
  <si>
    <t xml:space="preserve">+proj=tmerc +lat_0=-39.65083333333333 +lon_0=176.6736111111111 +k=1 +x_0=400000 +y_0=800000 +ellps=GRS80 +towgs84=0,0,0,0,0,0,0 +units=m +no_defs </t>
  </si>
  <si>
    <t>PROJCS["NZGD2000 / Taranaki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-39.13555555555556],PARAMETER["central_meridian",174.2277777777778],PARAMETER["scale_factor",1],PARAMETER["false_easting",400000],PARAMETER["false_northing",800000],UNIT["metre",1,AUTHORITY["EPSG","9001"]],AUTHORITY["EPSG","2109"]]</t>
  </si>
  <si>
    <t xml:space="preserve">+proj=tmerc +lat_0=-39.13555555555556 +lon_0=174.2277777777778 +k=1 +x_0=400000 +y_0=800000 +ellps=GRS80 +towgs84=0,0,0,0,0,0,0 +units=m +no_defs </t>
  </si>
  <si>
    <t>PROJCS["NZGD2000 / Tuhirangi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-39.51222222222222],PARAMETER["central_meridian",175.64],PARAMETER["scale_factor",1],PARAMETER["false_easting",400000],PARAMETER["false_northing",800000],UNIT["metre",1,AUTHORITY["EPSG","9001"]],AUTHORITY["EPSG","2110"]]</t>
  </si>
  <si>
    <t xml:space="preserve">+proj=tmerc +lat_0=-39.51222222222222 +lon_0=175.64 +k=1 +x_0=400000 +y_0=800000 +ellps=GRS80 +towgs84=0,0,0,0,0,0,0 +units=m +no_defs </t>
  </si>
  <si>
    <t>PROJCS["NZGD2000 / Wanganui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-40.24194444444444],PARAMETER["central_meridian",175.4880555555555],PARAMETER["scale_factor",1],PARAMETER["false_easting",400000],PARAMETER["false_northing",800000],UNIT["metre",1,AUTHORITY["EPSG","9001"]],AUTHORITY["EPSG","2111"]]</t>
  </si>
  <si>
    <t xml:space="preserve">+proj=tmerc +lat_0=-40.24194444444444 +lon_0=175.4880555555555 +k=1 +x_0=400000 +y_0=800000 +ellps=GRS80 +towgs84=0,0,0,0,0,0,0 +units=m +no_defs </t>
  </si>
  <si>
    <t>PROJCS["NZGD2000 / Wairarapa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-40.92527777777777],PARAMETER["central_meridian",175.6472222222222],PARAMETER["scale_factor",1],PARAMETER["false_easting",400000],PARAMETER["false_northing",800000],UNIT["metre",1,AUTHORITY["EPSG","9001"]],AUTHORITY["EPSG","2112"]]</t>
  </si>
  <si>
    <t xml:space="preserve">+proj=tmerc +lat_0=-40.92527777777777 +lon_0=175.6472222222222 +k=1 +x_0=400000 +y_0=800000 +ellps=GRS80 +towgs84=0,0,0,0,0,0,0 +units=m +no_defs </t>
  </si>
  <si>
    <t>PROJCS["NZGD2000 / Wellington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-41.3011111111111],PARAMETER["central_meridian",174.7763888888889],PARAMETER["scale_factor",1],PARAMETER["false_easting",400000],PARAMETER["false_northing",800000],UNIT["metre",1,AUTHORITY["EPSG","9001"]],AUTHORITY["EPSG","2113"]]</t>
  </si>
  <si>
    <t xml:space="preserve">+proj=tmerc +lat_0=-41.3011111111111 +lon_0=174.7763888888889 +k=1 +x_0=400000 +y_0=800000 +ellps=GRS80 +towgs84=0,0,0,0,0,0,0 +units=m +no_defs </t>
  </si>
  <si>
    <t>PROJCS["NZGD2000 / Collingwood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-40.71472222222223],PARAMETER["central_meridian",172.6719444444444],PARAMETER["scale_factor",1],PARAMETER["false_easting",400000],PARAMETER["false_northing",800000],UNIT["metre",1,AUTHORITY["EPSG","9001"]],AUTHORITY["EPSG","2114"]]</t>
  </si>
  <si>
    <t xml:space="preserve">+proj=tmerc +lat_0=-40.71472222222223 +lon_0=172.6719444444444 +k=1 +x_0=400000 +y_0=800000 +ellps=GRS80 +towgs84=0,0,0,0,0,0,0 +units=m +no_defs </t>
  </si>
  <si>
    <t>GEOCCS["EST97 (geocentric)",DATUM["Estonia_1997",SPHEROID["GRS 1980",6378137,298.257222101,AUTHORITY["EPSG","7019"]],AUTHORITY["EPSG","6180"]],PRIMEM["Greenwich",0,AUTHORITY["EPSG","8901"]],UNIT["metre",1,AUTHORITY["EPSG","9001"]],AXIS["Geocentric X",OTHER],AXIS["Geocentric Y",OTHER],AXIS["Geocentric Z",NORTH],AUTHORITY["EPSG","4342"]]</t>
  </si>
  <si>
    <t>PROJCS["NZGD2000 / Nelson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-41.27444444444444],PARAMETER["central_meridian",173.2991666666667],PARAMETER["scale_factor",1],PARAMETER["false_easting",400000],PARAMETER["false_northing",800000],UNIT["metre",1,AUTHORITY["EPSG","9001"]],AUTHORITY["EPSG","2115"]]</t>
  </si>
  <si>
    <t xml:space="preserve">+proj=tmerc +lat_0=-41.27444444444444 +lon_0=173.2991666666667 +k=1 +x_0=400000 +y_0=800000 +ellps=GRS80 +towgs84=0,0,0,0,0,0,0 +units=m +no_defs </t>
  </si>
  <si>
    <t>PROJCS["NZGD2000 / Karamea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-41.28972222222222],PARAMETER["central_meridian",172.1088888888889],PARAMETER["scale_factor",1],PARAMETER["false_easting",400000],PARAMETER["false_northing",800000],UNIT["metre",1,AUTHORITY["EPSG","9001"]],AUTHORITY["EPSG","2116"]]</t>
  </si>
  <si>
    <t xml:space="preserve">+proj=tmerc +lat_0=-41.28972222222222 +lon_0=172.1088888888889 +k=1 +x_0=400000 +y_0=800000 +ellps=GRS80 +towgs84=0,0,0,0,0,0,0 +units=m +no_defs </t>
  </si>
  <si>
    <t>PROJCS["NZGD2000 / Buller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-41.81055555555555],PARAMETER["central_meridian",171.5811111111111],PARAMETER["scale_factor",1],PARAMETER["false_easting",400000],PARAMETER["false_northing",800000],UNIT["metre",1,AUTHORITY["EPSG","9001"]],AUTHORITY["EPSG","2117"]]</t>
  </si>
  <si>
    <t xml:space="preserve">+proj=tmerc +lat_0=-41.81055555555555 +lon_0=171.5811111111111 +k=1 +x_0=400000 +y_0=800000 +ellps=GRS80 +towgs84=0,0,0,0,0,0,0 +units=m +no_defs </t>
  </si>
  <si>
    <t>PROJCS["NZGD2000 / Grey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-42.33361111111111],PARAMETER["central_meridian",171.5497222222222],PARAMETER["scale_factor",1],PARAMETER["false_easting",400000],PARAMETER["false_northing",800000],UNIT["metre",1,AUTHORITY["EPSG","9001"]],AUTHORITY["EPSG","2118"]]</t>
  </si>
  <si>
    <t xml:space="preserve">+proj=tmerc +lat_0=-42.33361111111111 +lon_0=171.5497222222222 +k=1 +x_0=400000 +y_0=800000 +ellps=GRS80 +towgs84=0,0,0,0,0,0,0 +units=m +no_defs </t>
  </si>
  <si>
    <t>PROJCS["NZGD2000 / Amuri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-42.68888888888888],PARAMETER["central_meridian",173.01],PARAMETER["scale_factor",1],PARAMETER["false_easting",400000],PARAMETER["false_northing",800000],UNIT["metre",1,AUTHORITY["EPSG","9001"]],AUTHORITY["EPSG","2119"]]</t>
  </si>
  <si>
    <t xml:space="preserve">+proj=tmerc +lat_0=-42.68888888888888 +lon_0=173.01 +k=1 +x_0=400000 +y_0=800000 +ellps=GRS80 +towgs84=0,0,0,0,0,0,0 +units=m +no_defs </t>
  </si>
  <si>
    <t>PROJCS["NZGD2000 / Marlborough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-41.54444444444444],PARAMETER["central_meridian",173.8019444444444],PARAMETER["scale_factor",1],PARAMETER["false_easting",400000],PARAMETER["false_northing",800000],UNIT["metre",1,AUTHORITY["EPSG","9001"]],AUTHORITY["EPSG","2120"]]</t>
  </si>
  <si>
    <t xml:space="preserve">+proj=tmerc +lat_0=-41.54444444444444 +lon_0=173.8019444444444 +k=1 +x_0=400000 +y_0=800000 +ellps=GRS80 +towgs84=0,0,0,0,0,0,0 +units=m +no_defs </t>
  </si>
  <si>
    <t>PROJCS["NZGD2000 / Hokitika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-42.88611111111111],PARAMETER["central_meridian",170.9797222222222],PARAMETER["scale_factor",1],PARAMETER["false_easting",400000],PARAMETER["false_northing",800000],UNIT["metre",1,AUTHORITY["EPSG","9001"]],AUTHORITY["EPSG","2121"]]</t>
  </si>
  <si>
    <t xml:space="preserve">+proj=tmerc +lat_0=-42.88611111111111 +lon_0=170.9797222222222 +k=1 +x_0=400000 +y_0=800000 +ellps=GRS80 +towgs84=0,0,0,0,0,0,0 +units=m +no_defs </t>
  </si>
  <si>
    <t>PROJCS["NZGD2000 / Okarito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-43.11],PARAMETER["central_meridian",170.2608333333333],PARAMETER["scale_factor",1],PARAMETER["false_easting",400000],PARAMETER["false_northing",800000],UNIT["metre",1,AUTHORITY["EPSG","9001"]],AUTHORITY["EPSG","2122"]]</t>
  </si>
  <si>
    <t xml:space="preserve">+proj=tmerc +lat_0=-43.11 +lon_0=170.2608333333333 +k=1 +x_0=400000 +y_0=800000 +ellps=GRS80 +towgs84=0,0,0,0,0,0,0 +units=m +no_defs </t>
  </si>
  <si>
    <t>PROJCS["NZGD2000 / Jacksons Bay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-43.97777777777778],PARAMETER["central_meridian",168.6061111111111],PARAMETER["scale_factor",1],PARAMETER["false_easting",400000],PARAMETER["false_northing",800000],UNIT["metre",1,AUTHORITY["EPSG","9001"]],AUTHORITY["EPSG","2123"]]</t>
  </si>
  <si>
    <t xml:space="preserve">+proj=tmerc +lat_0=-43.97777777777778 +lon_0=168.6061111111111 +k=1 +x_0=400000 +y_0=800000 +ellps=GRS80 +towgs84=0,0,0,0,0,0,0 +units=m +no_defs </t>
  </si>
  <si>
    <t>GEOCCS["CHTRF95 (geocentric)",DATUM["Swiss_Terrestrial_Reference_Frame_1995",SPHEROID["GRS 1980",6378137,298.257222101,AUTHORITY["EPSG","7019"]],AUTHORITY["EPSG","6151"]],PRIMEM["Greenwich",0,AUTHORITY["EPSG","8901"]],UNIT["metre",1,AUTHORITY["EPSG","9001"]],AXIS["Geocentric X",OTHER],AXIS["Geocentric Y",OTHER],AXIS["Geocentric Z",NORTH],AUTHORITY["EPSG","4344"]]</t>
  </si>
  <si>
    <t>PROJCS["NZGD2000 / Mount Pleasant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-43.59055555555556],PARAMETER["central_meridian",172.7269444444445],PARAMETER["scale_factor",1],PARAMETER["false_easting",400000],PARAMETER["false_northing",800000],UNIT["metre",1,AUTHORITY["EPSG","9001"]],AUTHORITY["EPSG","2124"]]</t>
  </si>
  <si>
    <t xml:space="preserve">+proj=tmerc +lat_0=-43.59055555555556 +lon_0=172.7269444444445 +k=1 +x_0=400000 +y_0=800000 +ellps=GRS80 +towgs84=0,0,0,0,0,0,0 +units=m +no_defs </t>
  </si>
  <si>
    <t>PROJCS["NZGD2000 / Gawler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-43.74861111111111],PARAMETER["central_meridian",171.3605555555555],PARAMETER["scale_factor",1],PARAMETER["false_easting",400000],PARAMETER["false_northing",800000],UNIT["metre",1,AUTHORITY["EPSG","9001"]],AUTHORITY["EPSG","2125"]]</t>
  </si>
  <si>
    <t xml:space="preserve">+proj=tmerc +lat_0=-43.74861111111111 +lon_0=171.3605555555555 +k=1 +x_0=400000 +y_0=800000 +ellps=GRS80 +towgs84=0,0,0,0,0,0,0 +units=m +no_defs </t>
  </si>
  <si>
    <t>PROJCS["NZGD2000 / Timaru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-44.40194444444445],PARAMETER["central_meridian",171.0572222222222],PARAMETER["scale_factor",1],PARAMETER["false_easting",400000],PARAMETER["false_northing",800000],UNIT["metre",1,AUTHORITY["EPSG","9001"]],AUTHORITY["EPSG","2126"]]</t>
  </si>
  <si>
    <t xml:space="preserve">+proj=tmerc +lat_0=-44.40194444444445 +lon_0=171.0572222222222 +k=1 +x_0=400000 +y_0=800000 +ellps=GRS80 +towgs84=0,0,0,0,0,0,0 +units=m +no_defs </t>
  </si>
  <si>
    <t>PROJCS["NZGD2000 / Lindis Peak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-44.735],PARAMETER["central_meridian",169.4675],PARAMETER["scale_factor",1],PARAMETER["false_easting",400000],PARAMETER["false_northing",800000],UNIT["metre",1,AUTHORITY["EPSG","9001"]],AUTHORITY["EPSG","2127"]]</t>
  </si>
  <si>
    <t xml:space="preserve">+proj=tmerc +lat_0=-44.735 +lon_0=169.4675 +k=1 +x_0=400000 +y_0=800000 +ellps=GRS80 +towgs84=0,0,0,0,0,0,0 +units=m +no_defs </t>
  </si>
  <si>
    <t>PROJCS["NZGD2000 / Mount Nicholas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-45.13277777777778],PARAMETER["central_meridian",168.3986111111111],PARAMETER["scale_factor",1],PARAMETER["false_easting",400000],PARAMETER["false_northing",800000],UNIT["metre",1,AUTHORITY["EPSG","9001"]],AUTHORITY["EPSG","2128"]]</t>
  </si>
  <si>
    <t xml:space="preserve">+proj=tmerc +lat_0=-45.13277777777778 +lon_0=168.3986111111111 +k=1 +x_0=400000 +y_0=800000 +ellps=GRS80 +towgs84=0,0,0,0,0,0,0 +units=m +no_defs </t>
  </si>
  <si>
    <t>PROJCS["NZGD2000 / Mount York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-45.56361111111111],PARAMETER["central_meridian",167.7386111111111],PARAMETER["scale_factor",1],PARAMETER["false_easting",400000],PARAMETER["false_northing",800000],UNIT["metre",1,AUTHORITY["EPSG","9001"]],AUTHORITY["EPSG","2129"]]</t>
  </si>
  <si>
    <t xml:space="preserve">+proj=tmerc +lat_0=-45.56361111111111 +lon_0=167.7386111111111 +k=1 +x_0=400000 +y_0=800000 +ellps=GRS80 +towgs84=0,0,0,0,0,0,0 +units=m +no_defs </t>
  </si>
  <si>
    <t>PROJCS["NZGD2000 / Observation Point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-45.81611111111111],PARAMETER["central_meridian",170.6283333333333],PARAMETER["scale_factor",1],PARAMETER["false_easting",400000],PARAMETER["false_northing",800000],UNIT["metre",1,AUTHORITY["EPSG","9001"]],AUTHORITY["EPSG","2130"]]</t>
  </si>
  <si>
    <t xml:space="preserve">+proj=tmerc +lat_0=-45.81611111111111 +lon_0=170.6283333333333 +k=1 +x_0=400000 +y_0=800000 +ellps=GRS80 +towgs84=0,0,0,0,0,0,0 +units=m +no_defs </t>
  </si>
  <si>
    <t>PROJCS["NZGD2000 / North Taieri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-45.86138888888889],PARAMETER["central_meridian",170.2825],PARAMETER["scale_factor",0.99996],PARAMETER["false_easting",400000],PARAMETER["false_northing",800000],UNIT["metre",1,AUTHORITY["EPSG","9001"]],AUTHORITY["EPSG","2131"]]</t>
  </si>
  <si>
    <t xml:space="preserve">+proj=tmerc +lat_0=-45.86138888888889 +lon_0=170.2825 +k=0.99996 +x_0=400000 +y_0=800000 +ellps=GRS80 +towgs84=0,0,0,0,0,0,0 +units=m +no_defs </t>
  </si>
  <si>
    <t>PROJCS["NZGD2000 / Bluff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-46.6],PARAMETER["central_meridian",168.3427777777778],PARAMETER["scale_factor",1],PARAMETER["false_easting",400000],PARAMETER["false_northing",800000],UNIT["metre",1,AUTHORITY["EPSG","9001"]],AUTHORITY["EPSG","2132"]]</t>
  </si>
  <si>
    <t xml:space="preserve">+proj=tmerc +lat_0=-46.6 +lon_0=168.3427777777778 +k=1 +x_0=400000 +y_0=800000 +ellps=GRS80 +towgs84=0,0,0,0,0,0,0 +units=m +no_defs </t>
  </si>
  <si>
    <t>GEOCCS["ETRS89 (geocentric)",DATUM["European_Terrestrial_Reference_System_1989",SPHEROID["GRS 1980",6378137,298.257222101,AUTHORITY["EPSG","7019"]],AUTHORITY["EPSG","6258"]],PRIMEM["Greenwich",0,AUTHORITY["EPSG","8901"]],UNIT["metre",1,AUTHORITY["EPSG","9001"]],AXIS["Geocentric X",OTHER],AXIS["Geocentric Y",OTHER],AXIS["Geocentric Z",NORTH],AUTHORITY["EPSG","4346"]]</t>
  </si>
  <si>
    <t>PROJCS["NZGD2000 / UTM zone 58S",GEOGCS["NZGD2000",DATUM["New_Zealand_Geodetic_Datum_2000",SPHEROID["GRS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2133"]]</t>
  </si>
  <si>
    <t xml:space="preserve">+proj=utm +zone=58 +south +ellps=GRS80 +towgs84=0,0,0,0,0,0,0 +units=m +no_defs </t>
  </si>
  <si>
    <t>PROJCS["NZGD2000 / UTM zone 59S",GEOGCS["NZGD2000",DATUM["New_Zealand_Geodetic_Datum_2000",SPHEROID["GRS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2134"]]</t>
  </si>
  <si>
    <t xml:space="preserve">+proj=utm +zone=59 +south +ellps=GRS80 +towgs84=0,0,0,0,0,0,0 +units=m +no_defs </t>
  </si>
  <si>
    <t>PROJCS["NZGD2000 / UTM zone 60S",GEOGCS["NZGD2000",DATUM["New_Zealand_Geodetic_Datum_2000",SPHEROID["GRS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2135"]]</t>
  </si>
  <si>
    <t xml:space="preserve">+proj=utm +zone=60 +south +ellps=GRS80 +towgs84=0,0,0,0,0,0,0 +units=m +no_defs </t>
  </si>
  <si>
    <t>PROJCS["Accra / Ghana National Grid",GEOGCS["Accra",DATUM["Accra",SPHEROID["War Office",6378300,296,AUTHORITY["EPSG","7029"]],TOWGS84[-199,32,322,0,0,0,0],AUTHORITY["EPSG","6168"]],PRIMEM["Greenwich",0,AUTHORITY["EPSG","8901"]],UNIT["degree",0.0174532925199433,AUTHORITY["EPSG","9122"]],AUTHORITY["EPSG","4168"]],PROJECTION["Transverse_Mercator"],PARAMETER["latitude_of_origin",4.666666666666667],PARAMETER["central_meridian",-1],PARAMETER["scale_factor",0.99975],PARAMETER["false_easting",900000],PARAMETER["false_northing",0],UNIT["Gold Coast foot",0.3047997101815088,AUTHORITY["EPSG","9094"]],AXIS["Easting",EAST],AXIS["Northing",NORTH],AUTHORITY["EPSG","2136"]]</t>
  </si>
  <si>
    <t xml:space="preserve">+proj=tmerc +lat_0=4.666666666666667 +lon_0=-1 +k=0.99975 +x_0=274319.7391633579 +y_0=0 +a=6378300 +b=6356751.689189189 +towgs84=-199,32,322,0,0,0,0 +to_meter=0.3047997101815088 +no_defs </t>
  </si>
  <si>
    <t>PROJCS["Accra / TM 1 NW",GEOGCS["Accra",DATUM["Accra",SPHEROID["War Office",6378300,296,AUTHORITY["EPSG","7029"]],TOWGS84[-199,32,322,0,0,0,0],AUTHORITY["EPSG","6168"]],PRIMEM["Greenwich",0,AUTHORITY["EPSG","8901"]],UNIT["degree",0.0174532925199433,AUTHORITY["EPSG","9122"]],AUTHORITY["EPSG","4168"]],PROJECTION["Transverse_Mercator"],PARAMETER["latitude_of_origin",0],PARAMETER["central_meridian",-1],PARAMETER["scale_factor",0.9996],PARAMETER["false_easting",500000],PARAMETER["false_northing",0],UNIT["metre",1,AUTHORITY["EPSG","9001"]],AXIS["Easting",EAST],AXIS["Northing",NORTH],AUTHORITY["EPSG","2137"]]</t>
  </si>
  <si>
    <t xml:space="preserve">+proj=tmerc +lat_0=0 +lon_0=-1 +k=0.9996 +x_0=500000 +y_0=0 +a=6378300 +b=6356751.689189189 +towgs84=-199,32,322,0,0,0,0 +units=m +no_defs </t>
  </si>
  <si>
    <t>PROJCS["NAD27(CGQ77) / Quebec Lambert",GEOGCS["NAD27(CGQ77)",DATUM["North_American_Datum_1927_CGQ77",SPHEROID["Clarke 1866",6378206.4,294.9786982138982,AUTHORITY["EPSG","7008"]],AUTHORITY["EPSG","6609"]],PRIMEM["Greenwich",0,AUTHORITY["EPSG","8901"]],UNIT["degree",0.0174532925199433,AUTHORITY["EPSG","9122"]],AUTHORITY["EPSG","4609"]],PROJECTION["Lambert_Conformal_Conic_2SP"],PARAMETER["standard_parallel_1",60],PARAMETER["standard_parallel_2",46],PARAMETER["latitude_of_origin",44],PARAMETER["central_meridian",-68.5],PARAMETER["false_easting",0],PARAMETER["false_northing",0],UNIT["metre",1,AUTHORITY["EPSG","9001"]],AXIS["X",EAST],AXIS["Y",NORTH],AUTHORITY["EPSG","2138"]]</t>
  </si>
  <si>
    <t>PROJCS["NAD83(CSRS98) / SCoPQ zone 2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-55.5],PARAMETER["scale_factor",0.9999],PARAMETER["false_easting",304800],PARAMETER["false_northing",0],UNIT["metre",1,AUTHORITY["EPSG","9001"]],AXIS["X",EAST],AXIS["Y",NORTH],AUTHORITY["EPSG","2139"]]</t>
  </si>
  <si>
    <t xml:space="preserve">+proj=tmerc +lat_0=0 +lon_0=-55.5 +k=0.9999 +x_0=304800 +y_0=0 +ellps=GRS80 +towgs84=0,0,0,0,0,0,0 +units=m +no_defs </t>
  </si>
  <si>
    <t>PROJCS["NAD83(CSRS98) / MTM zone 3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-58.5],PARAMETER["scale_factor",0.9999],PARAMETER["false_easting",304800],PARAMETER["false_northing",0],UNIT["metre",1,AUTHORITY["EPSG","9001"]],AXIS["E(X)",EAST],AXIS["N(Y)",NORTH],AUTHORITY["EPSG","2140"]]</t>
  </si>
  <si>
    <t xml:space="preserve">+proj=tmerc +lat_0=0 +lon_0=-58.5 +k=0.9999 +x_0=304800 +y_0=0 +ellps=GRS80 +towgs84=0,0,0,0,0,0,0 +units=m +no_defs </t>
  </si>
  <si>
    <t>PROJCS["NAD83(CSRS98) / MTM zone 4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-61.5],PARAMETER["scale_factor",0.9999],PARAMETER["false_easting",304800],PARAMETER["false_northing",0],UNIT["metre",1,AUTHORITY["EPSG","9001"]],AXIS["E(X)",EAST],AXIS["N(Y)",NORTH],AUTHORITY["EPSG","2141"]]</t>
  </si>
  <si>
    <t xml:space="preserve">+proj=tmerc +lat_0=0 +lon_0=-61.5 +k=0.9999 +x_0=304800 +y_0=0 +ellps=GRS80 +towgs84=0,0,0,0,0,0,0 +units=m +no_defs </t>
  </si>
  <si>
    <t>PROJCS["Xian 1980 / Gauss-Kruger zone 13",GEOGCS["Xian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75],PARAMETER["scale_factor",1],PARAMETER["false_easting",13500000],PARAMETER["false_northing",0],UNIT["metre",1,AUTHORITY["EPSG","9001"]],AUTHORITY["EPSG","2327"]]</t>
  </si>
  <si>
    <t>PROJCS["NAD83(CSRS98) / MTM zone 5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-64.5],PARAMETER["scale_factor",0.9999],PARAMETER["false_easting",304800],PARAMETER["false_northing",0],UNIT["metre",1,AUTHORITY["EPSG","9001"]],AXIS["E(X)",EAST],AXIS["N(Y)",NORTH],AUTHORITY["EPSG","2142"]]</t>
  </si>
  <si>
    <t xml:space="preserve">+proj=tmerc +lat_0=0 +lon_0=-64.5 +k=0.9999 +x_0=304800 +y_0=0 +ellps=GRS80 +towgs84=0,0,0,0,0,0,0 +units=m +no_defs </t>
  </si>
  <si>
    <t>PROJCS["NAD83(CSRS98) / MTM zone 6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-67.5],PARAMETER["scale_factor",0.9999],PARAMETER["false_easting",304800],PARAMETER["false_northing",0],UNIT["metre",1,AUTHORITY["EPSG","9001"]],AXIS["E(X)",EAST],AXIS["N(Y)",NORTH],AUTHORITY["EPSG","2143"]]</t>
  </si>
  <si>
    <t xml:space="preserve">+proj=tmerc +lat_0=0 +lon_0=-67.5 +k=0.9999 +x_0=304800 +y_0=0 +ellps=GRS80 +towgs84=0,0,0,0,0,0,0 +units=m +no_defs </t>
  </si>
  <si>
    <t>PROJCS["NAD83(CSRS98) / MTM zone 7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-70.5],PARAMETER["scale_factor",0.9999],PARAMETER["false_easting",304800],PARAMETER["false_northing",0],UNIT["metre",1,AUTHORITY["EPSG","9001"]],AXIS["E(X)",EAST],AXIS["N(Y)",NORTH],AUTHORITY["EPSG","2144"]]</t>
  </si>
  <si>
    <t xml:space="preserve">+proj=tmerc +lat_0=0 +lon_0=-70.5 +k=0.9999 +x_0=304800 +y_0=0 +ellps=GRS80 +towgs84=0,0,0,0,0,0,0 +units=m +no_defs </t>
  </si>
  <si>
    <t>PROJCS["NAD83(CSRS98) / MTM zone 8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-73.5],PARAMETER["scale_factor",0.9999],PARAMETER["false_easting",304800],PARAMETER["false_northing",0],UNIT["metre",1,AUTHORITY["EPSG","9001"]],AXIS["E(X)",EAST],AXIS["N(Y)",NORTH],AUTHORITY["EPSG","2145"]]</t>
  </si>
  <si>
    <t xml:space="preserve">+proj=tmerc +lat_0=0 +lon_0=-73.5 +k=0.9999 +x_0=304800 +y_0=0 +ellps=GRS80 +towgs84=0,0,0,0,0,0,0 +units=m +no_defs </t>
  </si>
  <si>
    <t>PROJCS["NAD83(CSRS98) / MTM zone 9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-76.5],PARAMETER["scale_factor",0.9999],PARAMETER["false_easting",304800],PARAMETER["false_northing",0],UNIT["metre",1,AUTHORITY["EPSG","9001"]],AXIS["E(X)",EAST],AXIS["N(Y)",NORTH],AUTHORITY["EPSG","2146"]]</t>
  </si>
  <si>
    <t xml:space="preserve">+proj=tmerc +lat_0=0 +lon_0=-76.5 +k=0.9999 +x_0=304800 +y_0=0 +ellps=GRS80 +towgs84=0,0,0,0,0,0,0 +units=m +no_defs </t>
  </si>
  <si>
    <t>PROJCS["NAD83(CSRS98) / MTM zone 10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-79.5],PARAMETER["scale_factor",0.9999],PARAMETER["false_easting",304800],PARAMETER["false_northing",0],UNIT["metre",1,AUTHORITY["EPSG","9001"]],AXIS["E(X)",EAST],AXIS["N(Y)",NORTH],AUTHORITY["EPSG","2147"]]</t>
  </si>
  <si>
    <t xml:space="preserve">+proj=tmerc +lat_0=0 +lon_0=-79.5 +k=0.9999 +x_0=304800 +y_0=0 +ellps=GRS80 +towgs84=0,0,0,0,0,0,0 +units=m +no_defs </t>
  </si>
  <si>
    <t>PROJCS["NAD83(CSRS98) / UTM zone 21N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2148"]]</t>
  </si>
  <si>
    <t xml:space="preserve">+proj=utm +zone=21 +ellps=GRS80 +towgs84=0,0,0,0,0,0,0 +units=m +no_defs </t>
  </si>
  <si>
    <t>PROJCS["NAD83(CSRS98) / UTM zone 18N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2149"]]</t>
  </si>
  <si>
    <t xml:space="preserve">+proj=utm +zone=18 +ellps=GRS80 +towgs84=0,0,0,0,0,0,0 +units=m +no_defs </t>
  </si>
  <si>
    <t>PROJCS["NAD83(CSRS98) / UTM zone 17N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2150"]]</t>
  </si>
  <si>
    <t xml:space="preserve">+proj=utm +zone=17 +ellps=GRS80 +towgs84=0,0,0,0,0,0,0 +units=m +no_defs </t>
  </si>
  <si>
    <t>GEOCCS["GDA94 (geocentric)",DATUM["Geocentric_Datum_of_Australia_1994",SPHEROID["GRS 1980",6378137,298.257222101,AUTHORITY["EPSG","7019"]],AUTHORITY["EPSG","6283"]],PRIMEM["Greenwich",0,AUTHORITY["EPSG","8901"]],UNIT["metre",1,AUTHORITY["EPSG","9001"]],AXIS["Geocentric X",OTHER],AXIS["Geocentric Y",OTHER],AXIS["Geocentric Z",NORTH],AUTHORITY["EPSG","4348"]]</t>
  </si>
  <si>
    <t>PROJCS["NAD83(CSRS98) / UTM zone 13N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2151"]]</t>
  </si>
  <si>
    <t xml:space="preserve">+proj=utm +zone=13 +ellps=GRS80 +towgs84=0,0,0,0,0,0,0 +units=m +no_defs </t>
  </si>
  <si>
    <t>PROJCS["NAD83(CSRS98) / UTM zone 12N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2152"]]</t>
  </si>
  <si>
    <t xml:space="preserve">+proj=utm +zone=12 +ellps=GRS80 +towgs84=0,0,0,0,0,0,0 +units=m +no_defs </t>
  </si>
  <si>
    <t>PROJCS["NAD83(CSRS98) / UTM zone 11N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2153"]]</t>
  </si>
  <si>
    <t xml:space="preserve">+proj=utm +zone=11 +ellps=GRS80 +towgs84=0,0,0,0,0,0,0 +units=m +no_defs </t>
  </si>
  <si>
    <t>PROJCS["RGF93 / Lambert-93",GEOGCS["RGF93",DATUM["Reseau_Geodesique_Francais_1993",SPHEROID["GRS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49],PARAMETER["standard_parallel_2",44],PARAMETER["latitude_of_origin",46.5],PARAMETER["central_meridian",3],PARAMETER["false_easting",700000],PARAMETER["false_northing",6600000],UNIT["metre",1,AUTHORITY["EPSG","9001"]],AXIS["X",EAST],AXIS["Y",NORTH],AUTHORITY["EPSG","2154"]]</t>
  </si>
  <si>
    <t xml:space="preserve">+proj=lcc +lat_1=49 +lat_2=44 +lat_0=46.5 +lon_0=3 +x_0=700000 +y_0=6600000 +ellps=GRS80 +towgs84=0,0,0,0,0,0,0 +units=m +no_defs </t>
  </si>
  <si>
    <t>PROJCS["American Samoa 1962 / American Samoa Lambert (deprecated)",GEOGCS["American Samoa 1962",DATUM["American_Samoa_1962",SPHEROID["Clarke 1866",6378206.4,294.9786982138982,AUTHORITY["EPSG","7008"]],TOWGS84[-115,118,426,0,0,0,0],AUTHORITY["EPSG","6169"]],PRIMEM["Greenwich",0,AUTHORITY["EPSG","8901"]],UNIT["degree",0.0174532925199433,AUTHORITY["EPSG","9122"]],AUTHORITY["EPSG","4169"]],PROJECTION["Lambert_Conformal_Conic_1SP"],PARAMETER["latitude_of_origin",-14.26666666666667],PARAMETER["central_meridian",170],PARAMETER["scale_factor",1],PARAMETER["false_easting",500000],PARAMETER["false_northing",0],UNIT["US survey foot",0.3048006096012192,AUTHORITY["EPSG","9003"]],AXIS["X",EAST],AXIS["Y",NORTH],AUTHORITY["EPSG","2155"]]</t>
  </si>
  <si>
    <t xml:space="preserve">+proj=lcc +lat_1=-14.26666666666667 +lat_0=-14.26666666666667 +lon_0=170 +k_0=1 +x_0=152400.3048006096 +y_0=0 +ellps=clrk66 +towgs84=-115,118,426,0,0,0,0 +units=us-ft +no_defs </t>
  </si>
  <si>
    <t>PROJCS["NAD83(HARN) / UTM zone 59S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2156"]]</t>
  </si>
  <si>
    <t>PROJCS["IRENET95 / Irish Transverse Mercator",GEOGCS["IRENET95",DATUM["IRENET95",SPHEROID["GRS 1980",6378137,298.257222101,AUTHORITY["EPSG","7019"]],TOWGS84[0,0,0,0,0,0,0],AUTHORITY["EPSG","6173"]],PRIMEM["Greenwich",0,AUTHORITY["EPSG","8901"]],UNIT["degree",0.0174532925199433,AUTHORITY["EPSG","9122"]],AUTHORITY["EPSG","4173"]],PROJECTION["Transverse_Mercator"],PARAMETER["latitude_of_origin",53.5],PARAMETER["central_meridian",-8],PARAMETER["scale_factor",0.99982],PARAMETER["false_easting",600000],PARAMETER["false_northing",750000],UNIT["metre",1,AUTHORITY["EPSG","9001"]],AXIS["Easting",EAST],AXIS["Northing",NORTH],AUTHORITY["EPSG","2157"]]</t>
  </si>
  <si>
    <t xml:space="preserve">+proj=tmerc +lat_0=53.5 +lon_0=-8 +k=0.99982 +x_0=600000 +y_0=750000 +ellps=GRS80 +towgs84=0,0,0,0,0,0,0 +units=m +no_defs </t>
  </si>
  <si>
    <t>PROJCS["IRENET95 / UTM zone 29N",GEOGCS["IRENET95",DATUM["IRENET95",SPHEROID["GRS 1980",6378137,298.257222101,AUTHORITY["EPSG","7019"]],TOWGS84[0,0,0,0,0,0,0],AUTHORITY["EPSG","6173"]],PRIMEM["Greenwich",0,AUTHORITY["EPSG","8901"]],UNIT["degree",0.0174532925199433,AUTHORITY["EPSG","9122"]],AUTHORITY["EPSG","4173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2158"]]</t>
  </si>
  <si>
    <t xml:space="preserve">+proj=utm +zone=29 +ellps=GRS80 +towgs84=0,0,0,0,0,0,0 +units=m +no_defs </t>
  </si>
  <si>
    <t>PROJCS["Sierra Leone 1924 / New Colony Grid",GEOGCS["Sierra Leone 1924",DATUM["Sierra_Leone_Colony_1924",SPHEROID["War Office",6378300,296,AUTHORITY["EPSG","7029"]],AUTHORITY["EPSG","6174"]],PRIMEM["Greenwich",0,AUTHORITY["EPSG","8901"]],UNIT["degree",0.0174532925199433,AUTHORITY["EPSG","9122"]],AUTHORITY["EPSG","4174"]],PROJECTION["Transverse_Mercator"],PARAMETER["latitude_of_origin",6.666666666666667],PARAMETER["central_meridian",-12],PARAMETER["scale_factor",1],PARAMETER["false_easting",500000],PARAMETER["false_northing",0],UNIT["Gold Coast foot",0.3047997101815088,AUTHORITY["EPSG","9094"]],AXIS["Easting",EAST],AXIS["Northing",NORTH],AUTHORITY["EPSG","2159"]]</t>
  </si>
  <si>
    <t>GEOCCS["Hartebeesthoek94 (geocentric)",DATUM["Hartebeesthoek94",SPHEROID["WGS 84",6378137,298.257223563,AUTHORITY["EPSG","7030"]],AUTHORITY["EPSG","6148"]],PRIMEM["Greenwich",0,AUTHORITY["EPSG","8901"]],UNIT["metre",1,AUTHORITY["EPSG","9001"]],AXIS["Geocentric X",OTHER],AXIS["Geocentric Y",OTHER],AXIS["Geocentric Z",NORTH],AUTHORITY["EPSG","4350"]]</t>
  </si>
  <si>
    <t>PROJCS["Sierra Leone 1924 / New War Office Grid",GEOGCS["Sierra Leone 1924",DATUM["Sierra_Leone_Colony_1924",SPHEROID["War Office",6378300,296,AUTHORITY["EPSG","7029"]],AUTHORITY["EPSG","6174"]],PRIMEM["Greenwich",0,AUTHORITY["EPSG","8901"]],UNIT["degree",0.0174532925199433,AUTHORITY["EPSG","9122"]],AUTHORITY["EPSG","4174"]],PROJECTION["Transverse_Mercator"],PARAMETER["latitude_of_origin",6.666666666666667],PARAMETER["central_meridian",-12],PARAMETER["scale_factor",1],PARAMETER["false_easting",800000],PARAMETER["false_northing",600000],UNIT["Gold Coast foot",0.3047997101815088,AUTHORITY["EPSG","9094"]],AXIS["Easting",EAST],AXIS["Northing",NORTH],AUTHORITY["EPSG","2160"]]</t>
  </si>
  <si>
    <t>PROJCS["Sierra Leone 1968 / UTM zone 28N",GEOGCS["Sierra Leone 1968",DATUM["Sierra_Leone_1968",SPHEROID["Clarke 1880 (RGS)",6378249.145,293.465,AUTHORITY["EPSG","7012"]],TOWGS84[-88,4,101,0,0,0,0],AUTHORITY["EPSG","6175"]],PRIMEM["Greenwich",0,AUTHORITY["EPSG","8901"]],UNIT["degree",0.0174532925199433,AUTHORITY["EPSG","9122"]],AUTHORITY["EPSG","4175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2161"]]</t>
  </si>
  <si>
    <t xml:space="preserve">+proj=utm +zone=28 +ellps=clrk80 +towgs84=-88,4,101,0,0,0,0 +units=m +no_defs </t>
  </si>
  <si>
    <t>PROJCS["Sierra Leone 1968 / UTM zone 29N",GEOGCS["Sierra Leone 1968",DATUM["Sierra_Leone_1968",SPHEROID["Clarke 1880 (RGS)",6378249.145,293.465,AUTHORITY["EPSG","7012"]],TOWGS84[-88,4,101,0,0,0,0],AUTHORITY["EPSG","6175"]],PRIMEM["Greenwich",0,AUTHORITY["EPSG","8901"]],UNIT["degree",0.0174532925199433,AUTHORITY["EPSG","9122"]],AUTHORITY["EPSG","4175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2162"]]</t>
  </si>
  <si>
    <t xml:space="preserve">+proj=utm +zone=29 +ellps=clrk80 +towgs84=-88,4,101,0,0,0,0 +units=m +no_defs </t>
  </si>
  <si>
    <t>PROJCS["US National Atlas Equal Area",GEOGCS["Unspecified datum based upon the Clarke 1866 Authalic Sphere",DATUM["Not_specified_based_on_Clarke_1866_Authalic_Sphere",SPHEROID["Clarke 1866 Authalic Sphere",6370997,0,AUTHORITY["EPSG","7052"]],AUTHORITY["EPSG","6052"]],PRIMEM["Greenwich",0,AUTHORITY["EPSG","8901"]],UNIT["degree",0.0174532925199433,AUTHORITY["EPSG","9122"]],AUTHORITY["EPSG","4052"]],PROJECTION["Lambert_Azimuthal_Equal_Area"],PARAMETER["latitude_of_center",45],PARAMETER["longitude_of_center",-100],PARAMETER["false_easting",0],PARAMETER["false_northing",0],UNIT["metre",1,AUTHORITY["EPSG","9001"]],AXIS["X",EAST],AXIS["Y",NORTH],AUTHORITY["EPSG","2163"]]</t>
  </si>
  <si>
    <t>PROJCS["Locodjo 1965 / TM 5 NW",GEOGCS["Locodjo 1965",DATUM["Locodjo_1965",SPHEROID["Clarke 1880 (RGS)",6378249.145,293.465,AUTHORITY["EPSG","7012"]],TOWGS84[-125,53,467,0,0,0,0],AUTHORITY["EPSG","6142"]],PRIMEM["Greenwich",0,AUTHORITY["EPSG","8901"]],UNIT["degree",0.0174532925199433,AUTHORITY["EPSG","9122"]],AUTHORITY["EPSG","4142"]],PROJECTION["Transverse_Mercator"],PARAMETER["latitude_of_origin",0],PARAMETER["central_meridian",-5],PARAMETER["scale_factor",0.9996],PARAMETER["false_easting",500000],PARAMETER["false_northing",0],UNIT["metre",1,AUTHORITY["EPSG","9001"]],AXIS["Easting",EAST],AXIS["Northing",NORTH],AUTHORITY["EPSG","2164"]]</t>
  </si>
  <si>
    <t xml:space="preserve">+proj=tmerc +lat_0=0 +lon_0=-5 +k=0.9996 +x_0=500000 +y_0=0 +ellps=clrk80 +towgs84=-125,53,467,0,0,0,0 +units=m +no_defs </t>
  </si>
  <si>
    <t>PROJCS["Abidjan 1987 / TM 5 NW",GEOGCS["Abidjan 1987",DATUM["Abidjan_1987",SPHEROID["Clarke 1880 (RGS)",6378249.145,293.465,AUTHORITY["EPSG","7012"]],TOWGS84[-124.76,53,466.79,0,0,0,0],AUTHORITY["EPSG","6143"]],PRIMEM["Greenwich",0,AUTHORITY["EPSG","8901"]],UNIT["degree",0.0174532925199433,AUTHORITY["EPSG","9122"]],AUTHORITY["EPSG","4143"]],PROJECTION["Transverse_Mercator"],PARAMETER["latitude_of_origin",0],PARAMETER["central_meridian",-5],PARAMETER["scale_factor",0.9996],PARAMETER["false_easting",500000],PARAMETER["false_northing",0],UNIT["metre",1,AUTHORITY["EPSG","9001"]],AXIS["Easting",EAST],AXIS["Northing",NORTH],AUTHORITY["EPSG","2165"]]</t>
  </si>
  <si>
    <t xml:space="preserve">+proj=tmerc +lat_0=0 +lon_0=-5 +k=0.9996 +x_0=500000 +y_0=0 +ellps=clrk80 +towgs84=-124.76,53,466.79,0,0,0,0 +units=m +no_defs </t>
  </si>
  <si>
    <t>PROJCS["Pulkovo 1942(83) / Gauss Kruger zone 3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3500000],PARAMETER["false_northing",0],UNIT["metre",1,AUTHORITY["EPSG","9001"]],AUTHORITY["EPSG","2166"]]</t>
  </si>
  <si>
    <t xml:space="preserve">+proj=tmerc +lat_0=0 +lon_0=9 +k=1 +x_0=3500000 +y_0=0 +ellps=krass +towgs84=26,-121,-78,0,0,0,0 +units=m +no_defs </t>
  </si>
  <si>
    <t>PROJCS["Pulkovo 1942(83) / Gauss Kruger zone 4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12],PARAMETER["scale_factor",1],PARAMETER["false_easting",4500000],PARAMETER["false_northing",0],UNIT["metre",1,AUTHORITY["EPSG","9001"]],AUTHORITY["EPSG","2167"]]</t>
  </si>
  <si>
    <t xml:space="preserve">+proj=tmerc +lat_0=0 +lon_0=12 +k=1 +x_0=4500000 +y_0=0 +ellps=krass +towgs84=26,-121,-78,0,0,0,0 +units=m +no_defs </t>
  </si>
  <si>
    <t>PROJCS["Pulkovo 1942(83) / Gauss Kruger zone 5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5500000],PARAMETER["false_northing",0],UNIT["metre",1,AUTHORITY["EPSG","9001"]],AUTHORITY["EPSG","2168"]]</t>
  </si>
  <si>
    <t xml:space="preserve">+proj=tmerc +lat_0=0 +lon_0=15 +k=1 +x_0=5500000 +y_0=0 +ellps=krass +towgs84=26,-121,-78,0,0,0,0 +units=m +no_defs </t>
  </si>
  <si>
    <t>PROJCS["ETRS89 / Poland CS2000 zone 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0.999923],PARAMETER["false_easting",7500000],PARAMETER["false_northing",0],UNIT["metre",1,AUTHORITY["EPSG","9001"]],AUTHORITY["EPSG","2178"]]</t>
  </si>
  <si>
    <t xml:space="preserve">+proj=tmerc +lat_0=0 +lon_0=21 +k=0.999923 +x_0=7500000 +y_0=0 +ellps=GRS80 +towgs84=0,0,0,0,0,0,0 +units=m +no_defs </t>
  </si>
  <si>
    <t>PROJCS["Luxembourg 1930 / Gauss",GEOGCS["Luxembourg 1930",DATUM["Luxembourg_1930",SPHEROID["International 1924",6378388,297,AUTHORITY["EPSG","7022"]],TOWGS84[-189.6806,18.3463,-42.7695,-0.33746,-3.09264,2.53861,0.4598],AUTHORITY["EPSG","6181"]],PRIMEM["Greenwich",0,AUTHORITY["EPSG","8901"]],UNIT["degree",0.0174532925199433,AUTHORITY["EPSG","9122"]],AUTHORITY["EPSG","4181"]],PROJECTION["Transverse_Mercator"],PARAMETER["latitude_of_origin",49.83333333333334],PARAMETER["central_meridian",6.166666666666667],PARAMETER["scale_factor",1],PARAMETER["false_easting",80000],PARAMETER["false_northing",100000],UNIT["metre",1,AUTHORITY["EPSG","9001"]],AUTHORITY["EPSG","2169"]]</t>
  </si>
  <si>
    <t xml:space="preserve">+proj=tmerc +lat_0=49.83333333333334 +lon_0=6.166666666666667 +k=1 +x_0=80000 +y_0=100000 +ellps=intl +towgs84=-189.6806,18.3463,-42.7695,-0.33746,-3.09264,2.53861,0.4598 +units=m +no_defs </t>
  </si>
  <si>
    <t>PROJCS["MGI / Slovenia Grid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15],PARAMETER["scale_factor",0.9999],PARAMETER["false_easting",500000],PARAMETER["false_northing",0],UNIT["metre",1,AUTHORITY["EPSG","9001"]],AUTHORITY["EPSG","2170"]]</t>
  </si>
  <si>
    <t>PROJCS["Pulkovo 1942(58) / Poland zone I (deprecated)",GEOGCS["Pulkovo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50.625],PARAMETER["central_meridian",21.08333333333333],PARAMETER["scale_factor",0.9998],PARAMETER["false_easting",4637000],PARAMETER["false_northing",5647000],UNIT["metre",1,AUTHORITY["EPSG","9001"]],AUTHORITY["EPSG","2171"]]</t>
  </si>
  <si>
    <t xml:space="preserve">+proj=sterea +lat_0=50.625 +lon_0=21.08333333333333 +k=0.9998 +x_0=4637000 +y_0=5647000 +ellps=krass +towgs84=33.4,-146.6,-76.3,-0.359,-0.053,0.844,-0.84 +units=m +no_defs </t>
  </si>
  <si>
    <t>PROJCS["Pulkovo 1942(58) / Poland zone II",GEOGCS["Pulkovo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53.00194444444445],PARAMETER["central_meridian",21.50277777777778],PARAMETER["scale_factor",0.9998],PARAMETER["false_easting",4603000],PARAMETER["false_northing",5806000],UNIT["metre",1,AUTHORITY["EPSG","9001"]],AUTHORITY["EPSG","2172"]]</t>
  </si>
  <si>
    <t xml:space="preserve">+proj=sterea +lat_0=53.00194444444445 +lon_0=21.50277777777778 +k=0.9998 +x_0=4603000 +y_0=5806000 +ellps=krass +towgs84=33.4,-146.6,-76.3,-0.359,-0.053,0.844,-0.84 +units=m +no_defs </t>
  </si>
  <si>
    <t>PROJCS["Pulkovo 1942(58) / Poland zone III",GEOGCS["Pulkovo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53.58333333333334],PARAMETER["central_meridian",17.00833333333333],PARAMETER["scale_factor",0.9998],PARAMETER["false_easting",3501000],PARAMETER["false_northing",5999000],UNIT["metre",1,AUTHORITY["EPSG","9001"]],AUTHORITY["EPSG","2173"]]</t>
  </si>
  <si>
    <t xml:space="preserve">+proj=sterea +lat_0=53.58333333333334 +lon_0=17.00833333333333 +k=0.9998 +x_0=3501000 +y_0=5999000 +ellps=krass +towgs84=33.4,-146.6,-76.3,-0.359,-0.053,0.844,-0.84 +units=m +no_defs </t>
  </si>
  <si>
    <t>PROJCS["Pulkovo 1942(58) / Poland zone IV",GEOGCS["Pulkovo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51.67083333333333],PARAMETER["central_meridian",16.67222222222222],PARAMETER["scale_factor",0.9998],PARAMETER["false_easting",3703000],PARAMETER["false_northing",5627000],UNIT["metre",1,AUTHORITY["EPSG","9001"]],AUTHORITY["EPSG","2174"]]</t>
  </si>
  <si>
    <t xml:space="preserve">+proj=sterea +lat_0=51.67083333333333 +lon_0=16.67222222222222 +k=0.9998 +x_0=3703000 +y_0=5627000 +ellps=krass +towgs84=33.4,-146.6,-76.3,-0.359,-0.053,0.844,-0.84 +units=m +no_defs </t>
  </si>
  <si>
    <t>PROJCS["Pulkovo 1942(58) / Poland zone V",GEOGCS["Pulkovo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18.95833333333333],PARAMETER["scale_factor",0.999983],PARAMETER["false_easting",237000],PARAMETER["false_northing",-4700000],UNIT["metre",1,AUTHORITY["EPSG","9001"]],AUTHORITY["EPSG","2175"]]</t>
  </si>
  <si>
    <t xml:space="preserve">+proj=tmerc +lat_0=0 +lon_0=18.95833333333333 +k=0.999983 +x_0=237000 +y_0=-4700000 +ellps=krass +towgs84=33.4,-146.6,-76.3,-0.359,-0.053,0.844,-0.84 +units=m +no_defs </t>
  </si>
  <si>
    <t>PROJCS["ETRS89 / Poland CS2000 zone 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0.999923],PARAMETER["false_easting",5500000],PARAMETER["false_northing",0],UNIT["metre",1,AUTHORITY["EPSG","9001"]],AUTHORITY["EPSG","2176"]]</t>
  </si>
  <si>
    <t xml:space="preserve">+proj=tmerc +lat_0=0 +lon_0=15 +k=0.999923 +x_0=5500000 +y_0=0 +ellps=GRS80 +towgs84=0,0,0,0,0,0,0 +units=m +no_defs </t>
  </si>
  <si>
    <t>PROJCS["ETRS89 / Poland CS2000 zone 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18],PARAMETER["scale_factor",0.999923],PARAMETER["false_easting",6500000],PARAMETER["false_northing",0],UNIT["metre",1,AUTHORITY["EPSG","9001"]],AUTHORITY["EPSG","2177"]]</t>
  </si>
  <si>
    <t xml:space="preserve">+proj=tmerc +lat_0=0 +lon_0=18 +k=0.999923 +x_0=6500000 +y_0=0 +ellps=GRS80 +towgs84=0,0,0,0,0,0,0 +units=m +no_defs </t>
  </si>
  <si>
    <t>PROJCS["ETRS89 / Poland CS2000 zone 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24],PARAMETER["scale_factor",0.999923],PARAMETER["false_easting",8500000],PARAMETER["false_northing",0],UNIT["metre",1,AUTHORITY["EPSG","9001"]],AUTHORITY["EPSG","2179"]]</t>
  </si>
  <si>
    <t xml:space="preserve">+proj=tmerc +lat_0=0 +lon_0=24 +k=0.999923 +x_0=8500000 +y_0=0 +ellps=GRS80 +towgs84=0,0,0,0,0,0,0 +units=m +no_defs </t>
  </si>
  <si>
    <t>PROJCS["ETRS89 / Poland CS92",GEOGCS["ETRS89",DATUM["European_Terrestrial_Reference_System_1989",SPHEROID["GRS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19],PARAMETER["scale_factor",0.9993],PARAMETER["false_easting",500000],PARAMETER["false_northing",-5300000],UNIT["metre",1,AUTHORITY["EPSG","9001"]],AUTHORITY["EPSG","2180"]]</t>
  </si>
  <si>
    <t xml:space="preserve">+proj=tmerc +lat_0=0 +lon_0=19 +k=0.9993 +x_0=500000 +y_0=-5300000 +ellps=GRS80 +towgs84=0,0,0,0,0,0,0 +units=m +no_defs </t>
  </si>
  <si>
    <t>PROJCS["Azores Occidental 1939 / UTM zone 25N",GEOGCS["Azores Occidental 1939",DATUM["Azores_Occidental_Islands_1939",SPHEROID["International 1924",6378388,297,AUTHORITY["EPSG","7022"]],TOWGS84[-425,-169,81,0,0,0,0],AUTHORITY["EPSG","6182"]],PRIMEM["Greenwich",0,AUTHORITY["EPSG","8901"]],UNIT["degree",0.0174532925199433,AUTHORITY["EPSG","9122"]],AUTHORITY["EPSG","4182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2188"]]</t>
  </si>
  <si>
    <t xml:space="preserve">+proj=utm +zone=25 +ellps=intl +towgs84=-425,-169,81,0,0,0,0 +units=m +no_defs </t>
  </si>
  <si>
    <t>PROJCS["Azores Central 1948 / UTM zone 26N",GEOGCS["Azores Central 1948",DATUM["Azores_Central_Islands_1948",SPHEROID["International 1924",6378388,297,AUTHORITY["EPSG","7022"]],TOWGS84[-104,167,-38,0,0,0,0],AUTHORITY["EPSG","6183"]],PRIMEM["Greenwich",0,AUTHORITY["EPSG","8901"]],UNIT["degree",0.0174532925199433,AUTHORITY["EPSG","9122"]],AUTHORITY["EPSG","4183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2189"]]</t>
  </si>
  <si>
    <t xml:space="preserve">+proj=utm +zone=26 +ellps=intl +towgs84=-104,167,-38,0,0,0,0 +units=m +no_defs </t>
  </si>
  <si>
    <t>PROJCS["Azores Oriental 1940 / UTM zone 26N",GEOGCS["Azores Oriental 1940",DATUM["Azores_Oriental_Islands_1940",SPHEROID["International 1924",6378388,297,AUTHORITY["EPSG","7022"]],TOWGS84[-203,141,53,0,0,0,0],AUTHORITY["EPSG","6184"]],PRIMEM["Greenwich",0,AUTHORITY["EPSG","8901"]],UNIT["degree",0.0174532925199433,AUTHORITY["EPSG","9122"]],AUTHORITY["EPSG","4184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2190"]]</t>
  </si>
  <si>
    <t xml:space="preserve">+proj=utm +zone=26 +ellps=intl +towgs84=-203,141,53,0,0,0,0 +units=m +no_defs </t>
  </si>
  <si>
    <t>PROJCS["Madeira 1936 / UTM zone 28N (deprecated)",GEOGCS["Madeira 1936",DATUM["Madeira_1936",SPHEROID["International 1924",6378388,297,AUTHORITY["EPSG","7022"]],AUTHORITY["EPSG","6185"]],PRIMEM["Greenwich",0,AUTHORITY["EPSG","8901"]],UNIT["degree",0.0174532925199433,AUTHORITY["EPSG","9108"]],AUTHORITY["EPSG","4185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2191"]]</t>
  </si>
  <si>
    <t>PROJCS["ED50 / France EuroLambert (deprecated)",GEOGCS["ED50",DATUM["European_Datum_1950",SPHEROID["International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Lambert_Conformal_Conic_1SP"],PARAMETER["latitude_of_origin",46.8],PARAMETER["central_meridian",2.337229166666667],PARAMETER["scale_factor",0.99987742],PARAMETER["false_easting",600000],PARAMETER["false_northing",2200000],UNIT["metre",1,AUTHORITY["EPSG","9001"]],AXIS["X",EAST],AXIS["Y",NORTH],AUTHORITY["EPSG","2192"]]</t>
  </si>
  <si>
    <t xml:space="preserve">+proj=lcc +lat_1=46.8 +lat_0=46.8 +lon_0=2.337229166666667 +k_0=0.99987742 +x_0=600000 +y_0=2200000 +ellps=intl +towgs84=-87,-98,-121,0,0,0,0 +units=m +no_defs </t>
  </si>
  <si>
    <t>PROJCS["NZGD2000 / New Zealand Transverse Mercator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173],PARAMETER["scale_factor",0.9996],PARAMETER["false_easting",1600000],PARAMETER["false_northing",10000000],UNIT["metre",1,AUTHORITY["EPSG","9001"]],AUTHORITY["EPSG","2193"]]</t>
  </si>
  <si>
    <t xml:space="preserve">+proj=tmerc +lat_0=0 +lon_0=173 +k=0.9996 +x_0=1600000 +y_0=10000000 +ellps=GRS80 +towgs84=0,0,0,0,0,0,0 +units=m +no_defs </t>
  </si>
  <si>
    <t>PROJCS["American Samoa 1962 / American Samoa Lambert (deprecated)",GEOGCS["American Samoa 1962",DATUM["American_Samoa_1962",SPHEROID["Clarke 1866",6378206.4,294.9786982138982,AUTHORITY["EPSG","7008"]],TOWGS84[-115,118,426,0,0,0,0],AUTHORITY["EPSG","6169"]],PRIMEM["Greenwich",0,AUTHORITY["EPSG","8901"]],UNIT["degree",0.0174532925199433,AUTHORITY["EPSG","9122"]],AUTHORITY["EPSG","4169"]],PROJECTION["Lambert_Conformal_Conic_1SP"],PARAMETER["latitude_of_origin",-14.26666666666667],PARAMETER["central_meridian",-170],PARAMETER["scale_factor",1],PARAMETER["false_easting",500000],PARAMETER["false_northing",0],UNIT["US survey foot",0.3048006096012192,AUTHORITY["EPSG","9003"]],AXIS["X",EAST],AXIS["Y",NORTH],AUTHORITY["EPSG","2194"]]</t>
  </si>
  <si>
    <t xml:space="preserve">+proj=lcc +lat_1=-14.26666666666667 +lat_0=-14.26666666666667 +lon_0=-170 +k_0=1 +x_0=152400.3048006096 +y_0=0 +ellps=clrk66 +towgs84=-115,118,426,0,0,0,0 +units=us-ft +no_defs </t>
  </si>
  <si>
    <t>PROJCS["Xian 1980 / Gauss-Kruger zone 14",GEOGCS["Xian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81],PARAMETER["scale_factor",1],PARAMETER["false_easting",14500000],PARAMETER["false_northing",0],UNIT["metre",1,AUTHORITY["EPSG","9001"]],AUTHORITY["EPSG","2328"]]</t>
  </si>
  <si>
    <t>PROJCS["NAD83(HARN) / UTM zone 2S",GEOGCS["NAD83(HARN)",DATUM["NAD83_High_Accuracy_Reference_Network",SPHEROID["GRS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2195"]]</t>
  </si>
  <si>
    <t xml:space="preserve">+proj=utm +zone=2 +south +ellps=GRS80 +towgs84=0,0,0,0,0,0,0 +units=m +no_defs </t>
  </si>
  <si>
    <t>PROJCS["ETRS89 / Kp2000 Jutland",GEOGCS["ETRS89",DATUM["European_Terrestrial_Reference_System_1989",SPHEROID["GRS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9.5],PARAMETER["scale_factor",0.99995],PARAMETER["false_easting",200000],PARAMETER["false_northing",0],UNIT["metre",1,AUTHORITY["EPSG","9001"]],AXIS["Easting",EAST],AXIS["Northing",NORTH],AUTHORITY["EPSG","2196"]]</t>
  </si>
  <si>
    <t xml:space="preserve">+proj=tmerc +lat_0=0 +lon_0=9.5 +k=0.99995 +x_0=200000 +y_0=0 +ellps=GRS80 +towgs84=0,0,0,0,0,0,0 +units=m +no_defs </t>
  </si>
  <si>
    <t>PROJCS["ETRS89 / Kp2000 Zealand",GEOGCS["ETRS89",DATUM["European_Terrestrial_Reference_System_1989",SPHEROID["GRS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12],PARAMETER["scale_factor",0.99995],PARAMETER["false_easting",500000],PARAMETER["false_northing",0],UNIT["metre",1,AUTHORITY["EPSG","9001"]],AXIS["Easting",EAST],AXIS["Northing",NORTH],AUTHORITY["EPSG","2197"]]</t>
  </si>
  <si>
    <t xml:space="preserve">+proj=tmerc +lat_0=0 +lon_0=12 +k=0.99995 +x_0=500000 +y_0=0 +ellps=GRS80 +towgs84=0,0,0,0,0,0,0 +units=m +no_defs </t>
  </si>
  <si>
    <t>PROJCS["ETRS89 / Kp2000 Bornholm",GEOGCS["ETRS89",DATUM["European_Terrestrial_Reference_System_1989",SPHEROID["GRS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1],PARAMETER["false_easting",900000],PARAMETER["false_northing",0],UNIT["metre",1,AUTHORITY["EPSG","9001"]],AXIS["Easting",EAST],AXIS["Northing",NORTH],AUTHORITY["EPSG","2198"]]</t>
  </si>
  <si>
    <t xml:space="preserve">+proj=tmerc +lat_0=0 +lon_0=15 +k=1 +x_0=900000 +y_0=0 +ellps=GRS80 +towgs84=0,0,0,0,0,0,0 +units=m +no_defs </t>
  </si>
  <si>
    <t>PROJCS["Albanian 1987 / Gauss Kruger zone 4 (deprecated)",GEOGCS["Albanian 1987",DATUM["Albanian_1987",SPHEROID["Krassowsky 1940",6378245,298.3,AUTHORITY["EPSG","7024"]],TOWGS84[-44.183,-0.58,-38.489,2.3867,2.7072,-3.5196,-8.2703],AUTHORITY["EPSG","6191"]],PRIMEM["Greenwich",0,AUTHORITY["EPSG","8901"]],UNIT["degree",0.0174532925199433,AUTHORITY["EPSG","9122"]],AUTHORITY["EPSG","4191"]],PROJECTION["Transverse_Mercator"],PARAMETER["latitude_of_origin",0],PARAMETER["central_meridian",21],PARAMETER["scale_factor",1],PARAMETER["false_easting",4500000],PARAMETER["false_northing",0],UNIT["metre",1,AUTHORITY["EPSG","9001"]],AUTHORITY["EPSG","2199"]]</t>
  </si>
  <si>
    <t xml:space="preserve">+proj=tmerc +lat_0=0 +lon_0=21 +k=1 +x_0=4500000 +y_0=0 +ellps=krass +towgs84=-44.183,-0.58,-38.489,2.3867,2.7072,-3.5196,-8.2703 +units=m +no_defs </t>
  </si>
  <si>
    <t>PROJCS["ATS77 / New Brunswick Stereographic (ATS77)",GEOGCS["ATS77",DATUM["Average_Terrestrial_System_1977",SPHEROID["Average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Oblique_Stereographic"],PARAMETER["latitude_of_origin",46.5],PARAMETER["central_meridian",-66.5],PARAMETER["scale_factor",0.999912],PARAMETER["false_easting",300000],PARAMETER["false_northing",800000],UNIT["metre",1,AUTHORITY["EPSG","9001"]],AUTHORITY["EPSG","2200"]]</t>
  </si>
  <si>
    <t>PROJCS["REGVEN / UTM zone 18N",GEOGCS["REGVEN",DATUM["Red_Geodesica_Venezolana",SPHEROID["GRS 1980",6378137,298.257222101,AUTHORITY["EPSG","7019"]],TOWGS84[0,0,0,0,0,0,0],AUTHORITY["EPSG","6189"]],PRIMEM["Greenwich",0,AUTHORITY["EPSG","8901"]],UNIT["degree",0.0174532925199433,AUTHORITY["EPSG","9122"]],AUTHORITY["EPSG","4189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2201"]]</t>
  </si>
  <si>
    <t>PROJCS["REGVEN / UTM zone 19N",GEOGCS["REGVEN",DATUM["Red_Geodesica_Venezolana",SPHEROID["GRS 1980",6378137,298.257222101,AUTHORITY["EPSG","7019"]],TOWGS84[0,0,0,0,0,0,0],AUTHORITY["EPSG","6189"]],PRIMEM["Greenwich",0,AUTHORITY["EPSG","8901"]],UNIT["degree",0.0174532925199433,AUTHORITY["EPSG","9122"]],AUTHORITY["EPSG","4189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2202"]]</t>
  </si>
  <si>
    <t>PROJCS["REGVEN / UTM zone 20N",GEOGCS["REGVEN",DATUM["Red_Geodesica_Venezolana",SPHEROID["GRS 1980",6378137,298.257222101,AUTHORITY["EPSG","7019"]],TOWGS84[0,0,0,0,0,0,0],AUTHORITY["EPSG","6189"]],PRIMEM["Greenwich",0,AUTHORITY["EPSG","8901"]],UNIT["degree",0.0174532925199433,AUTHORITY["EPSG","9122"]],AUTHORITY["EPSG","4189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2203"]]</t>
  </si>
  <si>
    <t>PROJCS["NAD27 / Tennessee",GEOGCS["NAD27",DATUM["North_American_Datum_1927",SPHEROID["Clarke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35.25],PARAMETER["standard_parallel_2",36.41666666666666],PARAMETER["latitude_of_origin",34.66666666666666],PARAMETER["central_meridian",-86],PARAMETER["false_easting",2000000],PARAMETER["false_northing",100000],UNIT["US survey foot",0.3048006096012192,AUTHORITY["EPSG","9003"]],AXIS["X",EAST],AXIS["Y",NORTH],AUTHORITY["EPSG","2204"]]</t>
  </si>
  <si>
    <t>PROJCS["NAD83 / Kentucky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38.96666666666667],PARAMETER["latitude_of_origin",37.5],PARAMETER["central_meridian",-84.25],PARAMETER["false_easting",500000],PARAMETER["false_northing",0],UNIT["metre",1,AUTHORITY["EPSG","9001"]],AXIS["X",EAST],AXIS["Y",NORTH],AUTHORITY["EPSG","2205"]]</t>
  </si>
  <si>
    <t>PROJCS["ED50 / 3-degree Gauss-Kruger zone 9",GEOGCS["ED50",DATUM["European_Datum_1950",SPHEROID["International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27],PARAMETER["scale_factor",1],PARAMETER["false_easting",9500000],PARAMETER["false_northing",0],UNIT["metre",1,AUTHORITY["EPSG","9001"]],AUTHORITY["EPSG","2206"]]</t>
  </si>
  <si>
    <t xml:space="preserve">+proj=tmerc +lat_0=0 +lon_0=27 +k=1 +x_0=9500000 +y_0=0 +ellps=intl +towgs84=-87,-98,-121,0,0,0,0 +units=m +no_defs </t>
  </si>
  <si>
    <t>PROJCS["ED50 / 3-degree Gauss-Kruger zone 10",GEOGCS["ED50",DATUM["European_Datum_1950",SPHEROID["International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30],PARAMETER["scale_factor",1],PARAMETER["false_easting",10500000],PARAMETER["false_northing",0],UNIT["metre",1,AUTHORITY["EPSG","9001"]],AUTHORITY["EPSG","2207"]]</t>
  </si>
  <si>
    <t xml:space="preserve">+proj=tmerc +lat_0=0 +lon_0=30 +k=1 +x_0=10500000 +y_0=0 +ellps=intl +towgs84=-87,-98,-121,0,0,0,0 +units=m +no_defs </t>
  </si>
  <si>
    <t>PROJCS["ED50 / 3-degree Gauss-Kruger zone 11",GEOGCS["ED50",DATUM["European_Datum_1950",SPHEROID["International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33],PARAMETER["scale_factor",1],PARAMETER["false_easting",11500000],PARAMETER["false_northing",0],UNIT["metre",1,AUTHORITY["EPSG","9001"]],AUTHORITY["EPSG","2208"]]</t>
  </si>
  <si>
    <t xml:space="preserve">+proj=tmerc +lat_0=0 +lon_0=33 +k=1 +x_0=11500000 +y_0=0 +ellps=intl +towgs84=-87,-98,-121,0,0,0,0 +units=m +no_defs </t>
  </si>
  <si>
    <t>PROJCS["ED50 / 3-degree Gauss-Kruger zone 12",GEOGCS["ED50",DATUM["European_Datum_1950",SPHEROID["International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36],PARAMETER["scale_factor",1],PARAMETER["false_easting",12500000],PARAMETER["false_northing",0],UNIT["metre",1,AUTHORITY["EPSG","9001"]],AUTHORITY["EPSG","2209"]]</t>
  </si>
  <si>
    <t xml:space="preserve">+proj=tmerc +lat_0=0 +lon_0=36 +k=1 +x_0=12500000 +y_0=0 +ellps=intl +towgs84=-87,-98,-121,0,0,0,0 +units=m +no_defs </t>
  </si>
  <si>
    <t>PROJCS["ED50 / 3-degree Gauss-Kruger zone 13",GEOGCS["ED50",DATUM["European_Datum_1950",SPHEROID["International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39],PARAMETER["scale_factor",1],PARAMETER["false_easting",13500000],PARAMETER["false_northing",0],UNIT["metre",1,AUTHORITY["EPSG","9001"]],AUTHORITY["EPSG","2210"]]</t>
  </si>
  <si>
    <t xml:space="preserve">+proj=tmerc +lat_0=0 +lon_0=39 +k=1 +x_0=13500000 +y_0=0 +ellps=intl +towgs84=-87,-98,-121,0,0,0,0 +units=m +no_defs </t>
  </si>
  <si>
    <t>PROJCS["ED50 / 3-degree Gauss-Kruger zone 14",GEOGCS["ED50",DATUM["European_Datum_1950",SPHEROID["International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42],PARAMETER["scale_factor",1],PARAMETER["false_easting",14500000],PARAMETER["false_northing",0],UNIT["metre",1,AUTHORITY["EPSG","9001"]],AUTHORITY["EPSG","2211"]]</t>
  </si>
  <si>
    <t xml:space="preserve">+proj=tmerc +lat_0=0 +lon_0=42 +k=1 +x_0=14500000 +y_0=0 +ellps=intl +towgs84=-87,-98,-121,0,0,0,0 +units=m +no_defs </t>
  </si>
  <si>
    <t>PROJCS["ED50 / 3-degree Gauss-Kruger zone 15",GEOGCS["ED50",DATUM["European_Datum_1950",SPHEROID["International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45],PARAMETER["scale_factor",1],PARAMETER["false_easting",15500000],PARAMETER["false_northing",0],UNIT["metre",1,AUTHORITY["EPSG","9001"]],AUTHORITY["EPSG","2212"]]</t>
  </si>
  <si>
    <t xml:space="preserve">+proj=tmerc +lat_0=0 +lon_0=45 +k=1 +x_0=15500000 +y_0=0 +ellps=intl +towgs84=-87,-98,-121,0,0,0,0 +units=m +no_defs </t>
  </si>
  <si>
    <t>PROJCS["ETRS89 / TM 30 NE",GEOGCS["ETRS89",DATUM["European_Terrestrial_Reference_System_1989",SPHEROID["GRS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30],PARAMETER["scale_factor",0.9996],PARAMETER["false_easting",500000],PARAMETER["false_northing",0],UNIT["metre",1,AUTHORITY["EPSG","9001"]],AXIS["Easting",EAST],AXIS["Northing",NORTH],AUTHORITY["EPSG","2213"]]</t>
  </si>
  <si>
    <t xml:space="preserve">+proj=tmerc +lat_0=0 +lon_0=30 +k=0.9996 +x_0=500000 +y_0=0 +ellps=GRS80 +towgs84=0,0,0,0,0,0,0 +units=m +no_defs </t>
  </si>
  <si>
    <t>PROJCS["Douala 1948 / AOF west (deprecated)",GEOGCS["Douala 1948",DATUM["Douala_1948",SPHEROID["International 1924",6378388,297,AUTHORITY["EPSG","7022"]],TOWGS84[-206.1,-174.7,-87.7,0,0,0,0],AUTHORITY["EPSG","6192"]],PRIMEM["Greenwich",0,AUTHORITY["EPSG","8901"]],UNIT["degree",0.0174532925199433,AUTHORITY["EPSG","9122"]],AUTHORITY["EPSG","4192"]],PROJECTION["Transverse_Mercator"],PARAMETER["latitude_of_origin",0],PARAMETER["central_meridian",10.5],PARAMETER["scale_factor",0.999],PARAMETER["false_easting",1000000],PARAMETER["false_northing",1000000],UNIT["metre",1,AUTHORITY["EPSG","9001"]],AXIS["Easting",EAST],AXIS["Northing",NORTH],AUTHORITY["EPSG","2214"]]</t>
  </si>
  <si>
    <t xml:space="preserve">+proj=tmerc +lat_0=0 +lon_0=10.5 +k=0.999 +x_0=1000000 +y_0=1000000 +ellps=intl +towgs84=-206.1,-174.7,-87.7,0,0,0,0 +units=m +no_defs </t>
  </si>
  <si>
    <t>PROJCS["Manoca 1962 / UTM zone 32N",GEOGCS["Manoca 1962",DATUM["Manoca_1962",SPHEROID["Clarke 1880 (IGN)",6378249.2,293.4660212936269,AUTHORITY["EPSG","7011"]],TOWGS84[-70.9,-151.8,-41.4,0,0,0,0],AUTHORITY["EPSG","6193"]],PRIMEM["Greenwich",0,AUTHORITY["EPSG","8901"]],UNIT["degree",0.0174532925199433,AUTHORITY["EPSG","9122"]],AUTHORITY["EPSG","4193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2215"]]</t>
  </si>
  <si>
    <t xml:space="preserve">+proj=utm +zone=32 +a=6378249.2 +b=6356515 +towgs84=-70.9,-151.8,-41.4,0,0,0,0 +units=m +no_defs </t>
  </si>
  <si>
    <t>PROJCS["Qornoq 1927 / UTM zone 22N",GEOGCS["Qornoq 1927",DATUM["Qornoq_1927",SPHEROID["International 1924",6378388,297,AUTHORITY["EPSG","7022"]],TOWGS84[164,138,-189,0,0,0,0],AUTHORITY["EPSG","6194"]],PRIMEM["Greenwich",0,AUTHORITY["EPSG","8901"]],UNIT["degree",0.0174532925199433,AUTHORITY["EPSG","9122"]],AUTHORITY["EPSG","4194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2216"]]</t>
  </si>
  <si>
    <t xml:space="preserve">+proj=utm +zone=22 +ellps=intl +towgs84=164,138,-189,0,0,0,0 +units=m +no_defs </t>
  </si>
  <si>
    <t>PROJCS["Qornoq 1927 / UTM zone 23N",GEOGCS["Qornoq 1927",DATUM["Qornoq_1927",SPHEROID["International 1924",6378388,297,AUTHORITY["EPSG","7022"]],TOWGS84[164,138,-189,0,0,0,0],AUTHORITY["EPSG","6194"]],PRIMEM["Greenwich",0,AUTHORITY["EPSG","8901"]],UNIT["degree",0.0174532925199433,AUTHORITY["EPSG","9122"]],AUTHORITY["EPSG","4194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2217"]]</t>
  </si>
  <si>
    <t xml:space="preserve">+proj=utm +zone=23 +ellps=intl +towgs84=164,138,-189,0,0,0,0 +units=m +no_defs </t>
  </si>
  <si>
    <t>PROJCS["ATS77 / UTM zone 19N",GEOGCS["ATS77",DATUM["Average_Terrestrial_System_1977",SPHEROID["Average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2219"]]</t>
  </si>
  <si>
    <t>PROJCS["ATS77 / UTM zone 20N",GEOGCS["ATS77",DATUM["Average_Terrestrial_System_1977",SPHEROID["Average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2220"]]</t>
  </si>
  <si>
    <t>PROJCS["NAD83 / Arizona East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-110.1666666666667],PARAMETER["scale_factor",0.9999],PARAMETER["false_easting",700000],PARAMETER["false_northing",0],UNIT["foot",0.3048,AUTHORITY["EPSG","9002"]],AXIS["X",EAST],AXIS["Y",NORTH],AUTHORITY["EPSG","2222"]]</t>
  </si>
  <si>
    <t>PROJCS["NAD83 / Arizona Central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-111.9166666666667],PARAMETER["scale_factor",0.9999],PARAMETER["false_easting",700000],PARAMETER["false_northing",0],UNIT["foot",0.3048,AUTHORITY["EPSG","9002"]],AXIS["X",EAST],AXIS["Y",NORTH],AUTHORITY["EPSG","2223"]]</t>
  </si>
  <si>
    <t>PROJCS["NAD83 / Arizona West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-113.75],PARAMETER["scale_factor",0.999933333],PARAMETER["false_easting",700000],PARAMETER["false_northing",0],UNIT["foot",0.3048,AUTHORITY["EPSG","9002"]],AXIS["X",EAST],AXIS["Y",NORTH],AUTHORITY["EPSG","2224"]]</t>
  </si>
  <si>
    <t>PROJCS["NAD83 / California zone 1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41.66666666666666],PARAMETER["standard_parallel_2",40],PARAMETER["latitude_of_origin",39.33333333333334],PARAMETER["central_meridian",-122],PARAMETER["false_easting",6561666.667],PARAMETER["false_northing",1640416.667],UNIT["US survey foot",0.3048006096012192,AUTHORITY["EPSG","9003"]],AXIS["X",EAST],AXIS["Y",NORTH],AUTHORITY["EPSG","2225"]]</t>
  </si>
  <si>
    <t>PROJCS["NAD83 / Idaho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-115.75],PARAMETER["scale_factor",0.999933333],PARAMETER["false_easting",2624666.667],PARAMETER["false_northing",0],UNIT["US survey foot",0.3048006096012192,AUTHORITY["EPSG","9003"]],AXIS["X",EAST],AXIS["Y",NORTH],AUTHORITY["EPSG","2243"]]</t>
  </si>
  <si>
    <t>PROJCS["NAD83 / California zone 2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39.83333333333334],PARAMETER["standard_parallel_2",38.33333333333334],PARAMETER["latitude_of_origin",37.66666666666666],PARAMETER["central_meridian",-122],PARAMETER["false_easting",6561666.667],PARAMETER["false_northing",1640416.667],UNIT["US survey foot",0.3048006096012192,AUTHORITY["EPSG","9003"]],AXIS["X",EAST],AXIS["Y",NORTH],AUTHORITY["EPSG","2226"]]</t>
  </si>
  <si>
    <t>PROJCS["NAD83 / California zone 3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38.43333333333333],PARAMETER["standard_parallel_2",37.06666666666667],PARAMETER["latitude_of_origin",36.5],PARAMETER["central_meridian",-120.5],PARAMETER["false_easting",6561666.667],PARAMETER["false_northing",1640416.667],UNIT["US survey foot",0.3048006096012192,AUTHORITY["EPSG","9003"]],AXIS["X",EAST],AXIS["Y",NORTH],AUTHORITY["EPSG","2227"]]</t>
  </si>
  <si>
    <t>PROJCS["NAD83 / California zone 4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37.25],PARAMETER["standard_parallel_2",36],PARAMETER["latitude_of_origin",35.33333333333334],PARAMETER["central_meridian",-119],PARAMETER["false_easting",6561666.667],PARAMETER["false_northing",1640416.667],UNIT["US survey foot",0.3048006096012192,AUTHORITY["EPSG","9003"]],AXIS["X",EAST],AXIS["Y",NORTH],AUTHORITY["EPSG","2228"]]</t>
  </si>
  <si>
    <t>PROJCS["NAD83 / California zone 5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35.46666666666667],PARAMETER["standard_parallel_2",34.03333333333333],PARAMETER["latitude_of_origin",33.5],PARAMETER["central_meridian",-118],PARAMETER["false_easting",6561666.667],PARAMETER["false_northing",1640416.667],UNIT["US survey foot",0.3048006096012192,AUTHORITY["EPSG","9003"]],AXIS["X",EAST],AXIS["Y",NORTH],AUTHORITY["EPSG","2229"]]</t>
  </si>
  <si>
    <t>PROJCS["NAD83 / California zone 6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33.88333333333333],PARAMETER["standard_parallel_2",32.78333333333333],PARAMETER["latitude_of_origin",32.16666666666666],PARAMETER["central_meridian",-116.25],PARAMETER["false_easting",6561666.667],PARAMETER["false_northing",1640416.667],UNIT["US survey foot",0.3048006096012192,AUTHORITY["EPSG","9003"]],AXIS["X",EAST],AXIS["Y",NORTH],AUTHORITY["EPSG","2230"]]</t>
  </si>
  <si>
    <t>PROJCS["NAD83 / Colorado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40.78333333333333],PARAMETER["standard_parallel_2",39.71666666666667],PARAMETER["latitude_of_origin",39.33333333333334],PARAMETER["central_meridian",-105.5],PARAMETER["false_easting",3000000],PARAMETER["false_northing",1000000],UNIT["US survey foot",0.3048006096012192,AUTHORITY["EPSG","9003"]],AXIS["X",EAST],AXIS["Y",NORTH],AUTHORITY["EPSG","2231"]]</t>
  </si>
  <si>
    <t>PROJCS["NAD83 / Colorado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39.75],PARAMETER["standard_parallel_2",38.45],PARAMETER["latitude_of_origin",37.83333333333334],PARAMETER["central_meridian",-105.5],PARAMETER["false_easting",3000000],PARAMETER["false_northing",1000000],UNIT["US survey foot",0.3048006096012192,AUTHORITY["EPSG","9003"]],AXIS["X",EAST],AXIS["Y",NORTH],AUTHORITY["EPSG","2232"]]</t>
  </si>
  <si>
    <t>PROJCS["NAD83 / Colorado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38.43333333333333],PARAMETER["standard_parallel_2",37.23333333333333],PARAMETER["latitude_of_origin",36.66666666666666],PARAMETER["central_meridian",-105.5],PARAMETER["false_easting",3000000],PARAMETER["false_northing",1000000],UNIT["US survey foot",0.3048006096012192,AUTHORITY["EPSG","9003"]],AXIS["X",EAST],AXIS["Y",NORTH],AUTHORITY["EPSG","2233"]]</t>
  </si>
  <si>
    <t>PROJCS["NAD83 / Connecticut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41.86666666666667],PARAMETER["standard_parallel_2",41.2],PARAMETER["latitude_of_origin",40.83333333333334],PARAMETER["central_meridian",-72.75],PARAMETER["false_easting",1000000],PARAMETER["false_northing",500000],UNIT["US survey foot",0.3048006096012192,AUTHORITY["EPSG","9003"]],AXIS["X",EAST],AXIS["Y",NORTH],AUTHORITY["EPSG","2234"]]</t>
  </si>
  <si>
    <t>PROJCS["NAD83 / Delaware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38],PARAMETER["central_meridian",-75.41666666666667],PARAMETER["scale_factor",0.999995],PARAMETER["false_easting",656166.667],PARAMETER["false_northing",0],UNIT["US survey foot",0.3048006096012192,AUTHORITY["EPSG","9003"]],AXIS["X",EAST],AXIS["Y",NORTH],AUTHORITY["EPSG","2235"]]</t>
  </si>
  <si>
    <t>PROJCS["NAD83 / Florida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24.33333333333333],PARAMETER["central_meridian",-81],PARAMETER["scale_factor",0.999941177],PARAMETER["false_easting",656166.667],PARAMETER["false_northing",0],UNIT["US survey foot",0.3048006096012192,AUTHORITY["EPSG","9003"]],AXIS["X",EAST],AXIS["Y",NORTH],AUTHORITY["EPSG","2236"]]</t>
  </si>
  <si>
    <t>PROJCS["NAD83 / Florida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24.33333333333333],PARAMETER["central_meridian",-82],PARAMETER["scale_factor",0.999941177],PARAMETER["false_easting",656166.667],PARAMETER["false_northing",0],UNIT["US survey foot",0.3048006096012192,AUTHORITY["EPSG","9003"]],AXIS["X",EAST],AXIS["Y",NORTH],AUTHORITY["EPSG","2237"]]</t>
  </si>
  <si>
    <t>PROJCS["NAD83 / Florida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30.75],PARAMETER["standard_parallel_2",29.58333333333333],PARAMETER["latitude_of_origin",29],PARAMETER["central_meridian",-84.5],PARAMETER["false_easting",1968500],PARAMETER["false_northing",0],UNIT["US survey foot",0.3048006096012192,AUTHORITY["EPSG","9003"]],AXIS["X",EAST],AXIS["Y",NORTH],AUTHORITY["EPSG","2238"]]</t>
  </si>
  <si>
    <t>PROJCS["NAD83 / Georgia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-82.16666666666667],PARAMETER["scale_factor",0.9999],PARAMETER["false_easting",656166.667],PARAMETER["false_northing",0],UNIT["US survey foot",0.3048006096012192,AUTHORITY["EPSG","9003"]],AXIS["X",EAST],AXIS["Y",NORTH],AUTHORITY["EPSG","2239"]]</t>
  </si>
  <si>
    <t>PROJCS["NAD83 / Georgia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-84.16666666666667],PARAMETER["scale_factor",0.9999],PARAMETER["false_easting",2296583.333],PARAMETER["false_northing",0],UNIT["US survey foot",0.3048006096012192,AUTHORITY["EPSG","9003"]],AXIS["X",EAST],AXIS["Y",NORTH],AUTHORITY["EPSG","2240"]]</t>
  </si>
  <si>
    <t>PROJCS["NAD83 / Idaho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-112.1666666666667],PARAMETER["scale_factor",0.999947368],PARAMETER["false_easting",656166.667],PARAMETER["false_northing",0],UNIT["US survey foot",0.3048006096012192,AUTHORITY["EPSG","9003"]],AXIS["X",EAST],AXIS["Y",NORTH],AUTHORITY["EPSG","2241"]]</t>
  </si>
  <si>
    <t>PROJCS["NAD83 / Idaho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-114],PARAMETER["scale_factor",0.999947368],PARAMETER["false_easting",1640416.667],PARAMETER["false_northing",0],UNIT["US survey foot",0.3048006096012192,AUTHORITY["EPSG","9003"]],AXIS["X",EAST],AXIS["Y",NORTH],AUTHORITY["EPSG","2242"]]</t>
  </si>
  <si>
    <t>PROJCS["NAD83 / Indiana East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-85.66666666666667],PARAMETER["scale_factor",0.999966667],PARAMETER["false_easting",328083.333],PARAMETER["false_northing",818125],UNIT["US survey foot",0.3048006096012192,AUTHORITY["EPSG","9003"]],AXIS["X",EAST],AXIS["Y",NORTH],AUTHORITY["EPSG","2244"]]</t>
  </si>
  <si>
    <t>PROJCS["NAD83 / Indiana West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-87.08333333333333],PARAMETER["scale_factor",0.999966667],PARAMETER["false_easting",2952750],PARAMETER["false_northing",818125],UNIT["US survey foot",0.3048006096012192,AUTHORITY["EPSG","9003"]],AXIS["X",EAST],AXIS["Y",NORTH],AUTHORITY["EPSG","2245"]]</t>
  </si>
  <si>
    <t>PROJCS["NAD83 / Kentucky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38.96666666666667],PARAMETER["latitude_of_origin",37.5],PARAMETER["central_meridian",-84.25],PARAMETER["false_easting",1640416.667],PARAMETER["false_northing",0],UNIT["US survey foot",0.3048006096012192,AUTHORITY["EPSG","9003"]],AXIS["X",EAST],AXIS["Y",NORTH],AUTHORITY["EPSG","2246"]]</t>
  </si>
  <si>
    <t>PROJCS["NAD83 / Kentucky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37.93333333333333],PARAMETER["standard_parallel_2",36.73333333333333],PARAMETER["latitude_of_origin",36.33333333333334],PARAMETER["central_meridian",-85.75],PARAMETER["false_easting",1640416.667],PARAMETER["false_northing",1640416.667],UNIT["US survey foot",0.3048006096012192,AUTHORITY["EPSG","9003"]],AXIS["X",EAST],AXIS["Y",NORTH],AUTHORITY["EPSG","2247"]]</t>
  </si>
  <si>
    <t>PROJCS["NAD83 / Maryland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39.45],PARAMETER["standard_parallel_2",38.3],PARAMETER["latitude_of_origin",37.66666666666666],PARAMETER["central_meridian",-77],PARAMETER["false_easting",1312333.333],PARAMETER["false_northing",0],UNIT["US survey foot",0.3048006096012192,AUTHORITY["EPSG","9003"]],AXIS["X",EAST],AXIS["Y",NORTH],AUTHORITY["EPSG","2248"]]</t>
  </si>
  <si>
    <t>PROJCS["NAD83 / Massachusetts Mainland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42.68333333333333],PARAMETER["standard_parallel_2",41.71666666666667],PARAMETER["latitude_of_origin",41],PARAMETER["central_meridian",-71.5],PARAMETER["false_easting",656166.667],PARAMETER["false_northing",2460625],UNIT["US survey foot",0.3048006096012192,AUTHORITY["EPSG","9003"]],AXIS["X",EAST],AXIS["Y",NORTH],AUTHORITY["EPSG","2249"]]</t>
  </si>
  <si>
    <t>PROJCS["NAD83 / Massachusetts Island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41.48333333333333],PARAMETER["standard_parallel_2",41.28333333333333],PARAMETER["latitude_of_origin",41],PARAMETER["central_meridian",-70.5],PARAMETER["false_easting",1640416.667],PARAMETER["false_northing",0],UNIT["US survey foot",0.3048006096012192,AUTHORITY["EPSG","9003"]],AXIS["X",EAST],AXIS["Y",NORTH],AUTHORITY["EPSG","2250"]]</t>
  </si>
  <si>
    <t>PROJCS["NAD83 / Michigan North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47.08333333333334],PARAMETER["standard_parallel_2",45.48333333333333],PARAMETER["latitude_of_origin",44.78333333333333],PARAMETER["central_meridian",-87],PARAMETER["false_easting",26246719.16],PARAMETER["false_northing",0],UNIT["foot",0.3048,AUTHORITY["EPSG","9002"]],AXIS["X",EAST],AXIS["Y",NORTH],AUTHORITY["EPSG","2251"]]</t>
  </si>
  <si>
    <t>GEOCCS["IRENET95 (geocentric)",DATUM["IRENET95",SPHEROID["GRS 1980",6378137,298.257222101,AUTHORITY["EPSG","7019"]],AUTHORITY["EPSG","6173"]],PRIMEM["Greenwich",0,AUTHORITY["EPSG","8901"]],UNIT["metre",1,AUTHORITY["EPSG","9001"]],AXIS["Geocentric X",OTHER],AXIS["Geocentric Y",OTHER],AXIS["Geocentric Z",NORTH],AUTHORITY["EPSG","4352"]]</t>
  </si>
  <si>
    <t>PROJCS["NAD83 / Michigan Central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45.7],PARAMETER["standard_parallel_2",44.18333333333333],PARAMETER["latitude_of_origin",43.31666666666667],PARAMETER["central_meridian",-84.36666666666666],PARAMETER["false_easting",19685039.37],PARAMETER["false_northing",0],UNIT["foot",0.3048,AUTHORITY["EPSG","9002"]],AXIS["X",EAST],AXIS["Y",NORTH],AUTHORITY["EPSG","2252"]]</t>
  </si>
  <si>
    <t>PROJCS["NAD83 / Michigan South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43.66666666666666],PARAMETER["standard_parallel_2",42.1],PARAMETER["latitude_of_origin",41.5],PARAMETER["central_meridian",-84.36666666666666],PARAMETER["false_easting",13123359.58],PARAMETER["false_northing",0],UNIT["foot",0.3048,AUTHORITY["EPSG","9002"]],AXIS["X",EAST],AXIS["Y",NORTH],AUTHORITY["EPSG","2253"]]</t>
  </si>
  <si>
    <t>PROJCS["NAD83 / Mississippi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29.5],PARAMETER["central_meridian",-88.83333333333333],PARAMETER["scale_factor",0.99995],PARAMETER["false_easting",984250.0000000002],PARAMETER["false_northing",0],UNIT["US survey foot",0.3048006096012192,AUTHORITY["EPSG","9003"]],AXIS["X",EAST],AXIS["Y",NORTH],AUTHORITY["EPSG","2254"]]</t>
  </si>
  <si>
    <t>PROJCS["NAD83 / Mississippi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29.5],PARAMETER["central_meridian",-90.33333333333333],PARAMETER["scale_factor",0.99995],PARAMETER["false_easting",2296583.333],PARAMETER["false_northing",0],UNIT["US survey foot",0.3048006096012192,AUTHORITY["EPSG","9003"]],AXIS["X",EAST],AXIS["Y",NORTH],AUTHORITY["EPSG","2255"]]</t>
  </si>
  <si>
    <t>PROJCS["NAD83 / Montana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49],PARAMETER["standard_parallel_2",45],PARAMETER["latitude_of_origin",44.25],PARAMETER["central_meridian",-109.5],PARAMETER["false_easting",1968503.937],PARAMETER["false_northing",0],UNIT["foot",0.3048,AUTHORITY["EPSG","9002"]],AXIS["X",EAST],AXIS["Y",NORTH],AUTHORITY["EPSG","2256"]]</t>
  </si>
  <si>
    <t>PROJCS["NAD83 / New Mexico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-104.3333333333333],PARAMETER["scale_factor",0.999909091],PARAMETER["false_easting",541337.5],PARAMETER["false_northing",0],UNIT["US survey foot",0.3048006096012192,AUTHORITY["EPSG","9003"]],AXIS["X",EAST],AXIS["Y",NORTH],AUTHORITY["EPSG","2257"]]</t>
  </si>
  <si>
    <t>PROJCS["NAD83 / New Mexico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-106.25],PARAMETER["scale_factor",0.9999],PARAMETER["false_easting",1640416.667],PARAMETER["false_northing",0],UNIT["US survey foot",0.3048006096012192,AUTHORITY["EPSG","9003"]],AXIS["X",EAST],AXIS["Y",NORTH],AUTHORITY["EPSG","2258"]]</t>
  </si>
  <si>
    <t>PROJCS["NAD83 / New Mexico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-107.8333333333333],PARAMETER["scale_factor",0.999916667],PARAMETER["false_easting",2723091.667],PARAMETER["false_northing",0],UNIT["US survey foot",0.3048006096012192,AUTHORITY["EPSG","9003"]],AXIS["X",EAST],AXIS["Y",NORTH],AUTHORITY["EPSG","2259"]]</t>
  </si>
  <si>
    <t>PROJCS["NAD83 / New York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foot",0.3048006096012192,AUTHORITY["EPSG","9003"]],AXIS["X",EAST],AXIS["Y",NORTH],AUTHORITY["EPSG","2260"]]</t>
  </si>
  <si>
    <t>PROJCS["NAD83 / New York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40],PARAMETER["central_meridian",-76.58333333333333],PARAMETER["scale_factor",0.9999375],PARAMETER["false_easting",820208.3330000002],PARAMETER["false_northing",0],UNIT["US survey foot",0.3048006096012192,AUTHORITY["EPSG","9003"]],AXIS["X",EAST],AXIS["Y",NORTH],AUTHORITY["EPSG","2261"]]</t>
  </si>
  <si>
    <t>PROJCS["NAD83 / New York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40],PARAMETER["central_meridian",-78.58333333333333],PARAMETER["scale_factor",0.9999375],PARAMETER["false_easting",1148291.667],PARAMETER["false_northing",0],UNIT["US survey foot",0.3048006096012192,AUTHORITY["EPSG","9003"]],AXIS["X",EAST],AXIS["Y",NORTH],AUTHORITY["EPSG","2262"]]</t>
  </si>
  <si>
    <t>PROJCS["NAD83 / New York Long Island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41.03333333333333],PARAMETER["standard_parallel_2",40.66666666666666],PARAMETER["latitude_of_origin",40.16666666666666],PARAMETER["central_meridian",-74],PARAMETER["false_easting",984250.0000000002],PARAMETER["false_northing",0],UNIT["US survey foot",0.3048006096012192,AUTHORITY["EPSG","9003"]],AXIS["X",EAST],AXIS["Y",NORTH],AUTHORITY["EPSG","2263"]]</t>
  </si>
  <si>
    <t>PROJCS["NAD83 / North Carolina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36.16666666666666],PARAMETER["standard_parallel_2",34.33333333333334],PARAMETER["latitude_of_origin",33.75],PARAMETER["central_meridian",-79],PARAMETER["false_easting",2000000],PARAMETER["false_northing",0],UNIT["US survey foot",0.3048006096012192,AUTHORITY["EPSG","9003"]],AXIS["X",EAST],AXIS["Y",NORTH],AUTHORITY["EPSG","2264"]]</t>
  </si>
  <si>
    <t>PROJCS["NAD83 / North Dakota North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48.73333333333333],PARAMETER["standard_parallel_2",47.43333333333333],PARAMETER["latitude_of_origin",47],PARAMETER["central_meridian",-100.5],PARAMETER["false_easting",1968503.937],PARAMETER["false_northing",0],UNIT["foot",0.3048,AUTHORITY["EPSG","9002"]],AXIS["X",EAST],AXIS["Y",NORTH],AUTHORITY["EPSG","2265"]]</t>
  </si>
  <si>
    <t>PROJCS["NAD83 / North Dakota South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47.48333333333333],PARAMETER["standard_parallel_2",46.18333333333333],PARAMETER["latitude_of_origin",45.66666666666666],PARAMETER["central_meridian",-100.5],PARAMETER["false_easting",1968503.937],PARAMETER["false_northing",0],UNIT["foot",0.3048,AUTHORITY["EPSG","9002"]],AXIS["X",EAST],AXIS["Y",NORTH],AUTHORITY["EPSG","2266"]]</t>
  </si>
  <si>
    <t>PROJCS["NAD83 / Oklahoma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36.76666666666667],PARAMETER["standard_parallel_2",35.56666666666667],PARAMETER["latitude_of_origin",35],PARAMETER["central_meridian",-98],PARAMETER["false_easting",1968500],PARAMETER["false_northing",0],UNIT["US survey foot",0.3048006096012192,AUTHORITY["EPSG","9003"]],AXIS["X",EAST],AXIS["Y",NORTH],AUTHORITY["EPSG","2267"]]</t>
  </si>
  <si>
    <t>PROJCS["NAD83 / Oklahoma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35.23333333333333],PARAMETER["standard_parallel_2",33.93333333333333],PARAMETER["latitude_of_origin",33.33333333333334],PARAMETER["central_meridian",-98],PARAMETER["false_easting",1968500],PARAMETER["false_northing",0],UNIT["US survey foot",0.3048006096012192,AUTHORITY["EPSG","9003"]],AXIS["X",EAST],AXIS["Y",NORTH],AUTHORITY["EPSG","2268"]]</t>
  </si>
  <si>
    <t>PROJCS["FD54 / UTM zone 29N",GEOGCS["FD54",DATUM["Faroe_Datum_1954",SPHEROID["International 1924",6378388,297,AUTHORITY["EPSG","7022"]],AUTHORITY["EPSG","6741"]],PRIMEM["Greenwich",0,AUTHORITY["EPSG","8901"]],UNIT["degree",0.0174532925199433,AUTHORITY["EPSG","9122"]],AUTHORITY["EPSG","4741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3374"]]</t>
  </si>
  <si>
    <t>PROJCS["NAD83 / Oregon North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2269"]]</t>
  </si>
  <si>
    <t>PROJCS["NAD83 / Oregon South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2270"]]</t>
  </si>
  <si>
    <t>PROJCS["NAD83 / Pennsylvania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41.95],PARAMETER["standard_parallel_2",40.88333333333333],PARAMETER["latitude_of_origin",40.16666666666666],PARAMETER["central_meridian",-77.75],PARAMETER["false_easting",1968500],PARAMETER["false_northing",0],UNIT["US survey foot",0.3048006096012192,AUTHORITY["EPSG","9003"]],AXIS["X",EAST],AXIS["Y",NORTH],AUTHORITY["EPSG","2271"]]</t>
  </si>
  <si>
    <t>PROJCS["NAD83 / Pennsylvania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40.96666666666667],PARAMETER["standard_parallel_2",39.93333333333333],PARAMETER["latitude_of_origin",39.33333333333334],PARAMETER["central_meridian",-77.75],PARAMETER["false_easting",1968500],PARAMETER["false_northing",0],UNIT["US survey foot",0.3048006096012192,AUTHORITY["EPSG","9003"]],AXIS["X",EAST],AXIS["Y",NORTH],AUTHORITY["EPSG","2272"]]</t>
  </si>
  <si>
    <t>PROJCS["NAD83 / South Carolina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34.83333333333334],PARAMETER["standard_parallel_2",32.5],PARAMETER["latitude_of_origin",31.83333333333333],PARAMETER["central_meridian",-81],PARAMETER["false_easting",2000000],PARAMETER["false_northing",0],UNIT["foot",0.3048,AUTHORITY["EPSG","9002"]],AXIS["X",EAST],AXIS["Y",NORTH],AUTHORITY["EPSG","2273"]]</t>
  </si>
  <si>
    <t>PROJCS["NAD83 / Tennessee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36.41666666666666],PARAMETER["standard_parallel_2",35.25],PARAMETER["latitude_of_origin",34.33333333333334],PARAMETER["central_meridian",-86],PARAMETER["false_easting",1968500],PARAMETER["false_northing",0],UNIT["US survey foot",0.3048006096012192,AUTHORITY["EPSG","9003"]],AXIS["X",EAST],AXIS["Y",NORTH],AUTHORITY["EPSG","2274"]]</t>
  </si>
  <si>
    <t>PROJCS["NAD83 / Texas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36.18333333333333],PARAMETER["standard_parallel_2",34.65],PARAMETER["latitude_of_origin",34],PARAMETER["central_meridian",-101.5],PARAMETER["false_easting",656166.667],PARAMETER["false_northing",3280833.333],UNIT["US survey foot",0.3048006096012192,AUTHORITY["EPSG","9003"]],AXIS["X",EAST],AXIS["Y",NORTH],AUTHORITY["EPSG","2275"]]</t>
  </si>
  <si>
    <t>PROJCS["NAD83 / Texas North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33.96666666666667],PARAMETER["standard_parallel_2",32.13333333333333],PARAMETER["latitude_of_origin",31.66666666666667],PARAMETER["central_meridian",-98.5],PARAMETER["false_easting",1968500],PARAMETER["false_northing",6561666.667],UNIT["US survey foot",0.3048006096012192,AUTHORITY["EPSG","9003"]],AXIS["X",EAST],AXIS["Y",NORTH],AUTHORITY["EPSG","2276"]]</t>
  </si>
  <si>
    <t>GEOCCS["JGD2000 (geocentric)",DATUM["Japanese_Geodetic_Datum_2000",SPHEROID["GRS 1980",6378137,298.257222101,AUTHORITY["EPSG","7019"]],AUTHORITY["EPSG","6612"]],PRIMEM["Greenwich",0,AUTHORITY["EPSG","8901"]],UNIT["metre",1,AUTHORITY["EPSG","9001"]],AXIS["Geocentric X",OTHER],AXIS["Geocentric Y",OTHER],AXIS["Geocentric Z",NORTH],AUTHORITY["EPSG","4354"]]</t>
  </si>
  <si>
    <t>PROJCS["NAD83 / Texas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31.88333333333333],PARAMETER["standard_parallel_2",30.11666666666667],PARAMETER["latitude_of_origin",29.66666666666667],PARAMETER["central_meridian",-100.3333333333333],PARAMETER["false_easting",2296583.333],PARAMETER["false_northing",9842500.000000002],UNIT["US survey foot",0.3048006096012192,AUTHORITY["EPSG","9003"]],AXIS["X",EAST],AXIS["Y",NORTH],AUTHORITY["EPSG","2277"]]</t>
  </si>
  <si>
    <t>PROJCS["NAD83 / Texas South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30.28333333333333],PARAMETER["standard_parallel_2",28.38333333333333],PARAMETER["latitude_of_origin",27.83333333333333],PARAMETER["central_meridian",-99],PARAMETER["false_easting",1968500],PARAMETER["false_northing",13123333.333],UNIT["US survey foot",0.3048006096012192,AUTHORITY["EPSG","9003"]],AXIS["X",EAST],AXIS["Y",NORTH],AUTHORITY["EPSG","2278"]]</t>
  </si>
  <si>
    <t>PROJCS["NAD83 / Texas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27.83333333333333],PARAMETER["standard_parallel_2",26.16666666666667],PARAMETER["latitude_of_origin",25.66666666666667],PARAMETER["central_meridian",-98.5],PARAMETER["false_easting",984250.0000000002],PARAMETER["false_northing",16404166.667],UNIT["US survey foot",0.3048006096012192,AUTHORITY["EPSG","9003"]],AXIS["X",EAST],AXIS["Y",NORTH],AUTHORITY["EPSG","2279"]]</t>
  </si>
  <si>
    <t>PROJCS["NAD83 / Utah North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40.71666666666667],PARAMETER["latitude_of_origin",40.33333333333334],PARAMETER["central_meridian",-111.5],PARAMETER["false_easting",1640419.948],PARAMETER["false_northing",3280839.895],UNIT["foot",0.3048,AUTHORITY["EPSG","9002"]],AXIS["X",EAST],AXIS["Y",NORTH],AUTHORITY["EPSG","2280"]]</t>
  </si>
  <si>
    <t>PROJCS["NAD83 / Utah Central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40.65],PARAMETER["standard_parallel_2",39.01666666666667],PARAMETER["latitude_of_origin",38.33333333333334],PARAMETER["central_meridian",-111.5],PARAMETER["false_easting",1640419.948],PARAMETER["false_northing",6561679.79],UNIT["foot",0.3048,AUTHORITY["EPSG","9002"]],AXIS["X",EAST],AXIS["Y",NORTH],AUTHORITY["EPSG","2281"]]</t>
  </si>
  <si>
    <t>PROJCS["NAD83 / Utah South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38.35],PARAMETER["standard_parallel_2",37.21666666666667],PARAMETER["latitude_of_origin",36.66666666666666],PARAMETER["central_meridian",-111.5],PARAMETER["false_easting",1640419.948],PARAMETER["false_northing",9842519.685],UNIT["foot",0.3048,AUTHORITY["EPSG","9002"]],AXIS["X",EAST],AXIS["Y",NORTH],AUTHORITY["EPSG","2282"]]</t>
  </si>
  <si>
    <t>PROJCS["NAD83 / Virginia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39.2],PARAMETER["standard_parallel_2",38.03333333333333],PARAMETER["latitude_of_origin",37.66666666666666],PARAMETER["central_meridian",-78.5],PARAMETER["false_easting",11482916.667],PARAMETER["false_northing",6561666.667],UNIT["US survey foot",0.3048006096012192,AUTHORITY["EPSG","9003"]],AXIS["X",EAST],AXIS["Y",NORTH],AUTHORITY["EPSG","2283"]]</t>
  </si>
  <si>
    <t>PROJCS["NAD83 / Virginia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36.76666666666667],PARAMETER["latitude_of_origin",36.33333333333334],PARAMETER["central_meridian",-78.5],PARAMETER["false_easting",11482916.667],PARAMETER["false_northing",3280833.333],UNIT["US survey foot",0.3048006096012192,AUTHORITY["EPSG","9003"]],AXIS["X",EAST],AXIS["Y",NORTH],AUTHORITY["EPSG","2284"]]</t>
  </si>
  <si>
    <t>PROJCS["NAD83 / Washington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48.73333333333333],PARAMETER["standard_parallel_2",47.5],PARAMETER["latitude_of_origin",47],PARAMETER["central_meridian",-120.8333333333333],PARAMETER["false_easting",1640416.667],PARAMETER["false_northing",0],UNIT["US survey foot",0.3048006096012192,AUTHORITY["EPSG","9003"]],AXIS["X",EAST],AXIS["Y",NORTH],AUTHORITY["EPSG","2285"]]</t>
  </si>
  <si>
    <t>PROJCS["NAD83 / Washington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47.33333333333334],PARAMETER["standard_parallel_2",45.83333333333334],PARAMETER["latitude_of_origin",45.33333333333334],PARAMETER["central_meridian",-120.5],PARAMETER["false_easting",1640416.667],PARAMETER["false_northing",0],UNIT["US survey foot",0.3048006096012192,AUTHORITY["EPSG","9003"]],AXIS["X",EAST],AXIS["Y",NORTH],AUTHORITY["EPSG","2286"]]</t>
  </si>
  <si>
    <t>PROJCS["NAD83 / Wisconsin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46.76666666666667],PARAMETER["standard_parallel_2",45.56666666666667],PARAMETER["latitude_of_origin",45.16666666666666],PARAMETER["central_meridian",-90],PARAMETER["false_easting",1968500],PARAMETER["false_northing",0],UNIT["US survey foot",0.3048006096012192,AUTHORITY["EPSG","9003"]],AXIS["X",EAST],AXIS["Y",NORTH],AUTHORITY["EPSG","2287"]]</t>
  </si>
  <si>
    <t>PROJCS["NAD83 / Wisconsin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45.5],PARAMETER["standard_parallel_2",44.25],PARAMETER["latitude_of_origin",43.83333333333334],PARAMETER["central_meridian",-90],PARAMETER["false_easting",1968500],PARAMETER["false_northing",0],UNIT["US survey foot",0.3048006096012192,AUTHORITY["EPSG","9003"]],AXIS["X",EAST],AXIS["Y",NORTH],AUTHORITY["EPSG","2288"]]</t>
  </si>
  <si>
    <t>PROJCS["NAD83 / Wisconsin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44.06666666666667],PARAMETER["standard_parallel_2",42.73333333333333],PARAMETER["latitude_of_origin",42],PARAMETER["central_meridian",-90],PARAMETER["false_easting",1968500],PARAMETER["false_northing",0],UNIT["US survey foot",0.3048006096012192,AUTHORITY["EPSG","9003"]],AXIS["X",EAST],AXIS["Y",NORTH],AUTHORITY["EPSG","2289"]]</t>
  </si>
  <si>
    <t>PROJCS["ATS77 / Prince Edward Isl. Stereographic (ATS77)",GEOGCS["ATS77",DATUM["Average_Terrestrial_System_1977",SPHEROID["Average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Oblique_Stereographic"],PARAMETER["latitude_of_origin",47.25],PARAMETER["central_meridian",-63],PARAMETER["scale_factor",0.999912],PARAMETER["false_easting",700000],PARAMETER["false_northing",400000],UNIT["metre",1,AUTHORITY["EPSG","9001"]],AXIS["E(X)",EAST],AXIS["N(Y)",NORTH],AUTHORITY["EPSG","2290"]]</t>
  </si>
  <si>
    <t>PROJCS["NAD83(CSRS98) / Prince Edward Isl. Stereographic (NAD83) (deprecated)",GEOGCS["ATS77",DATUM["Average_Terrestrial_System_1977",SPHEROID["Average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Oblique_Stereographic"],PARAMETER["latitude_of_origin",47.25],PARAMETER["central_meridian",-63],PARAMETER["scale_factor",0.999912],PARAMETER["false_easting",400000],PARAMETER["false_northing",800000],UNIT["metre",1,AUTHORITY["EPSG","9001"]],AXIS["E(X)",EAST],AXIS["N(Y)",NORTH],AUTHORITY["EPSG","2291"]]</t>
  </si>
  <si>
    <t>PROJCS["NAD83(CSRS98) / Prince Edward Isl. Stereographic (NAD83) (deprecated)",GEOGCS["NAD83(CSRS98)",DATUM["NAD83_Canadian_Spatial_Reference_System",SPHEROID["GRS 1980",6378137,298.257222101,AUTHORITY["EPSG","7019"]],TOWGS84[0,0,0,0,0,0,0],AUTHORITY["EPSG","6140"]],PRIMEM["Greenwich",0,AUTHORITY["EPSG","8901"]],UNIT["degree",0.0174532925199433,AUTHORITY["EPSG","9108"]],AUTHORITY["EPSG","4140"]],PROJECTION["Oblique_Stereographic"],PARAMETER["latitude_of_origin",47.25],PARAMETER["central_meridian",-63],PARAMETER["scale_factor",0.999912],PARAMETER["false_easting",400000],PARAMETER["false_northing",800000],UNIT["metre",1,AUTHORITY["EPSG","9001"]],AXIS["E(X)",EAST],AXIS["N(Y)",NORTH],AUTHORITY["EPSG","2292"]]</t>
  </si>
  <si>
    <t xml:space="preserve">+proj=sterea +lat_0=47.25 +lon_0=-63 +k=0.999912 +x_0=400000 +y_0=800000 +ellps=GRS80 +towgs84=0,0,0,0,0,0,0 +units=m +no_defs </t>
  </si>
  <si>
    <t>PROJCS["ATS77 / MTM Nova Scotia zone 4",GEOGCS["ATS77",DATUM["Average_Terrestrial_System_1977",SPHEROID["Average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Transverse_Mercator"],PARAMETER["latitude_of_origin",0],PARAMETER["central_meridian",-61.5],PARAMETER["scale_factor",0.9999],PARAMETER["false_easting",4500000],PARAMETER["false_northing",0],UNIT["metre",1,AUTHORITY["EPSG","9001"]],AXIS["Easting",EAST],AXIS["Northing",NORTH],AUTHORITY["EPSG","2294"]]</t>
  </si>
  <si>
    <t>PROJCS["ATS77 / MTM Nova Scotia zone 5",GEOGCS["ATS77",DATUM["Average_Terrestrial_System_1977",SPHEROID["Average Terrestrial System 1977",6378135,298.257,AUTHORITY["EPSG","7041"]],AUTHORITY["EPSG","6122"]],PRIMEM["Greenwich",0,AUTHORITY["EPSG","8901"]],UNIT["degree",0.0174532925199433,AUTHORITY["EPSG","9122"]],AUTHORITY["EPSG","4122"]],PROJECTION["Transverse_Mercator"],PARAMETER["latitude_of_origin",0],PARAMETER["central_meridian",-64.5],PARAMETER["scale_factor",0.9999],PARAMETER["false_easting",5500000],PARAMETER["false_northing",0],UNIT["metre",1,AUTHORITY["EPSG","9001"]],AXIS["Easting",EAST],AXIS["Northing",NORTH],AUTHORITY["EPSG","2295"]]</t>
  </si>
  <si>
    <t>PROJCS["Batavia / TM 109 SE",GEOGCS["Batavia",DATUM["Batavia",SPHEROID["Bessel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Transverse_Mercator"],PARAMETER["latitude_of_origin",0],PARAMETER["central_meridian",109],PARAMETER["scale_factor",0.9996],PARAMETER["false_easting",500000],PARAMETER["false_northing",10000000],UNIT["metre",1,AUTHORITY["EPSG","9001"]],AXIS["Easting",EAST],AXIS["Northing",NORTH],AUTHORITY["EPSG","2308"]]</t>
  </si>
  <si>
    <t xml:space="preserve">+proj=tmerc +lat_0=0 +lon_0=109 +k=0.9996 +x_0=500000 +y_0=10000000 +ellps=bessel +towgs84=-377,681,-50,0,0,0,0 +units=m +no_defs </t>
  </si>
  <si>
    <t>PROJCS["WGS 84 / TM 116 SE",GEOGCS["WGS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116],PARAMETER["scale_factor",0.9996],PARAMETER["false_easting",500000],PARAMETER["false_northing",10000000],UNIT["metre",1,AUTHORITY["EPSG","9001"]],AXIS["Easting",EAST],AXIS["Northing",NORTH],AUTHORITY["EPSG","2309"]]</t>
  </si>
  <si>
    <t>PROJCS["WGS 84 / TM 132 SE",GEOGCS["WGS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132],PARAMETER["scale_factor",0.9996],PARAMETER["false_easting",500000],PARAMETER["false_northing",10000000],UNIT["metre",1,AUTHORITY["EPSG","9001"]],AXIS["Easting",EAST],AXIS["Northing",NORTH],AUTHORITY["EPSG","2310"]]</t>
  </si>
  <si>
    <t>PROJCS["WGS 84 / TM 6 NE",GEOGCS["WGS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6],PARAMETER["scale_factor",0.9996],PARAMETER["false_easting",500000],PARAMETER["false_northing",0],UNIT["metre",1,AUTHORITY["EPSG","9001"]],AXIS["Easting",EAST],AXIS["Northing",NORTH],AUTHORITY["EPSG","2311"]]</t>
  </si>
  <si>
    <t>PROJCS["Garoua / UTM zone 33N",GEOGCS["Garoua",DATUM["Garoua",SPHEROID["Clarke 1880 (RGS)",6378249.145,293.465,AUTHORITY["EPSG","7012"]],AUTHORITY["EPSG","6197"]],PRIMEM["Greenwich",0,AUTHORITY["EPSG","8901"]],UNIT["degree",0.0174532925199433,AUTHORITY["EPSG","9122"]],AUTHORITY["EPSG","4197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2312"]]</t>
  </si>
  <si>
    <t>PROJCS["Kousseri / UTM zone 33N",GEOGCS["Kousseri",DATUM["Kousseri",SPHEROID["Clarke 1880 (RGS)",6378249.145,293.465,AUTHORITY["EPSG","7012"]],AUTHORITY["EPSG","6198"]],PRIMEM["Greenwich",0,AUTHORITY["EPSG","8901"]],UNIT["degree",0.0174532925199433,AUTHORITY["EPSG","9122"]],AUTHORITY["EPSG","4198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2313"]]</t>
  </si>
  <si>
    <t>PROJCS["Trinidad 1903 / Trinidad Grid (ftCla)",GEOGCS["Trinidad 1903",DATUM["Trinidad_1903",SPHEROID["Clarke 1858",6378293.645208759,294.2606763692606,AUTHORITY["EPSG","7007"]],TOWGS84[-61.702,284.488,472.052,0,0,0,0],AUTHORITY["EPSG","6302"]],PRIMEM["Greenwich",0,AUTHORITY["EPSG","8901"]],UNIT["degree",0.0174532925199433,AUTHORITY["EPSG","9122"]],AUTHORITY["EPSG","4302"]],PROJECTION["Cassini_Soldner"],PARAMETER["latitude_of_origin",10.44166666666667],PARAMETER["central_meridian",-61.33333333333334],PARAMETER["false_easting",283800],PARAMETER["false_northing",214500],UNIT["Clarke's foot",0.3047972654,AUTHORITY["EPSG","9005"]],AXIS["Easting",EAST],AXIS["Northing",NORTH],AUTHORITY["EPSG","2314"]]</t>
  </si>
  <si>
    <t xml:space="preserve">+proj=cass +lat_0=10.44166666666667 +lon_0=-61.33333333333334 +x_0=86501.46392052001 +y_0=65379.0134283 +a=6378293.645208759 +b=6356617.987679838 +towgs84=-61.702,284.488,472.052,0,0,0,0 +to_meter=0.3047972654 +no_defs </t>
  </si>
  <si>
    <t>PROJCS["Campo Inchauspe / UTM zone 19S",GEOGCS["Campo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2315"]]</t>
  </si>
  <si>
    <t xml:space="preserve">+proj=utm +zone=19 +south +ellps=intl +towgs84=-148,136,90,0,0,0,0 +units=m +no_defs </t>
  </si>
  <si>
    <t>PROJCS["Campo Inchauspe / UTM zone 20S",GEOGCS["Campo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2316"]]</t>
  </si>
  <si>
    <t xml:space="preserve">+proj=utm +zone=20 +south +ellps=intl +towgs84=-148,136,90,0,0,0,0 +units=m +no_defs </t>
  </si>
  <si>
    <t>PROJCS["PSAD56 / ICN Regional",GEOGCS["PSAD56",DATUM["Provisional_South_American_Datum_1956",SPHEROID["International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Lambert_Conformal_Conic_2SP"],PARAMETER["standard_parallel_1",9],PARAMETER["standard_parallel_2",3],PARAMETER["latitude_of_origin",6],PARAMETER["central_meridian",-66],PARAMETER["false_easting",1000000],PARAMETER["false_northing",1000000],UNIT["metre",1,AUTHORITY["EPSG","9001"]],AXIS["X",EAST],AXIS["Y",NORTH],AUTHORITY["EPSG","2317"]]</t>
  </si>
  <si>
    <t xml:space="preserve">+proj=lcc +lat_1=9 +lat_2=3 +lat_0=6 +lon_0=-66 +x_0=1000000 +y_0=1000000 +ellps=intl +towgs84=-288,175,-376,0,0,0,0 +units=m +no_defs </t>
  </si>
  <si>
    <t>PROJCS["Ain el Abd / Aramco Lambert",GEOGCS["Ain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Lambert_Conformal_Conic_2SP"],PARAMETER["standard_parallel_1",17],PARAMETER["standard_parallel_2",33],PARAMETER["latitude_of_origin",25.08951],PARAMETER["central_meridian",48],PARAMETER["false_easting",0],PARAMETER["false_northing",0],UNIT["metre",1,AUTHORITY["EPSG","9001"]],AXIS["Easting",EAST],AXIS["Northing",NORTH],AUTHORITY["EPSG","2318"]]</t>
  </si>
  <si>
    <t xml:space="preserve">+proj=lcc +lat_1=17 +lat_2=33 +lat_0=25.08951 +lon_0=48 +x_0=0 +y_0=0 +ellps=intl +towgs84=-143,-236,7,0,0,0,0 +units=m +no_defs </t>
  </si>
  <si>
    <t>PROJCS["ED50 / TM27",GEOGCS["ED50",DATUM["European_Datum_1950",SPHEROID["International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27],PARAMETER["scale_factor",1],PARAMETER["false_easting",500000],PARAMETER["false_northing",0],UNIT["metre",1,AUTHORITY["EPSG","9001"]],AUTHORITY["EPSG","2319"]]</t>
  </si>
  <si>
    <t xml:space="preserve">+proj=tmerc +lat_0=0 +lon_0=27 +k=1 +x_0=500000 +y_0=0 +ellps=intl +towgs84=-87,-98,-121,0,0,0,0 +units=m +no_defs </t>
  </si>
  <si>
    <t>PROJCS["ED50 / TM30",GEOGCS["ED50",DATUM["European_Datum_1950",SPHEROID["International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30],PARAMETER["scale_factor",1],PARAMETER["false_easting",500000],PARAMETER["false_northing",0],UNIT["metre",1,AUTHORITY["EPSG","9001"]],AUTHORITY["EPSG","2320"]]</t>
  </si>
  <si>
    <t xml:space="preserve">+proj=tmerc +lat_0=0 +lon_0=30 +k=1 +x_0=500000 +y_0=0 +ellps=intl +towgs84=-87,-98,-121,0,0,0,0 +units=m +no_defs </t>
  </si>
  <si>
    <t>PROJCS["ED50 / TM33",GEOGCS["ED50",DATUM["European_Datum_1950",SPHEROID["International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33],PARAMETER["scale_factor",1],PARAMETER["false_easting",500000],PARAMETER["false_northing",0],UNIT["metre",1,AUTHORITY["EPSG","9001"]],AUTHORITY["EPSG","2321"]]</t>
  </si>
  <si>
    <t xml:space="preserve">+proj=tmerc +lat_0=0 +lon_0=33 +k=1 +x_0=500000 +y_0=0 +ellps=intl +towgs84=-87,-98,-121,0,0,0,0 +units=m +no_defs </t>
  </si>
  <si>
    <t>PROJCS["ED50 / TM36",GEOGCS["ED50",DATUM["European_Datum_1950",SPHEROID["International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36],PARAMETER["scale_factor",1],PARAMETER["false_easting",500000],PARAMETER["false_northing",0],UNIT["metre",1,AUTHORITY["EPSG","9001"]],AUTHORITY["EPSG","2322"]]</t>
  </si>
  <si>
    <t xml:space="preserve">+proj=tmerc +lat_0=0 +lon_0=36 +k=1 +x_0=500000 +y_0=0 +ellps=intl +towgs84=-87,-98,-121,0,0,0,0 +units=m +no_defs </t>
  </si>
  <si>
    <t>PROJCS["ED50 / TM39",GEOGCS["ED50",DATUM["European_Datum_1950",SPHEROID["International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39],PARAMETER["scale_factor",1],PARAMETER["false_easting",500000],PARAMETER["false_northing",0],UNIT["metre",1,AUTHORITY["EPSG","9001"]],AUTHORITY["EPSG","2323"]]</t>
  </si>
  <si>
    <t xml:space="preserve">+proj=tmerc +lat_0=0 +lon_0=39 +k=1 +x_0=500000 +y_0=0 +ellps=intl +towgs84=-87,-98,-121,0,0,0,0 +units=m +no_defs </t>
  </si>
  <si>
    <t>PROJCS["ED50 / TM42",GEOGCS["ED50",DATUM["European_Datum_1950",SPHEROID["International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42],PARAMETER["scale_factor",1],PARAMETER["false_easting",500000],PARAMETER["false_northing",0],UNIT["metre",1,AUTHORITY["EPSG","9001"]],AUTHORITY["EPSG","2324"]]</t>
  </si>
  <si>
    <t xml:space="preserve">+proj=tmerc +lat_0=0 +lon_0=42 +k=1 +x_0=500000 +y_0=0 +ellps=intl +towgs84=-87,-98,-121,0,0,0,0 +units=m +no_defs </t>
  </si>
  <si>
    <t>PROJCS["ED50 / TM45",GEOGCS["ED50",DATUM["European_Datum_1950",SPHEROID["International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45],PARAMETER["scale_factor",1],PARAMETER["false_easting",500000],PARAMETER["false_northing",0],UNIT["metre",1,AUTHORITY["EPSG","9001"]],AUTHORITY["EPSG","2325"]]</t>
  </si>
  <si>
    <t xml:space="preserve">+proj=tmerc +lat_0=0 +lon_0=45 +k=1 +x_0=500000 +y_0=0 +ellps=intl +towgs84=-87,-98,-121,0,0,0,0 +units=m +no_defs </t>
  </si>
  <si>
    <t>PROJCS["Hong Kong 1980 Grid System",GEOGCS["Hong Kong 1980",DATUM["Hong_Kong_1980",SPHEROID["International 1924",6378388,297,AUTHORITY["EPSG","7022"]],TOWGS84[-162.619,-276.959,-161.764,0.067753,-2.243649,-1.158827,-1.094246],AUTHORITY["EPSG","6611"]],PRIMEM["Greenwich",0,AUTHORITY["EPSG","8901"]],UNIT["degree",0.0174532925199433,AUTHORITY["EPSG","9122"]],AUTHORITY["EPSG","4611"]],PROJECTION["Transverse_Mercator"],PARAMETER["latitude_of_origin",22.31213333333334],PARAMETER["central_meridian",114.1785555555556],PARAMETER["scale_factor",1],PARAMETER["false_easting",836694.05],PARAMETER["false_northing",819069.8],UNIT["metre",1,AUTHORITY["EPSG","9001"]],AUTHORITY["EPSG","2326"]]</t>
  </si>
  <si>
    <t xml:space="preserve">+proj=tmerc +lat_0=22.31213333333334 +lon_0=114.1785555555556 +k=1 +x_0=836694.05 +y_0=819069.8 +ellps=intl +towgs84=-162.619,-276.959,-161.764,0.067753,-2.243649,-1.158827,-1.094246 +units=m +no_defs </t>
  </si>
  <si>
    <t>PROJCS["Xian 1980 / Gauss-Kruger zone 15",GEOGCS["Xian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87],PARAMETER["scale_factor",1],PARAMETER["false_easting",15500000],PARAMETER["false_northing",0],UNIT["metre",1,AUTHORITY["EPSG","9001"]],AUTHORITY["EPSG","2329"]]</t>
  </si>
  <si>
    <t>PROJCS["Xian 1980 / Gauss-Kruger zone 16",GEOGCS["Xian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93],PARAMETER["scale_factor",1],PARAMETER["false_easting",16500000],PARAMETER["false_northing",0],UNIT["metre",1,AUTHORITY["EPSG","9001"]],AUTHORITY["EPSG","2330"]]</t>
  </si>
  <si>
    <t>PROJCS["Xian 1980 / Gauss-Kruger zone 17",GEOGCS["Xian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99],PARAMETER["scale_factor",1],PARAMETER["false_easting",17500000],PARAMETER["false_northing",0],UNIT["metre",1,AUTHORITY["EPSG","9001"]],AUTHORITY["EPSG","2331"]]</t>
  </si>
  <si>
    <t>PROJCS["Xian 1980 / Gauss-Kruger zone 18",GEOGCS["Xian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105],PARAMETER["scale_factor",1],PARAMETER["false_easting",18500000],PARAMETER["false_northing",0],UNIT["metre",1,AUTHORITY["EPSG","9001"]],AUTHORITY["EPSG","2332"]]</t>
  </si>
  <si>
    <t>PROJCS["Xian 1980 / Gauss-Kruger zone 19",GEOGCS["Xian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111],PARAMETER["scale_factor",1],PARAMETER["false_easting",19500000],PARAMETER["false_northing",0],UNIT["metre",1,AUTHORITY["EPSG","9001"]],AUTHORITY["EPSG","2333"]]</t>
  </si>
  <si>
    <t>PROJCS["Xian 1980 / Gauss-Kruger zone 20",GEOGCS["Xian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117],PARAMETER["scale_factor",1],PARAMETER["false_easting",20500000],PARAMETER["false_northing",0],UNIT["metre",1,AUTHORITY["EPSG","9001"]],AUTHORITY["EPSG","2334"]]</t>
  </si>
  <si>
    <t>PROJCS["Xian 1980 / Gauss-Kruger zone 21",GEOGCS["Xian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123],PARAMETER["scale_factor",1],PARAMETER["false_easting",21500000],PARAMETER["false_northing",0],UNIT["metre",1,AUTHORITY["EPSG","9001"]],AUTHORITY["EPSG","2335"]]</t>
  </si>
  <si>
    <t>PROJCS["Xian 1980 / Gauss-Kruger zone 22",GEOGCS["Xian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129],PARAMETER["scale_factor",1],PARAMETER["false_easting",22500000],PARAMETER["false_northing",0],UNIT["metre",1,AUTHORITY["EPSG","9001"]],AUTHORITY["EPSG","2336"]]</t>
  </si>
  <si>
    <t>PROJCS["Xian 1980 / Gauss-Kruger zone 23",GEOGCS["Xian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135],PARAMETER["scale_factor",1],PARAMETER["false_easting",23500000],PARAMETER["false_northing",0],UNIT["metre",1,AUTHORITY["EPSG","9001"]],AUTHORITY["EPSG","2337"]]</t>
  </si>
  <si>
    <t>PROJCS["Xian 1980 / Gauss-Kruger CM 75E",GEOGCS["Xian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75],PARAMETER["scale_factor",1],PARAMETER["false_easting",500000],PARAMETER["false_northing",0],UNIT["metre",1,AUTHORITY["EPSG","9001"]],AUTHORITY["EPSG","2338"]]</t>
  </si>
  <si>
    <t>PROJCS["Xian 1980 / Gauss-Kruger CM 81E",GEOGCS["Xian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81],PARAMETER["scale_factor",1],PARAMETER["false_easting",500000],PARAMETER["false_northing",0],UNIT["metre",1,AUTHORITY["EPSG","9001"]],AUTHORITY["EPSG","2339"]]</t>
  </si>
  <si>
    <t>PROJCS["Xian 1980 / Gauss-Kruger CM 87E",GEOGCS["Xian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87],PARAMETER["scale_factor",1],PARAMETER["false_easting",500000],PARAMETER["false_northing",0],UNIT["metre",1,AUTHORITY["EPSG","9001"]],AUTHORITY["EPSG","2340"]]</t>
  </si>
  <si>
    <t>PROJCS["Xian 1980 / Gauss-Kruger CM 93E",GEOGCS["Xian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93],PARAMETER["scale_factor",1],PARAMETER["false_easting",500000],PARAMETER["false_northing",0],UNIT["metre",1,AUTHORITY["EPSG","9001"]],AUTHORITY["EPSG","2341"]]</t>
  </si>
  <si>
    <t>PROJCS["Xian 1980 / Gauss-Kruger CM 99E",GEOGCS["Xian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99],PARAMETER["scale_factor",1],PARAMETER["false_easting",500000],PARAMETER["false_northing",0],UNIT["metre",1,AUTHORITY["EPSG","9001"]],AUTHORITY["EPSG","2342"]]</t>
  </si>
  <si>
    <t>PROJCS["Xian 1980 / Gauss-Kruger CM 105E",GEOGCS["Xian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105],PARAMETER["scale_factor",1],PARAMETER["false_easting",500000],PARAMETER["false_northing",0],UNIT["metre",1,AUTHORITY["EPSG","9001"]],AUTHORITY["EPSG","2343"]]</t>
  </si>
  <si>
    <t>PROJCS["Xian 1980 / Gauss-Kruger CM 111E",GEOGCS["Xian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111],PARAMETER["scale_factor",1],PARAMETER["false_easting",500000],PARAMETER["false_northing",0],UNIT["metre",1,AUTHORITY["EPSG","9001"]],AUTHORITY["EPSG","2344"]]</t>
  </si>
  <si>
    <t>PROJCS["Xian 1980 / Gauss-Kruger CM 117E",GEOGCS["Xian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117],PARAMETER["scale_factor",1],PARAMETER["false_easting",500000],PARAMETER["false_northing",0],UNIT["metre",1,AUTHORITY["EPSG","9001"]],AUTHORITY["EPSG","2345"]]</t>
  </si>
  <si>
    <t>PROJCS["Xian 1980 / Gauss-Kruger CM 123E",GEOGCS["Xian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123],PARAMETER["scale_factor",1],PARAMETER["false_easting",500000],PARAMETER["false_northing",0],UNIT["metre",1,AUTHORITY["EPSG","9001"]],AUTHORITY["EPSG","2346"]]</t>
  </si>
  <si>
    <t>PROJCS["Xian 1980 / Gauss-Kruger CM 129E",GEOGCS["Xian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129],PARAMETER["scale_factor",1],PARAMETER["false_easting",500000],PARAMETER["false_northing",0],UNIT["metre",1,AUTHORITY["EPSG","9001"]],AUTHORITY["EPSG","2347"]]</t>
  </si>
  <si>
    <t>PROJCS["Xian 1980 / Gauss-Kruger CM 135E",GEOGCS["Xian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135],PARAMETER["scale_factor",1],PARAMETER["false_easting",500000],PARAMETER["false_northing",0],UNIT["metre",1,AUTHORITY["EPSG","9001"]],AUTHORITY["EPSG","2348"]]</t>
  </si>
  <si>
    <t>PROJCS["Xian 1980 / 3-degree Gauss-Kruger zone 25",GEOGCS["Xian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75],PARAMETER["scale_factor",1],PARAMETER["false_easting",25500000],PARAMETER["false_northing",0],UNIT["metre",1,AUTHORITY["EPSG","9001"]],AUTHORITY["EPSG","2349"]]</t>
  </si>
  <si>
    <t>PROJCS["Xian 1980 / 3-degree Gauss-Kruger zone 26",GEOGCS["Xian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78],PARAMETER["scale_factor",1],PARAMETER["false_easting",26500000],PARAMETER["false_northing",0],UNIT["metre",1,AUTHORITY["EPSG","9001"]],AUTHORITY["EPSG","2350"]]</t>
  </si>
  <si>
    <t>PROJCS["Xian 1980 / 3-degree Gauss-Kruger zone 27",GEOGCS["Xian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81],PARAMETER["scale_factor",1],PARAMETER["false_easting",27500000],PARAMETER["false_northing",0],UNIT["metre",1,AUTHORITY["EPSG","9001"]],AUTHORITY["EPSG","2351"]]</t>
  </si>
  <si>
    <t>PROJCS["Xian 1980 / 3-degree Gauss-Kruger zone 28",GEOGCS["Xian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84],PARAMETER["scale_factor",1],PARAMETER["false_easting",28500000],PARAMETER["false_northing",0],UNIT["metre",1,AUTHORITY["EPSG","9001"]],AUTHORITY["EPSG","2352"]]</t>
  </si>
  <si>
    <t>PROJCS["Xian 1980 / 3-degree Gauss-Kruger zone 29",GEOGCS["Xian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87],PARAMETER["scale_factor",1],PARAMETER["false_easting",29500000],PARAMETER["false_northing",0],UNIT["metre",1,AUTHORITY["EPSG","9001"]],AUTHORITY["EPSG","2353"]]</t>
  </si>
  <si>
    <t>PROJCS["Xian 1980 / 3-degree Gauss-Kruger zone 30",GEOGCS["Xian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90],PARAMETER["scale_factor",1],PARAMETER["false_easting",30500000],PARAMETER["false_northing",0],UNIT["metre",1,AUTHORITY["EPSG","9001"]],AUTHORITY["EPSG","2354"]]</t>
  </si>
  <si>
    <t>PROJCS["Xian 1980 / 3-degree Gauss-Kruger zone 31",GEOGCS["Xian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93],PARAMETER["scale_factor",1],PARAMETER["false_easting",31500000],PARAMETER["false_northing",0],UNIT["metre",1,AUTHORITY["EPSG","9001"]],AUTHORITY["EPSG","2355"]]</t>
  </si>
  <si>
    <t>PROJCS["Xian 1980 / 3-degree Gauss-Kruger zone 32",GEOGCS["Xian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96],PARAMETER["scale_factor",1],PARAMETER["false_easting",32500000],PARAMETER["false_northing",0],UNIT["metre",1,AUTHORITY["EPSG","9001"]],AUTHORITY["EPSG","2356"]]</t>
  </si>
  <si>
    <t>PROJCS["Xian 1980 / 3-degree Gauss-Kruger zone 33",GEOGCS["Xian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99],PARAMETER["scale_factor",1],PARAMETER["false_easting",33500000],PARAMETER["false_northing",0],UNIT["metre",1,AUTHORITY["EPSG","9001"]],AUTHORITY["EPSG","2357"]]</t>
  </si>
  <si>
    <t>PROJCS["Xian 1980 / 3-degree Gauss-Kruger zone 34",GEOGCS["Xian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102],PARAMETER["scale_factor",1],PARAMETER["false_easting",34500000],PARAMETER["false_northing",0],UNIT["metre",1,AUTHORITY["EPSG","9001"]],AUTHORITY["EPSG","2358"]]</t>
  </si>
  <si>
    <t>PROJCS["Xian 1980 / 3-degree Gauss-Kruger zone 35",GEOGCS["Xian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105],PARAMETER["scale_factor",1],PARAMETER["false_easting",35500000],PARAMETER["false_northing",0],UNIT["metre",1,AUTHORITY["EPSG","9001"]],AUTHORITY["EPSG","2359"]]</t>
  </si>
  <si>
    <t>PROJCS["Xian 1980 / 3-degree Gauss-Kruger zone 36",GEOGCS["Xian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108],PARAMETER["scale_factor",1],PARAMETER["false_easting",36500000],PARAMETER["false_northing",0],UNIT["metre",1,AUTHORITY["EPSG","9001"]],AUTHORITY["EPSG","2360"]]</t>
  </si>
  <si>
    <t>PROJCS["Xian 1980 / 3-degree Gauss-Kruger zone 37",GEOGCS["Xian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111],PARAMETER["scale_factor",1],PARAMETER["false_easting",37500000],PARAMETER["false_northing",0],UNIT["metre",1,AUTHORITY["EPSG","9001"]],AUTHORITY["EPSG","2361"]]</t>
  </si>
  <si>
    <t>PROJCS["Xian 1980 / 3-degree Gauss-Kruger zone 38",GEOGCS["Xian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114],PARAMETER["scale_factor",1],PARAMETER["false_easting",38500000],PARAMETER["false_northing",0],UNIT["metre",1,AUTHORITY["EPSG","9001"]],AUTHORITY["EPSG","2362"]]</t>
  </si>
  <si>
    <t>PROJCS["Xian 1980 / 3-degree Gauss-Kruger zone 39",GEOGCS["Xian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117],PARAMETER["scale_factor",1],PARAMETER["false_easting",39500000],PARAMETER["false_northing",0],UNIT["metre",1,AUTHORITY["EPSG","9001"]],AUTHORITY["EPSG","2363"]]</t>
  </si>
  <si>
    <t>PROJCS["Xian 1980 / 3-degree Gauss-Kruger zone 40",GEOGCS["Xian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120],PARAMETER["scale_factor",1],PARAMETER["false_easting",40500000],PARAMETER["false_northing",0],UNIT["metre",1,AUTHORITY["EPSG","9001"]],AUTHORITY["EPSG","2364"]]</t>
  </si>
  <si>
    <t>PROJCS["Xian 1980 / 3-degree Gauss-Kruger zone 41",GEOGCS["Xian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123],PARAMETER["scale_factor",1],PARAMETER["false_easting",41500000],PARAMETER["false_northing",0],UNIT["metre",1,AUTHORITY["EPSG","9001"]],AUTHORITY["EPSG","2365"]]</t>
  </si>
  <si>
    <t>PROJCS["Xian 1980 / 3-degree Gauss-Kruger zone 42",GEOGCS["Xian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126],PARAMETER["scale_factor",1],PARAMETER["false_easting",42500000],PARAMETER["false_northing",0],UNIT["metre",1,AUTHORITY["EPSG","9001"]],AUTHORITY["EPSG","2366"]]</t>
  </si>
  <si>
    <t>PROJCS["Xian 1980 / 3-degree Gauss-Kruger zone 43",GEOGCS["Xian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129],PARAMETER["scale_factor",1],PARAMETER["false_easting",43500000],PARAMETER["false_northing",0],UNIT["metre",1,AUTHORITY["EPSG","9001"]],AUTHORITY["EPSG","2367"]]</t>
  </si>
  <si>
    <t>PROJCS["Xian 1980 / 3-degree Gauss-Kruger zone 44",GEOGCS["Xian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132],PARAMETER["scale_factor",1],PARAMETER["false_easting",44500000],PARAMETER["false_northing",0],UNIT["metre",1,AUTHORITY["EPSG","9001"]],AUTHORITY["EPSG","2368"]]</t>
  </si>
  <si>
    <t>PROJCS["Xian 1980 / 3-degree Gauss-Kruger zone 45",GEOGCS["Xian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135],PARAMETER["scale_factor",1],PARAMETER["false_easting",45500000],PARAMETER["false_northing",0],UNIT["metre",1,AUTHORITY["EPSG","9001"]],AUTHORITY["EPSG","2369"]]</t>
  </si>
  <si>
    <t>PROJCS["Xian 1980 / 3-degree Gauss-Kruger CM 75E",GEOGCS["Xian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75],PARAMETER["scale_factor",1],PARAMETER["false_easting",500000],PARAMETER["false_northing",0],UNIT["metre",1,AUTHORITY["EPSG","9001"]],AUTHORITY["EPSG","2370"]]</t>
  </si>
  <si>
    <t>PROJCS["Xian 1980 / 3-degree Gauss-Kruger CM 78E",GEOGCS["Xian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78],PARAMETER["scale_factor",1],PARAMETER["false_easting",500000],PARAMETER["false_northing",0],UNIT["metre",1,AUTHORITY["EPSG","9001"]],AUTHORITY["EPSG","2371"]]</t>
  </si>
  <si>
    <t>PROJCS["Xian 1980 / 3-degree Gauss-Kruger CM 81E",GEOGCS["Xian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81],PARAMETER["scale_factor",1],PARAMETER["false_easting",500000],PARAMETER["false_northing",0],UNIT["metre",1,AUTHORITY["EPSG","9001"]],AUTHORITY["EPSG","2372"]]</t>
  </si>
  <si>
    <t>PROJCS["Xian 1980 / 3-degree Gauss-Kruger CM 84E",GEOGCS["Xian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84],PARAMETER["scale_factor",1],PARAMETER["false_easting",500000],PARAMETER["false_northing",0],UNIT["metre",1,AUTHORITY["EPSG","9001"]],AUTHORITY["EPSG","2373"]]</t>
  </si>
  <si>
    <t>PROJCS["Xian 1980 / 3-degree Gauss-Kruger CM 87E",GEOGCS["Xian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87],PARAMETER["scale_factor",1],PARAMETER["false_easting",500000],PARAMETER["false_northing",0],UNIT["metre",1,AUTHORITY["EPSG","9001"]],AUTHORITY["EPSG","2374"]]</t>
  </si>
  <si>
    <t>PROJCS["Xian 1980 / 3-degree Gauss-Kruger CM 90E",GEOGCS["Xian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90],PARAMETER["scale_factor",1],PARAMETER["false_easting",500000],PARAMETER["false_northing",0],UNIT["metre",1,AUTHORITY["EPSG","9001"]],AUTHORITY["EPSG","2375"]]</t>
  </si>
  <si>
    <t>PROJCS["Xian 1980 / 3-degree Gauss-Kruger CM 93E",GEOGCS["Xian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93],PARAMETER["scale_factor",1],PARAMETER["false_easting",500000],PARAMETER["false_northing",0],UNIT["metre",1,AUTHORITY["EPSG","9001"]],AUTHORITY["EPSG","2376"]]</t>
  </si>
  <si>
    <t>PROJCS["Xian 1980 / 3-degree Gauss-Kruger CM 96E",GEOGCS["Xian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96],PARAMETER["scale_factor",1],PARAMETER["false_easting",500000],PARAMETER["false_northing",0],UNIT["metre",1,AUTHORITY["EPSG","9001"]],AUTHORITY["EPSG","2377"]]</t>
  </si>
  <si>
    <t>PROJCS["Xian 1980 / 3-degree Gauss-Kruger CM 99E",GEOGCS["Xian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99],PARAMETER["scale_factor",1],PARAMETER["false_easting",500000],PARAMETER["false_northing",0],UNIT["metre",1,AUTHORITY["EPSG","9001"]],AUTHORITY["EPSG","2378"]]</t>
  </si>
  <si>
    <t>PROJCS["Xian 1980 / 3-degree Gauss-Kruger CM 102E",GEOGCS["Xian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102],PARAMETER["scale_factor",1],PARAMETER["false_easting",500000],PARAMETER["false_northing",0],UNIT["metre",1,AUTHORITY["EPSG","9001"]],AUTHORITY["EPSG","2379"]]</t>
  </si>
  <si>
    <t>PROJCS["Xian 1980 / 3-degree Gauss-Kruger CM 105E",GEOGCS["Xian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105],PARAMETER["scale_factor",1],PARAMETER["false_easting",500000],PARAMETER["false_northing",0],UNIT["metre",1,AUTHORITY["EPSG","9001"]],AUTHORITY["EPSG","2380"]]</t>
  </si>
  <si>
    <t>PROJCS["Xian 1980 / 3-degree Gauss-Kruger CM 108E",GEOGCS["Xian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108],PARAMETER["scale_factor",1],PARAMETER["false_easting",500000],PARAMETER["false_northing",0],UNIT["metre",1,AUTHORITY["EPSG","9001"]],AUTHORITY["EPSG","2381"]]</t>
  </si>
  <si>
    <t>PROJCS["Xian 1980 / 3-degree Gauss-Kruger CM 111E",GEOGCS["Xian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111],PARAMETER["scale_factor",1],PARAMETER["false_easting",500000],PARAMETER["false_northing",0],UNIT["metre",1,AUTHORITY["EPSG","9001"]],AUTHORITY["EPSG","2382"]]</t>
  </si>
  <si>
    <t>PROJCS["Xian 1980 / 3-degree Gauss-Kruger CM 114E",GEOGCS["Xian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114],PARAMETER["scale_factor",1],PARAMETER["false_easting",500000],PARAMETER["false_northing",0],UNIT["metre",1,AUTHORITY["EPSG","9001"]],AUTHORITY["EPSG","2383"]]</t>
  </si>
  <si>
    <t>PROJCS["Xian 1980 / 3-degree Gauss-Kruger CM 117E",GEOGCS["Xian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117],PARAMETER["scale_factor",1],PARAMETER["false_easting",500000],PARAMETER["false_northing",0],UNIT["metre",1,AUTHORITY["EPSG","9001"]],AUTHORITY["EPSG","2384"]]</t>
  </si>
  <si>
    <t>PROJCS["Xian 1980 / 3-degree Gauss-Kruger CM 120E",GEOGCS["Xian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120],PARAMETER["scale_factor",1],PARAMETER["false_easting",500000],PARAMETER["false_northing",0],UNIT["metre",1,AUTHORITY["EPSG","9001"]],AUTHORITY["EPSG","2385"]]</t>
  </si>
  <si>
    <t>PROJCS["Xian 1980 / 3-degree Gauss-Kruger CM 123E",GEOGCS["Xian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123],PARAMETER["scale_factor",1],PARAMETER["false_easting",500000],PARAMETER["false_northing",0],UNIT["metre",1,AUTHORITY["EPSG","9001"]],AUTHORITY["EPSG","2386"]]</t>
  </si>
  <si>
    <t>PROJCS["Xian 1980 / 3-degree Gauss-Kruger CM 126E",GEOGCS["Xian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126],PARAMETER["scale_factor",1],PARAMETER["false_easting",500000],PARAMETER["false_northing",0],UNIT["metre",1,AUTHORITY["EPSG","9001"]],AUTHORITY["EPSG","2387"]]</t>
  </si>
  <si>
    <t>PROJCS["Xian 1980 / 3-degree Gauss-Kruger CM 129E",GEOGCS["Xian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129],PARAMETER["scale_factor",1],PARAMETER["false_easting",500000],PARAMETER["false_northing",0],UNIT["metre",1,AUTHORITY["EPSG","9001"]],AUTHORITY["EPSG","2388"]]</t>
  </si>
  <si>
    <t>PROJCS["Xian 1980 / 3-degree Gauss-Kruger CM 132E",GEOGCS["Xian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132],PARAMETER["scale_factor",1],PARAMETER["false_easting",500000],PARAMETER["false_northing",0],UNIT["metre",1,AUTHORITY["EPSG","9001"]],AUTHORITY["EPSG","2389"]]</t>
  </si>
  <si>
    <t>PROJCS["Xian 1980 / 3-degree Gauss-Kruger CM 135E",GEOGCS["Xian 1980",DATUM["Xian_1980",SPHEROID["IAG 1975",6378140,298.257,AUTHORITY["EPSG","7049"]],AUTHORITY["EPSG","6610"]],PRIMEM["Greenwich",0,AUTHORITY["EPSG","8901"]],UNIT["degree",0.0174532925199433,AUTHORITY["EPSG","9122"]],AUTHORITY["EPSG","4610"]],PROJECTION["Transverse_Mercator"],PARAMETER["latitude_of_origin",0],PARAMETER["central_meridian",135],PARAMETER["scale_factor",1],PARAMETER["false_easting",500000],PARAMETER["false_northing",0],UNIT["metre",1,AUTHORITY["EPSG","9001"]],AUTHORITY["EPSG","2390"]]</t>
  </si>
  <si>
    <t>PROJCS["KKJ / Finland zone 1",GEOGCS["KKJ",DATUM["Kartastokoordinaattijarjestelma_1966",SPHEROID["International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21],PARAMETER["scale_factor",1],PARAMETER["false_easting",1500000],PARAMETER["false_northing",0],UNIT["metre",1,AUTHORITY["EPSG","9001"]],AUTHORITY["EPSG","2391"]]</t>
  </si>
  <si>
    <t xml:space="preserve">+proj=tmerc +lat_0=0 +lon_0=21 +k=1 +x_0=1500000 +y_0=0 +ellps=intl +towgs84=-96.062,-82.428,-121.753,4.801,0.345,-1.376,1.496 +units=m +no_defs </t>
  </si>
  <si>
    <t>PROJCS["KKJ / Finland zone 2",GEOGCS["KKJ",DATUM["Kartastokoordinaattijarjestelma_1966",SPHEROID["International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24],PARAMETER["scale_factor",1],PARAMETER["false_easting",2500000],PARAMETER["false_northing",0],UNIT["metre",1,AUTHORITY["EPSG","9001"]],AUTHORITY["EPSG","2392"]]</t>
  </si>
  <si>
    <t xml:space="preserve">+proj=tmerc +lat_0=0 +lon_0=24 +k=1 +x_0=2500000 +y_0=0 +ellps=intl +towgs84=-96.062,-82.428,-121.753,4.801,0.345,-1.376,1.496 +units=m +no_defs </t>
  </si>
  <si>
    <t>PROJCS["KKJ / Finland Uniform Coordinate System",GEOGCS["KKJ",DATUM["Kartastokoordinaattijarjestelma_1966",SPHEROID["International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27],PARAMETER["scale_factor",1],PARAMETER["false_easting",3500000],PARAMETER["false_northing",0],UNIT["metre",1,AUTHORITY["EPSG","9001"]],AUTHORITY["EPSG","2393"]]</t>
  </si>
  <si>
    <t xml:space="preserve">+proj=tmerc +lat_0=0 +lon_0=27 +k=1 +x_0=3500000 +y_0=0 +ellps=intl +towgs84=-96.062,-82.428,-121.753,4.801,0.345,-1.376,1.496 +units=m +no_defs </t>
  </si>
  <si>
    <t>GEOCCS["LKS94 (ETRS89) (geocentric)",DATUM["Lithuania_1994_ETRS89",SPHEROID["GRS 1980",6378137,298.257222101,AUTHORITY["EPSG","7019"]],AUTHORITY["EPSG","6126"]],PRIMEM["Greenwich",0,AUTHORITY["EPSG","8901"]],UNIT["metre",1,AUTHORITY["EPSG","9001"]],AXIS["Geocentric X",OTHER],AXIS["Geocentric Y",OTHER],AXIS["Geocentric Z",NORTH],AUTHORITY["EPSG","4356"]]</t>
  </si>
  <si>
    <t>PROJCS["KKJ / Finland zone 4",GEOGCS["KKJ",DATUM["Kartastokoordinaattijarjestelma_1966",SPHEROID["International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30],PARAMETER["scale_factor",1],PARAMETER["false_easting",4500000],PARAMETER["false_northing",0],UNIT["metre",1,AUTHORITY["EPSG","9001"]],AUTHORITY["EPSG","2394"]]</t>
  </si>
  <si>
    <t xml:space="preserve">+proj=tmerc +lat_0=0 +lon_0=30 +k=1 +x_0=4500000 +y_0=0 +ellps=intl +towgs84=-96.062,-82.428,-121.753,4.801,0.345,-1.376,1.496 +units=m +no_defs </t>
  </si>
  <si>
    <t>PROJCS["South Yemen / Gauss-Kruger zone 8",GEOGCS["South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,PROJECTION["Transverse_Mercator"],PARAMETER["latitude_of_origin",0],PARAMETER["central_meridian",45],PARAMETER["scale_factor",1],PARAMETER["false_easting",8500000],PARAMETER["false_northing",0],UNIT["metre",1,AUTHORITY["EPSG","9001"]],AUTHORITY["EPSG","2395"]]</t>
  </si>
  <si>
    <t>PROJCS["South Yemen / Gauss-Kruger zone 9",GEOGCS["South Yemen",DATUM["South_Yemen",SPHEROID["Krassowsky 1940",6378245,298.3,AUTHORITY["EPSG","7024"]],TOWGS84[-76,-138,67,0,0,0,0],AUTHORITY["EPSG","6164"]],PRIMEM["Greenwich",0,AUTHORITY["EPSG","8901"]],UNIT["degree",0.0174532925199433,AUTHORITY["EPSG","9122"]],AUTHORITY["EPSG","4164"]],PROJECTION["Transverse_Mercator"],PARAMETER["latitude_of_origin",0],PARAMETER["central_meridian",51],PARAMETER["scale_factor",1],PARAMETER["false_easting",9500000],PARAMETER["false_northing",0],UNIT["metre",1,AUTHORITY["EPSG","9001"]],AUTHORITY["EPSG","2396"]]</t>
  </si>
  <si>
    <t>PROJCS["Pulkovo 1942(83) / 3-degree Gauss-Kruger zone 3",GEOGCS["Pulkovo 1942(83)",DATUM["Pulkovo_1942_83",SPHEROID["Krassowsky 1940",6378245,298.3,AUTHORITY["EPSG","7024"]],TOWGS84[24.9,-126.4,-93.2,-0.063,-0.247,-0.041,1.01]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3500000],PARAMETER["false_northing",0],UNIT["metre",1,AUTHORITY["EPSG","9001"]],AUTHORITY["EPSG","2397"]]</t>
  </si>
  <si>
    <t xml:space="preserve">+proj=tmerc +lat_0=0 +lon_0=9 +k=1 +x_0=3500000 +y_0=0 +ellps=krass +towgs84=24.9,-126.4,-93.2,-0.063,-0.247,-0.041,1.01 +units=m +no_defs </t>
  </si>
  <si>
    <t>PROJCS["Pulkovo 1942(83) / 3-degree Gauss-Kruger zone 4",GEOGCS["Pulkovo 1942(83)",DATUM["Pulkovo_1942_83",SPHEROID["Krassowsky 1940",6378245,298.3,AUTHORITY["EPSG","7024"]],TOWGS84[24.9,-126.4,-93.2,-0.063,-0.247,-0.041,1.01],AUTHORITY["EPSG","6178"]],PRIMEM["Greenwich",0,AUTHORITY["EPSG","8901"]],UNIT["degree",0.0174532925199433,AUTHORITY["EPSG","9122"]],AUTHORITY["EPSG","4178"]],PROJECTION["Transverse_Mercator"],PARAMETER["latitude_of_origin",0],PARAMETER["central_meridian",12],PARAMETER["scale_factor",1],PARAMETER["false_easting",4500000],PARAMETER["false_northing",0],UNIT["metre",1,AUTHORITY["EPSG","9001"]],AUTHORITY["EPSG","2398"]]</t>
  </si>
  <si>
    <t xml:space="preserve">+proj=tmerc +lat_0=0 +lon_0=12 +k=1 +x_0=4500000 +y_0=0 +ellps=krass +towgs84=24.9,-126.4,-93.2,-0.063,-0.247,-0.041,1.01 +units=m +no_defs </t>
  </si>
  <si>
    <t>PROJCS["Pulkovo 1942(83) / 3-degree Gauss-Kruger zone 5",GEOGCS["Pulkovo 1942(83)",DATUM["Pulkovo_1942_83",SPHEROID["Krassowsky 1940",6378245,298.3,AUTHORITY["EPSG","7024"]],TOWGS84[24.9,-126.4,-93.2,-0.063,-0.247,-0.041,1.01]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5500000],PARAMETER["false_northing",0],UNIT["metre",1,AUTHORITY["EPSG","9001"]],AUTHORITY["EPSG","2399"]]</t>
  </si>
  <si>
    <t xml:space="preserve">+proj=tmerc +lat_0=0 +lon_0=15 +k=1 +x_0=5500000 +y_0=0 +ellps=krass +towgs84=24.9,-126.4,-93.2,-0.063,-0.247,-0.041,1.01 +units=m +no_defs </t>
  </si>
  <si>
    <t>PROJCS["RT90 2.5 gon W (deprecated)",GEOGCS["RT90",DATUM["Rikets_koordinatsystem_1990",SPHEROID["Bessel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15.80827777777778],PARAMETER["scale_factor",1],PARAMETER["false_easting",1500000],PARAMETER["false_northing",0],UNIT["metre",1,AUTHORITY["EPSG","9001"]],AUTHORITY["EPSG","2400"]]</t>
  </si>
  <si>
    <t xml:space="preserve">+proj=tmerc +lat_0=0 +lon_0=15.80827777777778 +k=1 +x_0=1500000 +y_0=0 +ellps=bessel +towgs84=414.1,41.3,603.1,-0.855,2.141,-7.023,0 +units=m +no_defs </t>
  </si>
  <si>
    <t>PROJCS["Beijing 1954 / 3-degree Gauss-Kruger zone 25",GEOGCS["Beijing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25500000],PARAMETER["false_northing",0],UNIT["metre",1,AUTHORITY["EPSG","9001"]],AUTHORITY["EPSG","2401"]]</t>
  </si>
  <si>
    <t xml:space="preserve">+proj=tmerc +lat_0=0 +lon_0=75 +k=1 +x_0=25500000 +y_0=0 +ellps=krass +towgs84=15.8,-154.4,-82.3,0,0,0,0 +units=m +no_defs </t>
  </si>
  <si>
    <t>PROJCS["Beijing 1954 / 3-degree Gauss-Kruger zone 26",GEOGCS["Beijing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78],PARAMETER["scale_factor",1],PARAMETER["false_easting",26500000],PARAMETER["false_northing",0],UNIT["metre",1,AUTHORITY["EPSG","9001"]],AUTHORITY["EPSG","2402"]]</t>
  </si>
  <si>
    <t xml:space="preserve">+proj=tmerc +lat_0=0 +lon_0=78 +k=1 +x_0=26500000 +y_0=0 +ellps=krass +towgs84=15.8,-154.4,-82.3,0,0,0,0 +units=m +no_defs </t>
  </si>
  <si>
    <t>PROJCS["Beijing 1954 / 3-degree Gauss-Kruger zone 27",GEOGCS["Beijing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27500000],PARAMETER["false_northing",0],UNIT["metre",1,AUTHORITY["EPSG","9001"]],AUTHORITY["EPSG","2403"]]</t>
  </si>
  <si>
    <t xml:space="preserve">+proj=tmerc +lat_0=0 +lon_0=81 +k=1 +x_0=27500000 +y_0=0 +ellps=krass +towgs84=15.8,-154.4,-82.3,0,0,0,0 +units=m +no_defs </t>
  </si>
  <si>
    <t>PROJCS["Beijing 1954 / 3-degree Gauss-Kruger zone 28",GEOGCS["Beijing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84],PARAMETER["scale_factor",1],PARAMETER["false_easting",28500000],PARAMETER["false_northing",0],UNIT["metre",1,AUTHORITY["EPSG","9001"]],AUTHORITY["EPSG","2404"]]</t>
  </si>
  <si>
    <t xml:space="preserve">+proj=tmerc +lat_0=0 +lon_0=84 +k=1 +x_0=28500000 +y_0=0 +ellps=krass +towgs84=15.8,-154.4,-82.3,0,0,0,0 +units=m +no_defs </t>
  </si>
  <si>
    <t>PROJCS["Beijing 1954 / 3-degree Gauss-Kruger zone 29",GEOGCS["Beijing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29500000],PARAMETER["false_northing",0],UNIT["metre",1,AUTHORITY["EPSG","9001"]],AUTHORITY["EPSG","2405"]]</t>
  </si>
  <si>
    <t xml:space="preserve">+proj=tmerc +lat_0=0 +lon_0=87 +k=1 +x_0=29500000 +y_0=0 +ellps=krass +towgs84=15.8,-154.4,-82.3,0,0,0,0 +units=m +no_defs </t>
  </si>
  <si>
    <t>PROJCS["Beijing 1954 / 3-degree Gauss-Kruger zone 30",GEOGCS["Beijing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90],PARAMETER["scale_factor",1],PARAMETER["false_easting",30500000],PARAMETER["false_northing",0],UNIT["metre",1,AUTHORITY["EPSG","9001"]],AUTHORITY["EPSG","2406"]]</t>
  </si>
  <si>
    <t xml:space="preserve">+proj=tmerc +lat_0=0 +lon_0=90 +k=1 +x_0=30500000 +y_0=0 +ellps=krass +towgs84=15.8,-154.4,-82.3,0,0,0,0 +units=m +no_defs </t>
  </si>
  <si>
    <t>PROJCS["Beijing 1954 / 3-degree Gauss-Kruger zone 31",GEOGCS["Beijing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31500000],PARAMETER["false_northing",0],UNIT["metre",1,AUTHORITY["EPSG","9001"]],AUTHORITY["EPSG","2407"]]</t>
  </si>
  <si>
    <t xml:space="preserve">+proj=tmerc +lat_0=0 +lon_0=93 +k=1 +x_0=31500000 +y_0=0 +ellps=krass +towgs84=15.8,-154.4,-82.3,0,0,0,0 +units=m +no_defs </t>
  </si>
  <si>
    <t>PROJCS["Beijing 1954 / 3-degree Gauss-Kruger zone 32",GEOGCS["Beijing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96],PARAMETER["scale_factor",1],PARAMETER["false_easting",32500000],PARAMETER["false_northing",0],UNIT["metre",1,AUTHORITY["EPSG","9001"]],AUTHORITY["EPSG","2408"]]</t>
  </si>
  <si>
    <t xml:space="preserve">+proj=tmerc +lat_0=0 +lon_0=96 +k=1 +x_0=32500000 +y_0=0 +ellps=krass +towgs84=15.8,-154.4,-82.3,0,0,0,0 +units=m +no_defs </t>
  </si>
  <si>
    <t>PROJCS["Beijing 1954 / 3-degree Gauss-Kruger zone 33",GEOGCS["Beijing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33500000],PARAMETER["false_northing",0],UNIT["metre",1,AUTHORITY["EPSG","9001"]],AUTHORITY["EPSG","2409"]]</t>
  </si>
  <si>
    <t xml:space="preserve">+proj=tmerc +lat_0=0 +lon_0=99 +k=1 +x_0=33500000 +y_0=0 +ellps=krass +towgs84=15.8,-154.4,-82.3,0,0,0,0 +units=m +no_defs </t>
  </si>
  <si>
    <t>PROJCS["Beijing 1954 / 3-degree Gauss-Kruger zone 34",GEOGCS["Beijing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102],PARAMETER["scale_factor",1],PARAMETER["false_easting",34500000],PARAMETER["false_northing",0],UNIT["metre",1,AUTHORITY["EPSG","9001"]],AUTHORITY["EPSG","2410"]]</t>
  </si>
  <si>
    <t xml:space="preserve">+proj=tmerc +lat_0=0 +lon_0=102 +k=1 +x_0=34500000 +y_0=0 +ellps=krass +towgs84=15.8,-154.4,-82.3,0,0,0,0 +units=m +no_defs </t>
  </si>
  <si>
    <t>PROJCS["Beijing 1954 / 3-degree Gauss-Kruger zone 35",GEOGCS["Beijing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35500000],PARAMETER["false_northing",0],UNIT["metre",1,AUTHORITY["EPSG","9001"]],AUTHORITY["EPSG","2411"]]</t>
  </si>
  <si>
    <t xml:space="preserve">+proj=tmerc +lat_0=0 +lon_0=105 +k=1 +x_0=35500000 +y_0=0 +ellps=krass +towgs84=15.8,-154.4,-82.3,0,0,0,0 +units=m +no_defs </t>
  </si>
  <si>
    <t>PROJCS["Beijing 1954 / 3-degree Gauss-Kruger zone 36",GEOGCS["Beijing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108],PARAMETER["scale_factor",1],PARAMETER["false_easting",36500000],PARAMETER["false_northing",0],UNIT["metre",1,AUTHORITY["EPSG","9001"]],AUTHORITY["EPSG","2412"]]</t>
  </si>
  <si>
    <t xml:space="preserve">+proj=tmerc +lat_0=0 +lon_0=108 +k=1 +x_0=36500000 +y_0=0 +ellps=krass +towgs84=15.8,-154.4,-82.3,0,0,0,0 +units=m +no_defs </t>
  </si>
  <si>
    <t>PROJCS["Beijing 1954 / 3-degree Gauss-Kruger zone 37",GEOGCS["Beijing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37500000],PARAMETER["false_northing",0],UNIT["metre",1,AUTHORITY["EPSG","9001"]],AUTHORITY["EPSG","2413"]]</t>
  </si>
  <si>
    <t xml:space="preserve">+proj=tmerc +lat_0=0 +lon_0=111 +k=1 +x_0=37500000 +y_0=0 +ellps=krass +towgs84=15.8,-154.4,-82.3,0,0,0,0 +units=m +no_defs </t>
  </si>
  <si>
    <t>PROJCS["Beijing 1954 / 3-degree Gauss-Kruger zone 38",GEOGCS["Beijing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114],PARAMETER["scale_factor",1],PARAMETER["false_easting",38500000],PARAMETER["false_northing",0],UNIT["metre",1,AUTHORITY["EPSG","9001"]],AUTHORITY["EPSG","2414"]]</t>
  </si>
  <si>
    <t xml:space="preserve">+proj=tmerc +lat_0=0 +lon_0=114 +k=1 +x_0=38500000 +y_0=0 +ellps=krass +towgs84=15.8,-154.4,-82.3,0,0,0,0 +units=m +no_defs </t>
  </si>
  <si>
    <t>PROJCS["Beijing 1954 / 3-degree Gauss-Kruger zone 39",GEOGCS["Beijing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39500000],PARAMETER["false_northing",0],UNIT["metre",1,AUTHORITY["EPSG","9001"]],AUTHORITY["EPSG","2415"]]</t>
  </si>
  <si>
    <t xml:space="preserve">+proj=tmerc +lat_0=0 +lon_0=117 +k=1 +x_0=39500000 +y_0=0 +ellps=krass +towgs84=15.8,-154.4,-82.3,0,0,0,0 +units=m +no_defs </t>
  </si>
  <si>
    <t>PROJCS["Beijing 1954 / 3-degree Gauss-Kruger zone 40",GEOGCS["Beijing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120],PARAMETER["scale_factor",1],PARAMETER["false_easting",40500000],PARAMETER["false_northing",0],UNIT["metre",1,AUTHORITY["EPSG","9001"]],AUTHORITY["EPSG","2416"]]</t>
  </si>
  <si>
    <t xml:space="preserve">+proj=tmerc +lat_0=0 +lon_0=120 +k=1 +x_0=40500000 +y_0=0 +ellps=krass +towgs84=15.8,-154.4,-82.3,0,0,0,0 +units=m +no_defs </t>
  </si>
  <si>
    <t>PROJCS["Beijing 1954 / 3-degree Gauss-Kruger zone 41",GEOGCS["Beijing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41500000],PARAMETER["false_northing",0],UNIT["metre",1,AUTHORITY["EPSG","9001"]],AUTHORITY["EPSG","2417"]]</t>
  </si>
  <si>
    <t xml:space="preserve">+proj=tmerc +lat_0=0 +lon_0=123 +k=1 +x_0=41500000 +y_0=0 +ellps=krass +towgs84=15.8,-154.4,-82.3,0,0,0,0 +units=m +no_defs </t>
  </si>
  <si>
    <t>PROJCS["Beijing 1954 / 3-degree Gauss-Kruger zone 42",GEOGCS["Beijing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126],PARAMETER["scale_factor",1],PARAMETER["false_easting",42500000],PARAMETER["false_northing",0],UNIT["metre",1,AUTHORITY["EPSG","9001"]],AUTHORITY["EPSG","2418"]]</t>
  </si>
  <si>
    <t xml:space="preserve">+proj=tmerc +lat_0=0 +lon_0=126 +k=1 +x_0=42500000 +y_0=0 +ellps=krass +towgs84=15.8,-154.4,-82.3,0,0,0,0 +units=m +no_defs </t>
  </si>
  <si>
    <t>PROJCS["Beijing 1954 / 3-degree Gauss-Kruger zone 43",GEOGCS["Beijing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43500000],PARAMETER["false_northing",0],UNIT["metre",1,AUTHORITY["EPSG","9001"]],AUTHORITY["EPSG","2419"]]</t>
  </si>
  <si>
    <t xml:space="preserve">+proj=tmerc +lat_0=0 +lon_0=129 +k=1 +x_0=43500000 +y_0=0 +ellps=krass +towgs84=15.8,-154.4,-82.3,0,0,0,0 +units=m +no_defs </t>
  </si>
  <si>
    <t>PROJCS["Beijing 1954 / 3-degree Gauss-Kruger zone 44",GEOGCS["Beijing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132],PARAMETER["scale_factor",1],PARAMETER["false_easting",44500000],PARAMETER["false_northing",0],UNIT["metre",1,AUTHORITY["EPSG","9001"]],AUTHORITY["EPSG","2420"]]</t>
  </si>
  <si>
    <t xml:space="preserve">+proj=tmerc +lat_0=0 +lon_0=132 +k=1 +x_0=44500000 +y_0=0 +ellps=krass +towgs84=15.8,-154.4,-82.3,0,0,0,0 +units=m +no_defs </t>
  </si>
  <si>
    <t>PROJCS["Beijing 1954 / 3-degree Gauss-Kruger zone 45",GEOGCS["Beijing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45500000],PARAMETER["false_northing",0],UNIT["metre",1,AUTHORITY["EPSG","9001"]],AUTHORITY["EPSG","2421"]]</t>
  </si>
  <si>
    <t xml:space="preserve">+proj=tmerc +lat_0=0 +lon_0=135 +k=1 +x_0=45500000 +y_0=0 +ellps=krass +towgs84=15.8,-154.4,-82.3,0,0,0,0 +units=m +no_defs </t>
  </si>
  <si>
    <t>PROJCS["Beijing 1954 / 3-degree Gauss-Kruger CM 75E",GEOGCS["Beijing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500000],PARAMETER["false_northing",0],UNIT["metre",1,AUTHORITY["EPSG","9001"]],AUTHORITY["EPSG","2422"]]</t>
  </si>
  <si>
    <t xml:space="preserve">+proj=tmerc +lat_0=0 +lon_0=75 +k=1 +x_0=500000 +y_0=0 +ellps=krass +towgs84=15.8,-154.4,-82.3,0,0,0,0 +units=m +no_defs </t>
  </si>
  <si>
    <t>PROJCS["Beijing 1954 / 3-degree Gauss-Kruger CM 78E",GEOGCS["Beijing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78],PARAMETER["scale_factor",1],PARAMETER["false_easting",500000],PARAMETER["false_northing",0],UNIT["metre",1,AUTHORITY["EPSG","9001"]],AUTHORITY["EPSG","2423"]]</t>
  </si>
  <si>
    <t xml:space="preserve">+proj=tmerc +lat_0=0 +lon_0=78 +k=1 +x_0=500000 +y_0=0 +ellps=krass +towgs84=15.8,-154.4,-82.3,0,0,0,0 +units=m +no_defs </t>
  </si>
  <si>
    <t>PROJCS["Beijing 1954 / 3-degree Gauss-Kruger CM 81E",GEOGCS["Beijing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500000],PARAMETER["false_northing",0],UNIT["metre",1,AUTHORITY["EPSG","9001"]],AUTHORITY["EPSG","2424"]]</t>
  </si>
  <si>
    <t xml:space="preserve">+proj=tmerc +lat_0=0 +lon_0=81 +k=1 +x_0=500000 +y_0=0 +ellps=krass +towgs84=15.8,-154.4,-82.3,0,0,0,0 +units=m +no_defs </t>
  </si>
  <si>
    <t>PROJCS["Beijing 1954 / 3-degree Gauss-Kruger CM 84E",GEOGCS["Beijing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84],PARAMETER["scale_factor",1],PARAMETER["false_easting",500000],PARAMETER["false_northing",0],UNIT["metre",1,AUTHORITY["EPSG","9001"]],AUTHORITY["EPSG","2425"]]</t>
  </si>
  <si>
    <t xml:space="preserve">+proj=tmerc +lat_0=0 +lon_0=84 +k=1 +x_0=500000 +y_0=0 +ellps=krass +towgs84=15.8,-154.4,-82.3,0,0,0,0 +units=m +no_defs </t>
  </si>
  <si>
    <t>PROJCS["Beijing 1954 / 3-degree Gauss-Kruger CM 87E",GEOGCS["Beijing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500000],PARAMETER["false_northing",0],UNIT["metre",1,AUTHORITY["EPSG","9001"]],AUTHORITY["EPSG","2426"]]</t>
  </si>
  <si>
    <t xml:space="preserve">+proj=tmerc +lat_0=0 +lon_0=87 +k=1 +x_0=500000 +y_0=0 +ellps=krass +towgs84=15.8,-154.4,-82.3,0,0,0,0 +units=m +no_defs </t>
  </si>
  <si>
    <t>PROJCS["Beijing 1954 / 3-degree Gauss-Kruger CM 90E",GEOGCS["Beijing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90],PARAMETER["scale_factor",1],PARAMETER["false_easting",500000],PARAMETER["false_northing",0],UNIT["metre",1,AUTHORITY["EPSG","9001"]],AUTHORITY["EPSG","2427"]]</t>
  </si>
  <si>
    <t xml:space="preserve">+proj=tmerc +lat_0=0 +lon_0=90 +k=1 +x_0=500000 +y_0=0 +ellps=krass +towgs84=15.8,-154.4,-82.3,0,0,0,0 +units=m +no_defs </t>
  </si>
  <si>
    <t>PROJCS["Beijing 1954 / 3-degree Gauss-Kruger CM 93E",GEOGCS["Beijing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500000],PARAMETER["false_northing",0],UNIT["metre",1,AUTHORITY["EPSG","9001"]],AUTHORITY["EPSG","2428"]]</t>
  </si>
  <si>
    <t xml:space="preserve">+proj=tmerc +lat_0=0 +lon_0=93 +k=1 +x_0=500000 +y_0=0 +ellps=krass +towgs84=15.8,-154.4,-82.3,0,0,0,0 +units=m +no_defs </t>
  </si>
  <si>
    <t>PROJCS["Beijing 1954 / 3-degree Gauss-Kruger CM 96E",GEOGCS["Beijing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96],PARAMETER["scale_factor",1],PARAMETER["false_easting",500000],PARAMETER["false_northing",0],UNIT["metre",1,AUTHORITY["EPSG","9001"]],AUTHORITY["EPSG","2429"]]</t>
  </si>
  <si>
    <t xml:space="preserve">+proj=tmerc +lat_0=0 +lon_0=96 +k=1 +x_0=500000 +y_0=0 +ellps=krass +towgs84=15.8,-154.4,-82.3,0,0,0,0 +units=m +no_defs </t>
  </si>
  <si>
    <t>PROJCS["Beijing 1954 / 3-degree Gauss-Kruger CM 99E",GEOGCS["Beijing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500000],PARAMETER["false_northing",0],UNIT["metre",1,AUTHORITY["EPSG","9001"]],AUTHORITY["EPSG","2430"]]</t>
  </si>
  <si>
    <t xml:space="preserve">+proj=tmerc +lat_0=0 +lon_0=99 +k=1 +x_0=500000 +y_0=0 +ellps=krass +towgs84=15.8,-154.4,-82.3,0,0,0,0 +units=m +no_defs </t>
  </si>
  <si>
    <t>PROJCS["Beijing 1954 / 3-degree Gauss-Kruger CM 102E",GEOGCS["Beijing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102],PARAMETER["scale_factor",1],PARAMETER["false_easting",500000],PARAMETER["false_northing",0],UNIT["metre",1,AUTHORITY["EPSG","9001"]],AUTHORITY["EPSG","2431"]]</t>
  </si>
  <si>
    <t xml:space="preserve">+proj=tmerc +lat_0=0 +lon_0=102 +k=1 +x_0=500000 +y_0=0 +ellps=krass +towgs84=15.8,-154.4,-82.3,0,0,0,0 +units=m +no_defs </t>
  </si>
  <si>
    <t>PROJCS["Beijing 1954 / 3-degree Gauss-Kruger CM 105E",GEOGCS["Beijing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500000],PARAMETER["false_northing",0],UNIT["metre",1,AUTHORITY["EPSG","9001"]],AUTHORITY["EPSG","2432"]]</t>
  </si>
  <si>
    <t xml:space="preserve">+proj=tmerc +lat_0=0 +lon_0=105 +k=1 +x_0=500000 +y_0=0 +ellps=krass +towgs84=15.8,-154.4,-82.3,0,0,0,0 +units=m +no_defs </t>
  </si>
  <si>
    <t>PROJCS["Beijing 1954 / 3-degree Gauss-Kruger CM 108E",GEOGCS["Beijing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108],PARAMETER["scale_factor",1],PARAMETER["false_easting",500000],PARAMETER["false_northing",0],UNIT["metre",1,AUTHORITY["EPSG","9001"]],AUTHORITY["EPSG","2433"]]</t>
  </si>
  <si>
    <t xml:space="preserve">+proj=tmerc +lat_0=0 +lon_0=108 +k=1 +x_0=500000 +y_0=0 +ellps=krass +towgs84=15.8,-154.4,-82.3,0,0,0,0 +units=m +no_defs </t>
  </si>
  <si>
    <t>PROJCS["Beijing 1954 / 3-degree Gauss-Kruger CM 111E",GEOGCS["Beijing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500000],PARAMETER["false_northing",0],UNIT["metre",1,AUTHORITY["EPSG","9001"]],AUTHORITY["EPSG","2434"]]</t>
  </si>
  <si>
    <t xml:space="preserve">+proj=tmerc +lat_0=0 +lon_0=111 +k=1 +x_0=500000 +y_0=0 +ellps=krass +towgs84=15.8,-154.4,-82.3,0,0,0,0 +units=m +no_defs </t>
  </si>
  <si>
    <t>PROJCS["Beijing 1954 / 3-degree Gauss-Kruger CM 114E",GEOGCS["Beijing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114],PARAMETER["scale_factor",1],PARAMETER["false_easting",500000],PARAMETER["false_northing",0],UNIT["metre",1,AUTHORITY["EPSG","9001"]],AUTHORITY["EPSG","2435"]]</t>
  </si>
  <si>
    <t xml:space="preserve">+proj=tmerc +lat_0=0 +lon_0=114 +k=1 +x_0=500000 +y_0=0 +ellps=krass +towgs84=15.8,-154.4,-82.3,0,0,0,0 +units=m +no_defs </t>
  </si>
  <si>
    <t>PROJCS["Beijing 1954 / 3-degree Gauss-Kruger CM 117E",GEOGCS["Beijing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500000],PARAMETER["false_northing",0],UNIT["metre",1,AUTHORITY["EPSG","9001"]],AUTHORITY["EPSG","2436"]]</t>
  </si>
  <si>
    <t xml:space="preserve">+proj=tmerc +lat_0=0 +lon_0=117 +k=1 +x_0=500000 +y_0=0 +ellps=krass +towgs84=15.8,-154.4,-82.3,0,0,0,0 +units=m +no_defs </t>
  </si>
  <si>
    <t>PROJCS["Beijing 1954 / 3-degree Gauss-Kruger CM 120E",GEOGCS["Beijing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120],PARAMETER["scale_factor",1],PARAMETER["false_easting",500000],PARAMETER["false_northing",0],UNIT["metre",1,AUTHORITY["EPSG","9001"]],AUTHORITY["EPSG","2437"]]</t>
  </si>
  <si>
    <t xml:space="preserve">+proj=tmerc +lat_0=0 +lon_0=120 +k=1 +x_0=500000 +y_0=0 +ellps=krass +towgs84=15.8,-154.4,-82.3,0,0,0,0 +units=m +no_defs </t>
  </si>
  <si>
    <t>PROJCS["Beijing 1954 / 3-degree Gauss-Kruger CM 123E",GEOGCS["Beijing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500000],PARAMETER["false_northing",0],UNIT["metre",1,AUTHORITY["EPSG","9001"]],AUTHORITY["EPSG","2438"]]</t>
  </si>
  <si>
    <t xml:space="preserve">+proj=tmerc +lat_0=0 +lon_0=123 +k=1 +x_0=500000 +y_0=0 +ellps=krass +towgs84=15.8,-154.4,-82.3,0,0,0,0 +units=m +no_defs </t>
  </si>
  <si>
    <t>PROJCS["Beijing 1954 / 3-degree Gauss-Kruger CM 126E",GEOGCS["Beijing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126],PARAMETER["scale_factor",1],PARAMETER["false_easting",500000],PARAMETER["false_northing",0],UNIT["metre",1,AUTHORITY["EPSG","9001"]],AUTHORITY["EPSG","2439"]]</t>
  </si>
  <si>
    <t xml:space="preserve">+proj=tmerc +lat_0=0 +lon_0=126 +k=1 +x_0=500000 +y_0=0 +ellps=krass +towgs84=15.8,-154.4,-82.3,0,0,0,0 +units=m +no_defs </t>
  </si>
  <si>
    <t>PROJCS["Beijing 1954 / 3-degree Gauss-Kruger CM 129E",GEOGCS["Beijing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500000],PARAMETER["false_northing",0],UNIT["metre",1,AUTHORITY["EPSG","9001"]],AUTHORITY["EPSG","2440"]]</t>
  </si>
  <si>
    <t xml:space="preserve">+proj=tmerc +lat_0=0 +lon_0=129 +k=1 +x_0=500000 +y_0=0 +ellps=krass +towgs84=15.8,-154.4,-82.3,0,0,0,0 +units=m +no_defs </t>
  </si>
  <si>
    <t>PROJCS["Beijing 1954 / 3-degree Gauss-Kruger CM 132E",GEOGCS["Beijing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132],PARAMETER["scale_factor",1],PARAMETER["false_easting",500000],PARAMETER["false_northing",0],UNIT["metre",1,AUTHORITY["EPSG","9001"]],AUTHORITY["EPSG","2441"]]</t>
  </si>
  <si>
    <t xml:space="preserve">+proj=tmerc +lat_0=0 +lon_0=132 +k=1 +x_0=500000 +y_0=0 +ellps=krass +towgs84=15.8,-154.4,-82.3,0,0,0,0 +units=m +no_defs </t>
  </si>
  <si>
    <t>PROJCS["Beijing 1954 / 3-degree Gauss-Kruger CM 135E",GEOGCS["Beijing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500000],PARAMETER["false_northing",0],UNIT["metre",1,AUTHORITY["EPSG","9001"]],AUTHORITY["EPSG","2442"]]</t>
  </si>
  <si>
    <t xml:space="preserve">+proj=tmerc +lat_0=0 +lon_0=135 +k=1 +x_0=500000 +y_0=0 +ellps=krass +towgs84=15.8,-154.4,-82.3,0,0,0,0 +units=m +no_defs </t>
  </si>
  <si>
    <t>PROJCS["JGD2000 / Japan Plane Rectangular CS 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33],PARAMETER["central_meridian",129.5],PARAMETER["scale_factor",0.9999],PARAMETER["false_easting",0],PARAMETER["false_northing",0],UNIT["metre",1,AUTHORITY["EPSG","9001"]],AUTHORITY["EPSG","2443"]]</t>
  </si>
  <si>
    <t xml:space="preserve">+proj=tmerc +lat_0=33 +lon_0=129.5 +k=0.9999 +x_0=0 +y_0=0 +ellps=GRS80 +towgs84=0,0,0,0,0,0,0 +units=m +no_defs </t>
  </si>
  <si>
    <t>PROJCS["JGD2000 / Japan Plane Rectangular CS 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33],PARAMETER["central_meridian",131],PARAMETER["scale_factor",0.9999],PARAMETER["false_easting",0],PARAMETER["false_northing",0],UNIT["metre",1,AUTHORITY["EPSG","9001"]],AUTHORITY["EPSG","2444"]]</t>
  </si>
  <si>
    <t xml:space="preserve">+proj=tmerc +lat_0=33 +lon_0=131 +k=0.9999 +x_0=0 +y_0=0 +ellps=GRS80 +towgs84=0,0,0,0,0,0,0 +units=m +no_defs </t>
  </si>
  <si>
    <t>PROJCS["JGD2000 / Japan Plane Rectangular CS III",GEOGCS["JGD2000",DATUM["Japanese_Geodetic_Datum_2000",SPHEROID["GRS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132.1666666666667],PARAMETER["scale_factor",0.9999],PARAMETER["false_easting",0],PARAMETER["false_northing",0],UNIT["metre",1,AUTHORITY["EPSG","9001"]],AUTHORITY["EPSG","2445"]]</t>
  </si>
  <si>
    <t xml:space="preserve">+proj=tmerc +lat_0=36 +lon_0=132.1666666666667 +k=0.9999 +x_0=0 +y_0=0 +ellps=GRS80 +towgs84=0,0,0,0,0,0,0 +units=m +no_defs </t>
  </si>
  <si>
    <t>PROJCS["JGD2000 / Japan Plane Rectangular CS IV",GEOGCS["JGD2000",DATUM["Japanese_Geodetic_Datum_2000",SPHEROID["GRS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33],PARAMETER["central_meridian",133.5],PARAMETER["scale_factor",0.9999],PARAMETER["false_easting",0],PARAMETER["false_northing",0],UNIT["metre",1,AUTHORITY["EPSG","9001"]],AUTHORITY["EPSG","2446"]]</t>
  </si>
  <si>
    <t xml:space="preserve">+proj=tmerc +lat_0=33 +lon_0=133.5 +k=0.9999 +x_0=0 +y_0=0 +ellps=GRS80 +towgs84=0,0,0,0,0,0,0 +units=m +no_defs </t>
  </si>
  <si>
    <t>PROJCS["JGD2000 / Japan Plane Rectangular CS V",GEOGCS["JGD2000",DATUM["Japanese_Geodetic_Datum_2000",SPHEROID["GRS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134.3333333333333],PARAMETER["scale_factor",0.9999],PARAMETER["false_easting",0],PARAMETER["false_northing",0],UNIT["metre",1,AUTHORITY["EPSG","9001"]],AUTHORITY["EPSG","2447"]]</t>
  </si>
  <si>
    <t xml:space="preserve">+proj=tmerc +lat_0=36 +lon_0=134.3333333333333 +k=0.9999 +x_0=0 +y_0=0 +ellps=GRS80 +towgs84=0,0,0,0,0,0,0 +units=m +no_defs </t>
  </si>
  <si>
    <t>PROJCS["JGD2000 / Japan Plane Rectangular CS VI",GEOGCS["JGD2000",DATUM["Japanese_Geodetic_Datum_2000",SPHEROID["GRS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136],PARAMETER["scale_factor",0.9999],PARAMETER["false_easting",0],PARAMETER["false_northing",0],UNIT["metre",1,AUTHORITY["EPSG","9001"]],AUTHORITY["EPSG","2448"]]</t>
  </si>
  <si>
    <t xml:space="preserve">+proj=tmerc +lat_0=36 +lon_0=136 +k=0.9999 +x_0=0 +y_0=0 +ellps=GRS80 +towgs84=0,0,0,0,0,0,0 +units=m +no_defs </t>
  </si>
  <si>
    <t>PROJCS["JGD2000 / Japan Plane Rectangular CS VII",GEOGCS["JGD2000",DATUM["Japanese_Geodetic_Datum_2000",SPHEROID["GRS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137.1666666666667],PARAMETER["scale_factor",0.9999],PARAMETER["false_easting",0],PARAMETER["false_northing",0],UNIT["metre",1,AUTHORITY["EPSG","9001"]],AUTHORITY["EPSG","2449"]]</t>
  </si>
  <si>
    <t xml:space="preserve">+proj=tmerc +lat_0=36 +lon_0=137.1666666666667 +k=0.9999 +x_0=0 +y_0=0 +ellps=GRS80 +towgs84=0,0,0,0,0,0,0 +units=m +no_defs </t>
  </si>
  <si>
    <t>PROJCS["JGD2000 / Japan Plane Rectangular CS VIII",GEOGCS["JGD2000",DATUM["Japanese_Geodetic_Datum_2000",SPHEROID["GRS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138.5],PARAMETER["scale_factor",0.9999],PARAMETER["false_easting",0],PARAMETER["false_northing",0],UNIT["metre",1,AUTHORITY["EPSG","9001"]],AUTHORITY["EPSG","2450"]]</t>
  </si>
  <si>
    <t xml:space="preserve">+proj=tmerc +lat_0=36 +lon_0=138.5 +k=0.9999 +x_0=0 +y_0=0 +ellps=GRS80 +towgs84=0,0,0,0,0,0,0 +units=m +no_defs </t>
  </si>
  <si>
    <t>PROJCS["JGD2000 / Japan Plane Rectangular CS IX",GEOGCS["JGD2000",DATUM["Japanese_Geodetic_Datum_2000",SPHEROID["GRS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36],PARAMETER["central_meridian",139.8333333333333],PARAMETER["scale_factor",0.9999],PARAMETER["false_easting",0],PARAMETER["false_northing",0],UNIT["metre",1,AUTHORITY["EPSG","9001"]],AUTHORITY["EPSG","2451"]]</t>
  </si>
  <si>
    <t xml:space="preserve">+proj=tmerc +lat_0=36 +lon_0=139.8333333333333 +k=0.9999 +x_0=0 +y_0=0 +ellps=GRS80 +towgs84=0,0,0,0,0,0,0 +units=m +no_defs </t>
  </si>
  <si>
    <t>PROJCS["JGD2000 / Japan Plane Rectangular CS X",GEOGCS["JGD2000",DATUM["Japanese_Geodetic_Datum_2000",SPHEROID["GRS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40],PARAMETER["central_meridian",140.8333333333333],PARAMETER["scale_factor",0.9999],PARAMETER["false_easting",0],PARAMETER["false_northing",0],UNIT["metre",1,AUTHORITY["EPSG","9001"]],AUTHORITY["EPSG","2452"]]</t>
  </si>
  <si>
    <t xml:space="preserve">+proj=tmerc +lat_0=40 +lon_0=140.8333333333333 +k=0.9999 +x_0=0 +y_0=0 +ellps=GRS80 +towgs84=0,0,0,0,0,0,0 +units=m +no_defs </t>
  </si>
  <si>
    <t>PROJCS["JGD2000 / Japan Plane Rectangular CS XI",GEOGCS["JGD2000",DATUM["Japanese_Geodetic_Datum_2000",SPHEROID["GRS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44],PARAMETER["central_meridian",140.25],PARAMETER["scale_factor",0.9999],PARAMETER["false_easting",0],PARAMETER["false_northing",0],UNIT["metre",1,AUTHORITY["EPSG","9001"]],AUTHORITY["EPSG","2453"]]</t>
  </si>
  <si>
    <t xml:space="preserve">+proj=tmerc +lat_0=44 +lon_0=140.25 +k=0.9999 +x_0=0 +y_0=0 +ellps=GRS80 +towgs84=0,0,0,0,0,0,0 +units=m +no_defs </t>
  </si>
  <si>
    <t>PROJCS["JGD2000 / Japan Plane Rectangular CS XII",GEOGCS["JGD2000",DATUM["Japanese_Geodetic_Datum_2000",SPHEROID["GRS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44],PARAMETER["central_meridian",142.25],PARAMETER["scale_factor",0.9999],PARAMETER["false_easting",0],PARAMETER["false_northing",0],UNIT["metre",1,AUTHORITY["EPSG","9001"]],AUTHORITY["EPSG","2454"]]</t>
  </si>
  <si>
    <t xml:space="preserve">+proj=tmerc +lat_0=44 +lon_0=142.25 +k=0.9999 +x_0=0 +y_0=0 +ellps=GRS80 +towgs84=0,0,0,0,0,0,0 +units=m +no_defs </t>
  </si>
  <si>
    <t>PROJCS["JGD2000 / Japan Plane Rectangular CS XIII",GEOGCS["JGD2000",DATUM["Japanese_Geodetic_Datum_2000",SPHEROID["GRS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44],PARAMETER["central_meridian",144.25],PARAMETER["scale_factor",0.9999],PARAMETER["false_easting",0],PARAMETER["false_northing",0],UNIT["metre",1,AUTHORITY["EPSG","9001"]],AUTHORITY["EPSG","2455"]]</t>
  </si>
  <si>
    <t xml:space="preserve">+proj=tmerc +lat_0=44 +lon_0=144.25 +k=0.9999 +x_0=0 +y_0=0 +ellps=GRS80 +towgs84=0,0,0,0,0,0,0 +units=m +no_defs </t>
  </si>
  <si>
    <t>PROJCS["JGD2000 / Japan Plane Rectangular CS XIV",GEOGCS["JGD2000",DATUM["Japanese_Geodetic_Datum_2000",SPHEROID["GRS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142],PARAMETER["scale_factor",0.9999],PARAMETER["false_easting",0],PARAMETER["false_northing",0],UNIT["metre",1,AUTHORITY["EPSG","9001"]],AUTHORITY["EPSG","2456"]]</t>
  </si>
  <si>
    <t xml:space="preserve">+proj=tmerc +lat_0=26 +lon_0=142 +k=0.9999 +x_0=0 +y_0=0 +ellps=GRS80 +towgs84=0,0,0,0,0,0,0 +units=m +no_defs </t>
  </si>
  <si>
    <t>PROJCS["JGD2000 / Japan Plane Rectangular CS XV",GEOGCS["JGD2000",DATUM["Japanese_Geodetic_Datum_2000",SPHEROID["GRS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127.5],PARAMETER["scale_factor",0.9999],PARAMETER["false_easting",0],PARAMETER["false_northing",0],UNIT["metre",1,AUTHORITY["EPSG","9001"]],AUTHORITY["EPSG","2457"]]</t>
  </si>
  <si>
    <t xml:space="preserve">+proj=tmerc +lat_0=26 +lon_0=127.5 +k=0.9999 +x_0=0 +y_0=0 +ellps=GRS80 +towgs84=0,0,0,0,0,0,0 +units=m +no_defs </t>
  </si>
  <si>
    <t>PROJCS["JGD2000 / Japan Plane Rectangular CS XVI",GEOGCS["JGD2000",DATUM["Japanese_Geodetic_Datum_2000",SPHEROID["GRS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124],PARAMETER["scale_factor",0.9999],PARAMETER["false_easting",0],PARAMETER["false_northing",0],UNIT["metre",1,AUTHORITY["EPSG","9001"]],AUTHORITY["EPSG","2458"]]</t>
  </si>
  <si>
    <t xml:space="preserve">+proj=tmerc +lat_0=26 +lon_0=124 +k=0.9999 +x_0=0 +y_0=0 +ellps=GRS80 +towgs84=0,0,0,0,0,0,0 +units=m +no_defs </t>
  </si>
  <si>
    <t>PROJCS["JGD2000 / Japan Plane Rectangular CS XVII",GEOGCS["JGD2000",DATUM["Japanese_Geodetic_Datum_2000",SPHEROID["GRS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131],PARAMETER["scale_factor",0.9999],PARAMETER["false_easting",0],PARAMETER["false_northing",0],UNIT["metre",1,AUTHORITY["EPSG","9001"]],AUTHORITY["EPSG","2459"]]</t>
  </si>
  <si>
    <t xml:space="preserve">+proj=tmerc +lat_0=26 +lon_0=131 +k=0.9999 +x_0=0 +y_0=0 +ellps=GRS80 +towgs84=0,0,0,0,0,0,0 +units=m +no_defs </t>
  </si>
  <si>
    <t>PROJCS["JGD2000 / Japan Plane Rectangular CS XVIII",GEOGCS["JGD2000",DATUM["Japanese_Geodetic_Datum_2000",SPHEROID["GRS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20],PARAMETER["central_meridian",136],PARAMETER["scale_factor",0.9999],PARAMETER["false_easting",0],PARAMETER["false_northing",0],UNIT["metre",1,AUTHORITY["EPSG","9001"]],AUTHORITY["EPSG","2460"]]</t>
  </si>
  <si>
    <t xml:space="preserve">+proj=tmerc +lat_0=20 +lon_0=136 +k=0.9999 +x_0=0 +y_0=0 +ellps=GRS80 +towgs84=0,0,0,0,0,0,0 +units=m +no_defs </t>
  </si>
  <si>
    <t>PROJCS["JGD2000 / Japan Plane Rectangular CS XIX",GEOGCS["JGD2000",DATUM["Japanese_Geodetic_Datum_2000",SPHEROID["GRS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26],PARAMETER["central_meridian",154],PARAMETER["scale_factor",0.9999],PARAMETER["false_easting",0],PARAMETER["false_northing",0],UNIT["metre",1,AUTHORITY["EPSG","9001"]],AUTHORITY["EPSG","2461"]]</t>
  </si>
  <si>
    <t xml:space="preserve">+proj=tmerc +lat_0=26 +lon_0=154 +k=0.9999 +x_0=0 +y_0=0 +ellps=GRS80 +towgs84=0,0,0,0,0,0,0 +units=m +no_defs </t>
  </si>
  <si>
    <t>PROJCS["Albanian 1987 / Gauss-Kruger zone 4",GEOGCS["Albanian 1987",DATUM["Albanian_1987",SPHEROID["Krassowsky 1940",6378245,298.3,AUTHORITY["EPSG","7024"]],TOWGS84[-44.183,-0.58,-38.489,2.3867,2.7072,-3.5196,-8.2703],AUTHORITY["EPSG","6191"]],PRIMEM["Greenwich",0,AUTHORITY["EPSG","8901"]],UNIT["degree",0.0174532925199433,AUTHORITY["EPSG","9122"]],AUTHORITY["EPSG","4191"]],PROJECTION["Transverse_Mercator"],PARAMETER["latitude_of_origin",0],PARAMETER["central_meridian",21],PARAMETER["scale_factor",1],PARAMETER["false_easting",4500000],PARAMETER["false_northing",0],UNIT["metre",1,AUTHORITY["EPSG","9001"]],AUTHORITY["EPSG","2462"]]</t>
  </si>
  <si>
    <t>PROJCS["Pulkovo 1995 / Gauss-Kruger CM 21E",GEOGCS["Pulkovo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500000],PARAMETER["false_northing",0],UNIT["metre",1,AUTHORITY["EPSG","9001"]],AUTHORITY["EPSG","2463"]]</t>
  </si>
  <si>
    <t xml:space="preserve">+proj=tmerc +lat_0=0 +lon_0=21 +k=1 +x_0=500000 +y_0=0 +ellps=krass +towgs84=24.47,-130.89,-81.56,0,0,0.13,-0.22 +units=m +no_defs </t>
  </si>
  <si>
    <t>PROJCS["Pulkovo 1995 / Gauss-Kruger CM 27E",GEOGCS["Pulkovo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500000],PARAMETER["false_northing",0],UNIT["metre",1,AUTHORITY["EPSG","9001"]],AUTHORITY["EPSG","2464"]]</t>
  </si>
  <si>
    <t xml:space="preserve">+proj=tmerc +lat_0=0 +lon_0=27 +k=1 +x_0=500000 +y_0=0 +ellps=krass +towgs84=24.47,-130.89,-81.56,0,0,0.13,-0.22 +units=m +no_defs </t>
  </si>
  <si>
    <t>PROJCS["Pulkovo 1995 / Gauss-Kruger CM 33E",GEOGCS["Pulkovo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500000],PARAMETER["false_northing",0],UNIT["metre",1,AUTHORITY["EPSG","9001"]],AUTHORITY["EPSG","2465"]]</t>
  </si>
  <si>
    <t xml:space="preserve">+proj=tmerc +lat_0=0 +lon_0=33 +k=1 +x_0=500000 +y_0=0 +ellps=krass +towgs84=24.47,-130.89,-81.56,0,0,0.13,-0.22 +units=m +no_defs </t>
  </si>
  <si>
    <t>PROJCS["Pulkovo 1995 / Gauss-Kruger CM 39E",GEOGCS["Pulkovo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500000],PARAMETER["false_northing",0],UNIT["metre",1,AUTHORITY["EPSG","9001"]],AUTHORITY["EPSG","2466"]]</t>
  </si>
  <si>
    <t xml:space="preserve">+proj=tmerc +lat_0=0 +lon_0=39 +k=1 +x_0=500000 +y_0=0 +ellps=krass +towgs84=24.47,-130.89,-81.56,0,0,0.13,-0.22 +units=m +no_defs </t>
  </si>
  <si>
    <t>PROJCS["Pulkovo 1995 / Gauss-Kruger CM 45E",GEOGCS["Pulkovo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500000],PARAMETER["false_northing",0],UNIT["metre",1,AUTHORITY["EPSG","9001"]],AUTHORITY["EPSG","2467"]]</t>
  </si>
  <si>
    <t xml:space="preserve">+proj=tmerc +lat_0=0 +lon_0=45 +k=1 +x_0=500000 +y_0=0 +ellps=krass +towgs84=24.47,-130.89,-81.56,0,0,0.13,-0.22 +units=m +no_defs </t>
  </si>
  <si>
    <t>PROJCS["Pulkovo 1995 / Gauss-Kruger CM 51E",GEOGCS["Pulkovo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500000],PARAMETER["false_northing",0],UNIT["metre",1,AUTHORITY["EPSG","9001"]],AUTHORITY["EPSG","2468"]]</t>
  </si>
  <si>
    <t xml:space="preserve">+proj=tmerc +lat_0=0 +lon_0=51 +k=1 +x_0=500000 +y_0=0 +ellps=krass +towgs84=24.47,-130.89,-81.56,0,0,0.13,-0.22 +units=m +no_defs </t>
  </si>
  <si>
    <t>PROJCS["Pulkovo 1995 / Gauss-Kruger CM 57E",GEOGCS["Pulkovo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500000],PARAMETER["false_northing",0],UNIT["metre",1,AUTHORITY["EPSG","9001"]],AUTHORITY["EPSG","2469"]]</t>
  </si>
  <si>
    <t xml:space="preserve">+proj=tmerc +lat_0=0 +lon_0=57 +k=1 +x_0=500000 +y_0=0 +ellps=krass +towgs84=24.47,-130.89,-81.56,0,0,0.13,-0.22 +units=m +no_defs </t>
  </si>
  <si>
    <t>PROJCS["Pulkovo 1995 / Gauss-Kruger CM 63E",GEOGCS["Pulkovo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500000],PARAMETER["false_northing",0],UNIT["metre",1,AUTHORITY["EPSG","9001"]],AUTHORITY["EPSG","2470"]]</t>
  </si>
  <si>
    <t xml:space="preserve">+proj=tmerc +lat_0=0 +lon_0=63 +k=1 +x_0=500000 +y_0=0 +ellps=krass +towgs84=24.47,-130.89,-81.56,0,0,0.13,-0.22 +units=m +no_defs </t>
  </si>
  <si>
    <t>PROJCS["Pulkovo 1995 / Gauss-Kruger CM 69E",GEOGCS["Pulkovo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500000],PARAMETER["false_northing",0],UNIT["metre",1,AUTHORITY["EPSG","9001"]],AUTHORITY["EPSG","2471"]]</t>
  </si>
  <si>
    <t xml:space="preserve">+proj=tmerc +lat_0=0 +lon_0=69 +k=1 +x_0=500000 +y_0=0 +ellps=krass +towgs84=24.47,-130.89,-81.56,0,0,0.13,-0.22 +units=m +no_defs </t>
  </si>
  <si>
    <t>PROJCS["Pulkovo 1995 / Gauss-Kruger CM 75E",GEOGCS["Pulkovo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500000],PARAMETER["false_northing",0],UNIT["metre",1,AUTHORITY["EPSG","9001"]],AUTHORITY["EPSG","2472"]]</t>
  </si>
  <si>
    <t xml:space="preserve">+proj=tmerc +lat_0=0 +lon_0=75 +k=1 +x_0=500000 +y_0=0 +ellps=krass +towgs84=24.47,-130.89,-81.56,0,0,0.13,-0.22 +units=m +no_defs </t>
  </si>
  <si>
    <t>PROJCS["Pulkovo 1995 / Gauss-Kruger CM 81E",GEOGCS["Pulkovo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500000],PARAMETER["false_northing",0],UNIT["metre",1,AUTHORITY["EPSG","9001"]],AUTHORITY["EPSG","2473"]]</t>
  </si>
  <si>
    <t xml:space="preserve">+proj=tmerc +lat_0=0 +lon_0=81 +k=1 +x_0=500000 +y_0=0 +ellps=krass +towgs84=24.47,-130.89,-81.56,0,0,0.13,-0.22 +units=m +no_defs </t>
  </si>
  <si>
    <t>PROJCS["Pulkovo 1995 / Gauss-Kruger CM 87E",GEOGCS["Pulkovo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500000],PARAMETER["false_northing",0],UNIT["metre",1,AUTHORITY["EPSG","9001"]],AUTHORITY["EPSG","2474"]]</t>
  </si>
  <si>
    <t xml:space="preserve">+proj=tmerc +lat_0=0 +lon_0=87 +k=1 +x_0=500000 +y_0=0 +ellps=krass +towgs84=24.47,-130.89,-81.56,0,0,0.13,-0.22 +units=m +no_defs </t>
  </si>
  <si>
    <t>PROJCS["Pulkovo 1995 / Gauss-Kruger CM 93E",GEOGCS["Pulkovo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500000],PARAMETER["false_northing",0],UNIT["metre",1,AUTHORITY["EPSG","9001"]],AUTHORITY["EPSG","2475"]]</t>
  </si>
  <si>
    <t xml:space="preserve">+proj=tmerc +lat_0=0 +lon_0=93 +k=1 +x_0=500000 +y_0=0 +ellps=krass +towgs84=24.47,-130.89,-81.56,0,0,0.13,-0.22 +units=m +no_defs </t>
  </si>
  <si>
    <t>PROJCS["Pulkovo 1995 / Gauss-Kruger CM 99E",GEOGCS["Pulkovo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500000],PARAMETER["false_northing",0],UNIT["metre",1,AUTHORITY["EPSG","9001"]],AUTHORITY["EPSG","2476"]]</t>
  </si>
  <si>
    <t xml:space="preserve">+proj=tmerc +lat_0=0 +lon_0=99 +k=1 +x_0=500000 +y_0=0 +ellps=krass +towgs84=24.47,-130.89,-81.56,0,0,0.13,-0.22 +units=m +no_defs </t>
  </si>
  <si>
    <t>PROJCS["Pulkovo 1995 / Gauss-Kruger CM 105E",GEOGCS["Pulkovo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500000],PARAMETER["false_northing",0],UNIT["metre",1,AUTHORITY["EPSG","9001"]],AUTHORITY["EPSG","2477"]]</t>
  </si>
  <si>
    <t xml:space="preserve">+proj=tmerc +lat_0=0 +lon_0=105 +k=1 +x_0=500000 +y_0=0 +ellps=krass +towgs84=24.47,-130.89,-81.56,0,0,0.13,-0.22 +units=m +no_defs </t>
  </si>
  <si>
    <t>PROJCS["Pulkovo 1995 / Gauss-Kruger CM 111E",GEOGCS["Pulkovo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500000],PARAMETER["false_northing",0],UNIT["metre",1,AUTHORITY["EPSG","9001"]],AUTHORITY["EPSG","2478"]]</t>
  </si>
  <si>
    <t xml:space="preserve">+proj=tmerc +lat_0=0 +lon_0=111 +k=1 +x_0=500000 +y_0=0 +ellps=krass +towgs84=24.47,-130.89,-81.56,0,0,0.13,-0.22 +units=m +no_defs </t>
  </si>
  <si>
    <t>PROJCS["Pulkovo 1995 / Gauss-Kruger CM 117E",GEOGCS["Pulkovo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500000],PARAMETER["false_northing",0],UNIT["metre",1,AUTHORITY["EPSG","9001"]],AUTHORITY["EPSG","2479"]]</t>
  </si>
  <si>
    <t xml:space="preserve">+proj=tmerc +lat_0=0 +lon_0=117 +k=1 +x_0=500000 +y_0=0 +ellps=krass +towgs84=24.47,-130.89,-81.56,0,0,0.13,-0.22 +units=m +no_defs </t>
  </si>
  <si>
    <t>PROJCS["Pulkovo 1995 / Gauss-Kruger CM 123E",GEOGCS["Pulkovo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500000],PARAMETER["false_northing",0],UNIT["metre",1,AUTHORITY["EPSG","9001"]],AUTHORITY["EPSG","2480"]]</t>
  </si>
  <si>
    <t xml:space="preserve">+proj=tmerc +lat_0=0 +lon_0=123 +k=1 +x_0=500000 +y_0=0 +ellps=krass +towgs84=24.47,-130.89,-81.56,0,0,0.13,-0.22 +units=m +no_defs </t>
  </si>
  <si>
    <t>PROJCS["Pulkovo 1995 / Gauss-Kruger CM 129E",GEOGCS["Pulkovo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500000],PARAMETER["false_northing",0],UNIT["metre",1,AUTHORITY["EPSG","9001"]],AUTHORITY["EPSG","2481"]]</t>
  </si>
  <si>
    <t xml:space="preserve">+proj=tmerc +lat_0=0 +lon_0=129 +k=1 +x_0=500000 +y_0=0 +ellps=krass +towgs84=24.47,-130.89,-81.56,0,0,0.13,-0.22 +units=m +no_defs </t>
  </si>
  <si>
    <t>PROJCS["Pulkovo 1995 / Gauss-Kruger CM 135E",GEOGCS["Pulkovo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500000],PARAMETER["false_northing",0],UNIT["metre",1,AUTHORITY["EPSG","9001"]],AUTHORITY["EPSG","2482"]]</t>
  </si>
  <si>
    <t xml:space="preserve">+proj=tmerc +lat_0=0 +lon_0=135 +k=1 +x_0=500000 +y_0=0 +ellps=krass +towgs84=24.47,-130.89,-81.56,0,0,0.13,-0.22 +units=m +no_defs </t>
  </si>
  <si>
    <t>PROJCS["Pulkovo 1995 / Gauss-Kruger CM 141E",GEOGCS["Pulkovo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500000],PARAMETER["false_northing",0],UNIT["metre",1,AUTHORITY["EPSG","9001"]],AUTHORITY["EPSG","2483"]]</t>
  </si>
  <si>
    <t xml:space="preserve">+proj=tmerc +lat_0=0 +lon_0=141 +k=1 +x_0=500000 +y_0=0 +ellps=krass +towgs84=24.47,-130.89,-81.56,0,0,0.13,-0.22 +units=m +no_defs </t>
  </si>
  <si>
    <t>PROJCS["Pulkovo 1995 / Gauss-Kruger CM 147E",GEOGCS["Pulkovo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500000],PARAMETER["false_northing",0],UNIT["metre",1,AUTHORITY["EPSG","9001"]],AUTHORITY["EPSG","2484"]]</t>
  </si>
  <si>
    <t xml:space="preserve">+proj=tmerc +lat_0=0 +lon_0=147 +k=1 +x_0=500000 +y_0=0 +ellps=krass +towgs84=24.47,-130.89,-81.56,0,0,0.13,-0.22 +units=m +no_defs </t>
  </si>
  <si>
    <t>PROJCS["Pulkovo 1995 / Gauss-Kruger CM 153E",GEOGCS["Pulkovo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500000],PARAMETER["false_northing",0],UNIT["metre",1,AUTHORITY["EPSG","9001"]],AUTHORITY["EPSG","2485"]]</t>
  </si>
  <si>
    <t xml:space="preserve">+proj=tmerc +lat_0=0 +lon_0=153 +k=1 +x_0=500000 +y_0=0 +ellps=krass +towgs84=24.47,-130.89,-81.56,0,0,0.13,-0.22 +units=m +no_defs </t>
  </si>
  <si>
    <t>PROJCS["Pulkovo 1995 / Gauss-Kruger CM 159E",GEOGCS["Pulkovo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500000],PARAMETER["false_northing",0],UNIT["metre",1,AUTHORITY["EPSG","9001"]],AUTHORITY["EPSG","2486"]]</t>
  </si>
  <si>
    <t xml:space="preserve">+proj=tmerc +lat_0=0 +lon_0=159 +k=1 +x_0=500000 +y_0=0 +ellps=krass +towgs84=24.47,-130.89,-81.56,0,0,0.13,-0.22 +units=m +no_defs </t>
  </si>
  <si>
    <t>PROJCS["Pulkovo 1995 / Gauss-Kruger CM 165E",GEOGCS["Pulkovo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500000],PARAMETER["false_northing",0],UNIT["metre",1,AUTHORITY["EPSG","9001"]],AUTHORITY["EPSG","2487"]]</t>
  </si>
  <si>
    <t xml:space="preserve">+proj=tmerc +lat_0=0 +lon_0=165 +k=1 +x_0=500000 +y_0=0 +ellps=krass +towgs84=24.47,-130.89,-81.56,0,0,0.13,-0.22 +units=m +no_defs </t>
  </si>
  <si>
    <t>PROJCS["Pulkovo 1995 / Gauss-Kruger CM 171E",GEOGCS["Pulkovo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500000],PARAMETER["false_northing",0],UNIT["metre",1,AUTHORITY["EPSG","9001"]],AUTHORITY["EPSG","2488"]]</t>
  </si>
  <si>
    <t xml:space="preserve">+proj=tmerc +lat_0=0 +lon_0=171 +k=1 +x_0=500000 +y_0=0 +ellps=krass +towgs84=24.47,-130.89,-81.56,0,0,0.13,-0.22 +units=m +no_defs </t>
  </si>
  <si>
    <t>PROJCS["Pulkovo 1995 / Gauss-Kruger CM 177E",GEOGCS["Pulkovo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500000],PARAMETER["false_northing",0],UNIT["metre",1,AUTHORITY["EPSG","9001"]],AUTHORITY["EPSG","2489"]]</t>
  </si>
  <si>
    <t xml:space="preserve">+proj=tmerc +lat_0=0 +lon_0=177 +k=1 +x_0=500000 +y_0=0 +ellps=krass +towgs84=24.47,-130.89,-81.56,0,0,0.13,-0.22 +units=m +no_defs </t>
  </si>
  <si>
    <t>PROJCS["Pulkovo 1995 / Gauss-Kruger CM 177W",GEOGCS["Pulkovo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500000],PARAMETER["false_northing",0],UNIT["metre",1,AUTHORITY["EPSG","9001"]],AUTHORITY["EPSG","2490"]]</t>
  </si>
  <si>
    <t xml:space="preserve">+proj=tmerc +lat_0=0 +lon_0=-177 +k=1 +x_0=500000 +y_0=0 +ellps=krass +towgs84=24.47,-130.89,-81.56,0,0,0.13,-0.22 +units=m +no_defs </t>
  </si>
  <si>
    <t>PROJCS["Pulkovo 1995 / Gauss-Kruger CM 171W",GEOGCS["Pulkovo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500000],PARAMETER["false_northing",0],UNIT["metre",1,AUTHORITY["EPSG","9001"]],AUTHORITY["EPSG","2491"]]</t>
  </si>
  <si>
    <t xml:space="preserve">+proj=tmerc +lat_0=0 +lon_0=-171 +k=1 +x_0=500000 +y_0=0 +ellps=krass +towgs84=24.47,-130.89,-81.56,0,0,0.13,-0.22 +units=m +no_defs </t>
  </si>
  <si>
    <t>PROJCS["Pulkovo 1942 / Gauss-Kruger CM 9E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9],PARAMETER["scale_factor",1],PARAMETER["false_easting",500000],PARAMETER["false_northing",0],UNIT["metre",1,AUTHORITY["EPSG","9001"]],AUTHORITY["EPSG","2492"]]</t>
  </si>
  <si>
    <t xml:space="preserve">+proj=tmerc +lat_0=0 +lon_0=9 +k=1 +x_0=500000 +y_0=0 +ellps=krass +towgs84=23.92,-141.27,-80.9,0,0.35,0.82,-0.12 +units=m +no_defs </t>
  </si>
  <si>
    <t>PROJCS["Pulkovo 1942 / Gauss-Kruger CM 15E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15],PARAMETER["scale_factor",1],PARAMETER["false_easting",500000],PARAMETER["false_northing",0],UNIT["metre",1,AUTHORITY["EPSG","9001"]],AUTHORITY["EPSG","2493"]]</t>
  </si>
  <si>
    <t xml:space="preserve">+proj=tmerc +lat_0=0 +lon_0=15 +k=1 +x_0=500000 +y_0=0 +ellps=krass +towgs84=23.92,-141.27,-80.9,0,0.35,0.82,-0.12 +units=m +no_defs </t>
  </si>
  <si>
    <t>PROJCS["Pulkovo 1942 / Gauss-Kruger CM 21E",GEOGCS["Pulkovo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500000],PARAMETER["false_northing",0],UNIT["metre",1,AUTHORITY["EPSG","9001"]],AUTHORITY["EPSG","2494"]]</t>
  </si>
  <si>
    <t xml:space="preserve">+proj=tmerc +lat_0=0 +lon_0=21 +k=1 +x_0=500000 +y_0=0 +ellps=krass +towgs84=23.92,-141.27,-80.9,0,0.35,0.82,-0.12 +units=m +no_defs </t>
  </si>
  <si>
    <t>PROJCS["Pulkovo 1942 / Gauss-Kruger CM 27E",GEOGCS["Pulkovo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500000],PARAMETER["false_northing",0],UNIT["metre",1,AUTHORITY["EPSG","9001"]],AUTHORITY["EPSG","2495"]]</t>
  </si>
  <si>
    <t xml:space="preserve">+proj=tmerc +lat_0=0 +lon_0=27 +k=1 +x_0=500000 +y_0=0 +ellps=krass +towgs84=23.92,-141.27,-80.9,0,0.35,0.82,-0.12 +units=m +no_defs </t>
  </si>
  <si>
    <t>PROJCS["Pulkovo 1942 / Gauss-Kruger CM 33E",GEOGCS["Pulkovo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500000],PARAMETER["false_northing",0],UNIT["metre",1,AUTHORITY["EPSG","9001"]],AUTHORITY["EPSG","2496"]]</t>
  </si>
  <si>
    <t xml:space="preserve">+proj=tmerc +lat_0=0 +lon_0=33 +k=1 +x_0=500000 +y_0=0 +ellps=krass +towgs84=23.92,-141.27,-80.9,0,0.35,0.82,-0.12 +units=m +no_defs </t>
  </si>
  <si>
    <t>PROJCS["Pulkovo 1942 / Gauss-Kruger CM 39E",GEOGCS["Pulkovo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500000],PARAMETER["false_northing",0],UNIT["metre",1,AUTHORITY["EPSG","9001"]],AUTHORITY["EPSG","2497"]]</t>
  </si>
  <si>
    <t xml:space="preserve">+proj=tmerc +lat_0=0 +lon_0=39 +k=1 +x_0=500000 +y_0=0 +ellps=krass +towgs84=23.92,-141.27,-80.9,0,0.35,0.82,-0.12 +units=m +no_defs </t>
  </si>
  <si>
    <t>PROJCS["Pulkovo 1942 / Gauss-Kruger CM 45E",GEOGCS["Pulkovo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500000],PARAMETER["false_northing",0],UNIT["metre",1,AUTHORITY["EPSG","9001"]],AUTHORITY["EPSG","2498"]]</t>
  </si>
  <si>
    <t xml:space="preserve">+proj=tmerc +lat_0=0 +lon_0=45 +k=1 +x_0=500000 +y_0=0 +ellps=krass +towgs84=23.92,-141.27,-80.9,0,0.35,0.82,-0.12 +units=m +no_defs </t>
  </si>
  <si>
    <t>PROJCS["Pulkovo 1942 / Gauss-Kruger CM 51E",GEOGCS["Pulkovo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500000],PARAMETER["false_northing",0],UNIT["metre",1,AUTHORITY["EPSG","9001"]],AUTHORITY["EPSG","2499"]]</t>
  </si>
  <si>
    <t xml:space="preserve">+proj=tmerc +lat_0=0 +lon_0=51 +k=1 +x_0=500000 +y_0=0 +ellps=krass +towgs84=23.92,-141.27,-80.9,0,0.35,0.82,-0.12 +units=m +no_defs </t>
  </si>
  <si>
    <t>PROJCS["Pulkovo 1942 / Gauss-Kruger CM 57E",GEOGCS["Pulkovo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500000],PARAMETER["false_northing",0],UNIT["metre",1,AUTHORITY["EPSG","9001"]],AUTHORITY["EPSG","2500"]]</t>
  </si>
  <si>
    <t xml:space="preserve">+proj=tmerc +lat_0=0 +lon_0=57 +k=1 +x_0=500000 +y_0=0 +ellps=krass +towgs84=23.92,-141.27,-80.9,0,0.35,0.82,-0.12 +units=m +no_defs </t>
  </si>
  <si>
    <t>PROJCS["Pulkovo 1942 / Gauss-Kruger CM 63E",GEOGCS["Pulkovo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500000],PARAMETER["false_northing",0],UNIT["metre",1,AUTHORITY["EPSG","9001"]],AUTHORITY["EPSG","2501"]]</t>
  </si>
  <si>
    <t xml:space="preserve">+proj=tmerc +lat_0=0 +lon_0=63 +k=1 +x_0=500000 +y_0=0 +ellps=krass +towgs84=23.92,-141.27,-80.9,0,0.35,0.82,-0.12 +units=m +no_defs </t>
  </si>
  <si>
    <t>PROJCS["Pulkovo 1942 / Gauss-Kruger CM 69E",GEOGCS["Pulkovo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500000],PARAMETER["false_northing",0],UNIT["metre",1,AUTHORITY["EPSG","9001"]],AUTHORITY["EPSG","2502"]]</t>
  </si>
  <si>
    <t xml:space="preserve">+proj=tmerc +lat_0=0 +lon_0=69 +k=1 +x_0=500000 +y_0=0 +ellps=krass +towgs84=23.92,-141.27,-80.9,0,0.35,0.82,-0.12 +units=m +no_defs </t>
  </si>
  <si>
    <t>PROJCS["Pulkovo 1942 / Gauss-Kruger CM 75E",GEOGCS["Pulkovo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500000],PARAMETER["false_northing",0],UNIT["metre",1,AUTHORITY["EPSG","9001"]],AUTHORITY["EPSG","2503"]]</t>
  </si>
  <si>
    <t xml:space="preserve">+proj=tmerc +lat_0=0 +lon_0=75 +k=1 +x_0=500000 +y_0=0 +ellps=krass +towgs84=23.92,-141.27,-80.9,0,0.35,0.82,-0.12 +units=m +no_defs </t>
  </si>
  <si>
    <t>PROJCS["Pulkovo 1942 / Gauss-Kruger CM 81E",GEOGCS["Pulkovo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500000],PARAMETER["false_northing",0],UNIT["metre",1,AUTHORITY["EPSG","9001"]],AUTHORITY["EPSG","2504"]]</t>
  </si>
  <si>
    <t xml:space="preserve">+proj=tmerc +lat_0=0 +lon_0=81 +k=1 +x_0=500000 +y_0=0 +ellps=krass +towgs84=23.92,-141.27,-80.9,0,0.35,0.82,-0.12 +units=m +no_defs </t>
  </si>
  <si>
    <t>PROJCS["Pulkovo 1942 / Gauss-Kruger CM 87E",GEOGCS["Pulkovo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500000],PARAMETER["false_northing",0],UNIT["metre",1,AUTHORITY["EPSG","9001"]],AUTHORITY["EPSG","2505"]]</t>
  </si>
  <si>
    <t xml:space="preserve">+proj=tmerc +lat_0=0 +lon_0=87 +k=1 +x_0=500000 +y_0=0 +ellps=krass +towgs84=23.92,-141.27,-80.9,0,0.35,0.82,-0.12 +units=m +no_defs </t>
  </si>
  <si>
    <t>PROJCS["Pulkovo 1942 / Gauss-Kruger CM 93E",GEOGCS["Pulkovo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500000],PARAMETER["false_northing",0],UNIT["metre",1,AUTHORITY["EPSG","9001"]],AUTHORITY["EPSG","2506"]]</t>
  </si>
  <si>
    <t xml:space="preserve">+proj=tmerc +lat_0=0 +lon_0=93 +k=1 +x_0=500000 +y_0=0 +ellps=krass +towgs84=23.92,-141.27,-80.9,0,0.35,0.82,-0.12 +units=m +no_defs </t>
  </si>
  <si>
    <t>PROJCS["Pulkovo 1942 / Gauss-Kruger CM 99E",GEOGCS["Pulkovo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500000],PARAMETER["false_northing",0],UNIT["metre",1,AUTHORITY["EPSG","9001"]],AUTHORITY["EPSG","2507"]]</t>
  </si>
  <si>
    <t xml:space="preserve">+proj=tmerc +lat_0=0 +lon_0=99 +k=1 +x_0=500000 +y_0=0 +ellps=krass +towgs84=23.92,-141.27,-80.9,0,0.35,0.82,-0.12 +units=m +no_defs </t>
  </si>
  <si>
    <t>PROJCS["Pulkovo 1942 / Gauss-Kruger CM 105E",GEOGCS["Pulkovo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500000],PARAMETER["false_northing",0],UNIT["metre",1,AUTHORITY["EPSG","9001"]],AUTHORITY["EPSG","2508"]]</t>
  </si>
  <si>
    <t xml:space="preserve">+proj=tmerc +lat_0=0 +lon_0=105 +k=1 +x_0=500000 +y_0=0 +ellps=krass +towgs84=23.92,-141.27,-80.9,0,0.35,0.82,-0.12 +units=m +no_defs </t>
  </si>
  <si>
    <t>PROJCS["Pulkovo 1942 / Gauss-Kruger CM 111E",GEOGCS["Pulkovo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500000],PARAMETER["false_northing",0],UNIT["metre",1,AUTHORITY["EPSG","9001"]],AUTHORITY["EPSG","2509"]]</t>
  </si>
  <si>
    <t xml:space="preserve">+proj=tmerc +lat_0=0 +lon_0=111 +k=1 +x_0=500000 +y_0=0 +ellps=krass +towgs84=23.92,-141.27,-80.9,0,0.35,0.82,-0.12 +units=m +no_defs </t>
  </si>
  <si>
    <t>PROJCS["Pulkovo 1942 / Gauss-Kruger CM 117E",GEOGCS["Pulkovo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500000],PARAMETER["false_northing",0],UNIT["metre",1,AUTHORITY["EPSG","9001"]],AUTHORITY["EPSG","2510"]]</t>
  </si>
  <si>
    <t xml:space="preserve">+proj=tmerc +lat_0=0 +lon_0=117 +k=1 +x_0=500000 +y_0=0 +ellps=krass +towgs84=23.92,-141.27,-80.9,0,0.35,0.82,-0.12 +units=m +no_defs </t>
  </si>
  <si>
    <t>PROJCS["Pulkovo 1942 / Gauss-Kruger CM 123E",GEOGCS["Pulkovo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500000],PARAMETER["false_northing",0],UNIT["metre",1,AUTHORITY["EPSG","9001"]],AUTHORITY["EPSG","2511"]]</t>
  </si>
  <si>
    <t xml:space="preserve">+proj=tmerc +lat_0=0 +lon_0=123 +k=1 +x_0=500000 +y_0=0 +ellps=krass +towgs84=23.92,-141.27,-80.9,0,0.35,0.82,-0.12 +units=m +no_defs </t>
  </si>
  <si>
    <t>PROJCS["Pulkovo 1942 / Gauss-Kruger CM 129E",GEOGCS["Pulkovo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500000],PARAMETER["false_northing",0],UNIT["metre",1,AUTHORITY["EPSG","9001"]],AUTHORITY["EPSG","2512"]]</t>
  </si>
  <si>
    <t xml:space="preserve">+proj=tmerc +lat_0=0 +lon_0=129 +k=1 +x_0=500000 +y_0=0 +ellps=krass +towgs84=23.92,-141.27,-80.9,0,0.35,0.82,-0.12 +units=m +no_defs </t>
  </si>
  <si>
    <t>PROJCS["Pulkovo 1942 / Gauss-Kruger CM 135E",GEOGCS["Pulkovo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500000],PARAMETER["false_northing",0],UNIT["metre",1,AUTHORITY["EPSG","9001"]],AUTHORITY["EPSG","2513"]]</t>
  </si>
  <si>
    <t xml:space="preserve">+proj=tmerc +lat_0=0 +lon_0=135 +k=1 +x_0=500000 +y_0=0 +ellps=krass +towgs84=23.92,-141.27,-80.9,0,0.35,0.82,-0.12 +units=m +no_defs </t>
  </si>
  <si>
    <t>PROJCS["Pulkovo 1942 / Gauss-Kruger CM 141E",GEOGCS["Pulkovo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500000],PARAMETER["false_northing",0],UNIT["metre",1,AUTHORITY["EPSG","9001"]],AUTHORITY["EPSG","2514"]]</t>
  </si>
  <si>
    <t xml:space="preserve">+proj=tmerc +lat_0=0 +lon_0=141 +k=1 +x_0=500000 +y_0=0 +ellps=krass +towgs84=23.92,-141.27,-80.9,0,0.35,0.82,-0.12 +units=m +no_defs </t>
  </si>
  <si>
    <t>PROJCS["Pulkovo 1942 / Gauss-Kruger CM 147E",GEOGCS["Pulkovo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500000],PARAMETER["false_northing",0],UNIT["metre",1,AUTHORITY["EPSG","9001"]],AUTHORITY["EPSG","2515"]]</t>
  </si>
  <si>
    <t xml:space="preserve">+proj=tmerc +lat_0=0 +lon_0=147 +k=1 +x_0=500000 +y_0=0 +ellps=krass +towgs84=23.92,-141.27,-80.9,0,0.35,0.82,-0.12 +units=m +no_defs </t>
  </si>
  <si>
    <t>PROJCS["Pulkovo 1942 / Gauss-Kruger CM 153E",GEOGCS["Pulkovo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500000],PARAMETER["false_northing",0],UNIT["metre",1,AUTHORITY["EPSG","9001"]],AUTHORITY["EPSG","2516"]]</t>
  </si>
  <si>
    <t xml:space="preserve">+proj=tmerc +lat_0=0 +lon_0=153 +k=1 +x_0=500000 +y_0=0 +ellps=krass +towgs84=23.92,-141.27,-80.9,0,0.35,0.82,-0.12 +units=m +no_defs </t>
  </si>
  <si>
    <t>PROJCS["Pulkovo 1942 / Gauss-Kruger CM 159E",GEOGCS["Pulkovo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500000],PARAMETER["false_northing",0],UNIT["metre",1,AUTHORITY["EPSG","9001"]],AUTHORITY["EPSG","2517"]]</t>
  </si>
  <si>
    <t xml:space="preserve">+proj=tmerc +lat_0=0 +lon_0=159 +k=1 +x_0=500000 +y_0=0 +ellps=krass +towgs84=23.92,-141.27,-80.9,0,0.35,0.82,-0.12 +units=m +no_defs </t>
  </si>
  <si>
    <t>PROJCS["Pulkovo 1942 / Gauss-Kruger CM 165E",GEOGCS["Pulkovo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500000],PARAMETER["false_northing",0],UNIT["metre",1,AUTHORITY["EPSG","9001"]],AUTHORITY["EPSG","2518"]]</t>
  </si>
  <si>
    <t xml:space="preserve">+proj=tmerc +lat_0=0 +lon_0=165 +k=1 +x_0=500000 +y_0=0 +ellps=krass +towgs84=23.92,-141.27,-80.9,0,0.35,0.82,-0.12 +units=m +no_defs </t>
  </si>
  <si>
    <t>PROJCS["Pulkovo 1942 / Gauss-Kruger CM 171E",GEOGCS["Pulkovo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500000],PARAMETER["false_northing",0],UNIT["metre",1,AUTHORITY["EPSG","9001"]],AUTHORITY["EPSG","2519"]]</t>
  </si>
  <si>
    <t xml:space="preserve">+proj=tmerc +lat_0=0 +lon_0=171 +k=1 +x_0=500000 +y_0=0 +ellps=krass +towgs84=23.92,-141.27,-80.9,0,0.35,0.82,-0.12 +units=m +no_defs </t>
  </si>
  <si>
    <t>PROJCS["Pulkovo 1942 / Gauss-Kruger CM 177E",GEOGCS["Pulkovo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500000],PARAMETER["false_northing",0],UNIT["metre",1,AUTHORITY["EPSG","9001"]],AUTHORITY["EPSG","2520"]]</t>
  </si>
  <si>
    <t xml:space="preserve">+proj=tmerc +lat_0=0 +lon_0=177 +k=1 +x_0=500000 +y_0=0 +ellps=krass +towgs84=23.92,-141.27,-80.9,0,0.35,0.82,-0.12 +units=m +no_defs </t>
  </si>
  <si>
    <t>PROJCS["Pulkovo 1942 / Gauss-Kruger CM 177W",GEOGCS["Pulkovo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500000],PARAMETER["false_northing",0],UNIT["metre",1,AUTHORITY["EPSG","9001"]],AUTHORITY["EPSG","2521"]]</t>
  </si>
  <si>
    <t xml:space="preserve">+proj=tmerc +lat_0=0 +lon_0=-177 +k=1 +x_0=500000 +y_0=0 +ellps=krass +towgs84=23.92,-141.27,-80.9,0,0.35,0.82,-0.12 +units=m +no_defs </t>
  </si>
  <si>
    <t>PROJCS["Pulkovo 1942 / Gauss-Kruger CM 171W",GEOGCS["Pulkovo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500000],PARAMETER["false_northing",0],UNIT["metre",1,AUTHORITY["EPSG","9001"]],AUTHORITY["EPSG","2522"]]</t>
  </si>
  <si>
    <t xml:space="preserve">+proj=tmerc +lat_0=0 +lon_0=-171 +k=1 +x_0=500000 +y_0=0 +ellps=krass +towgs84=23.92,-141.27,-80.9,0,0.35,0.82,-0.12 +units=m +no_defs </t>
  </si>
  <si>
    <t>PROJCS["Pulkovo 1942 / 3-degree Gauss-Kruger zone 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7500000],PARAMETER["false_northing",0],UNIT["metre",1,AUTHORITY["EPSG","9001"]],AUTHORITY["EPSG","2523"]]</t>
  </si>
  <si>
    <t xml:space="preserve">+proj=tmerc +lat_0=0 +lon_0=21 +k=1 +x_0=7500000 +y_0=0 +ellps=krass +towgs84=23.92,-141.27,-80.9,0,0.35,0.82,-0.12 +units=m +no_defs </t>
  </si>
  <si>
    <t>PROJCS["Pulkovo 1942 / 3-degree Gauss-Kruger zone 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24],PARAMETER["scale_factor",1],PARAMETER["false_easting",8500000],PARAMETER["false_northing",0],UNIT["metre",1,AUTHORITY["EPSG","9001"]],AUTHORITY["EPSG","2524"]]</t>
  </si>
  <si>
    <t xml:space="preserve">+proj=tmerc +lat_0=0 +lon_0=24 +k=1 +x_0=8500000 +y_0=0 +ellps=krass +towgs84=23.92,-141.27,-80.9,0,0.35,0.82,-0.12 +units=m +no_defs </t>
  </si>
  <si>
    <t>PROJCS["Pulkovo 1942 / 3-degree Gauss-Kruger zone 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9500000],PARAMETER["false_northing",0],UNIT["metre",1,AUTHORITY["EPSG","9001"]],AUTHORITY["EPSG","2525"]]</t>
  </si>
  <si>
    <t xml:space="preserve">+proj=tmerc +lat_0=0 +lon_0=27 +k=1 +x_0=9500000 +y_0=0 +ellps=krass +towgs84=23.92,-141.27,-80.9,0,0.35,0.82,-0.12 +units=m +no_defs </t>
  </si>
  <si>
    <t>PROJCS["Pulkovo 1942 / 3-degree Gauss-Kruger zone 10",GEOGCS["Pulkovo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30],PARAMETER["scale_factor",1],PARAMETER["false_easting",10500000],PARAMETER["false_northing",0],UNIT["metre",1,AUTHORITY["EPSG","9001"]],AUTHORITY["EPSG","2526"]]</t>
  </si>
  <si>
    <t xml:space="preserve">+proj=tmerc +lat_0=0 +lon_0=30 +k=1 +x_0=10500000 +y_0=0 +ellps=krass +towgs84=23.92,-141.27,-80.9,0,0.35,0.82,-0.12 +units=m +no_defs </t>
  </si>
  <si>
    <t>PROJCS["Pulkovo 1942 / 3-degree Gauss-Kruger zone 11",GEOGCS["Pulkovo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11500000],PARAMETER["false_northing",0],UNIT["metre",1,AUTHORITY["EPSG","9001"]],AUTHORITY["EPSG","2527"]]</t>
  </si>
  <si>
    <t xml:space="preserve">+proj=tmerc +lat_0=0 +lon_0=33 +k=1 +x_0=11500000 +y_0=0 +ellps=krass +towgs84=23.92,-141.27,-80.9,0,0.35,0.82,-0.12 +units=m +no_defs </t>
  </si>
  <si>
    <t>PROJCS["Pulkovo 1942 / 3-degree Gauss-Kruger zone 12",GEOGCS["Pulkovo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36],PARAMETER["scale_factor",1],PARAMETER["false_easting",12500000],PARAMETER["false_northing",0],UNIT["metre",1,AUTHORITY["EPSG","9001"]],AUTHORITY["EPSG","2528"]]</t>
  </si>
  <si>
    <t xml:space="preserve">+proj=tmerc +lat_0=0 +lon_0=36 +k=1 +x_0=12500000 +y_0=0 +ellps=krass +towgs84=23.92,-141.27,-80.9,0,0.35,0.82,-0.12 +units=m +no_defs </t>
  </si>
  <si>
    <t>PROJCS["Pulkovo 1942 / 3-degree Gauss-Kruger zone 13",GEOGCS["Pulkovo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13500000],PARAMETER["false_northing",0],UNIT["metre",1,AUTHORITY["EPSG","9001"]],AUTHORITY["EPSG","2529"]]</t>
  </si>
  <si>
    <t xml:space="preserve">+proj=tmerc +lat_0=0 +lon_0=39 +k=1 +x_0=13500000 +y_0=0 +ellps=krass +towgs84=23.92,-141.27,-80.9,0,0.35,0.82,-0.12 +units=m +no_defs </t>
  </si>
  <si>
    <t>PROJCS["Pulkovo 1942 / 3-degree Gauss-Kruger zone 14",GEOGCS["Pulkovo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42],PARAMETER["scale_factor",1],PARAMETER["false_easting",14500000],PARAMETER["false_northing",0],UNIT["metre",1,AUTHORITY["EPSG","9001"]],AUTHORITY["EPSG","2530"]]</t>
  </si>
  <si>
    <t xml:space="preserve">+proj=tmerc +lat_0=0 +lon_0=42 +k=1 +x_0=14500000 +y_0=0 +ellps=krass +towgs84=23.92,-141.27,-80.9,0,0.35,0.82,-0.12 +units=m +no_defs </t>
  </si>
  <si>
    <t>PROJCS["Pulkovo 1942 / 3-degree Gauss-Kruger zone 15",GEOGCS["Pulkovo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15500000],PARAMETER["false_northing",0],UNIT["metre",1,AUTHORITY["EPSG","9001"]],AUTHORITY["EPSG","2531"]]</t>
  </si>
  <si>
    <t xml:space="preserve">+proj=tmerc +lat_0=0 +lon_0=45 +k=1 +x_0=15500000 +y_0=0 +ellps=krass +towgs84=23.92,-141.27,-80.9,0,0.35,0.82,-0.12 +units=m +no_defs </t>
  </si>
  <si>
    <t>PROJCS["Pulkovo 1942 / 3-degree Gauss-Kruger zone 16",GEOGCS["Pulkovo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48],PARAMETER["scale_factor",1],PARAMETER["false_easting",16500000],PARAMETER["false_northing",0],UNIT["metre",1,AUTHORITY["EPSG","9001"]],AUTHORITY["EPSG","2532"]]</t>
  </si>
  <si>
    <t xml:space="preserve">+proj=tmerc +lat_0=0 +lon_0=48 +k=1 +x_0=16500000 +y_0=0 +ellps=krass +towgs84=23.92,-141.27,-80.9,0,0.35,0.82,-0.12 +units=m +no_defs </t>
  </si>
  <si>
    <t>PROJCS["SWEREF99 15 45",GEOGCS["SWEREF99",DATUM["SWEREF99",SPHEROID["GRS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15.75],PARAMETER["scale_factor",1],PARAMETER["false_easting",150000],PARAMETER["false_northing",0],UNIT["metre",1,AUTHORITY["EPSG","9001"]],AUTHORITY["EPSG","3013"]]</t>
  </si>
  <si>
    <t xml:space="preserve">+proj=tmerc +lat_0=0 +lon_0=15.75 +k=1 +x_0=150000 +y_0=0 +ellps=GRS80 +towgs84=0,0,0,0,0,0,0 +units=m +no_defs </t>
  </si>
  <si>
    <t>PROJCS["Pulkovo 1942 / 3-degree Gauss-Kruger zone 17",GEOGCS["Pulkovo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17500000],PARAMETER["false_northing",0],UNIT["metre",1,AUTHORITY["EPSG","9001"]],AUTHORITY["EPSG","2533"]]</t>
  </si>
  <si>
    <t xml:space="preserve">+proj=tmerc +lat_0=0 +lon_0=51 +k=1 +x_0=17500000 +y_0=0 +ellps=krass +towgs84=23.92,-141.27,-80.9,0,0.35,0.82,-0.12 +units=m +no_defs </t>
  </si>
  <si>
    <t>PROJCS["Pulkovo 1942 / 3-degree Gauss-Kruger zone 18",GEOGCS["Pulkovo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54],PARAMETER["scale_factor",1],PARAMETER["false_easting",18500000],PARAMETER["false_northing",0],UNIT["metre",1,AUTHORITY["EPSG","9001"]],AUTHORITY["EPSG","2534"]]</t>
  </si>
  <si>
    <t xml:space="preserve">+proj=tmerc +lat_0=0 +lon_0=54 +k=1 +x_0=18500000 +y_0=0 +ellps=krass +towgs84=23.92,-141.27,-80.9,0,0.35,0.82,-0.12 +units=m +no_defs </t>
  </si>
  <si>
    <t>PROJCS["Pulkovo 1942 / 3-degree Gauss-Kruger zone 19",GEOGCS["Pulkovo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19500000],PARAMETER["false_northing",0],UNIT["metre",1,AUTHORITY["EPSG","9001"]],AUTHORITY["EPSG","2535"]]</t>
  </si>
  <si>
    <t xml:space="preserve">+proj=tmerc +lat_0=0 +lon_0=57 +k=1 +x_0=19500000 +y_0=0 +ellps=krass +towgs84=23.92,-141.27,-80.9,0,0.35,0.82,-0.12 +units=m +no_defs </t>
  </si>
  <si>
    <t>PROJCS["Pulkovo 1942 / 3-degree Gauss-Kruger zone 20",GEOGCS["Pulkovo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60],PARAMETER["scale_factor",1],PARAMETER["false_easting",20500000],PARAMETER["false_northing",0],UNIT["metre",1,AUTHORITY["EPSG","9001"]],AUTHORITY["EPSG","2536"]]</t>
  </si>
  <si>
    <t xml:space="preserve">+proj=tmerc +lat_0=0 +lon_0=60 +k=1 +x_0=20500000 +y_0=0 +ellps=krass +towgs84=23.92,-141.27,-80.9,0,0.35,0.82,-0.12 +units=m +no_defs </t>
  </si>
  <si>
    <t>PROJCS["Pulkovo 1942 / 3-degree Gauss-Kruger zone 21",GEOGCS["Pulkovo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21500000],PARAMETER["false_northing",0],UNIT["metre",1,AUTHORITY["EPSG","9001"]],AUTHORITY["EPSG","2537"]]</t>
  </si>
  <si>
    <t xml:space="preserve">+proj=tmerc +lat_0=0 +lon_0=63 +k=1 +x_0=21500000 +y_0=0 +ellps=krass +towgs84=23.92,-141.27,-80.9,0,0.35,0.82,-0.12 +units=m +no_defs </t>
  </si>
  <si>
    <t>PROJCS["Pulkovo 1942 / 3-degree Gauss-Kruger zone 22",GEOGCS["Pulkovo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66],PARAMETER["scale_factor",1],PARAMETER["false_easting",22500000],PARAMETER["false_northing",0],UNIT["metre",1,AUTHORITY["EPSG","9001"]],AUTHORITY["EPSG","2538"]]</t>
  </si>
  <si>
    <t xml:space="preserve">+proj=tmerc +lat_0=0 +lon_0=66 +k=1 +x_0=22500000 +y_0=0 +ellps=krass +towgs84=23.92,-141.27,-80.9,0,0.35,0.82,-0.12 +units=m +no_defs </t>
  </si>
  <si>
    <t>PROJCS["Pulkovo 1942 / 3-degree Gauss-Kruger zone 23",GEOGCS["Pulkovo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23500000],PARAMETER["false_northing",0],UNIT["metre",1,AUTHORITY["EPSG","9001"]],AUTHORITY["EPSG","2539"]]</t>
  </si>
  <si>
    <t xml:space="preserve">+proj=tmerc +lat_0=0 +lon_0=69 +k=1 +x_0=23500000 +y_0=0 +ellps=krass +towgs84=23.92,-141.27,-80.9,0,0.35,0.82,-0.12 +units=m +no_defs </t>
  </si>
  <si>
    <t>PROJCS["Pulkovo 1942 / 3-degree Gauss-Kruger zone 24",GEOGCS["Pulkovo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72],PARAMETER["scale_factor",1],PARAMETER["false_easting",24500000],PARAMETER["false_northing",0],UNIT["metre",1,AUTHORITY["EPSG","9001"]],AUTHORITY["EPSG","2540"]]</t>
  </si>
  <si>
    <t xml:space="preserve">+proj=tmerc +lat_0=0 +lon_0=72 +k=1 +x_0=24500000 +y_0=0 +ellps=krass +towgs84=23.92,-141.27,-80.9,0,0.35,0.82,-0.12 +units=m +no_defs </t>
  </si>
  <si>
    <t>PROJCS["Pulkovo 1942 / 3-degree Gauss-Kruger zone 25",GEOGCS["Pulkovo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25500000],PARAMETER["false_northing",0],UNIT["metre",1,AUTHORITY["EPSG","9001"]],AUTHORITY["EPSG","2541"]]</t>
  </si>
  <si>
    <t xml:space="preserve">+proj=tmerc +lat_0=0 +lon_0=75 +k=1 +x_0=25500000 +y_0=0 +ellps=krass +towgs84=23.92,-141.27,-80.9,0,0.35,0.82,-0.12 +units=m +no_defs </t>
  </si>
  <si>
    <t>PROJCS["SWEREF99 17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17.25],PARAMETER["scale_factor",1],PARAMETER["false_easting",150000],PARAMETER["false_northing",0],UNIT["metre",1,AUTHORITY["EPSG","9001"]],AUTHORITY["EPSG","3014"]]</t>
  </si>
  <si>
    <t xml:space="preserve">+proj=tmerc +lat_0=0 +lon_0=17.25 +k=1 +x_0=150000 +y_0=0 +ellps=GRS80 +towgs84=0,0,0,0,0,0,0 +units=m +no_defs </t>
  </si>
  <si>
    <t>PROJCS["Pulkovo 1942 / 3-degree Gauss-Kruger zone 26",GEOGCS["Pulkovo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78],PARAMETER["scale_factor",1],PARAMETER["false_easting",26500000],PARAMETER["false_northing",0],UNIT["metre",1,AUTHORITY["EPSG","9001"]],AUTHORITY["EPSG","2542"]]</t>
  </si>
  <si>
    <t xml:space="preserve">+proj=tmerc +lat_0=0 +lon_0=78 +k=1 +x_0=26500000 +y_0=0 +ellps=krass +towgs84=23.92,-141.27,-80.9,0,0.35,0.82,-0.12 +units=m +no_defs </t>
  </si>
  <si>
    <t>PROJCS["Pulkovo 1942 / 3-degree Gauss-Kruger zone 27",GEOGCS["Pulkovo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27500000],PARAMETER["false_northing",0],UNIT["metre",1,AUTHORITY["EPSG","9001"]],AUTHORITY["EPSG","2543"]]</t>
  </si>
  <si>
    <t xml:space="preserve">+proj=tmerc +lat_0=0 +lon_0=81 +k=1 +x_0=27500000 +y_0=0 +ellps=krass +towgs84=23.92,-141.27,-80.9,0,0.35,0.82,-0.12 +units=m +no_defs </t>
  </si>
  <si>
    <t>PROJCS["Pulkovo 1942 / 3-degree Gauss-Kruger zone 28",GEOGCS["Pulkovo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84],PARAMETER["scale_factor",1],PARAMETER["false_easting",28500000],PARAMETER["false_northing",0],UNIT["metre",1,AUTHORITY["EPSG","9001"]],AUTHORITY["EPSG","2544"]]</t>
  </si>
  <si>
    <t xml:space="preserve">+proj=tmerc +lat_0=0 +lon_0=84 +k=1 +x_0=28500000 +y_0=0 +ellps=krass +towgs84=23.92,-141.27,-80.9,0,0.35,0.82,-0.12 +units=m +no_defs </t>
  </si>
  <si>
    <t>PROJCS["Pulkovo 1942 / 3-degree Gauss-Kruger zone 29",GEOGCS["Pulkovo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29500000],PARAMETER["false_northing",0],UNIT["metre",1,AUTHORITY["EPSG","9001"]],AUTHORITY["EPSG","2545"]]</t>
  </si>
  <si>
    <t xml:space="preserve">+proj=tmerc +lat_0=0 +lon_0=87 +k=1 +x_0=29500000 +y_0=0 +ellps=krass +towgs84=23.92,-141.27,-80.9,0,0.35,0.82,-0.12 +units=m +no_defs </t>
  </si>
  <si>
    <t>PROJCS["Pulkovo 1942 / 3-degree Gauss-Kruger zone 30",GEOGCS["Pulkovo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90],PARAMETER["scale_factor",1],PARAMETER["false_easting",30500000],PARAMETER["false_northing",0],UNIT["metre",1,AUTHORITY["EPSG","9001"]],AUTHORITY["EPSG","2546"]]</t>
  </si>
  <si>
    <t xml:space="preserve">+proj=tmerc +lat_0=0 +lon_0=90 +k=1 +x_0=30500000 +y_0=0 +ellps=krass +towgs84=23.92,-141.27,-80.9,0,0.35,0.82,-0.12 +units=m +no_defs </t>
  </si>
  <si>
    <t>PROJCS["Pulkovo 1942 / 3-degree Gauss-Kruger zone 31",GEOGCS["Pulkovo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31500000],PARAMETER["false_northing",0],UNIT["metre",1,AUTHORITY["EPSG","9001"]],AUTHORITY["EPSG","2547"]]</t>
  </si>
  <si>
    <t xml:space="preserve">+proj=tmerc +lat_0=0 +lon_0=93 +k=1 +x_0=31500000 +y_0=0 +ellps=krass +towgs84=23.92,-141.27,-80.9,0,0.35,0.82,-0.12 +units=m +no_defs </t>
  </si>
  <si>
    <t>PROJCS["Pulkovo 1942 / 3-degree Gauss-Kruger zone 32",GEOGCS["Pulkovo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96],PARAMETER["scale_factor",1],PARAMETER["false_easting",32500000],PARAMETER["false_northing",0],UNIT["metre",1,AUTHORITY["EPSG","9001"]],AUTHORITY["EPSG","2548"]]</t>
  </si>
  <si>
    <t xml:space="preserve">+proj=tmerc +lat_0=0 +lon_0=96 +k=1 +x_0=32500000 +y_0=0 +ellps=krass +towgs84=23.92,-141.27,-80.9,0,0.35,0.82,-0.12 +units=m +no_defs </t>
  </si>
  <si>
    <t>PROJCS["Pulkovo 1942 / 3-degree Gauss-Kruger zone 33",GEOGCS["Pulkovo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33500000],PARAMETER["false_northing",0],UNIT["metre",1,AUTHORITY["EPSG","9001"]],AUTHORITY["EPSG","2549"]]</t>
  </si>
  <si>
    <t xml:space="preserve">+proj=tmerc +lat_0=0 +lon_0=99 +k=1 +x_0=33500000 +y_0=0 +ellps=krass +towgs84=23.92,-141.27,-80.9,0,0.35,0.82,-0.12 +units=m +no_defs </t>
  </si>
  <si>
    <t>PROJCS["Samboja / UTM zone 50S (deprecated)",GEOGCS["Samboja",DATUM["Samboja",SPHEROID["Bessel 1841",6377397.155,299.1528128,AUTHORITY["EPSG","7004"]],TOWGS84[-404.78,685.68,45.47,0,0,0,0],AUTHORITY["EPSG","6125"]],PRIMEM["Greenwich",0,AUTHORITY["EPSG","8901"]],UNIT["degree",0.0174532925199433,AUTHORITY["EPSG","9108"]],AUTHORITY["EPSG","4125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2550"]]</t>
  </si>
  <si>
    <t xml:space="preserve">+proj=utm +zone=50 +south +ellps=bessel +towgs84=-404.78,685.68,45.47,0,0,0,0 +units=m +no_defs </t>
  </si>
  <si>
    <t>PROJCS["SWEREF99 18 45",GEOGCS["SWEREF99",DATUM["SWEREF99",SPHEROID["GRS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18.75],PARAMETER["scale_factor",1],PARAMETER["false_easting",150000],PARAMETER["false_northing",0],UNIT["metre",1,AUTHORITY["EPSG","9001"]],AUTHORITY["EPSG","3015"]]</t>
  </si>
  <si>
    <t xml:space="preserve">+proj=tmerc +lat_0=0 +lon_0=18.75 +k=1 +x_0=150000 +y_0=0 +ellps=GRS80 +towgs84=0,0,0,0,0,0,0 +units=m +no_defs </t>
  </si>
  <si>
    <t>PROJCS["Pulkovo 1942 / 3-degree Gauss-Kruger zone 34",GEOGCS["Pulkovo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102],PARAMETER["scale_factor",1],PARAMETER["false_easting",34500000],PARAMETER["false_northing",0],UNIT["metre",1,AUTHORITY["EPSG","9001"]],AUTHORITY["EPSG","2551"]]</t>
  </si>
  <si>
    <t xml:space="preserve">+proj=tmerc +lat_0=0 +lon_0=102 +k=1 +x_0=34500000 +y_0=0 +ellps=krass +towgs84=23.92,-141.27,-80.9,0,0.35,0.82,-0.12 +units=m +no_defs </t>
  </si>
  <si>
    <t>PROJCS["Pulkovo 1942 / 3-degree Gauss-Kruger zone 35",GEOGCS["Pulkovo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35500000],PARAMETER["false_northing",0],UNIT["metre",1,AUTHORITY["EPSG","9001"]],AUTHORITY["EPSG","2552"]]</t>
  </si>
  <si>
    <t xml:space="preserve">+proj=tmerc +lat_0=0 +lon_0=105 +k=1 +x_0=35500000 +y_0=0 +ellps=krass +towgs84=23.92,-141.27,-80.9,0,0.35,0.82,-0.12 +units=m +no_defs </t>
  </si>
  <si>
    <t>PROJCS["Pulkovo 1942 / 3-degree Gauss-Kruger zone 36",GEOGCS["Pulkovo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108],PARAMETER["scale_factor",1],PARAMETER["false_easting",36500000],PARAMETER["false_northing",0],UNIT["metre",1,AUTHORITY["EPSG","9001"]],AUTHORITY["EPSG","2553"]]</t>
  </si>
  <si>
    <t xml:space="preserve">+proj=tmerc +lat_0=0 +lon_0=108 +k=1 +x_0=36500000 +y_0=0 +ellps=krass +towgs84=23.92,-141.27,-80.9,0,0.35,0.82,-0.12 +units=m +no_defs </t>
  </si>
  <si>
    <t>PROJCS["Pulkovo 1942 / 3-degree Gauss-Kruger zone 37",GEOGCS["Pulkovo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37500000],PARAMETER["false_northing",0],UNIT["metre",1,AUTHORITY["EPSG","9001"]],AUTHORITY["EPSG","2554"]]</t>
  </si>
  <si>
    <t xml:space="preserve">+proj=tmerc +lat_0=0 +lon_0=111 +k=1 +x_0=37500000 +y_0=0 +ellps=krass +towgs84=23.92,-141.27,-80.9,0,0.35,0.82,-0.12 +units=m +no_defs </t>
  </si>
  <si>
    <t>PROJCS["Pulkovo 1942 / 3-degree Gauss-Kruger zone 38",GEOGCS["Pulkovo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114],PARAMETER["scale_factor",1],PARAMETER["false_easting",38500000],PARAMETER["false_northing",0],UNIT["metre",1,AUTHORITY["EPSG","9001"]],AUTHORITY["EPSG","2555"]]</t>
  </si>
  <si>
    <t xml:space="preserve">+proj=tmerc +lat_0=0 +lon_0=114 +k=1 +x_0=38500000 +y_0=0 +ellps=krass +towgs84=23.92,-141.27,-80.9,0,0.35,0.82,-0.12 +units=m +no_defs </t>
  </si>
  <si>
    <t>PROJCS["Pulkovo 1942 / 3-degree Gauss-Kruger zone 39",GEOGCS["Pulkovo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39500000],PARAMETER["false_northing",0],UNIT["metre",1,AUTHORITY["EPSG","9001"]],AUTHORITY["EPSG","2556"]]</t>
  </si>
  <si>
    <t xml:space="preserve">+proj=tmerc +lat_0=0 +lon_0=117 +k=1 +x_0=39500000 +y_0=0 +ellps=krass +towgs84=23.92,-141.27,-80.9,0,0.35,0.82,-0.12 +units=m +no_defs </t>
  </si>
  <si>
    <t>PROJCS["Pulkovo 1942 / 3-degree Gauss-Kruger zone 40",GEOGCS["Pulkovo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120],PARAMETER["scale_factor",1],PARAMETER["false_easting",40500000],PARAMETER["false_northing",0],UNIT["metre",1,AUTHORITY["EPSG","9001"]],AUTHORITY["EPSG","2557"]]</t>
  </si>
  <si>
    <t xml:space="preserve">+proj=tmerc +lat_0=0 +lon_0=120 +k=1 +x_0=40500000 +y_0=0 +ellps=krass +towgs84=23.92,-141.27,-80.9,0,0.35,0.82,-0.12 +units=m +no_defs </t>
  </si>
  <si>
    <t>PROJCS["Pulkovo 1942 / 3-degree Gauss-Kruger zone 41",GEOGCS["Pulkovo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41500000],PARAMETER["false_northing",0],UNIT["metre",1,AUTHORITY["EPSG","9001"]],AUTHORITY["EPSG","2558"]]</t>
  </si>
  <si>
    <t xml:space="preserve">+proj=tmerc +lat_0=0 +lon_0=123 +k=1 +x_0=41500000 +y_0=0 +ellps=krass +towgs84=23.92,-141.27,-80.9,0,0.35,0.82,-0.12 +units=m +no_defs </t>
  </si>
  <si>
    <t>PROJCS["Pulkovo 1942 / 3-degree Gauss-Kruger zone 42",GEOGCS["Pulkovo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126],PARAMETER["scale_factor",1],PARAMETER["false_easting",42500000],PARAMETER["false_northing",0],UNIT["metre",1,AUTHORITY["EPSG","9001"]],AUTHORITY["EPSG","2559"]]</t>
  </si>
  <si>
    <t xml:space="preserve">+proj=tmerc +lat_0=0 +lon_0=126 +k=1 +x_0=42500000 +y_0=0 +ellps=krass +towgs84=23.92,-141.27,-80.9,0,0.35,0.82,-0.12 +units=m +no_defs </t>
  </si>
  <si>
    <t>PROJCS["SWEREF99 20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20.25],PARAMETER["scale_factor",1],PARAMETER["false_easting",150000],PARAMETER["false_northing",0],UNIT["metre",1,AUTHORITY["EPSG","9001"]],AUTHORITY["EPSG","3016"]]</t>
  </si>
  <si>
    <t xml:space="preserve">+proj=tmerc +lat_0=0 +lon_0=20.25 +k=1 +x_0=150000 +y_0=0 +ellps=GRS80 +towgs84=0,0,0,0,0,0,0 +units=m +no_defs </t>
  </si>
  <si>
    <t>PROJCS["Pulkovo 1942 / 3-degree Gauss-Kruger zone 43",GEOGCS["Pulkovo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43500000],PARAMETER["false_northing",0],UNIT["metre",1,AUTHORITY["EPSG","9001"]],AUTHORITY["EPSG","2560"]]</t>
  </si>
  <si>
    <t xml:space="preserve">+proj=tmerc +lat_0=0 +lon_0=129 +k=1 +x_0=43500000 +y_0=0 +ellps=krass +towgs84=23.92,-141.27,-80.9,0,0.35,0.82,-0.12 +units=m +no_defs </t>
  </si>
  <si>
    <t>PROJCS["Pulkovo 1942 / 3-degree Gauss-Kruger zone 44",GEOGCS["Pulkovo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132],PARAMETER["scale_factor",1],PARAMETER["false_easting",44500000],PARAMETER["false_northing",0],UNIT["metre",1,AUTHORITY["EPSG","9001"]],AUTHORITY["EPSG","2561"]]</t>
  </si>
  <si>
    <t xml:space="preserve">+proj=tmerc +lat_0=0 +lon_0=132 +k=1 +x_0=44500000 +y_0=0 +ellps=krass +towgs84=23.92,-141.27,-80.9,0,0.35,0.82,-0.12 +units=m +no_defs </t>
  </si>
  <si>
    <t>PROJCS["Pulkovo 1942 / 3-degree Gauss-Kruger zone 45",GEOGCS["Pulkovo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45500000],PARAMETER["false_northing",0],UNIT["metre",1,AUTHORITY["EPSG","9001"]],AUTHORITY["EPSG","2562"]]</t>
  </si>
  <si>
    <t xml:space="preserve">+proj=tmerc +lat_0=0 +lon_0=135 +k=1 +x_0=45500000 +y_0=0 +ellps=krass +towgs84=23.92,-141.27,-80.9,0,0.35,0.82,-0.12 +units=m +no_defs </t>
  </si>
  <si>
    <t>PROJCS["Pulkovo 1942 / 3-degree Gauss-Kruger zone 46",GEOGCS["Pulkovo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138],PARAMETER["scale_factor",1],PARAMETER["false_easting",46500000],PARAMETER["false_northing",0],UNIT["metre",1,AUTHORITY["EPSG","9001"]],AUTHORITY["EPSG","2563"]]</t>
  </si>
  <si>
    <t xml:space="preserve">+proj=tmerc +lat_0=0 +lon_0=138 +k=1 +x_0=46500000 +y_0=0 +ellps=krass +towgs84=23.92,-141.27,-80.9,0,0.35,0.82,-0.12 +units=m +no_defs </t>
  </si>
  <si>
    <t>PROJCS["Pulkovo 1942 / 3-degree Gauss-Kruger zone 47",GEOGCS["Pulkovo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47500000],PARAMETER["false_northing",0],UNIT["metre",1,AUTHORITY["EPSG","9001"]],AUTHORITY["EPSG","2564"]]</t>
  </si>
  <si>
    <t xml:space="preserve">+proj=tmerc +lat_0=0 +lon_0=141 +k=1 +x_0=47500000 +y_0=0 +ellps=krass +towgs84=23.92,-141.27,-80.9,0,0.35,0.82,-0.12 +units=m +no_defs </t>
  </si>
  <si>
    <t>PROJCS["Pulkovo 1942 / 3-degree Gauss-Kruger zone 48",GEOGCS["Pulkovo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144],PARAMETER["scale_factor",1],PARAMETER["false_easting",48500000],PARAMETER["false_northing",0],UNIT["metre",1,AUTHORITY["EPSG","9001"]],AUTHORITY["EPSG","2565"]]</t>
  </si>
  <si>
    <t xml:space="preserve">+proj=tmerc +lat_0=0 +lon_0=144 +k=1 +x_0=48500000 +y_0=0 +ellps=krass +towgs84=23.92,-141.27,-80.9,0,0.35,0.82,-0.12 +units=m +no_defs </t>
  </si>
  <si>
    <t>PROJCS["Pulkovo 1942 / 3-degree Gauss-Kruger zone 49",GEOGCS["Pulkovo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49500000],PARAMETER["false_northing",0],UNIT["metre",1,AUTHORITY["EPSG","9001"]],AUTHORITY["EPSG","2566"]]</t>
  </si>
  <si>
    <t xml:space="preserve">+proj=tmerc +lat_0=0 +lon_0=147 +k=1 +x_0=49500000 +y_0=0 +ellps=krass +towgs84=23.92,-141.27,-80.9,0,0.35,0.82,-0.12 +units=m +no_defs </t>
  </si>
  <si>
    <t>PROJCS["Pulkovo 1942 / 3-degree Gauss-Kruger zone 50",GEOGCS["Pulkovo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150],PARAMETER["scale_factor",1],PARAMETER["false_easting",50500000],PARAMETER["false_northing",0],UNIT["metre",1,AUTHORITY["EPSG","9001"]],AUTHORITY["EPSG","2567"]]</t>
  </si>
  <si>
    <t xml:space="preserve">+proj=tmerc +lat_0=0 +lon_0=150 +k=1 +x_0=50500000 +y_0=0 +ellps=krass +towgs84=23.92,-141.27,-80.9,0,0.35,0.82,-0.12 +units=m +no_defs </t>
  </si>
  <si>
    <t>PROJCS["Pulkovo 1942 / 3-degree Gauss-Kruger zone 51",GEOGCS["Pulkovo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51500000],PARAMETER["false_northing",0],UNIT["metre",1,AUTHORITY["EPSG","9001"]],AUTHORITY["EPSG","2568"]]</t>
  </si>
  <si>
    <t xml:space="preserve">+proj=tmerc +lat_0=0 +lon_0=153 +k=1 +x_0=51500000 +y_0=0 +ellps=krass +towgs84=23.92,-141.27,-80.9,0,0.35,0.82,-0.12 +units=m +no_defs </t>
  </si>
  <si>
    <t>PROJCS["SWEREF99 21 45",GEOGCS["SWEREF99",DATUM["SWEREF99",SPHEROID["GRS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21.75],PARAMETER["scale_factor",1],PARAMETER["false_easting",150000],PARAMETER["false_northing",0],UNIT["metre",1,AUTHORITY["EPSG","9001"]],AUTHORITY["EPSG","3017"]]</t>
  </si>
  <si>
    <t xml:space="preserve">+proj=tmerc +lat_0=0 +lon_0=21.75 +k=1 +x_0=150000 +y_0=0 +ellps=GRS80 +towgs84=0,0,0,0,0,0,0 +units=m +no_defs </t>
  </si>
  <si>
    <t>PROJCS["Pulkovo 1942 / 3-degree Gauss-Kruger zone 52",GEOGCS["Pulkovo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156],PARAMETER["scale_factor",1],PARAMETER["false_easting",52500000],PARAMETER["false_northing",0],UNIT["metre",1,AUTHORITY["EPSG","9001"]],AUTHORITY["EPSG","2569"]]</t>
  </si>
  <si>
    <t xml:space="preserve">+proj=tmerc +lat_0=0 +lon_0=156 +k=1 +x_0=52500000 +y_0=0 +ellps=krass +towgs84=23.92,-141.27,-80.9,0,0.35,0.82,-0.12 +units=m +no_defs </t>
  </si>
  <si>
    <t>PROJCS["Pulkovo 1942 / 3-degree Gauss-Kruger zone 53",GEOGCS["Pulkovo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53500000],PARAMETER["false_northing",0],UNIT["metre",1,AUTHORITY["EPSG","9001"]],AUTHORITY["EPSG","2570"]]</t>
  </si>
  <si>
    <t xml:space="preserve">+proj=tmerc +lat_0=0 +lon_0=159 +k=1 +x_0=53500000 +y_0=0 +ellps=krass +towgs84=23.92,-141.27,-80.9,0,0.35,0.82,-0.12 +units=m +no_defs </t>
  </si>
  <si>
    <t>PROJCS["Pulkovo 1942 / 3-degree Gauss-Kruger zone 54",GEOGCS["Pulkovo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162],PARAMETER["scale_factor",1],PARAMETER["false_easting",54500000],PARAMETER["false_northing",0],UNIT["metre",1,AUTHORITY["EPSG","9001"]],AUTHORITY["EPSG","2571"]]</t>
  </si>
  <si>
    <t xml:space="preserve">+proj=tmerc +lat_0=0 +lon_0=162 +k=1 +x_0=54500000 +y_0=0 +ellps=krass +towgs84=23.92,-141.27,-80.9,0,0.35,0.82,-0.12 +units=m +no_defs </t>
  </si>
  <si>
    <t>PROJCS["Pulkovo 1942 / 3-degree Gauss-Kruger zone 55",GEOGCS["Pulkovo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55500000],PARAMETER["false_northing",0],UNIT["metre",1,AUTHORITY["EPSG","9001"]],AUTHORITY["EPSG","2572"]]</t>
  </si>
  <si>
    <t xml:space="preserve">+proj=tmerc +lat_0=0 +lon_0=165 +k=1 +x_0=55500000 +y_0=0 +ellps=krass +towgs84=23.92,-141.27,-80.9,0,0.35,0.82,-0.12 +units=m +no_defs </t>
  </si>
  <si>
    <t>PROJCS["Pulkovo 1942 / 3-degree Gauss-Kruger zone 56",GEOGCS["Pulkovo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168],PARAMETER["scale_factor",1],PARAMETER["false_easting",56500000],PARAMETER["false_northing",0],UNIT["metre",1,AUTHORITY["EPSG","9001"]],AUTHORITY["EPSG","2573"]]</t>
  </si>
  <si>
    <t xml:space="preserve">+proj=tmerc +lat_0=0 +lon_0=168 +k=1 +x_0=56500000 +y_0=0 +ellps=krass +towgs84=23.92,-141.27,-80.9,0,0.35,0.82,-0.12 +units=m +no_defs </t>
  </si>
  <si>
    <t>PROJCS["Pulkovo 1942 / 3-degree Gauss-Kruger zone 57",GEOGCS["Pulkovo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57500000],PARAMETER["false_northing",0],UNIT["metre",1,AUTHORITY["EPSG","9001"]],AUTHORITY["EPSG","2574"]]</t>
  </si>
  <si>
    <t xml:space="preserve">+proj=tmerc +lat_0=0 +lon_0=171 +k=1 +x_0=57500000 +y_0=0 +ellps=krass +towgs84=23.92,-141.27,-80.9,0,0.35,0.82,-0.12 +units=m +no_defs </t>
  </si>
  <si>
    <t>PROJCS["Pulkovo 1942 / 3-degree Gauss-Kruger zone 58",GEOGCS["Pulkovo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174],PARAMETER["scale_factor",1],PARAMETER["false_easting",58500000],PARAMETER["false_northing",0],UNIT["metre",1,AUTHORITY["EPSG","9001"]],AUTHORITY["EPSG","2575"]]</t>
  </si>
  <si>
    <t xml:space="preserve">+proj=tmerc +lat_0=0 +lon_0=174 +k=1 +x_0=58500000 +y_0=0 +ellps=krass +towgs84=23.92,-141.27,-80.9,0,0.35,0.82,-0.12 +units=m +no_defs </t>
  </si>
  <si>
    <t>PROJCS["Pulkovo 1942 / 3-degree Gauss-Kruger zone 59",GEOGCS["Pulkovo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59500000],PARAMETER["false_northing",0],UNIT["metre",1,AUTHORITY["EPSG","9001"]],AUTHORITY["EPSG","2576"]]</t>
  </si>
  <si>
    <t xml:space="preserve">+proj=tmerc +lat_0=0 +lon_0=177 +k=1 +x_0=59500000 +y_0=0 +ellps=krass +towgs84=23.92,-141.27,-80.9,0,0.35,0.82,-0.12 +units=m +no_defs </t>
  </si>
  <si>
    <t>PROJCS["Pulkovo 1942 / 3-degree Gauss-Kruger zone 60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180],PARAMETER["scale_factor",1],PARAMETER["false_easting",60000000],PARAMETER["false_northing",0],UNIT["metre",1,AUTHORITY["EPSG","9001"]],AUTHORITY["EPSG","2577"]]</t>
  </si>
  <si>
    <t xml:space="preserve">+proj=tmerc +lat_0=0 +lon_0=180 +k=1 +x_0=60000000 +y_0=0 +ellps=krass +towgs84=23.92,-141.27,-80.9,0,0.35,0.82,-0.12 +units=m +no_defs </t>
  </si>
  <si>
    <t>PROJCS["SWEREF99 23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23.25],PARAMETER["scale_factor",1],PARAMETER["false_easting",150000],PARAMETER["false_northing",0],UNIT["metre",1,AUTHORITY["EPSG","9001"]],AUTHORITY["EPSG","3018"]]</t>
  </si>
  <si>
    <t xml:space="preserve">+proj=tmerc +lat_0=0 +lon_0=23.25 +k=1 +x_0=150000 +y_0=0 +ellps=GRS80 +towgs84=0,0,0,0,0,0,0 +units=m +no_defs </t>
  </si>
  <si>
    <t>PROJCS["Pulkovo 1942 / 3-degree Gauss-Kruger zone 61",GEOGCS["Pulkovo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61500000],PARAMETER["false_northing",0],UNIT["metre",1,AUTHORITY["EPSG","9001"]],AUTHORITY["EPSG","2578"]]</t>
  </si>
  <si>
    <t xml:space="preserve">+proj=tmerc +lat_0=0 +lon_0=-177 +k=1 +x_0=61500000 +y_0=0 +ellps=krass +towgs84=23.92,-141.27,-80.9,0,0.35,0.82,-0.12 +units=m +no_defs </t>
  </si>
  <si>
    <t>PROJCS["Pulkovo 1942 / 3-degree Gauss-Kruger zone 62",GEOGCS["Pulkovo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-174],PARAMETER["scale_factor",1],PARAMETER["false_easting",62500000],PARAMETER["false_northing",0],UNIT["metre",1,AUTHORITY["EPSG","9001"]],AUTHORITY["EPSG","2579"]]</t>
  </si>
  <si>
    <t xml:space="preserve">+proj=tmerc +lat_0=0 +lon_0=-174 +k=1 +x_0=62500000 +y_0=0 +ellps=krass +towgs84=23.92,-141.27,-80.9,0,0.35,0.82,-0.12 +units=m +no_defs </t>
  </si>
  <si>
    <t>PROJCS["Pulkovo 1942 / 3-degree Gauss-Kruger zone 63",GEOGCS["Pulkovo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63500000],PARAMETER["false_northing",0],UNIT["metre",1,AUTHORITY["EPSG","9001"]],AUTHORITY["EPSG","2580"]]</t>
  </si>
  <si>
    <t xml:space="preserve">+proj=tmerc +lat_0=0 +lon_0=-171 +k=1 +x_0=63500000 +y_0=0 +ellps=krass +towgs84=23.92,-141.27,-80.9,0,0.35,0.82,-0.12 +units=m +no_defs </t>
  </si>
  <si>
    <t>PROJCS["Pulkovo 1942 / 3-degree Gauss-Kruger zone 64",GEOGCS["Pulkovo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-168],PARAMETER["scale_factor",1],PARAMETER["false_easting",64500000],PARAMETER["false_northing",0],UNIT["metre",1,AUTHORITY["EPSG","9001"]],AUTHORITY["EPSG","2581"]]</t>
  </si>
  <si>
    <t xml:space="preserve">+proj=tmerc +lat_0=0 +lon_0=-168 +k=1 +x_0=64500000 +y_0=0 +ellps=krass +towgs84=23.92,-141.27,-80.9,0,0.35,0.82,-0.12 +units=m +no_defs </t>
  </si>
  <si>
    <t>PROJCS["Pulkovo 1942 / 3-degree Gauss-Kruger CM 21E",GEOGCS["Pulkovo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500000],PARAMETER["false_northing",0],UNIT["metre",1,AUTHORITY["EPSG","9001"]],AUTHORITY["EPSG","2582"]]</t>
  </si>
  <si>
    <t>PROJCS["Pulkovo 1942 / 3-degree Gauss-Kruger CM 24E",GEOGCS["Pulkovo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24],PARAMETER["scale_factor",1],PARAMETER["false_easting",500000],PARAMETER["false_northing",0],UNIT["metre",1,AUTHORITY["EPSG","9001"]],AUTHORITY["EPSG","2583"]]</t>
  </si>
  <si>
    <t xml:space="preserve">+proj=tmerc +lat_0=0 +lon_0=24 +k=1 +x_0=500000 +y_0=0 +ellps=krass +towgs84=23.92,-141.27,-80.9,0,0.35,0.82,-0.12 +units=m +no_defs </t>
  </si>
  <si>
    <t>PROJCS["Pulkovo 1942 / 3-degree Gauss-Kruger CM 27E",GEOGCS["Pulkovo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500000],PARAMETER["false_northing",0],UNIT["metre",1,AUTHORITY["EPSG","9001"]],AUTHORITY["EPSG","2584"]]</t>
  </si>
  <si>
    <t>PROJCS["Pulkovo 1942 / 3-degree Gauss-Kruger CM 30E",GEOGCS["Pulkovo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30],PARAMETER["scale_factor",1],PARAMETER["false_easting",500000],PARAMETER["false_northing",0],UNIT["metre",1,AUTHORITY["EPSG","9001"]],AUTHORITY["EPSG","2585"]]</t>
  </si>
  <si>
    <t xml:space="preserve">+proj=tmerc +lat_0=0 +lon_0=30 +k=1 +x_0=500000 +y_0=0 +ellps=krass +towgs84=23.92,-141.27,-80.9,0,0.35,0.82,-0.12 +units=m +no_defs </t>
  </si>
  <si>
    <t>PROJCS["Pulkovo 1942 / 3-degree Gauss-Kruger CM 33E",GEOGCS["Pulkovo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500000],PARAMETER["false_northing",0],UNIT["metre",1,AUTHORITY["EPSG","9001"]],AUTHORITY["EPSG","2586"]]</t>
  </si>
  <si>
    <t>PROJCS["RT38 2.5 gon O",GEOGCS["RT38",DATUM["Stockholm_1938",SPHEROID["Bessel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20.30827777777778],PARAMETER["scale_factor",1],PARAMETER["false_easting",1500000],PARAMETER["false_northing",0],UNIT["metre",1,AUTHORITY["EPSG","9001"]],AUTHORITY["EPSG","3029"]]</t>
  </si>
  <si>
    <t>PROJCS["Pulkovo 1942 / 3-degree Gauss-Kruger CM 36E",GEOGCS["Pulkovo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36],PARAMETER["scale_factor",1],PARAMETER["false_easting",500000],PARAMETER["false_northing",0],UNIT["metre",1,AUTHORITY["EPSG","9001"]],AUTHORITY["EPSG","2587"]]</t>
  </si>
  <si>
    <t xml:space="preserve">+proj=tmerc +lat_0=0 +lon_0=36 +k=1 +x_0=500000 +y_0=0 +ellps=krass +towgs84=23.92,-141.27,-80.9,0,0.35,0.82,-0.12 +units=m +no_defs </t>
  </si>
  <si>
    <t>PROJCS["Pulkovo 1942 / 3-degree Gauss-Kruger CM 39E",GEOGCS["Pulkovo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500000],PARAMETER["false_northing",0],UNIT["metre",1,AUTHORITY["EPSG","9001"]],AUTHORITY["EPSG","2588"]]</t>
  </si>
  <si>
    <t>PROJCS["Pulkovo 1942 / 3-degree Gauss-Kruger CM 42E",GEOGCS["Pulkovo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42],PARAMETER["scale_factor",1],PARAMETER["false_easting",500000],PARAMETER["false_northing",0],UNIT["metre",1,AUTHORITY["EPSG","9001"]],AUTHORITY["EPSG","2589"]]</t>
  </si>
  <si>
    <t xml:space="preserve">+proj=tmerc +lat_0=0 +lon_0=42 +k=1 +x_0=500000 +y_0=0 +ellps=krass +towgs84=23.92,-141.27,-80.9,0,0.35,0.82,-0.12 +units=m +no_defs </t>
  </si>
  <si>
    <t>PROJCS["Pulkovo 1942 / 3-degree Gauss-Kruger CM 45E",GEOGCS["Pulkovo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500000],PARAMETER["false_northing",0],UNIT["metre",1,AUTHORITY["EPSG","9001"]],AUTHORITY["EPSG","2590"]]</t>
  </si>
  <si>
    <t>PROJCS["Pulkovo 1942 / 3-degree Gauss-Kruger CM 48E",GEOGCS["Pulkovo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48],PARAMETER["scale_factor",1],PARAMETER["false_easting",500000],PARAMETER["false_northing",0],UNIT["metre",1,AUTHORITY["EPSG","9001"]],AUTHORITY["EPSG","2591"]]</t>
  </si>
  <si>
    <t xml:space="preserve">+proj=tmerc +lat_0=0 +lon_0=48 +k=1 +x_0=500000 +y_0=0 +ellps=krass +towgs84=23.92,-141.27,-80.9,0,0.35,0.82,-0.12 +units=m +no_defs </t>
  </si>
  <si>
    <t>PROJCS["Pulkovo 1942 / 3-degree Gauss-Kruger CM 51E",GEOGCS["Pulkovo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500000],PARAMETER["false_northing",0],UNIT["metre",1,AUTHORITY["EPSG","9001"]],AUTHORITY["EPSG","2592"]]</t>
  </si>
  <si>
    <t>PROJCS["Pulkovo 1942 / 3-degree Gauss-Kruger CM 54E",GEOGCS["Pulkovo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54],PARAMETER["scale_factor",1],PARAMETER["false_easting",500000],PARAMETER["false_northing",0],UNIT["metre",1,AUTHORITY["EPSG","9001"]],AUTHORITY["EPSG","2593"]]</t>
  </si>
  <si>
    <t xml:space="preserve">+proj=tmerc +lat_0=0 +lon_0=54 +k=1 +x_0=500000 +y_0=0 +ellps=krass +towgs84=23.92,-141.27,-80.9,0,0.35,0.82,-0.12 +units=m +no_defs </t>
  </si>
  <si>
    <t>PROJCS["Pulkovo 1942 / 3-degree Gauss-Kruger CM 57E",GEOGCS["Pulkovo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500000],PARAMETER["false_northing",0],UNIT["metre",1,AUTHORITY["EPSG","9001"]],AUTHORITY["EPSG","2594"]]</t>
  </si>
  <si>
    <t>PROJCS["Pulkovo 1942 / 3-degree Gauss-Kruger CM 60E",GEOGCS["Pulkovo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60],PARAMETER["scale_factor",1],PARAMETER["false_easting",500000],PARAMETER["false_northing",0],UNIT["metre",1,AUTHORITY["EPSG","9001"]],AUTHORITY["EPSG","2595"]]</t>
  </si>
  <si>
    <t xml:space="preserve">+proj=tmerc +lat_0=0 +lon_0=60 +k=1 +x_0=500000 +y_0=0 +ellps=krass +towgs84=23.92,-141.27,-80.9,0,0.35,0.82,-0.12 +units=m +no_defs </t>
  </si>
  <si>
    <t>PROJCS["RT38 5 gon O",GEOGCS["RT38",DATUM["Stockholm_1938",SPHEROID["Bessel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22.55827777777778],PARAMETER["scale_factor",1],PARAMETER["false_easting",1500000],PARAMETER["false_northing",0],UNIT["metre",1,AUTHORITY["EPSG","9001"]],AUTHORITY["EPSG","3030"]]</t>
  </si>
  <si>
    <t>PROJCS["Pulkovo 1942 / 3-degree Gauss-Kruger CM 63E",GEOGCS["Pulkovo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500000],PARAMETER["false_northing",0],UNIT["metre",1,AUTHORITY["EPSG","9001"]],AUTHORITY["EPSG","2596"]]</t>
  </si>
  <si>
    <t>PROJCS["Pulkovo 1942 / 3-degree Gauss-Kruger CM 66E",GEOGCS["Pulkovo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66],PARAMETER["scale_factor",1],PARAMETER["false_easting",500000],PARAMETER["false_northing",0],UNIT["metre",1,AUTHORITY["EPSG","9001"]],AUTHORITY["EPSG","2597"]]</t>
  </si>
  <si>
    <t xml:space="preserve">+proj=tmerc +lat_0=0 +lon_0=66 +k=1 +x_0=500000 +y_0=0 +ellps=krass +towgs84=23.92,-141.27,-80.9,0,0.35,0.82,-0.12 +units=m +no_defs </t>
  </si>
  <si>
    <t>PROJCS["Pulkovo 1942 / 3-degree Gauss-Kruger CM 69E",GEOGCS["Pulkovo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500000],PARAMETER["false_northing",0],UNIT["metre",1,AUTHORITY["EPSG","9001"]],AUTHORITY["EPSG","2598"]]</t>
  </si>
  <si>
    <t>PROJCS["Pulkovo 1942 / 3-degree Gauss-Kruger CM 72E",GEOGCS["Pulkovo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72],PARAMETER["scale_factor",1],PARAMETER["false_easting",500000],PARAMETER["false_northing",0],UNIT["metre",1,AUTHORITY["EPSG","9001"]],AUTHORITY["EPSG","2599"]]</t>
  </si>
  <si>
    <t xml:space="preserve">+proj=tmerc +lat_0=0 +lon_0=72 +k=1 +x_0=500000 +y_0=0 +ellps=krass +towgs84=23.92,-141.27,-80.9,0,0.35,0.82,-0.12 +units=m +no_defs </t>
  </si>
  <si>
    <t>PROJCS["Lietuvos Koordinoei Sistema 1994 (deprecated)",GEOGCS["LKS94",DATUM["Lithuania_1994_ETRS89",SPHEROID["GRS 1980",6378137,298.257222101,AUTHORITY["EPSG","7019"]],TOWGS84[0,0,0,0,0,0,0],AUTHORITY["EPSG","6126"]],PRIMEM["Greenwich",0,AUTHORITY["EPSG","8901"]],UNIT["degree",0.0174532925199433,AUTHORITY["EPSG","9122"]],AUTHORITY["EPSG","4669"]],PROJECTION["Transverse_Mercator"],PARAMETER["latitude_of_origin",0],PARAMETER["central_meridian",24],PARAMETER["scale_factor",0.9998],PARAMETER["false_easting",500000],PARAMETER["false_northing",0],UNIT["metre",1,AUTHORITY["EPSG","9001"]],AUTHORITY["EPSG","2600"]]</t>
  </si>
  <si>
    <t xml:space="preserve">+proj=tmerc +lat_0=0 +lon_0=24 +k=0.9998 +x_0=500000 +y_0=0 +ellps=GRS80 +towgs84=0,0,0,0,0,0,0 +units=m +no_defs </t>
  </si>
  <si>
    <t>PROJCS["Pulkovo 1942 / 3-degree Gauss-Kruger CM 75E",GEOGCS["Pulkovo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500000],PARAMETER["false_northing",0],UNIT["metre",1,AUTHORITY["EPSG","9001"]],AUTHORITY["EPSG","2601"]]</t>
  </si>
  <si>
    <t>PROJCS["Pulkovo 1942 / 3-degree Gauss-Kruger CM 78E",GEOGCS["Pulkovo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78],PARAMETER["scale_factor",1],PARAMETER["false_easting",500000],PARAMETER["false_northing",0],UNIT["metre",1,AUTHORITY["EPSG","9001"]],AUTHORITY["EPSG","2602"]]</t>
  </si>
  <si>
    <t xml:space="preserve">+proj=tmerc +lat_0=0 +lon_0=78 +k=1 +x_0=500000 +y_0=0 +ellps=krass +towgs84=23.92,-141.27,-80.9,0,0.35,0.82,-0.12 +units=m +no_defs </t>
  </si>
  <si>
    <t>PROJCS["Pulkovo 1942 / 3-degree Gauss-Kruger CM 81E",GEOGCS["Pulkovo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500000],PARAMETER["false_northing",0],UNIT["metre",1,AUTHORITY["EPSG","9001"]],AUTHORITY["EPSG","2603"]]</t>
  </si>
  <si>
    <t>PROJCS["Pulkovo 1942 / 3-degree Gauss-Kruger CM 84E",GEOGCS["Pulkovo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84],PARAMETER["scale_factor",1],PARAMETER["false_easting",500000],PARAMETER["false_northing",0],UNIT["metre",1,AUTHORITY["EPSG","9001"]],AUTHORITY["EPSG","2604"]]</t>
  </si>
  <si>
    <t xml:space="preserve">+proj=tmerc +lat_0=0 +lon_0=84 +k=1 +x_0=500000 +y_0=0 +ellps=krass +towgs84=23.92,-141.27,-80.9,0,0.35,0.82,-0.12 +units=m +no_defs </t>
  </si>
  <si>
    <t>PROJCS["Pulkovo 1942 / 3-degree Gauss-Kruger CM 87E",GEOGCS["Pulkovo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500000],PARAMETER["false_northing",0],UNIT["metre",1,AUTHORITY["EPSG","9001"]],AUTHORITY["EPSG","2605"]]</t>
  </si>
  <si>
    <t>PROJCS["Pulkovo 1942 / 3-degree Gauss-Kruger CM 90E",GEOGCS["Pulkovo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90],PARAMETER["scale_factor",1],PARAMETER["false_easting",500000],PARAMETER["false_northing",0],UNIT["metre",1,AUTHORITY["EPSG","9001"]],AUTHORITY["EPSG","2606"]]</t>
  </si>
  <si>
    <t xml:space="preserve">+proj=tmerc +lat_0=0 +lon_0=90 +k=1 +x_0=500000 +y_0=0 +ellps=krass +towgs84=23.92,-141.27,-80.9,0,0.35,0.82,-0.12 +units=m +no_defs </t>
  </si>
  <si>
    <t>PROJCS["Pulkovo 1942 / 3-degree Gauss-Kruger CM 93E",GEOGCS["Pulkovo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500000],PARAMETER["false_northing",0],UNIT["metre",1,AUTHORITY["EPSG","9001"]],AUTHORITY["EPSG","2607"]]</t>
  </si>
  <si>
    <t>PROJCS["Pulkovo 1942 / 3-degree Gauss-Kruger CM 96E",GEOGCS["Pulkovo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96],PARAMETER["scale_factor",1],PARAMETER["false_easting",500000],PARAMETER["false_northing",0],UNIT["metre",1,AUTHORITY["EPSG","9001"]],AUTHORITY["EPSG","2608"]]</t>
  </si>
  <si>
    <t xml:space="preserve">+proj=tmerc +lat_0=0 +lon_0=96 +k=1 +x_0=500000 +y_0=0 +ellps=krass +towgs84=23.92,-141.27,-80.9,0,0.35,0.82,-0.12 +units=m +no_defs </t>
  </si>
  <si>
    <t>PROJCS["Pulkovo 1942 / 3-degree Gauss-Kruger CM 99E",GEOGCS["Pulkovo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500000],PARAMETER["false_northing",0],UNIT["metre",1,AUTHORITY["EPSG","9001"]],AUTHORITY["EPSG","2609"]]</t>
  </si>
  <si>
    <t>PROJCS["Pulkovo 1942 / 3-degree Gauss-Kruger CM 102E",GEOGCS["Pulkovo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102],PARAMETER["scale_factor",1],PARAMETER["false_easting",500000],PARAMETER["false_northing",0],UNIT["metre",1,AUTHORITY["EPSG","9001"]],AUTHORITY["EPSG","2610"]]</t>
  </si>
  <si>
    <t xml:space="preserve">+proj=tmerc +lat_0=0 +lon_0=102 +k=1 +x_0=500000 +y_0=0 +ellps=krass +towgs84=23.92,-141.27,-80.9,0,0.35,0.82,-0.12 +units=m +no_defs </t>
  </si>
  <si>
    <t>PROJCS["Pulkovo 1942 / 3-degree Gauss-Kruger CM 105E",GEOGCS["Pulkovo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500000],PARAMETER["false_northing",0],UNIT["metre",1,AUTHORITY["EPSG","9001"]],AUTHORITY["EPSG","2611"]]</t>
  </si>
  <si>
    <t>PROJCS["Pulkovo 1942 / 3-degree Gauss-Kruger CM 108E",GEOGCS["Pulkovo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108],PARAMETER["scale_factor",1],PARAMETER["false_easting",500000],PARAMETER["false_northing",0],UNIT["metre",1,AUTHORITY["EPSG","9001"]],AUTHORITY["EPSG","2612"]]</t>
  </si>
  <si>
    <t xml:space="preserve">+proj=tmerc +lat_0=0 +lon_0=108 +k=1 +x_0=500000 +y_0=0 +ellps=krass +towgs84=23.92,-141.27,-80.9,0,0.35,0.82,-0.12 +units=m +no_defs </t>
  </si>
  <si>
    <t>PROJCS["Pulkovo 1942 / 3-degree Gauss-Kruger CM 111E",GEOGCS["Pulkovo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500000],PARAMETER["false_northing",0],UNIT["metre",1,AUTHORITY["EPSG","9001"]],AUTHORITY["EPSG","2613"]]</t>
  </si>
  <si>
    <t>PROJCS["Pulkovo 1942 / 3-degree Gauss-Kruger CM 114E",GEOGCS["Pulkovo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114],PARAMETER["scale_factor",1],PARAMETER["false_easting",500000],PARAMETER["false_northing",0],UNIT["metre",1,AUTHORITY["EPSG","9001"]],AUTHORITY["EPSG","2614"]]</t>
  </si>
  <si>
    <t xml:space="preserve">+proj=tmerc +lat_0=0 +lon_0=114 +k=1 +x_0=500000 +y_0=0 +ellps=krass +towgs84=23.92,-141.27,-80.9,0,0.35,0.82,-0.12 +units=m +no_defs </t>
  </si>
  <si>
    <t>PROJCS["WGS 84 / Antarctic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-71],PARAMETER["central_meridian",0],PARAMETER["scale_factor",1],PARAMETER["false_easting",0],PARAMETER["false_northing",0],UNIT["metre",1,AUTHORITY["EPSG","9001"]],AXIS["Easting",EAST],AXIS["Northing",NORTH],AUTHORITY["EPSG","3031"]]</t>
  </si>
  <si>
    <t>PROJCS["Pulkovo 1942 / 3-degree Gauss-Kruger CM 117E",GEOGCS["Pulkovo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500000],PARAMETER["false_northing",0],UNIT["metre",1,AUTHORITY["EPSG","9001"]],AUTHORITY["EPSG","2615"]]</t>
  </si>
  <si>
    <t>PROJCS["Pulkovo 1942 / 3-degree Gauss-Kruger CM 120E",GEOGCS["Pulkovo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120],PARAMETER["scale_factor",1],PARAMETER["false_easting",500000],PARAMETER["false_northing",0],UNIT["metre",1,AUTHORITY["EPSG","9001"]],AUTHORITY["EPSG","2616"]]</t>
  </si>
  <si>
    <t xml:space="preserve">+proj=tmerc +lat_0=0 +lon_0=120 +k=1 +x_0=500000 +y_0=0 +ellps=krass +towgs84=23.92,-141.27,-80.9,0,0.35,0.82,-0.12 +units=m +no_defs </t>
  </si>
  <si>
    <t>PROJCS["Pulkovo 1942 / 3-degree Gauss-Kruger CM 123E",GEOGCS["Pulkovo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500000],PARAMETER["false_northing",0],UNIT["metre",1,AUTHORITY["EPSG","9001"]],AUTHORITY["EPSG","2617"]]</t>
  </si>
  <si>
    <t>PROJCS["Pulkovo 1942 / 3-degree Gauss-Kruger CM 126E",GEOGCS["Pulkovo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126],PARAMETER["scale_factor",1],PARAMETER["false_easting",500000],PARAMETER["false_northing",0],UNIT["metre",1,AUTHORITY["EPSG","9001"]],AUTHORITY["EPSG","2618"]]</t>
  </si>
  <si>
    <t xml:space="preserve">+proj=tmerc +lat_0=0 +lon_0=126 +k=1 +x_0=500000 +y_0=0 +ellps=krass +towgs84=23.92,-141.27,-80.9,0,0.35,0.82,-0.12 +units=m +no_defs </t>
  </si>
  <si>
    <t>PROJCS["Pulkovo 1942 / 3-degree Gauss-Kruger CM 129E",GEOGCS["Pulkovo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500000],PARAMETER["false_northing",0],UNIT["metre",1,AUTHORITY["EPSG","9001"]],AUTHORITY["EPSG","2619"]]</t>
  </si>
  <si>
    <t>PROJCS["Pulkovo 1942 / 3-degree Gauss-Kruger CM 132E",GEOGCS["Pulkovo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132],PARAMETER["scale_factor",1],PARAMETER["false_easting",500000],PARAMETER["false_northing",0],UNIT["metre",1,AUTHORITY["EPSG","9001"]],AUTHORITY["EPSG","2620"]]</t>
  </si>
  <si>
    <t xml:space="preserve">+proj=tmerc +lat_0=0 +lon_0=132 +k=1 +x_0=500000 +y_0=0 +ellps=krass +towgs84=23.92,-141.27,-80.9,0,0.35,0.82,-0.12 +units=m +no_defs </t>
  </si>
  <si>
    <t>PROJCS["Pulkovo 1942 / 3-degree Gauss-Kruger CM 135E",GEOGCS["Pulkovo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500000],PARAMETER["false_northing",0],UNIT["metre",1,AUTHORITY["EPSG","9001"]],AUTHORITY["EPSG","2621"]]</t>
  </si>
  <si>
    <t>PROJCS["Pulkovo 1942 / 3-degree Gauss-Kruger CM 138E",GEOGCS["Pulkovo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138],PARAMETER["scale_factor",1],PARAMETER["false_easting",500000],PARAMETER["false_northing",0],UNIT["metre",1,AUTHORITY["EPSG","9001"]],AUTHORITY["EPSG","2622"]]</t>
  </si>
  <si>
    <t xml:space="preserve">+proj=tmerc +lat_0=0 +lon_0=138 +k=1 +x_0=500000 +y_0=0 +ellps=krass +towgs84=23.92,-141.27,-80.9,0,0.35,0.82,-0.12 +units=m +no_defs </t>
  </si>
  <si>
    <t>PROJCS["Pulkovo 1942 / 3-degree Gauss-Kruger CM 141E",GEOGCS["Pulkovo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500000],PARAMETER["false_northing",0],UNIT["metre",1,AUTHORITY["EPSG","9001"]],AUTHORITY["EPSG","2623"]]</t>
  </si>
  <si>
    <t>PROJCS["ETRS89 / UTM zone 30N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-3],PARAMETER["scale_factor",0.9996],PARAMETER["false_easting",500000],PARAMETER["false_northing",0],UNIT["metre",1,AUTHORITY["EPSG","9001"]],AUTHORITY["EPSG","3042"]]</t>
  </si>
  <si>
    <t xml:space="preserve">+proj=utm +zone=30 +ellps=GRS80 +towgs84=0,0,0,0,0,0,0 +units=m +no_defs </t>
  </si>
  <si>
    <t>PROJCS["Pulkovo 1942 / 3-degree Gauss-Kruger CM 144E",GEOGCS["Pulkovo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144],PARAMETER["scale_factor",1],PARAMETER["false_easting",500000],PARAMETER["false_northing",0],UNIT["metre",1,AUTHORITY["EPSG","9001"]],AUTHORITY["EPSG","2624"]]</t>
  </si>
  <si>
    <t xml:space="preserve">+proj=tmerc +lat_0=0 +lon_0=144 +k=1 +x_0=500000 +y_0=0 +ellps=krass +towgs84=23.92,-141.27,-80.9,0,0.35,0.82,-0.12 +units=m +no_defs </t>
  </si>
  <si>
    <t>PROJCS["Pulkovo 1942 / 3-degree Gauss-Kruger CM 147E",GEOGCS["Pulkovo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500000],PARAMETER["false_northing",0],UNIT["metre",1,AUTHORITY["EPSG","9001"]],AUTHORITY["EPSG","2625"]]</t>
  </si>
  <si>
    <t>PROJCS["Pulkovo 1942 / 3-degree Gauss-Kruger CM 150E",GEOGCS["Pulkovo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150],PARAMETER["scale_factor",1],PARAMETER["false_easting",500000],PARAMETER["false_northing",0],UNIT["metre",1,AUTHORITY["EPSG","9001"]],AUTHORITY["EPSG","2626"]]</t>
  </si>
  <si>
    <t xml:space="preserve">+proj=tmerc +lat_0=0 +lon_0=150 +k=1 +x_0=500000 +y_0=0 +ellps=krass +towgs84=23.92,-141.27,-80.9,0,0.35,0.82,-0.12 +units=m +no_defs </t>
  </si>
  <si>
    <t>PROJCS["Pulkovo 1942 / 3-degree Gauss-Kruger CM 153E",GEOGCS["Pulkovo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500000],PARAMETER["false_northing",0],UNIT["metre",1,AUTHORITY["EPSG","9001"]],AUTHORITY["EPSG","2627"]]</t>
  </si>
  <si>
    <t>PROJCS["Pulkovo 1942 / 3-degree Gauss-Kruger CM 156E",GEOGCS["Pulkovo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156],PARAMETER["scale_factor",1],PARAMETER["false_easting",500000],PARAMETER["false_northing",0],UNIT["metre",1,AUTHORITY["EPSG","9001"]],AUTHORITY["EPSG","2628"]]</t>
  </si>
  <si>
    <t xml:space="preserve">+proj=tmerc +lat_0=0 +lon_0=156 +k=1 +x_0=500000 +y_0=0 +ellps=krass +towgs84=23.92,-141.27,-80.9,0,0.35,0.82,-0.12 +units=m +no_defs </t>
  </si>
  <si>
    <t>PROJCS["Pulkovo 1942 / 3-degree Gauss-Kruger CM 159E",GEOGCS["Pulkovo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500000],PARAMETER["false_northing",0],UNIT["metre",1,AUTHORITY["EPSG","9001"]],AUTHORITY["EPSG","2629"]]</t>
  </si>
  <si>
    <t>PROJCS["Pulkovo 1942 / 3-degree Gauss-Kruger CM 162E",GEOGCS["Pulkovo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162],PARAMETER["scale_factor",1],PARAMETER["false_easting",500000],PARAMETER["false_northing",0],UNIT["metre",1,AUTHORITY["EPSG","9001"]],AUTHORITY["EPSG","2630"]]</t>
  </si>
  <si>
    <t xml:space="preserve">+proj=tmerc +lat_0=0 +lon_0=162 +k=1 +x_0=500000 +y_0=0 +ellps=krass +towgs84=23.92,-141.27,-80.9,0,0.35,0.82,-0.12 +units=m +no_defs </t>
  </si>
  <si>
    <t>PROJCS["Pulkovo 1942 / 3-degree Gauss-Kruger CM 165E",GEOGCS["Pulkovo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500000],PARAMETER["false_northing",0],UNIT["metre",1,AUTHORITY["EPSG","9001"]],AUTHORITY["EPSG","2631"]]</t>
  </si>
  <si>
    <t>PROJCS["Pulkovo 1942 / 3-degree Gauss-Kruger CM 168E",GEOGCS["Pulkovo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168],PARAMETER["scale_factor",1],PARAMETER["false_easting",500000],PARAMETER["false_northing",0],UNIT["metre",1,AUTHORITY["EPSG","9001"]],AUTHORITY["EPSG","2632"]]</t>
  </si>
  <si>
    <t xml:space="preserve">+proj=tmerc +lat_0=0 +lon_0=168 +k=1 +x_0=500000 +y_0=0 +ellps=krass +towgs84=23.92,-141.27,-80.9,0,0.35,0.82,-0.12 +units=m +no_defs </t>
  </si>
  <si>
    <t>PROJCS["ETRS89 / UTM zone 31N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500000],PARAMETER["false_northing",0],UNIT["metre",1,AUTHORITY["EPSG","9001"]],AUTHORITY["EPSG","3043"]]</t>
  </si>
  <si>
    <t xml:space="preserve">+proj=utm +zone=31 +ellps=GRS80 +towgs84=0,0,0,0,0,0,0 +units=m +no_defs </t>
  </si>
  <si>
    <t>PROJCS["Pulkovo 1942 / 3-degree Gauss-Kruger CM 171E",GEOGCS["Pulkovo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500000],PARAMETER["false_northing",0],UNIT["metre",1,AUTHORITY["EPSG","9001"]],AUTHORITY["EPSG","2633"]]</t>
  </si>
  <si>
    <t>PROJCS["Pulkovo 1942 / 3-degree Gauss-Kruger CM 174E",GEOGCS["Pulkovo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174],PARAMETER["scale_factor",1],PARAMETER["false_easting",500000],PARAMETER["false_northing",0],UNIT["metre",1,AUTHORITY["EPSG","9001"]],AUTHORITY["EPSG","2634"]]</t>
  </si>
  <si>
    <t xml:space="preserve">+proj=tmerc +lat_0=0 +lon_0=174 +k=1 +x_0=500000 +y_0=0 +ellps=krass +towgs84=23.92,-141.27,-80.9,0,0.35,0.82,-0.12 +units=m +no_defs </t>
  </si>
  <si>
    <t>PROJCS["Pulkovo 1942 / 3-degree Gauss-Kruger CM 177E",GEOGCS["Pulkovo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500000],PARAMETER["false_northing",0],UNIT["metre",1,AUTHORITY["EPSG","9001"]],AUTHORITY["EPSG","2635"]]</t>
  </si>
  <si>
    <t>PROJCS["Pulkovo 1942 / 3-degree Gauss-Kruger CM 180E",GEOGCS["Pulkovo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180],PARAMETER["scale_factor",1],PARAMETER["false_easting",500000],PARAMETER["false_northing",0],UNIT["metre",1,AUTHORITY["EPSG","9001"]],AUTHORITY["EPSG","2636"]]</t>
  </si>
  <si>
    <t xml:space="preserve">+proj=tmerc +lat_0=0 +lon_0=180 +k=1 +x_0=500000 +y_0=0 +ellps=krass +towgs84=23.92,-141.27,-80.9,0,0.35,0.82,-0.12 +units=m +no_defs </t>
  </si>
  <si>
    <t>PROJCS["Pulkovo 1942 / 3-degree Gauss-Kruger CM 177W",GEOGCS["Pulkovo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500000],PARAMETER["false_northing",0],UNIT["metre",1,AUTHORITY["EPSG","9001"]],AUTHORITY["EPSG","2637"]]</t>
  </si>
  <si>
    <t>PROJCS["Pulkovo 1942 / 3-degree Gauss-Kruger CM 174W",GEOGCS["Pulkovo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-174],PARAMETER["scale_factor",1],PARAMETER["false_easting",500000],PARAMETER["false_northing",0],UNIT["metre",1,AUTHORITY["EPSG","9001"]],AUTHORITY["EPSG","2638"]]</t>
  </si>
  <si>
    <t xml:space="preserve">+proj=tmerc +lat_0=0 +lon_0=-174 +k=1 +x_0=500000 +y_0=0 +ellps=krass +towgs84=23.92,-141.27,-80.9,0,0.35,0.82,-0.12 +units=m +no_defs </t>
  </si>
  <si>
    <t>PROJCS["Pulkovo 1942 / 3-degree Gauss-Kruger CM 171W",GEOGCS["Pulkovo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500000],PARAMETER["false_northing",0],UNIT["metre",1,AUTHORITY["EPSG","9001"]],AUTHORITY["EPSG","2639"]]</t>
  </si>
  <si>
    <t>PROJCS["Pulkovo 1942 / 3-degree Gauss-Kruger CM 168W",GEOGCS["Pulkovo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-168],PARAMETER["scale_factor",1],PARAMETER["false_easting",500000],PARAMETER["false_northing",0],UNIT["metre",1,AUTHORITY["EPSG","9001"]],AUTHORITY["EPSG","2640"]]</t>
  </si>
  <si>
    <t xml:space="preserve">+proj=tmerc +lat_0=0 +lon_0=-168 +k=1 +x_0=500000 +y_0=0 +ellps=krass +towgs84=23.92,-141.27,-80.9,0,0.35,0.82,-0.12 +units=m +no_defs </t>
  </si>
  <si>
    <t>PROJCS["Pulkovo 1995 / 3-degree Gauss-Kruger zone 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7500000],PARAMETER["false_northing",0],UNIT["metre",1,AUTHORITY["EPSG","9001"]],AUTHORITY["EPSG","2641"]]</t>
  </si>
  <si>
    <t xml:space="preserve">+proj=tmerc +lat_0=0 +lon_0=21 +k=1 +x_0=7500000 +y_0=0 +ellps=krass +towgs84=24.47,-130.89,-81.56,0,0,0.13,-0.22 +units=m +no_defs </t>
  </si>
  <si>
    <t>PROJCS["ETRS89 / UTM zone 32N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500000],PARAMETER["false_northing",0],UNIT["metre",1,AUTHORITY["EPSG","9001"]],AUTHORITY["EPSG","3044"]]</t>
  </si>
  <si>
    <t xml:space="preserve">+proj=utm +zone=32 +ellps=GRS80 +towgs84=0,0,0,0,0,0,0 +units=m +no_defs </t>
  </si>
  <si>
    <t>PROJCS["Pulkovo 1995 / 3-degree Gauss-Kruger zone 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24],PARAMETER["scale_factor",1],PARAMETER["false_easting",8500000],PARAMETER["false_northing",0],UNIT["metre",1,AUTHORITY["EPSG","9001"]],AUTHORITY["EPSG","2642"]]</t>
  </si>
  <si>
    <t xml:space="preserve">+proj=tmerc +lat_0=0 +lon_0=24 +k=1 +x_0=8500000 +y_0=0 +ellps=krass +towgs84=24.47,-130.89,-81.56,0,0,0.13,-0.22 +units=m +no_defs </t>
  </si>
  <si>
    <t>PROJCS["Pulkovo 1995 / 3-degree Gauss-Kruger zone 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9500000],PARAMETER["false_northing",0],UNIT["metre",1,AUTHORITY["EPSG","9001"]],AUTHORITY["EPSG","2643"]]</t>
  </si>
  <si>
    <t xml:space="preserve">+proj=tmerc +lat_0=0 +lon_0=27 +k=1 +x_0=9500000 +y_0=0 +ellps=krass +towgs84=24.47,-130.89,-81.56,0,0,0.13,-0.22 +units=m +no_defs </t>
  </si>
  <si>
    <t>PROJCS["Pulkovo 1995 / 3-degree Gauss-Kruger zone 10",GEOGCS["Pulkovo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30],PARAMETER["scale_factor",1],PARAMETER["false_easting",10500000],PARAMETER["false_northing",0],UNIT["metre",1,AUTHORITY["EPSG","9001"]],AUTHORITY["EPSG","2644"]]</t>
  </si>
  <si>
    <t xml:space="preserve">+proj=tmerc +lat_0=0 +lon_0=30 +k=1 +x_0=10500000 +y_0=0 +ellps=krass +towgs84=24.47,-130.89,-81.56,0,0,0.13,-0.22 +units=m +no_defs </t>
  </si>
  <si>
    <t>PROJCS["Pulkovo 1995 / 3-degree Gauss-Kruger zone 11",GEOGCS["Pulkovo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11500000],PARAMETER["false_northing",0],UNIT["metre",1,AUTHORITY["EPSG","9001"]],AUTHORITY["EPSG","2645"]]</t>
  </si>
  <si>
    <t xml:space="preserve">+proj=tmerc +lat_0=0 +lon_0=33 +k=1 +x_0=11500000 +y_0=0 +ellps=krass +towgs84=24.47,-130.89,-81.56,0,0,0.13,-0.22 +units=m +no_defs </t>
  </si>
  <si>
    <t>PROJCS["Pulkovo 1995 / 3-degree Gauss-Kruger zone 12",GEOGCS["Pulkovo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36],PARAMETER["scale_factor",1],PARAMETER["false_easting",12500000],PARAMETER["false_northing",0],UNIT["metre",1,AUTHORITY["EPSG","9001"]],AUTHORITY["EPSG","2646"]]</t>
  </si>
  <si>
    <t xml:space="preserve">+proj=tmerc +lat_0=0 +lon_0=36 +k=1 +x_0=12500000 +y_0=0 +ellps=krass +towgs84=24.47,-130.89,-81.56,0,0,0.13,-0.22 +units=m +no_defs </t>
  </si>
  <si>
    <t>PROJCS["Pulkovo 1995 / 3-degree Gauss-Kruger zone 13",GEOGCS["Pulkovo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13500000],PARAMETER["false_northing",0],UNIT["metre",1,AUTHORITY["EPSG","9001"]],AUTHORITY["EPSG","2647"]]</t>
  </si>
  <si>
    <t xml:space="preserve">+proj=tmerc +lat_0=0 +lon_0=39 +k=1 +x_0=13500000 +y_0=0 +ellps=krass +towgs84=24.47,-130.89,-81.56,0,0,0.13,-0.22 +units=m +no_defs </t>
  </si>
  <si>
    <t>PROJCS["Pulkovo 1995 / 3-degree Gauss-Kruger zone 14",GEOGCS["Pulkovo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42],PARAMETER["scale_factor",1],PARAMETER["false_easting",14500000],PARAMETER["false_northing",0],UNIT["metre",1,AUTHORITY["EPSG","9001"]],AUTHORITY["EPSG","2648"]]</t>
  </si>
  <si>
    <t xml:space="preserve">+proj=tmerc +lat_0=0 +lon_0=42 +k=1 +x_0=14500000 +y_0=0 +ellps=krass +towgs84=24.47,-130.89,-81.56,0,0,0.13,-0.22 +units=m +no_defs </t>
  </si>
  <si>
    <t>PROJCS["Pulkovo 1995 / 3-degree Gauss-Kruger zone 15",GEOGCS["Pulkovo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15500000],PARAMETER["false_northing",0],UNIT["metre",1,AUTHORITY["EPSG","9001"]],AUTHORITY["EPSG","2649"]]</t>
  </si>
  <si>
    <t xml:space="preserve">+proj=tmerc +lat_0=0 +lon_0=45 +k=1 +x_0=15500000 +y_0=0 +ellps=krass +towgs84=24.47,-130.89,-81.56,0,0,0.13,-0.22 +units=m +no_defs </t>
  </si>
  <si>
    <t>PROJCS["Pulkovo 1995 / 3-degree Gauss-Kruger zone 16",GEOGCS["Pulkovo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48],PARAMETER["scale_factor",1],PARAMETER["false_easting",16500000],PARAMETER["false_northing",0],UNIT["metre",1,AUTHORITY["EPSG","9001"]],AUTHORITY["EPSG","2650"]]</t>
  </si>
  <si>
    <t xml:space="preserve">+proj=tmerc +lat_0=0 +lon_0=48 +k=1 +x_0=16500000 +y_0=0 +ellps=krass +towgs84=24.47,-130.89,-81.56,0,0,0.13,-0.22 +units=m +no_defs </t>
  </si>
  <si>
    <t>PROJCS["Tete / UTM zone 36S",GEOGCS["Tete",DATUM["Tete",SPHEROID["Clarke 1866",6378206.4,294.9786982138982,AUTHORITY["EPSG","7008"]],TOWGS84[-80,-100,-228,0,0,0,0],AUTHORITY["EPSG","6127"]],PRIMEM["Greenwich",0,AUTHORITY["EPSG","8901"]],UNIT["degree",0.0174532925199433,AUTHORITY["EPSG","9122"]],AUTHORITY["EPSG","4127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2736"]]</t>
  </si>
  <si>
    <t xml:space="preserve">+proj=utm +zone=36 +south +ellps=clrk66 +towgs84=-80,-100,-228,0,0,0,0 +units=m +no_defs </t>
  </si>
  <si>
    <t>PROJCS["Pulkovo 1995 / 3-degree Gauss-Kruger zone 17",GEOGCS["Pulkovo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17500000],PARAMETER["false_northing",0],UNIT["metre",1,AUTHORITY["EPSG","9001"]],AUTHORITY["EPSG","2651"]]</t>
  </si>
  <si>
    <t xml:space="preserve">+proj=tmerc +lat_0=0 +lon_0=51 +k=1 +x_0=17500000 +y_0=0 +ellps=krass +towgs84=24.47,-130.89,-81.56,0,0,0.13,-0.22 +units=m +no_defs </t>
  </si>
  <si>
    <t>PROJCS["Pulkovo 1995 / 3-degree Gauss-Kruger zone 18",GEOGCS["Pulkovo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54],PARAMETER["scale_factor",1],PARAMETER["false_easting",18500000],PARAMETER["false_northing",0],UNIT["metre",1,AUTHORITY["EPSG","9001"]],AUTHORITY["EPSG","2652"]]</t>
  </si>
  <si>
    <t xml:space="preserve">+proj=tmerc +lat_0=0 +lon_0=54 +k=1 +x_0=18500000 +y_0=0 +ellps=krass +towgs84=24.47,-130.89,-81.56,0,0,0.13,-0.22 +units=m +no_defs </t>
  </si>
  <si>
    <t>PROJCS["Pulkovo 1995 / 3-degree Gauss-Kruger zone 19",GEOGCS["Pulkovo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19500000],PARAMETER["false_northing",0],UNIT["metre",1,AUTHORITY["EPSG","9001"]],AUTHORITY["EPSG","2653"]]</t>
  </si>
  <si>
    <t xml:space="preserve">+proj=tmerc +lat_0=0 +lon_0=57 +k=1 +x_0=19500000 +y_0=0 +ellps=krass +towgs84=24.47,-130.89,-81.56,0,0,0.13,-0.22 +units=m +no_defs </t>
  </si>
  <si>
    <t>PROJCS["Pulkovo 1995 / 3-degree Gauss-Kruger zone 20",GEOGCS["Pulkovo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60],PARAMETER["scale_factor",1],PARAMETER["false_easting",20500000],PARAMETER["false_northing",0],UNIT["metre",1,AUTHORITY["EPSG","9001"]],AUTHORITY["EPSG","2654"]]</t>
  </si>
  <si>
    <t xml:space="preserve">+proj=tmerc +lat_0=0 +lon_0=60 +k=1 +x_0=20500000 +y_0=0 +ellps=krass +towgs84=24.47,-130.89,-81.56,0,0,0.13,-0.22 +units=m +no_defs </t>
  </si>
  <si>
    <t>PROJCS["Pulkovo 1995 / 3-degree Gauss-Kruger zone 21",GEOGCS["Pulkovo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21500000],PARAMETER["false_northing",0],UNIT["metre",1,AUTHORITY["EPSG","9001"]],AUTHORITY["EPSG","2655"]]</t>
  </si>
  <si>
    <t xml:space="preserve">+proj=tmerc +lat_0=0 +lon_0=63 +k=1 +x_0=21500000 +y_0=0 +ellps=krass +towgs84=24.47,-130.89,-81.56,0,0,0.13,-0.22 +units=m +no_defs </t>
  </si>
  <si>
    <t>PROJCS["Pulkovo 1995 / 3-degree Gauss-Kruger zone 22",GEOGCS["Pulkovo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66],PARAMETER["scale_factor",1],PARAMETER["false_easting",22500000],PARAMETER["false_northing",0],UNIT["metre",1,AUTHORITY["EPSG","9001"]],AUTHORITY["EPSG","2656"]]</t>
  </si>
  <si>
    <t xml:space="preserve">+proj=tmerc +lat_0=0 +lon_0=66 +k=1 +x_0=22500000 +y_0=0 +ellps=krass +towgs84=24.47,-130.89,-81.56,0,0,0.13,-0.22 +units=m +no_defs </t>
  </si>
  <si>
    <t>PROJCS["Pulkovo 1995 / 3-degree Gauss-Kruger zone 23",GEOGCS["Pulkovo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23500000],PARAMETER["false_northing",0],UNIT["metre",1,AUTHORITY["EPSG","9001"]],AUTHORITY["EPSG","2657"]]</t>
  </si>
  <si>
    <t xml:space="preserve">+proj=tmerc +lat_0=0 +lon_0=69 +k=1 +x_0=23500000 +y_0=0 +ellps=krass +towgs84=24.47,-130.89,-81.56,0,0,0.13,-0.22 +units=m +no_defs </t>
  </si>
  <si>
    <t>PROJCS["Pulkovo 1995 / 3-degree Gauss-Kruger zone 24",GEOGCS["Pulkovo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72],PARAMETER["scale_factor",1],PARAMETER["false_easting",24500000],PARAMETER["false_northing",0],UNIT["metre",1,AUTHORITY["EPSG","9001"]],AUTHORITY["EPSG","2658"]]</t>
  </si>
  <si>
    <t xml:space="preserve">+proj=tmerc +lat_0=0 +lon_0=72 +k=1 +x_0=24500000 +y_0=0 +ellps=krass +towgs84=24.47,-130.89,-81.56,0,0,0.13,-0.22 +units=m +no_defs </t>
  </si>
  <si>
    <t>PROJCS["Pulkovo 1995 / 3-degree Gauss-Kruger zone 25",GEOGCS["Pulkovo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25500000],PARAMETER["false_northing",0],UNIT["metre",1,AUTHORITY["EPSG","9001"]],AUTHORITY["EPSG","2659"]]</t>
  </si>
  <si>
    <t xml:space="preserve">+proj=tmerc +lat_0=0 +lon_0=75 +k=1 +x_0=25500000 +y_0=0 +ellps=krass +towgs84=24.47,-130.89,-81.56,0,0,0.13,-0.22 +units=m +no_defs </t>
  </si>
  <si>
    <t>PROJCS["ETRS89 / UTM zone 33N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500000],PARAMETER["false_northing",0],UNIT["metre",1,AUTHORITY["EPSG","9001"]],AUTHORITY["EPSG","3045"]]</t>
  </si>
  <si>
    <t xml:space="preserve">+proj=utm +zone=33 +ellps=GRS80 +towgs84=0,0,0,0,0,0,0 +units=m +no_defs </t>
  </si>
  <si>
    <t>PROJCS["Pulkovo 1995 / 3-degree Gauss-Kruger zone 26",GEOGCS["Pulkovo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78],PARAMETER["scale_factor",1],PARAMETER["false_easting",26500000],PARAMETER["false_northing",0],UNIT["metre",1,AUTHORITY["EPSG","9001"]],AUTHORITY["EPSG","2660"]]</t>
  </si>
  <si>
    <t xml:space="preserve">+proj=tmerc +lat_0=0 +lon_0=78 +k=1 +x_0=26500000 +y_0=0 +ellps=krass +towgs84=24.47,-130.89,-81.56,0,0,0.13,-0.22 +units=m +no_defs </t>
  </si>
  <si>
    <t>PROJCS["Pulkovo 1995 / 3-degree Gauss-Kruger zone 27",GEOGCS["Pulkovo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27500000],PARAMETER["false_northing",0],UNIT["metre",1,AUTHORITY["EPSG","9001"]],AUTHORITY["EPSG","2661"]]</t>
  </si>
  <si>
    <t xml:space="preserve">+proj=tmerc +lat_0=0 +lon_0=81 +k=1 +x_0=27500000 +y_0=0 +ellps=krass +towgs84=24.47,-130.89,-81.56,0,0,0.13,-0.22 +units=m +no_defs </t>
  </si>
  <si>
    <t>PROJCS["Pulkovo 1995 / 3-degree Gauss-Kruger zone 28",GEOGCS["Pulkovo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84],PARAMETER["scale_factor",1],PARAMETER["false_easting",28500000],PARAMETER["false_northing",0],UNIT["metre",1,AUTHORITY["EPSG","9001"]],AUTHORITY["EPSG","2662"]]</t>
  </si>
  <si>
    <t xml:space="preserve">+proj=tmerc +lat_0=0 +lon_0=84 +k=1 +x_0=28500000 +y_0=0 +ellps=krass +towgs84=24.47,-130.89,-81.56,0,0,0.13,-0.22 +units=m +no_defs </t>
  </si>
  <si>
    <t>PROJCS["Pulkovo 1995 / 3-degree Gauss-Kruger zone 29",GEOGCS["Pulkovo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29500000],PARAMETER["false_northing",0],UNIT["metre",1,AUTHORITY["EPSG","9001"]],AUTHORITY["EPSG","2663"]]</t>
  </si>
  <si>
    <t xml:space="preserve">+proj=tmerc +lat_0=0 +lon_0=87 +k=1 +x_0=29500000 +y_0=0 +ellps=krass +towgs84=24.47,-130.89,-81.56,0,0,0.13,-0.22 +units=m +no_defs </t>
  </si>
  <si>
    <t>PROJCS["Pulkovo 1995 / 3-degree Gauss-Kruger zone 30",GEOGCS["Pulkovo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90],PARAMETER["scale_factor",1],PARAMETER["false_easting",30500000],PARAMETER["false_northing",0],UNIT["metre",1,AUTHORITY["EPSG","9001"]],AUTHORITY["EPSG","2664"]]</t>
  </si>
  <si>
    <t xml:space="preserve">+proj=tmerc +lat_0=0 +lon_0=90 +k=1 +x_0=30500000 +y_0=0 +ellps=krass +towgs84=24.47,-130.89,-81.56,0,0,0.13,-0.22 +units=m +no_defs </t>
  </si>
  <si>
    <t>PROJCS["Pulkovo 1995 / 3-degree Gauss-Kruger zone 31",GEOGCS["Pulkovo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31500000],PARAMETER["false_northing",0],UNIT["metre",1,AUTHORITY["EPSG","9001"]],AUTHORITY["EPSG","2665"]]</t>
  </si>
  <si>
    <t xml:space="preserve">+proj=tmerc +lat_0=0 +lon_0=93 +k=1 +x_0=31500000 +y_0=0 +ellps=krass +towgs84=24.47,-130.89,-81.56,0,0,0.13,-0.22 +units=m +no_defs </t>
  </si>
  <si>
    <t>PROJCS["Pulkovo 1995 / 3-degree Gauss-Kruger zone 32",GEOGCS["Pulkovo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96],PARAMETER["scale_factor",1],PARAMETER["false_easting",32500000],PARAMETER["false_northing",0],UNIT["metre",1,AUTHORITY["EPSG","9001"]],AUTHORITY["EPSG","2666"]]</t>
  </si>
  <si>
    <t xml:space="preserve">+proj=tmerc +lat_0=0 +lon_0=96 +k=1 +x_0=32500000 +y_0=0 +ellps=krass +towgs84=24.47,-130.89,-81.56,0,0,0.13,-0.22 +units=m +no_defs </t>
  </si>
  <si>
    <t>PROJCS["Pulkovo 1995 / 3-degree Gauss-Kruger zone 33",GEOGCS["Pulkovo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33500000],PARAMETER["false_northing",0],UNIT["metre",1,AUTHORITY["EPSG","9001"]],AUTHORITY["EPSG","2667"]]</t>
  </si>
  <si>
    <t xml:space="preserve">+proj=tmerc +lat_0=0 +lon_0=99 +k=1 +x_0=33500000 +y_0=0 +ellps=krass +towgs84=24.47,-130.89,-81.56,0,0,0.13,-0.22 +units=m +no_defs </t>
  </si>
  <si>
    <t>PROJCS["Pulkovo 1995 / 3-degree Gauss-Kruger zone 34",GEOGCS["Pulkovo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102],PARAMETER["scale_factor",1],PARAMETER["false_easting",34500000],PARAMETER["false_northing",0],UNIT["metre",1,AUTHORITY["EPSG","9001"]],AUTHORITY["EPSG","2668"]]</t>
  </si>
  <si>
    <t xml:space="preserve">+proj=tmerc +lat_0=0 +lon_0=102 +k=1 +x_0=34500000 +y_0=0 +ellps=krass +towgs84=24.47,-130.89,-81.56,0,0,0.13,-0.22 +units=m +no_defs </t>
  </si>
  <si>
    <t>PROJCS["ETRS89 / UTM zone 34N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0.9996],PARAMETER["false_easting",500000],PARAMETER["false_northing",0],UNIT["metre",1,AUTHORITY["EPSG","9001"]],AUTHORITY["EPSG","3046"]]</t>
  </si>
  <si>
    <t xml:space="preserve">+proj=utm +zone=34 +ellps=GRS80 +towgs84=0,0,0,0,0,0,0 +units=m +no_defs </t>
  </si>
  <si>
    <t>PROJCS["Pulkovo 1995 / 3-degree Gauss-Kruger zone 35",GEOGCS["Pulkovo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35500000],PARAMETER["false_northing",0],UNIT["metre",1,AUTHORITY["EPSG","9001"]],AUTHORITY["EPSG","2669"]]</t>
  </si>
  <si>
    <t xml:space="preserve">+proj=tmerc +lat_0=0 +lon_0=105 +k=1 +x_0=35500000 +y_0=0 +ellps=krass +towgs84=24.47,-130.89,-81.56,0,0,0.13,-0.22 +units=m +no_defs </t>
  </si>
  <si>
    <t>PROJCS["Pulkovo 1995 / 3-degree Gauss-Kruger zone 36",GEOGCS["Pulkovo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108],PARAMETER["scale_factor",1],PARAMETER["false_easting",36500000],PARAMETER["false_northing",0],UNIT["metre",1,AUTHORITY["EPSG","9001"]],AUTHORITY["EPSG","2670"]]</t>
  </si>
  <si>
    <t xml:space="preserve">+proj=tmerc +lat_0=0 +lon_0=108 +k=1 +x_0=36500000 +y_0=0 +ellps=krass +towgs84=24.47,-130.89,-81.56,0,0,0.13,-0.22 +units=m +no_defs </t>
  </si>
  <si>
    <t>PROJCS["Pulkovo 1995 / 3-degree Gauss-Kruger zone 37",GEOGCS["Pulkovo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37500000],PARAMETER["false_northing",0],UNIT["metre",1,AUTHORITY["EPSG","9001"]],AUTHORITY["EPSG","2671"]]</t>
  </si>
  <si>
    <t xml:space="preserve">+proj=tmerc +lat_0=0 +lon_0=111 +k=1 +x_0=37500000 +y_0=0 +ellps=krass +towgs84=24.47,-130.89,-81.56,0,0,0.13,-0.22 +units=m +no_defs </t>
  </si>
  <si>
    <t>PROJCS["Pulkovo 1995 / 3-degree Gauss-Kruger zone 38",GEOGCS["Pulkovo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114],PARAMETER["scale_factor",1],PARAMETER["false_easting",38500000],PARAMETER["false_northing",0],UNIT["metre",1,AUTHORITY["EPSG","9001"]],AUTHORITY["EPSG","2672"]]</t>
  </si>
  <si>
    <t xml:space="preserve">+proj=tmerc +lat_0=0 +lon_0=114 +k=1 +x_0=38500000 +y_0=0 +ellps=krass +towgs84=24.47,-130.89,-81.56,0,0,0.13,-0.22 +units=m +no_defs </t>
  </si>
  <si>
    <t>PROJCS["Pulkovo 1995 / 3-degree Gauss-Kruger zone 39",GEOGCS["Pulkovo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39500000],PARAMETER["false_northing",0],UNIT["metre",1,AUTHORITY["EPSG","9001"]],AUTHORITY["EPSG","2673"]]</t>
  </si>
  <si>
    <t xml:space="preserve">+proj=tmerc +lat_0=0 +lon_0=117 +k=1 +x_0=39500000 +y_0=0 +ellps=krass +towgs84=24.47,-130.89,-81.56,0,0,0.13,-0.22 +units=m +no_defs </t>
  </si>
  <si>
    <t>PROJCS["Pulkovo 1995 / 3-degree Gauss-Kruger zone 40",GEOGCS["Pulkovo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120],PARAMETER["scale_factor",1],PARAMETER["false_easting",40500000],PARAMETER["false_northing",0],UNIT["metre",1,AUTHORITY["EPSG","9001"]],AUTHORITY["EPSG","2674"]]</t>
  </si>
  <si>
    <t xml:space="preserve">+proj=tmerc +lat_0=0 +lon_0=120 +k=1 +x_0=40500000 +y_0=0 +ellps=krass +towgs84=24.47,-130.89,-81.56,0,0,0.13,-0.22 +units=m +no_defs </t>
  </si>
  <si>
    <t>PROJCS["Pulkovo 1995 / 3-degree Gauss-Kruger zone 41",GEOGCS["Pulkovo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41500000],PARAMETER["false_northing",0],UNIT["metre",1,AUTHORITY["EPSG","9001"]],AUTHORITY["EPSG","2675"]]</t>
  </si>
  <si>
    <t xml:space="preserve">+proj=tmerc +lat_0=0 +lon_0=123 +k=1 +x_0=41500000 +y_0=0 +ellps=krass +towgs84=24.47,-130.89,-81.56,0,0,0.13,-0.22 +units=m +no_defs </t>
  </si>
  <si>
    <t>PROJCS["Pulkovo 1995 / 3-degree Gauss-Kruger zone 42",GEOGCS["Pulkovo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126],PARAMETER["scale_factor",1],PARAMETER["false_easting",42500000],PARAMETER["false_northing",0],UNIT["metre",1,AUTHORITY["EPSG","9001"]],AUTHORITY["EPSG","2676"]]</t>
  </si>
  <si>
    <t xml:space="preserve">+proj=tmerc +lat_0=0 +lon_0=126 +k=1 +x_0=42500000 +y_0=0 +ellps=krass +towgs84=24.47,-130.89,-81.56,0,0,0.13,-0.22 +units=m +no_defs </t>
  </si>
  <si>
    <t>PROJCS["Pulkovo 1995 / 3-degree Gauss-Kruger zone 43",GEOGCS["Pulkovo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43500000],PARAMETER["false_northing",0],UNIT["metre",1,AUTHORITY["EPSG","9001"]],AUTHORITY["EPSG","2677"]]</t>
  </si>
  <si>
    <t xml:space="preserve">+proj=tmerc +lat_0=0 +lon_0=129 +k=1 +x_0=43500000 +y_0=0 +ellps=krass +towgs84=24.47,-130.89,-81.56,0,0,0.13,-0.22 +units=m +no_defs </t>
  </si>
  <si>
    <t>PROJCS["ETRS89 / UTM zone 35N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UTHORITY["EPSG","3047"]]</t>
  </si>
  <si>
    <t xml:space="preserve">+proj=utm +zone=35 +ellps=GRS80 +towgs84=0,0,0,0,0,0,0 +units=m +no_defs </t>
  </si>
  <si>
    <t>PROJCS["Pulkovo 1995 / 3-degree Gauss-Kruger zone 44",GEOGCS["Pulkovo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132],PARAMETER["scale_factor",1],PARAMETER["false_easting",44500000],PARAMETER["false_northing",0],UNIT["metre",1,AUTHORITY["EPSG","9001"]],AUTHORITY["EPSG","2678"]]</t>
  </si>
  <si>
    <t xml:space="preserve">+proj=tmerc +lat_0=0 +lon_0=132 +k=1 +x_0=44500000 +y_0=0 +ellps=krass +towgs84=24.47,-130.89,-81.56,0,0,0.13,-0.22 +units=m +no_defs </t>
  </si>
  <si>
    <t>PROJCS["Pulkovo 1995 / 3-degree Gauss-Kruger zone 45",GEOGCS["Pulkovo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45500000],PARAMETER["false_northing",0],UNIT["metre",1,AUTHORITY["EPSG","9001"]],AUTHORITY["EPSG","2679"]]</t>
  </si>
  <si>
    <t xml:space="preserve">+proj=tmerc +lat_0=0 +lon_0=135 +k=1 +x_0=45500000 +y_0=0 +ellps=krass +towgs84=24.47,-130.89,-81.56,0,0,0.13,-0.22 +units=m +no_defs </t>
  </si>
  <si>
    <t>PROJCS["Pulkovo 1995 / 3-degree Gauss-Kruger zone 46",GEOGCS["Pulkovo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138],PARAMETER["scale_factor",1],PARAMETER["false_easting",46500000],PARAMETER["false_northing",0],UNIT["metre",1,AUTHORITY["EPSG","9001"]],AUTHORITY["EPSG","2680"]]</t>
  </si>
  <si>
    <t xml:space="preserve">+proj=tmerc +lat_0=0 +lon_0=138 +k=1 +x_0=46500000 +y_0=0 +ellps=krass +towgs84=24.47,-130.89,-81.56,0,0,0.13,-0.22 +units=m +no_defs </t>
  </si>
  <si>
    <t>PROJCS["Pulkovo 1995 / 3-degree Gauss-Kruger zone 47",GEOGCS["Pulkovo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47500000],PARAMETER["false_northing",0],UNIT["metre",1,AUTHORITY["EPSG","9001"]],AUTHORITY["EPSG","2681"]]</t>
  </si>
  <si>
    <t xml:space="preserve">+proj=tmerc +lat_0=0 +lon_0=141 +k=1 +x_0=47500000 +y_0=0 +ellps=krass +towgs84=24.47,-130.89,-81.56,0,0,0.13,-0.22 +units=m +no_defs </t>
  </si>
  <si>
    <t>PROJCS["Pulkovo 1995 / 3-degree Gauss-Kruger zone 48",GEOGCS["Pulkovo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144],PARAMETER["scale_factor",1],PARAMETER["false_easting",48500000],PARAMETER["false_northing",0],UNIT["metre",1,AUTHORITY["EPSG","9001"]],AUTHORITY["EPSG","2682"]]</t>
  </si>
  <si>
    <t xml:space="preserve">+proj=tmerc +lat_0=0 +lon_0=144 +k=1 +x_0=48500000 +y_0=0 +ellps=krass +towgs84=24.47,-130.89,-81.56,0,0,0.13,-0.22 +units=m +no_defs </t>
  </si>
  <si>
    <t>PROJCS["Pulkovo 1995 / 3-degree Gauss-Kruger zone 49",GEOGCS["Pulkovo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49500000],PARAMETER["false_northing",0],UNIT["metre",1,AUTHORITY["EPSG","9001"]],AUTHORITY["EPSG","2683"]]</t>
  </si>
  <si>
    <t xml:space="preserve">+proj=tmerc +lat_0=0 +lon_0=147 +k=1 +x_0=49500000 +y_0=0 +ellps=krass +towgs84=24.47,-130.89,-81.56,0,0,0.13,-0.22 +units=m +no_defs </t>
  </si>
  <si>
    <t>PROJCS["Pulkovo 1995 / 3-degree Gauss-Kruger zone 50",GEOGCS["Pulkovo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150],PARAMETER["scale_factor",1],PARAMETER["false_easting",50500000],PARAMETER["false_northing",0],UNIT["metre",1,AUTHORITY["EPSG","9001"]],AUTHORITY["EPSG","2684"]]</t>
  </si>
  <si>
    <t xml:space="preserve">+proj=tmerc +lat_0=0 +lon_0=150 +k=1 +x_0=50500000 +y_0=0 +ellps=krass +towgs84=24.47,-130.89,-81.56,0,0,0.13,-0.22 +units=m +no_defs </t>
  </si>
  <si>
    <t>PROJCS["Pulkovo 1995 / 3-degree Gauss-Kruger zone 51",GEOGCS["Pulkovo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51500000],PARAMETER["false_northing",0],UNIT["metre",1,AUTHORITY["EPSG","9001"]],AUTHORITY["EPSG","2685"]]</t>
  </si>
  <si>
    <t xml:space="preserve">+proj=tmerc +lat_0=0 +lon_0=153 +k=1 +x_0=51500000 +y_0=0 +ellps=krass +towgs84=24.47,-130.89,-81.56,0,0,0.13,-0.22 +units=m +no_defs </t>
  </si>
  <si>
    <t>PROJCS["Pulkovo 1995 / 3-degree Gauss-Kruger zone 52",GEOGCS["Pulkovo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156],PARAMETER["scale_factor",1],PARAMETER["false_easting",52500000],PARAMETER["false_northing",0],UNIT["metre",1,AUTHORITY["EPSG","9001"]],AUTHORITY["EPSG","2686"]]</t>
  </si>
  <si>
    <t xml:space="preserve">+proj=tmerc +lat_0=0 +lon_0=156 +k=1 +x_0=52500000 +y_0=0 +ellps=krass +towgs84=24.47,-130.89,-81.56,0,0,0.13,-0.22 +units=m +no_defs </t>
  </si>
  <si>
    <t>PROJCS["ETRS89 / UTM zone 36N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33],PARAMETER["scale_factor",0.9996],PARAMETER["false_easting",500000],PARAMETER["false_northing",0],UNIT["metre",1,AUTHORITY["EPSG","9001"]],AUTHORITY["EPSG","3048"]]</t>
  </si>
  <si>
    <t xml:space="preserve">+proj=utm +zone=36 +ellps=GRS80 +towgs84=0,0,0,0,0,0,0 +units=m +no_defs </t>
  </si>
  <si>
    <t>PROJCS["Pulkovo 1995 / 3-degree Gauss-Kruger zone 53",GEOGCS["Pulkovo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53500000],PARAMETER["false_northing",0],UNIT["metre",1,AUTHORITY["EPSG","9001"]],AUTHORITY["EPSG","2687"]]</t>
  </si>
  <si>
    <t xml:space="preserve">+proj=tmerc +lat_0=0 +lon_0=159 +k=1 +x_0=53500000 +y_0=0 +ellps=krass +towgs84=24.47,-130.89,-81.56,0,0,0.13,-0.22 +units=m +no_defs </t>
  </si>
  <si>
    <t>PROJCS["Pulkovo 1995 / 3-degree Gauss-Kruger zone 54",GEOGCS["Pulkovo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162],PARAMETER["scale_factor",1],PARAMETER["false_easting",54500000],PARAMETER["false_northing",0],UNIT["metre",1,AUTHORITY["EPSG","9001"]],AUTHORITY["EPSG","2688"]]</t>
  </si>
  <si>
    <t xml:space="preserve">+proj=tmerc +lat_0=0 +lon_0=162 +k=1 +x_0=54500000 +y_0=0 +ellps=krass +towgs84=24.47,-130.89,-81.56,0,0,0.13,-0.22 +units=m +no_defs </t>
  </si>
  <si>
    <t>PROJCS["Pulkovo 1995 / 3-degree Gauss-Kruger zone 55",GEOGCS["Pulkovo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55500000],PARAMETER["false_northing",0],UNIT["metre",1,AUTHORITY["EPSG","9001"]],AUTHORITY["EPSG","2689"]]</t>
  </si>
  <si>
    <t xml:space="preserve">+proj=tmerc +lat_0=0 +lon_0=165 +k=1 +x_0=55500000 +y_0=0 +ellps=krass +towgs84=24.47,-130.89,-81.56,0,0,0.13,-0.22 +units=m +no_defs </t>
  </si>
  <si>
    <t>PROJCS["Pulkovo 1995 / 3-degree Gauss-Kruger zone 56",GEOGCS["Pulkovo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168],PARAMETER["scale_factor",1],PARAMETER["false_easting",56500000],PARAMETER["false_northing",0],UNIT["metre",1,AUTHORITY["EPSG","9001"]],AUTHORITY["EPSG","2690"]]</t>
  </si>
  <si>
    <t xml:space="preserve">+proj=tmerc +lat_0=0 +lon_0=168 +k=1 +x_0=56500000 +y_0=0 +ellps=krass +towgs84=24.47,-130.89,-81.56,0,0,0.13,-0.22 +units=m +no_defs </t>
  </si>
  <si>
    <t>PROJCS["Pulkovo 1995 / 3-degree Gauss-Kruger zone 57",GEOGCS["Pulkovo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57500000],PARAMETER["false_northing",0],UNIT["metre",1,AUTHORITY["EPSG","9001"]],AUTHORITY["EPSG","2691"]]</t>
  </si>
  <si>
    <t xml:space="preserve">+proj=tmerc +lat_0=0 +lon_0=171 +k=1 +x_0=57500000 +y_0=0 +ellps=krass +towgs84=24.47,-130.89,-81.56,0,0,0.13,-0.22 +units=m +no_defs </t>
  </si>
  <si>
    <t>PROJCS["Pulkovo 1995 / 3-degree Gauss-Kruger zone 58",GEOGCS["Pulkovo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174],PARAMETER["scale_factor",1],PARAMETER["false_easting",58500000],PARAMETER["false_northing",0],UNIT["metre",1,AUTHORITY["EPSG","9001"]],AUTHORITY["EPSG","2692"]]</t>
  </si>
  <si>
    <t xml:space="preserve">+proj=tmerc +lat_0=0 +lon_0=174 +k=1 +x_0=58500000 +y_0=0 +ellps=krass +towgs84=24.47,-130.89,-81.56,0,0,0.13,-0.22 +units=m +no_defs </t>
  </si>
  <si>
    <t>PROJCS["Pulkovo 1995 / 3-degree Gauss-Kruger zone 59",GEOGCS["Pulkovo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59500000],PARAMETER["false_northing",0],UNIT["metre",1,AUTHORITY["EPSG","9001"]],AUTHORITY["EPSG","2693"]]</t>
  </si>
  <si>
    <t xml:space="preserve">+proj=tmerc +lat_0=0 +lon_0=177 +k=1 +x_0=59500000 +y_0=0 +ellps=krass +towgs84=24.47,-130.89,-81.56,0,0,0.13,-0.22 +units=m +no_defs </t>
  </si>
  <si>
    <t>PROJCS["Pulkovo 1995 / 3-degree Gauss-Kruger zone 60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180],PARAMETER["scale_factor",1],PARAMETER["false_easting",60000000],PARAMETER["false_northing",0],UNIT["metre",1,AUTHORITY["EPSG","9001"]],AUTHORITY["EPSG","2694"]]</t>
  </si>
  <si>
    <t xml:space="preserve">+proj=tmerc +lat_0=0 +lon_0=180 +k=1 +x_0=60000000 +y_0=0 +ellps=krass +towgs84=24.47,-130.89,-81.56,0,0,0.13,-0.22 +units=m +no_defs </t>
  </si>
  <si>
    <t>PROJCS["Pulkovo 1995 / 3-degree Gauss-Kruger zone 61",GEOGCS["Pulkovo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61500000],PARAMETER["false_northing",0],UNIT["metre",1,AUTHORITY["EPSG","9001"]],AUTHORITY["EPSG","2695"]]</t>
  </si>
  <si>
    <t xml:space="preserve">+proj=tmerc +lat_0=0 +lon_0=-177 +k=1 +x_0=61500000 +y_0=0 +ellps=krass +towgs84=24.47,-130.89,-81.56,0,0,0.13,-0.22 +units=m +no_defs </t>
  </si>
  <si>
    <t>PROJCS["ETRS89 / UTM zone 37N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39],PARAMETER["scale_factor",0.9996],PARAMETER["false_easting",500000],PARAMETER["false_northing",0],UNIT["metre",1,AUTHORITY["EPSG","9001"]],AUTHORITY["EPSG","3049"]]</t>
  </si>
  <si>
    <t xml:space="preserve">+proj=utm +zone=37 +ellps=GRS80 +towgs84=0,0,0,0,0,0,0 +units=m +no_defs </t>
  </si>
  <si>
    <t>PROJCS["Pulkovo 1995 / 3-degree Gauss-Kruger zone 62",GEOGCS["Pulkovo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-174],PARAMETER["scale_factor",1],PARAMETER["false_easting",62500000],PARAMETER["false_northing",0],UNIT["metre",1,AUTHORITY["EPSG","9001"]],AUTHORITY["EPSG","2696"]]</t>
  </si>
  <si>
    <t xml:space="preserve">+proj=tmerc +lat_0=0 +lon_0=-174 +k=1 +x_0=62500000 +y_0=0 +ellps=krass +towgs84=24.47,-130.89,-81.56,0,0,0.13,-0.22 +units=m +no_defs </t>
  </si>
  <si>
    <t>PROJCS["Pulkovo 1995 / 3-degree Gauss-Kruger zone 63",GEOGCS["Pulkovo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63500000],PARAMETER["false_northing",0],UNIT["metre",1,AUTHORITY["EPSG","9001"]],AUTHORITY["EPSG","2697"]]</t>
  </si>
  <si>
    <t xml:space="preserve">+proj=tmerc +lat_0=0 +lon_0=-171 +k=1 +x_0=63500000 +y_0=0 +ellps=krass +towgs84=24.47,-130.89,-81.56,0,0,0.13,-0.22 +units=m +no_defs </t>
  </si>
  <si>
    <t>PROJCS["Pulkovo 1995 / 3-degree Gauss-Kruger zone 64",GEOGCS["Pulkovo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-168],PARAMETER["scale_factor",1],PARAMETER["false_easting",64500000],PARAMETER["false_northing",0],UNIT["metre",1,AUTHORITY["EPSG","9001"]],AUTHORITY["EPSG","2698"]]</t>
  </si>
  <si>
    <t xml:space="preserve">+proj=tmerc +lat_0=0 +lon_0=-168 +k=1 +x_0=64500000 +y_0=0 +ellps=krass +towgs84=24.47,-130.89,-81.56,0,0,0.13,-0.22 +units=m +no_defs </t>
  </si>
  <si>
    <t>PROJCS["Pulkovo 1995 / 3-degree Gauss-Kruger CM 21E",GEOGCS["Pulkovo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500000],PARAMETER["false_northing",0],UNIT["metre",1,AUTHORITY["EPSG","9001"]],AUTHORITY["EPSG","2699"]]</t>
  </si>
  <si>
    <t>PROJCS["Pulkovo 1995 / 3-degree Gauss-Kruger CM 24E",GEOGCS["Pulkovo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24],PARAMETER["scale_factor",1],PARAMETER["false_easting",500000],PARAMETER["false_northing",0],UNIT["metre",1,AUTHORITY["EPSG","9001"]],AUTHORITY["EPSG","2700"]]</t>
  </si>
  <si>
    <t xml:space="preserve">+proj=tmerc +lat_0=0 +lon_0=24 +k=1 +x_0=500000 +y_0=0 +ellps=krass +towgs84=24.47,-130.89,-81.56,0,0,0.13,-0.22 +units=m +no_defs </t>
  </si>
  <si>
    <t>PROJCS["Pulkovo 1995 / 3-degree Gauss-Kruger CM 27E",GEOGCS["Pulkovo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500000],PARAMETER["false_northing",0],UNIT["metre",1,AUTHORITY["EPSG","9001"]],AUTHORITY["EPSG","2701"]]</t>
  </si>
  <si>
    <t>PROJCS["Pulkovo 1995 / 3-degree Gauss-Kruger CM 30E",GEOGCS["Pulkovo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30],PARAMETER["scale_factor",1],PARAMETER["false_easting",500000],PARAMETER["false_northing",0],UNIT["metre",1,AUTHORITY["EPSG","9001"]],AUTHORITY["EPSG","2702"]]</t>
  </si>
  <si>
    <t xml:space="preserve">+proj=tmerc +lat_0=0 +lon_0=30 +k=1 +x_0=500000 +y_0=0 +ellps=krass +towgs84=24.47,-130.89,-81.56,0,0,0.13,-0.22 +units=m +no_defs </t>
  </si>
  <si>
    <t>PROJCS["Pulkovo 1995 / 3-degree Gauss-Kruger CM 33E",GEOGCS["Pulkovo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500000],PARAMETER["false_northing",0],UNIT["metre",1,AUTHORITY["EPSG","9001"]],AUTHORITY["EPSG","2703"]]</t>
  </si>
  <si>
    <t>PROJCS["Pulkovo 1995 / 3-degree Gauss-Kruger CM 36E",GEOGCS["Pulkovo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36],PARAMETER["scale_factor",1],PARAMETER["false_easting",500000],PARAMETER["false_northing",0],UNIT["metre",1,AUTHORITY["EPSG","9001"]],AUTHORITY["EPSG","2704"]]</t>
  </si>
  <si>
    <t xml:space="preserve">+proj=tmerc +lat_0=0 +lon_0=36 +k=1 +x_0=500000 +y_0=0 +ellps=krass +towgs84=24.47,-130.89,-81.56,0,0,0.13,-0.22 +units=m +no_defs </t>
  </si>
  <si>
    <t>PROJCS["Pulkovo 1995 / 3-degree Gauss-Kruger CM 39E",GEOGCS["Pulkovo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500000],PARAMETER["false_northing",0],UNIT["metre",1,AUTHORITY["EPSG","9001"]],AUTHORITY["EPSG","2705"]]</t>
  </si>
  <si>
    <t>PROJCS["Pulkovo 1995 / 3-degree Gauss-Kruger CM 42E",GEOGCS["Pulkovo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42],PARAMETER["scale_factor",1],PARAMETER["false_easting",500000],PARAMETER["false_northing",0],UNIT["metre",1,AUTHORITY["EPSG","9001"]],AUTHORITY["EPSG","2706"]]</t>
  </si>
  <si>
    <t xml:space="preserve">+proj=tmerc +lat_0=0 +lon_0=42 +k=1 +x_0=500000 +y_0=0 +ellps=krass +towgs84=24.47,-130.89,-81.56,0,0,0.13,-0.22 +units=m +no_defs </t>
  </si>
  <si>
    <t>PROJCS["Pulkovo 1995 / 3-degree Gauss-Kruger CM 45E",GEOGCS["Pulkovo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500000],PARAMETER["false_northing",0],UNIT["metre",1,AUTHORITY["EPSG","9001"]],AUTHORITY["EPSG","2707"]]</t>
  </si>
  <si>
    <t>PROJCS["Pulkovo 1995 / 3-degree Gauss-Kruger CM 48E",GEOGCS["Pulkovo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48],PARAMETER["scale_factor",1],PARAMETER["false_easting",500000],PARAMETER["false_northing",0],UNIT["metre",1,AUTHORITY["EPSG","9001"]],AUTHORITY["EPSG","2708"]]</t>
  </si>
  <si>
    <t xml:space="preserve">+proj=tmerc +lat_0=0 +lon_0=48 +k=1 +x_0=500000 +y_0=0 +ellps=krass +towgs84=24.47,-130.89,-81.56,0,0,0.13,-0.22 +units=m +no_defs </t>
  </si>
  <si>
    <t>PROJCS["Pulkovo 1995 / 3-degree Gauss-Kruger CM 51E",GEOGCS["Pulkovo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500000],PARAMETER["false_northing",0],UNIT["metre",1,AUTHORITY["EPSG","9001"]],AUTHORITY["EPSG","2709"]]</t>
  </si>
  <si>
    <t>PROJCS["Pulkovo 1995 / 3-degree Gauss-Kruger CM 54E",GEOGCS["Pulkovo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54],PARAMETER["scale_factor",1],PARAMETER["false_easting",500000],PARAMETER["false_northing",0],UNIT["metre",1,AUTHORITY["EPSG","9001"]],AUTHORITY["EPSG","2710"]]</t>
  </si>
  <si>
    <t xml:space="preserve">+proj=tmerc +lat_0=0 +lon_0=54 +k=1 +x_0=500000 +y_0=0 +ellps=krass +towgs84=24.47,-130.89,-81.56,0,0,0.13,-0.22 +units=m +no_defs </t>
  </si>
  <si>
    <t>PROJCS["Pulkovo 1995 / 3-degree Gauss-Kruger CM 57E",GEOGCS["Pulkovo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500000],PARAMETER["false_northing",0],UNIT["metre",1,AUTHORITY["EPSG","9001"]],AUTHORITY["EPSG","2711"]]</t>
  </si>
  <si>
    <t>PROJCS["Pulkovo 1995 / 3-degree Gauss-Kruger CM 60E",GEOGCS["Pulkovo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60],PARAMETER["scale_factor",1],PARAMETER["false_easting",500000],PARAMETER["false_northing",0],UNIT["metre",1,AUTHORITY["EPSG","9001"]],AUTHORITY["EPSG","2712"]]</t>
  </si>
  <si>
    <t xml:space="preserve">+proj=tmerc +lat_0=0 +lon_0=60 +k=1 +x_0=500000 +y_0=0 +ellps=krass +towgs84=24.47,-130.89,-81.56,0,0,0.13,-0.22 +units=m +no_defs </t>
  </si>
  <si>
    <t>PROJCS["Pulkovo 1995 / 3-degree Gauss-Kruger CM 63E",GEOGCS["Pulkovo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500000],PARAMETER["false_northing",0],UNIT["metre",1,AUTHORITY["EPSG","9001"]],AUTHORITY["EPSG","2713"]]</t>
  </si>
  <si>
    <t>PROJCS["Pulkovo 1995 / 3-degree Gauss-Kruger CM 66E",GEOGCS["Pulkovo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66],PARAMETER["scale_factor",1],PARAMETER["false_easting",500000],PARAMETER["false_northing",0],UNIT["metre",1,AUTHORITY["EPSG","9001"]],AUTHORITY["EPSG","2714"]]</t>
  </si>
  <si>
    <t xml:space="preserve">+proj=tmerc +lat_0=0 +lon_0=66 +k=1 +x_0=500000 +y_0=0 +ellps=krass +towgs84=24.47,-130.89,-81.56,0,0,0.13,-0.22 +units=m +no_defs </t>
  </si>
  <si>
    <t>PROJCS["Pulkovo 1995 / 3-degree Gauss-Kruger CM 69E",GEOGCS["Pulkovo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500000],PARAMETER["false_northing",0],UNIT["metre",1,AUTHORITY["EPSG","9001"]],AUTHORITY["EPSG","2715"]]</t>
  </si>
  <si>
    <t>PROJCS["Pulkovo 1995 / 3-degree Gauss-Kruger CM 72E",GEOGCS["Pulkovo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72],PARAMETER["scale_factor",1],PARAMETER["false_easting",500000],PARAMETER["false_northing",0],UNIT["metre",1,AUTHORITY["EPSG","9001"]],AUTHORITY["EPSG","2716"]]</t>
  </si>
  <si>
    <t xml:space="preserve">+proj=tmerc +lat_0=0 +lon_0=72 +k=1 +x_0=500000 +y_0=0 +ellps=krass +towgs84=24.47,-130.89,-81.56,0,0,0.13,-0.22 +units=m +no_defs </t>
  </si>
  <si>
    <t>PROJCS["Pulkovo 1995 / 3-degree Gauss-Kruger CM 75E",GEOGCS["Pulkovo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500000],PARAMETER["false_northing",0],UNIT["metre",1,AUTHORITY["EPSG","9001"]],AUTHORITY["EPSG","2717"]]</t>
  </si>
  <si>
    <t>PROJCS["Pulkovo 1995 / 3-degree Gauss-Kruger CM 78E",GEOGCS["Pulkovo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78],PARAMETER["scale_factor",1],PARAMETER["false_easting",500000],PARAMETER["false_northing",0],UNIT["metre",1,AUTHORITY["EPSG","9001"]],AUTHORITY["EPSG","2718"]]</t>
  </si>
  <si>
    <t xml:space="preserve">+proj=tmerc +lat_0=0 +lon_0=78 +k=1 +x_0=500000 +y_0=0 +ellps=krass +towgs84=24.47,-130.89,-81.56,0,0,0.13,-0.22 +units=m +no_defs </t>
  </si>
  <si>
    <t>PROJCS["Pulkovo 1995 / 3-degree Gauss-Kruger CM 81E",GEOGCS["Pulkovo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500000],PARAMETER["false_northing",0],UNIT["metre",1,AUTHORITY["EPSG","9001"]],AUTHORITY["EPSG","2719"]]</t>
  </si>
  <si>
    <t>PROJCS["Pulkovo 1995 / 3-degree Gauss-Kruger CM 84E",GEOGCS["Pulkovo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84],PARAMETER["scale_factor",1],PARAMETER["false_easting",500000],PARAMETER["false_northing",0],UNIT["metre",1,AUTHORITY["EPSG","9001"]],AUTHORITY["EPSG","2720"]]</t>
  </si>
  <si>
    <t xml:space="preserve">+proj=tmerc +lat_0=0 +lon_0=84 +k=1 +x_0=500000 +y_0=0 +ellps=krass +towgs84=24.47,-130.89,-81.56,0,0,0.13,-0.22 +units=m +no_defs </t>
  </si>
  <si>
    <t>PROJCS["Pulkovo 1995 / 3-degree Gauss-Kruger CM 87E",GEOGCS["Pulkovo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500000],PARAMETER["false_northing",0],UNIT["metre",1,AUTHORITY["EPSG","9001"]],AUTHORITY["EPSG","2721"]]</t>
  </si>
  <si>
    <t>PROJCS["Pulkovo 1995 / 3-degree Gauss-Kruger CM 90E",GEOGCS["Pulkovo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90],PARAMETER["scale_factor",1],PARAMETER["false_easting",500000],PARAMETER["false_northing",0],UNIT["metre",1,AUTHORITY["EPSG","9001"]],AUTHORITY["EPSG","2722"]]</t>
  </si>
  <si>
    <t xml:space="preserve">+proj=tmerc +lat_0=0 +lon_0=90 +k=1 +x_0=500000 +y_0=0 +ellps=krass +towgs84=24.47,-130.89,-81.56,0,0,0.13,-0.22 +units=m +no_defs </t>
  </si>
  <si>
    <t>PROJCS["Pulkovo 1995 / 3-degree Gauss-Kruger CM 93E",GEOGCS["Pulkovo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500000],PARAMETER["false_northing",0],UNIT["metre",1,AUTHORITY["EPSG","9001"]],AUTHORITY["EPSG","2723"]]</t>
  </si>
  <si>
    <t>PROJCS["Pulkovo 1995 / 3-degree Gauss-Kruger CM 96E",GEOGCS["Pulkovo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96],PARAMETER["scale_factor",1],PARAMETER["false_easting",500000],PARAMETER["false_northing",0],UNIT["metre",1,AUTHORITY["EPSG","9001"]],AUTHORITY["EPSG","2724"]]</t>
  </si>
  <si>
    <t xml:space="preserve">+proj=tmerc +lat_0=0 +lon_0=96 +k=1 +x_0=500000 +y_0=0 +ellps=krass +towgs84=24.47,-130.89,-81.56,0,0,0.13,-0.22 +units=m +no_defs </t>
  </si>
  <si>
    <t>PROJCS["Pulkovo 1995 / 3-degree Gauss-Kruger CM 99E",GEOGCS["Pulkovo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500000],PARAMETER["false_northing",0],UNIT["metre",1,AUTHORITY["EPSG","9001"]],AUTHORITY["EPSG","2725"]]</t>
  </si>
  <si>
    <t>PROJCS["Pulkovo 1995 / 3-degree Gauss-Kruger CM 102E",GEOGCS["Pulkovo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102],PARAMETER["scale_factor",1],PARAMETER["false_easting",500000],PARAMETER["false_northing",0],UNIT["metre",1,AUTHORITY["EPSG","9001"]],AUTHORITY["EPSG","2726"]]</t>
  </si>
  <si>
    <t xml:space="preserve">+proj=tmerc +lat_0=0 +lon_0=102 +k=1 +x_0=500000 +y_0=0 +ellps=krass +towgs84=24.47,-130.89,-81.56,0,0,0.13,-0.22 +units=m +no_defs </t>
  </si>
  <si>
    <t>PROJCS["Pulkovo 1995 / 3-degree Gauss-Kruger CM 105E",GEOGCS["Pulkovo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500000],PARAMETER["false_northing",0],UNIT["metre",1,AUTHORITY["EPSG","9001"]],AUTHORITY["EPSG","2727"]]</t>
  </si>
  <si>
    <t>PROJCS["Pulkovo 1995 / 3-degree Gauss-Kruger CM 108E",GEOGCS["Pulkovo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108],PARAMETER["scale_factor",1],PARAMETER["false_easting",500000],PARAMETER["false_northing",0],UNIT["metre",1,AUTHORITY["EPSG","9001"]],AUTHORITY["EPSG","2728"]]</t>
  </si>
  <si>
    <t xml:space="preserve">+proj=tmerc +lat_0=0 +lon_0=108 +k=1 +x_0=500000 +y_0=0 +ellps=krass +towgs84=24.47,-130.89,-81.56,0,0,0.13,-0.22 +units=m +no_defs </t>
  </si>
  <si>
    <t>PROJCS["Pulkovo 1995 / 3-degree Gauss-Kruger CM 111E",GEOGCS["Pulkovo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500000],PARAMETER["false_northing",0],UNIT["metre",1,AUTHORITY["EPSG","9001"]],AUTHORITY["EPSG","2729"]]</t>
  </si>
  <si>
    <t>PROJCS["Pulkovo 1995 / 3-degree Gauss-Kruger CM 114E",GEOGCS["Pulkovo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114],PARAMETER["scale_factor",1],PARAMETER["false_easting",500000],PARAMETER["false_northing",0],UNIT["metre",1,AUTHORITY["EPSG","9001"]],AUTHORITY["EPSG","2730"]]</t>
  </si>
  <si>
    <t xml:space="preserve">+proj=tmerc +lat_0=0 +lon_0=114 +k=1 +x_0=500000 +y_0=0 +ellps=krass +towgs84=24.47,-130.89,-81.56,0,0,0.13,-0.22 +units=m +no_defs </t>
  </si>
  <si>
    <t>PROJCS["Pulkovo 1995 / 3-degree Gauss-Kruger CM 117E",GEOGCS["Pulkovo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500000],PARAMETER["false_northing",0],UNIT["metre",1,AUTHORITY["EPSG","9001"]],AUTHORITY["EPSG","2731"]]</t>
  </si>
  <si>
    <t>PROJCS["Pulkovo 1995 / 3-degree Gauss-Kruger CM 120E",GEOGCS["Pulkovo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120],PARAMETER["scale_factor",1],PARAMETER["false_easting",500000],PARAMETER["false_northing",0],UNIT["metre",1,AUTHORITY["EPSG","9001"]],AUTHORITY["EPSG","2732"]]</t>
  </si>
  <si>
    <t xml:space="preserve">+proj=tmerc +lat_0=0 +lon_0=120 +k=1 +x_0=500000 +y_0=0 +ellps=krass +towgs84=24.47,-130.89,-81.56,0,0,0.13,-0.22 +units=m +no_defs </t>
  </si>
  <si>
    <t>PROJCS["Pulkovo 1995 / 3-degree Gauss-Kruger CM 123E",GEOGCS["Pulkovo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500000],PARAMETER["false_northing",0],UNIT["metre",1,AUTHORITY["EPSG","9001"]],AUTHORITY["EPSG","2733"]]</t>
  </si>
  <si>
    <t>PROJCS["Pulkovo 1995 / 3-degree Gauss-Kruger CM 126E",GEOGCS["Pulkovo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126],PARAMETER["scale_factor",1],PARAMETER["false_easting",500000],PARAMETER["false_northing",0],UNIT["metre",1,AUTHORITY["EPSG","9001"]],AUTHORITY["EPSG","2734"]]</t>
  </si>
  <si>
    <t xml:space="preserve">+proj=tmerc +lat_0=0 +lon_0=126 +k=1 +x_0=500000 +y_0=0 +ellps=krass +towgs84=24.47,-130.89,-81.56,0,0,0.13,-0.22 +units=m +no_defs </t>
  </si>
  <si>
    <t>PROJCS["Pulkovo 1995 / 3-degree Gauss-Kruger CM 129E",GEOGCS["Pulkovo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500000],PARAMETER["false_northing",0],UNIT["metre",1,AUTHORITY["EPSG","9001"]],AUTHORITY["EPSG","2735"]]</t>
  </si>
  <si>
    <t>PROJCS["Tete / UTM zone 37S",GEOGCS["Tete",DATUM["Tete",SPHEROID["Clarke 1866",6378206.4,294.9786982138982,AUTHORITY["EPSG","7008"]],TOWGS84[-80,-100,-228,0,0,0,0],AUTHORITY["EPSG","6127"]],PRIMEM["Greenwich",0,AUTHORITY["EPSG","8901"]],UNIT["degree",0.0174532925199433,AUTHORITY["EPSG","9122"]],AUTHORITY["EPSG","4127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2737"]]</t>
  </si>
  <si>
    <t xml:space="preserve">+proj=utm +zone=37 +south +ellps=clrk66 +towgs84=-80,-100,-228,0,0,0,0 +units=m +no_defs </t>
  </si>
  <si>
    <t>PROJCS["Pulkovo 1995 / 3-degree Gauss-Kruger CM 132E",GEOGCS["Pulkovo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132],PARAMETER["scale_factor",1],PARAMETER["false_easting",500000],PARAMETER["false_northing",0],UNIT["metre",1,AUTHORITY["EPSG","9001"]],AUTHORITY["EPSG","2738"]]</t>
  </si>
  <si>
    <t xml:space="preserve">+proj=tmerc +lat_0=0 +lon_0=132 +k=1 +x_0=500000 +y_0=0 +ellps=krass +towgs84=24.47,-130.89,-81.56,0,0,0.13,-0.22 +units=m +no_defs </t>
  </si>
  <si>
    <t>PROJCS["Pulkovo 1995 / 3-degree Gauss-Kruger CM 135E",GEOGCS["Pulkovo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500000],PARAMETER["false_northing",0],UNIT["metre",1,AUTHORITY["EPSG","9001"]],AUTHORITY["EPSG","2739"]]</t>
  </si>
  <si>
    <t>PROJCS["Pulkovo 1995 / 3-degree Gauss-Kruger CM 138E",GEOGCS["Pulkovo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138],PARAMETER["scale_factor",1],PARAMETER["false_easting",500000],PARAMETER["false_northing",0],UNIT["metre",1,AUTHORITY["EPSG","9001"]],AUTHORITY["EPSG","2740"]]</t>
  </si>
  <si>
    <t xml:space="preserve">+proj=tmerc +lat_0=0 +lon_0=138 +k=1 +x_0=500000 +y_0=0 +ellps=krass +towgs84=24.47,-130.89,-81.56,0,0,0.13,-0.22 +units=m +no_defs </t>
  </si>
  <si>
    <t>PROJCS["Pulkovo 1995 / 3-degree Gauss-Kruger CM 141E",GEOGCS["Pulkovo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500000],PARAMETER["false_northing",0],UNIT["metre",1,AUTHORITY["EPSG","9001"]],AUTHORITY["EPSG","2741"]]</t>
  </si>
  <si>
    <t>PROJCS["Pulkovo 1995 / 3-degree Gauss-Kruger CM 144E",GEOGCS["Pulkovo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144],PARAMETER["scale_factor",1],PARAMETER["false_easting",500000],PARAMETER["false_northing",0],UNIT["metre",1,AUTHORITY["EPSG","9001"]],AUTHORITY["EPSG","2742"]]</t>
  </si>
  <si>
    <t xml:space="preserve">+proj=tmerc +lat_0=0 +lon_0=144 +k=1 +x_0=500000 +y_0=0 +ellps=krass +towgs84=24.47,-130.89,-81.56,0,0,0.13,-0.22 +units=m +no_defs </t>
  </si>
  <si>
    <t>PROJCS["Pulkovo 1995 / 3-degree Gauss-Kruger CM 147E",GEOGCS["Pulkovo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500000],PARAMETER["false_northing",0],UNIT["metre",1,AUTHORITY["EPSG","9001"]],AUTHORITY["EPSG","2743"]]</t>
  </si>
  <si>
    <t>PROJCS["Pulkovo 1995 / 3-degree Gauss-Kruger CM 150E",GEOGCS["Pulkovo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150],PARAMETER["scale_factor",1],PARAMETER["false_easting",500000],PARAMETER["false_northing",0],UNIT["metre",1,AUTHORITY["EPSG","9001"]],AUTHORITY["EPSG","2744"]]</t>
  </si>
  <si>
    <t xml:space="preserve">+proj=tmerc +lat_0=0 +lon_0=150 +k=1 +x_0=500000 +y_0=0 +ellps=krass +towgs84=24.47,-130.89,-81.56,0,0,0.13,-0.22 +units=m +no_defs </t>
  </si>
  <si>
    <t>PROJCS["Pulkovo 1995 / 3-degree Gauss-Kruger CM 153E",GEOGCS["Pulkovo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500000],PARAMETER["false_northing",0],UNIT["metre",1,AUTHORITY["EPSG","9001"]],AUTHORITY["EPSG","2745"]]</t>
  </si>
  <si>
    <t>PROJCS["Pulkovo 1995 / 3-degree Gauss-Kruger CM 156E",GEOGCS["Pulkovo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156],PARAMETER["scale_factor",1],PARAMETER["false_easting",500000],PARAMETER["false_northing",0],UNIT["metre",1,AUTHORITY["EPSG","9001"]],AUTHORITY["EPSG","2746"]]</t>
  </si>
  <si>
    <t xml:space="preserve">+proj=tmerc +lat_0=0 +lon_0=156 +k=1 +x_0=500000 +y_0=0 +ellps=krass +towgs84=24.47,-130.89,-81.56,0,0,0.13,-0.22 +units=m +no_defs </t>
  </si>
  <si>
    <t>PROJCS["Pulkovo 1995 / 3-degree Gauss-Kruger CM 159E",GEOGCS["Pulkovo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500000],PARAMETER["false_northing",0],UNIT["metre",1,AUTHORITY["EPSG","9001"]],AUTHORITY["EPSG","2747"]]</t>
  </si>
  <si>
    <t>PROJCS["Pulkovo 1995 / 3-degree Gauss-Kruger CM 162E",GEOGCS["Pulkovo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162],PARAMETER["scale_factor",1],PARAMETER["false_easting",500000],PARAMETER["false_northing",0],UNIT["metre",1,AUTHORITY["EPSG","9001"]],AUTHORITY["EPSG","2748"]]</t>
  </si>
  <si>
    <t xml:space="preserve">+proj=tmerc +lat_0=0 +lon_0=162 +k=1 +x_0=500000 +y_0=0 +ellps=krass +towgs84=24.47,-130.89,-81.56,0,0,0.13,-0.22 +units=m +no_defs </t>
  </si>
  <si>
    <t>PROJCS["Pulkovo 1995 / 3-degree Gauss-Kruger CM 165E",GEOGCS["Pulkovo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500000],PARAMETER["false_northing",0],UNIT["metre",1,AUTHORITY["EPSG","9001"]],AUTHORITY["EPSG","2749"]]</t>
  </si>
  <si>
    <t>PROJCS["Pulkovo 1995 / 3-degree Gauss-Kruger CM 168E",GEOGCS["Pulkovo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168],PARAMETER["scale_factor",1],PARAMETER["false_easting",500000],PARAMETER["false_northing",0],UNIT["metre",1,AUTHORITY["EPSG","9001"]],AUTHORITY["EPSG","2750"]]</t>
  </si>
  <si>
    <t xml:space="preserve">+proj=tmerc +lat_0=0 +lon_0=168 +k=1 +x_0=500000 +y_0=0 +ellps=krass +towgs84=24.47,-130.89,-81.56,0,0,0.13,-0.22 +units=m +no_defs </t>
  </si>
  <si>
    <t>PROJCS["Pulkovo 1995 / 3-degree Gauss-Kruger CM 171E",GEOGCS["Pulkovo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500000],PARAMETER["false_northing",0],UNIT["metre",1,AUTHORITY["EPSG","9001"]],AUTHORITY["EPSG","2751"]]</t>
  </si>
  <si>
    <t>PROJCS["Pulkovo 1995 / 3-degree Gauss-Kruger CM 174E",GEOGCS["Pulkovo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174],PARAMETER["scale_factor",1],PARAMETER["false_easting",500000],PARAMETER["false_northing",0],UNIT["metre",1,AUTHORITY["EPSG","9001"]],AUTHORITY["EPSG","2752"]]</t>
  </si>
  <si>
    <t xml:space="preserve">+proj=tmerc +lat_0=0 +lon_0=174 +k=1 +x_0=500000 +y_0=0 +ellps=krass +towgs84=24.47,-130.89,-81.56,0,0,0.13,-0.22 +units=m +no_defs </t>
  </si>
  <si>
    <t>PROJCS["Pulkovo 1995 / 3-degree Gauss-Kruger CM 177E",GEOGCS["Pulkovo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500000],PARAMETER["false_northing",0],UNIT["metre",1,AUTHORITY["EPSG","9001"]],AUTHORITY["EPSG","2753"]]</t>
  </si>
  <si>
    <t>PROJCS["Pulkovo 1995 / 3-degree Gauss-Kruger CM 180E",GEOGCS["Pulkovo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180],PARAMETER["scale_factor",1],PARAMETER["false_easting",500000],PARAMETER["false_northing",0],UNIT["metre",1,AUTHORITY["EPSG","9001"]],AUTHORITY["EPSG","2754"]]</t>
  </si>
  <si>
    <t xml:space="preserve">+proj=tmerc +lat_0=0 +lon_0=180 +k=1 +x_0=500000 +y_0=0 +ellps=krass +towgs84=24.47,-130.89,-81.56,0,0,0.13,-0.22 +units=m +no_defs </t>
  </si>
  <si>
    <t>PROJCS["Pulkovo 1995 / 3-degree Gauss-Kruger CM 177W",GEOGCS["Pulkovo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500000],PARAMETER["false_northing",0],UNIT["metre",1,AUTHORITY["EPSG","9001"]],AUTHORITY["EPSG","2755"]]</t>
  </si>
  <si>
    <t>PROJCS["Pulkovo 1995 / 3-degree Gauss-Kruger CM 174W",GEOGCS["Pulkovo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-174],PARAMETER["scale_factor",1],PARAMETER["false_easting",500000],PARAMETER["false_northing",0],UNIT["metre",1,AUTHORITY["EPSG","9001"]],AUTHORITY["EPSG","2756"]]</t>
  </si>
  <si>
    <t xml:space="preserve">+proj=tmerc +lat_0=0 +lon_0=-174 +k=1 +x_0=500000 +y_0=0 +ellps=krass +towgs84=24.47,-130.89,-81.56,0,0,0.13,-0.22 +units=m +no_defs </t>
  </si>
  <si>
    <t>PROJCS["Pulkovo 1995 / 3-degree Gauss-Kruger CM 171W",GEOGCS["Pulkovo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500000],PARAMETER["false_northing",0],UNIT["metre",1,AUTHORITY["EPSG","9001"]],AUTHORITY["EPSG","2757"]]</t>
  </si>
  <si>
    <t>PROJCS["Pulkovo 1995 / 3-degree Gauss-Kruger CM 168W",GEOGCS["Pulkovo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-168],PARAMETER["scale_factor",1],PARAMETER["false_easting",500000],PARAMETER["false_northing",0],UNIT["metre",1,AUTHORITY["EPSG","9001"]],AUTHORITY["EPSG","2758"]]</t>
  </si>
  <si>
    <t xml:space="preserve">+proj=tmerc +lat_0=0 +lon_0=-168 +k=1 +x_0=500000 +y_0=0 +ellps=krass +towgs84=24.47,-130.89,-81.56,0,0,0.13,-0.22 +units=m +no_defs </t>
  </si>
  <si>
    <t>PROJCS["NAD83(HARN) / Alabama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30.5],PARAMETER["central_meridian",-85.83333333333333],PARAMETER["scale_factor",0.99996],PARAMETER["false_easting",200000],PARAMETER["false_northing",0],UNIT["metre",1,AUTHORITY["EPSG","9001"]],AXIS["X",EAST],AXIS["Y",NORTH],AUTHORITY["EPSG","2759"]]</t>
  </si>
  <si>
    <t xml:space="preserve">+proj=tmerc +lat_0=30.5 +lon_0=-85.83333333333333 +k=0.99996 +x_0=200000 +y_0=0 +ellps=GRS80 +towgs84=0,0,0,0,0,0,0 +units=m +no_defs </t>
  </si>
  <si>
    <t>PROJCS["NAD83(HARN) / Alabama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-87.5],PARAMETER["scale_factor",0.999933333],PARAMETER["false_easting",600000],PARAMETER["false_northing",0],UNIT["metre",1,AUTHORITY["EPSG","9001"]],AXIS["X",EAST],AXIS["Y",NORTH],AUTHORITY["EPSG","2760"]]</t>
  </si>
  <si>
    <t xml:space="preserve">+proj=tmerc +lat_0=30 +lon_0=-87.5 +k=0.999933333 +x_0=600000 +y_0=0 +ellps=GRS80 +towgs84=0,0,0,0,0,0,0 +units=m +no_defs </t>
  </si>
  <si>
    <t>PROJCS["NAD83(HARN) / Arizona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-110.1666666666667],PARAMETER["scale_factor",0.9999],PARAMETER["false_easting",213360],PARAMETER["false_northing",0],UNIT["metre",1,AUTHORITY["EPSG","9001"]],AXIS["X",EAST],AXIS["Y",NORTH],AUTHORITY["EPSG","2761"]]</t>
  </si>
  <si>
    <t xml:space="preserve">+proj=tmerc +lat_0=31 +lon_0=-110.1666666666667 +k=0.9999 +x_0=213360 +y_0=0 +ellps=GRS80 +towgs84=0,0,0,0,0,0,0 +units=m +no_defs </t>
  </si>
  <si>
    <t>PROJCS["NAD83(HARN) / Arizona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-111.9166666666667],PARAMETER["scale_factor",0.9999],PARAMETER["false_easting",213360],PARAMETER["false_northing",0],UNIT["metre",1,AUTHORITY["EPSG","9001"]],AXIS["X",EAST],AXIS["Y",NORTH],AUTHORITY["EPSG","2762"]]</t>
  </si>
  <si>
    <t xml:space="preserve">+proj=tmerc +lat_0=31 +lon_0=-111.9166666666667 +k=0.9999 +x_0=213360 +y_0=0 +ellps=GRS80 +towgs84=0,0,0,0,0,0,0 +units=m +no_defs </t>
  </si>
  <si>
    <t>PROJCS["NAD83(HARN) / Arizona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-113.75],PARAMETER["scale_factor",0.999933333],PARAMETER["false_easting",213360],PARAMETER["false_northing",0],UNIT["metre",1,AUTHORITY["EPSG","9001"]],AXIS["X",EAST],AXIS["Y",NORTH],AUTHORITY["EPSG","2763"]]</t>
  </si>
  <si>
    <t xml:space="preserve">+proj=tmerc +lat_0=31 +lon_0=-113.75 +k=0.999933333 +x_0=213360 +y_0=0 +ellps=GRS80 +towgs84=0,0,0,0,0,0,0 +units=m +no_defs </t>
  </si>
  <si>
    <t>PROJCS["NAD83(HARN) / Arkansas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36.23333333333333],PARAMETER["standard_parallel_2",34.93333333333333],PARAMETER["latitude_of_origin",34.33333333333334],PARAMETER["central_meridian",-92],PARAMETER["false_easting",400000],PARAMETER["false_northing",0],UNIT["metre",1,AUTHORITY["EPSG","9001"]],AXIS["X",EAST],AXIS["Y",NORTH],AUTHORITY["EPSG","2764"]]</t>
  </si>
  <si>
    <t xml:space="preserve">+proj=lcc +lat_1=36.23333333333333 +lat_2=34.93333333333333 +lat_0=34.33333333333334 +lon_0=-92 +x_0=400000 +y_0=0 +ellps=GRS80 +towgs84=0,0,0,0,0,0,0 +units=m +no_defs </t>
  </si>
  <si>
    <t>PROJCS["NAD83(HARN) / Arkansas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34.76666666666667],PARAMETER["standard_parallel_2",33.3],PARAMETER["latitude_of_origin",32.66666666666666],PARAMETER["central_meridian",-92],PARAMETER["false_easting",400000],PARAMETER["false_northing",400000],UNIT["metre",1,AUTHORITY["EPSG","9001"]],AXIS["X",EAST],AXIS["Y",NORTH],AUTHORITY["EPSG","2765"]]</t>
  </si>
  <si>
    <t xml:space="preserve">+proj=lcc +lat_1=34.76666666666667 +lat_2=33.3 +lat_0=32.66666666666666 +lon_0=-92 +x_0=400000 +y_0=400000 +ellps=GRS80 +towgs84=0,0,0,0,0,0,0 +units=m +no_defs </t>
  </si>
  <si>
    <t>PROJCS["NAD83(HARN) / California zone 1",GEOGCS["NAD83(HARN)",DATUM["NAD83_High_Accuracy_Reference_Network",SPHEROID["GRS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500000],UNIT["metre",1,AUTHORITY["EPSG","9001"]],AXIS["X",EAST],AXIS["Y",NORTH],AUTHORITY["EPSG","2766"]]</t>
  </si>
  <si>
    <t xml:space="preserve">+proj=lcc +lat_1=41.66666666666666 +lat_2=40 +lat_0=39.33333333333334 +lon_0=-122 +x_0=2000000 +y_0=500000 +ellps=GRS80 +towgs84=0,0,0,0,0,0,0 +units=m +no_defs </t>
  </si>
  <si>
    <t>PROJCS["NAD83(HARN) / California zone 2",GEOGCS["NAD83(HARN)",DATUM["NAD83_High_Accuracy_Reference_Network",SPHEROID["GRS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500000],UNIT["metre",1,AUTHORITY["EPSG","9001"]],AXIS["X",EAST],AXIS["Y",NORTH],AUTHORITY["EPSG","2767"]]</t>
  </si>
  <si>
    <t xml:space="preserve">+proj=lcc +lat_1=39.83333333333334 +lat_2=38.33333333333334 +lat_0=37.66666666666666 +lon_0=-122 +x_0=2000000 +y_0=500000 +ellps=GRS80 +towgs84=0,0,0,0,0,0,0 +units=m +no_defs </t>
  </si>
  <si>
    <t>PROJCS["NAD83(HARN) / California zone 3",GEOGCS["NAD83(HARN)",DATUM["NAD83_High_Accuracy_Reference_Network",SPHEROID["GRS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500000],UNIT["metre",1,AUTHORITY["EPSG","9001"]],AXIS["X",EAST],AXIS["Y",NORTH],AUTHORITY["EPSG","2768"]]</t>
  </si>
  <si>
    <t xml:space="preserve">+proj=lcc +lat_1=38.43333333333333 +lat_2=37.06666666666667 +lat_0=36.5 +lon_0=-120.5 +x_0=2000000 +y_0=500000 +ellps=GRS80 +towgs84=0,0,0,0,0,0,0 +units=m +no_defs </t>
  </si>
  <si>
    <t>PROJCS["NAD83(HARN) / California zone 4",GEOGCS["NAD83(HARN)",DATUM["NAD83_High_Accuracy_Reference_Network",SPHEROID["GRS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37.25],PARAMETER["standard_parallel_2",36],PARAMETER["latitude_of_origin",35.33333333333334],PARAMETER["central_meridian",-119],PARAMETER["false_easting",2000000],PARAMETER["false_northing",500000],UNIT["metre",1,AUTHORITY["EPSG","9001"]],AXIS["X",EAST],AXIS["Y",NORTH],AUTHORITY["EPSG","2769"]]</t>
  </si>
  <si>
    <t xml:space="preserve">+proj=lcc +lat_1=37.25 +lat_2=36 +lat_0=35.33333333333334 +lon_0=-119 +x_0=2000000 +y_0=500000 +ellps=GRS80 +towgs84=0,0,0,0,0,0,0 +units=m +no_defs </t>
  </si>
  <si>
    <t>PROJCS["NAD83(HARN) / California zone 5",GEOGCS["NAD83(HARN)",DATUM["NAD83_High_Accuracy_Reference_Network",SPHEROID["GRS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500000],UNIT["metre",1,AUTHORITY["EPSG","9001"]],AXIS["X",EAST],AXIS["Y",NORTH],AUTHORITY["EPSG","2770"]]</t>
  </si>
  <si>
    <t xml:space="preserve">+proj=lcc +lat_1=35.46666666666667 +lat_2=34.03333333333333 +lat_0=33.5 +lon_0=-118 +x_0=2000000 +y_0=500000 +ellps=GRS80 +towgs84=0,0,0,0,0,0,0 +units=m +no_defs </t>
  </si>
  <si>
    <t>PROJCS["NAD83(HARN) / California zone 6",GEOGCS["NAD83(HARN)",DATUM["NAD83_High_Accuracy_Reference_Network",SPHEROID["GRS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500000],UNIT["metre",1,AUTHORITY["EPSG","9001"]],AXIS["X",EAST],AXIS["Y",NORTH],AUTHORITY["EPSG","2771"]]</t>
  </si>
  <si>
    <t xml:space="preserve">+proj=lcc +lat_1=33.88333333333333 +lat_2=32.78333333333333 +lat_0=32.16666666666666 +lon_0=-116.25 +x_0=2000000 +y_0=500000 +ellps=GRS80 +towgs84=0,0,0,0,0,0,0 +units=m +no_defs </t>
  </si>
  <si>
    <t>PROJCS["NAD83(HARN) / Colorado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40.78333333333333],PARAMETER["standard_parallel_2",39.71666666666667],PARAMETER["latitude_of_origin",39.33333333333334],PARAMETER["central_meridian",-105.5],PARAMETER["false_easting",914401.8289],PARAMETER["false_northing",304800.6096],UNIT["metre",1,AUTHORITY["EPSG","9001"]],AXIS["X",EAST],AXIS["Y",NORTH],AUTHORITY["EPSG","2772"]]</t>
  </si>
  <si>
    <t xml:space="preserve">+proj=lcc +lat_1=40.78333333333333 +lat_2=39.71666666666667 +lat_0=39.33333333333334 +lon_0=-105.5 +x_0=914401.8289 +y_0=304800.6096 +ellps=GRS80 +towgs84=0,0,0,0,0,0,0 +units=m +no_defs </t>
  </si>
  <si>
    <t>PROJCS["NAD83(HARN) / Colorado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39.75],PARAMETER["standard_parallel_2",38.45],PARAMETER["latitude_of_origin",37.83333333333334],PARAMETER["central_meridian",-105.5],PARAMETER["false_easting",914401.8289],PARAMETER["false_northing",304800.6096],UNIT["metre",1,AUTHORITY["EPSG","9001"]],AXIS["X",EAST],AXIS["Y",NORTH],AUTHORITY["EPSG","2773"]]</t>
  </si>
  <si>
    <t xml:space="preserve">+proj=lcc +lat_1=39.75 +lat_2=38.45 +lat_0=37.83333333333334 +lon_0=-105.5 +x_0=914401.8289 +y_0=304800.6096 +ellps=GRS80 +towgs84=0,0,0,0,0,0,0 +units=m +no_defs </t>
  </si>
  <si>
    <t>PROJCS["NAD83(HARN) / Colorado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38.43333333333333],PARAMETER["standard_parallel_2",37.23333333333333],PARAMETER["latitude_of_origin",36.66666666666666],PARAMETER["central_meridian",-105.5],PARAMETER["false_easting",914401.8289],PARAMETER["false_northing",304800.6096],UNIT["metre",1,AUTHORITY["EPSG","9001"]],AXIS["X",EAST],AXIS["Y",NORTH],AUTHORITY["EPSG","2774"]]</t>
  </si>
  <si>
    <t xml:space="preserve">+proj=lcc +lat_1=38.43333333333333 +lat_2=37.23333333333333 +lat_0=36.66666666666666 +lon_0=-105.5 +x_0=914401.8289 +y_0=304800.6096 +ellps=GRS80 +towgs84=0,0,0,0,0,0,0 +units=m +no_defs </t>
  </si>
  <si>
    <t>PROJCS["NAD83(HARN) / Connecticut",GEOGCS["NAD83(HARN)",DATUM["NAD83_High_Accuracy_Reference_Network",SPHEROID["GRS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41.86666666666667],PARAMETER["standard_parallel_2",41.2],PARAMETER["latitude_of_origin",40.83333333333334],PARAMETER["central_meridian",-72.75],PARAMETER["false_easting",304800.6096],PARAMETER["false_northing",152400.3048],UNIT["metre",1,AUTHORITY["EPSG","9001"]],AXIS["X",EAST],AXIS["Y",NORTH],AUTHORITY["EPSG","2775"]]</t>
  </si>
  <si>
    <t xml:space="preserve">+proj=lcc +lat_1=41.86666666666667 +lat_2=41.2 +lat_0=40.83333333333334 +lon_0=-72.75 +x_0=304800.6096 +y_0=152400.3048 +ellps=GRS80 +towgs84=0,0,0,0,0,0,0 +units=m +no_defs </t>
  </si>
  <si>
    <t>PROJCS["NAD83(HARN) / Delaware",GEOGCS["NAD83(HARN)",DATUM["NAD83_High_Accuracy_Reference_Network",SPHEROID["GRS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38],PARAMETER["central_meridian",-75.41666666666667],PARAMETER["scale_factor",0.999995],PARAMETER["false_easting",200000],PARAMETER["false_northing",0],UNIT["metre",1,AUTHORITY["EPSG","9001"]],AXIS["X",EAST],AXIS["Y",NORTH],AUTHORITY["EPSG","2776"]]</t>
  </si>
  <si>
    <t xml:space="preserve">+proj=tmerc +lat_0=38 +lon_0=-75.41666666666667 +k=0.999995 +x_0=200000 +y_0=0 +ellps=GRS80 +towgs84=0,0,0,0,0,0,0 +units=m +no_defs </t>
  </si>
  <si>
    <t>PROJCS["NAD83(HARN) / Florida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24.33333333333333],PARAMETER["central_meridian",-81],PARAMETER["scale_factor",0.999941177],PARAMETER["false_easting",200000],PARAMETER["false_northing",0],UNIT["metre",1,AUTHORITY["EPSG","9001"]],AXIS["X",EAST],AXIS["Y",NORTH],AUTHORITY["EPSG","2777"]]</t>
  </si>
  <si>
    <t xml:space="preserve">+proj=tmerc +lat_0=24.33333333333333 +lon_0=-81 +k=0.999941177 +x_0=200000 +y_0=0 +ellps=GRS80 +towgs84=0,0,0,0,0,0,0 +units=m +no_defs </t>
  </si>
  <si>
    <t>PROJCS["NAD83(HARN) / Florida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24.33333333333333],PARAMETER["central_meridian",-82],PARAMETER["scale_factor",0.999941177],PARAMETER["false_easting",200000],PARAMETER["false_northing",0],UNIT["metre",1,AUTHORITY["EPSG","9001"]],AXIS["X",EAST],AXIS["Y",NORTH],AUTHORITY["EPSG","2778"]]</t>
  </si>
  <si>
    <t xml:space="preserve">+proj=tmerc +lat_0=24.33333333333333 +lon_0=-82 +k=0.999941177 +x_0=200000 +y_0=0 +ellps=GRS80 +towgs84=0,0,0,0,0,0,0 +units=m +no_defs </t>
  </si>
  <si>
    <t>PROJCS["NAD83(HARN) / Florida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30.75],PARAMETER["standard_parallel_2",29.58333333333333],PARAMETER["latitude_of_origin",29],PARAMETER["central_meridian",-84.5],PARAMETER["false_easting",600000],PARAMETER["false_northing",0],UNIT["metre",1,AUTHORITY["EPSG","9001"]],AXIS["X",EAST],AXIS["Y",NORTH],AUTHORITY["EPSG","2779"]]</t>
  </si>
  <si>
    <t xml:space="preserve">+proj=lcc +lat_1=30.75 +lat_2=29.58333333333333 +lat_0=29 +lon_0=-84.5 +x_0=600000 +y_0=0 +ellps=GRS80 +towgs84=0,0,0,0,0,0,0 +units=m +no_defs </t>
  </si>
  <si>
    <t>PROJCS["NAD83(HARN) / Georgia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-82.16666666666667],PARAMETER["scale_factor",0.9999],PARAMETER["false_easting",200000],PARAMETER["false_northing",0],UNIT["metre",1,AUTHORITY["EPSG","9001"]],AXIS["X",EAST],AXIS["Y",NORTH],AUTHORITY["EPSG","2780"]]</t>
  </si>
  <si>
    <t xml:space="preserve">+proj=tmerc +lat_0=30 +lon_0=-82.16666666666667 +k=0.9999 +x_0=200000 +y_0=0 +ellps=GRS80 +towgs84=0,0,0,0,0,0,0 +units=m +no_defs </t>
  </si>
  <si>
    <t>PROJCS["NAD83(HARN) / Georgia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-84.16666666666667],PARAMETER["scale_factor",0.9999],PARAMETER["false_easting",700000],PARAMETER["false_northing",0],UNIT["metre",1,AUTHORITY["EPSG","9001"]],AXIS["X",EAST],AXIS["Y",NORTH],AUTHORITY["EPSG","2781"]]</t>
  </si>
  <si>
    <t xml:space="preserve">+proj=tmerc +lat_0=30 +lon_0=-84.16666666666667 +k=0.9999 +x_0=700000 +y_0=0 +ellps=GRS80 +towgs84=0,0,0,0,0,0,0 +units=m +no_defs </t>
  </si>
  <si>
    <t>PROJCS["NAD83(HARN) / Hawaii zone 1",GEOGCS["NAD83(HARN)",DATUM["NAD83_High_Accuracy_Reference_Network",SPHEROID["GRS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18.83333333333333],PARAMETER["central_meridian",-155.5],PARAMETER["scale_factor",0.999966667],PARAMETER["false_easting",500000],PARAMETER["false_northing",0],UNIT["metre",1,AUTHORITY["EPSG","9001"]],AXIS["X",EAST],AXIS["Y",NORTH],AUTHORITY["EPSG","2782"]]</t>
  </si>
  <si>
    <t xml:space="preserve">+proj=tmerc +lat_0=18.83333333333333 +lon_0=-155.5 +k=0.999966667 +x_0=500000 +y_0=0 +ellps=GRS80 +towgs84=0,0,0,0,0,0,0 +units=m +no_defs </t>
  </si>
  <si>
    <t>PROJCS["NAD83(HARN) / Hawaii zone 2",GEOGCS["NAD83(HARN)",DATUM["NAD83_High_Accuracy_Reference_Network",SPHEROID["GRS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20.33333333333333],PARAMETER["central_meridian",-156.6666666666667],PARAMETER["scale_factor",0.999966667],PARAMETER["false_easting",500000],PARAMETER["false_northing",0],UNIT["metre",1,AUTHORITY["EPSG","9001"]],AXIS["X",EAST],AXIS["Y",NORTH],AUTHORITY["EPSG","2783"]]</t>
  </si>
  <si>
    <t xml:space="preserve">+proj=tmerc +lat_0=20.33333333333333 +lon_0=-156.6666666666667 +k=0.999966667 +x_0=500000 +y_0=0 +ellps=GRS80 +towgs84=0,0,0,0,0,0,0 +units=m +no_defs </t>
  </si>
  <si>
    <t>PROJCS["NAD83(HARN) / Hawaii zone 3",GEOGCS["NAD83(HARN)",DATUM["NAD83_High_Accuracy_Reference_Network",SPHEROID["GRS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21.16666666666667],PARAMETER["central_meridian",-158],PARAMETER["scale_factor",0.99999],PARAMETER["false_easting",500000],PARAMETER["false_northing",0],UNIT["metre",1,AUTHORITY["EPSG","9001"]],AXIS["X",EAST],AXIS["Y",NORTH],AUTHORITY["EPSG","2784"]]</t>
  </si>
  <si>
    <t xml:space="preserve">+proj=tmerc +lat_0=21.16666666666667 +lon_0=-158 +k=0.99999 +x_0=500000 +y_0=0 +ellps=GRS80 +towgs84=0,0,0,0,0,0,0 +units=m +no_defs </t>
  </si>
  <si>
    <t>PROJCS["NAD83(HARN) / Hawaii zone 4",GEOGCS["NAD83(HARN)",DATUM["NAD83_High_Accuracy_Reference_Network",SPHEROID["GRS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21.83333333333333],PARAMETER["central_meridian",-159.5],PARAMETER["scale_factor",0.99999],PARAMETER["false_easting",500000],PARAMETER["false_northing",0],UNIT["metre",1,AUTHORITY["EPSG","9001"]],AXIS["X",EAST],AXIS["Y",NORTH],AUTHORITY["EPSG","2785"]]</t>
  </si>
  <si>
    <t xml:space="preserve">+proj=tmerc +lat_0=21.83333333333333 +lon_0=-159.5 +k=0.99999 +x_0=500000 +y_0=0 +ellps=GRS80 +towgs84=0,0,0,0,0,0,0 +units=m +no_defs </t>
  </si>
  <si>
    <t>PROJCS["NAD83(HARN) / Hawaii zone 5",GEOGCS["NAD83(HARN)",DATUM["NAD83_High_Accuracy_Reference_Network",SPHEROID["GRS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21.66666666666667],PARAMETER["central_meridian",-160.1666666666667],PARAMETER["scale_factor",1],PARAMETER["false_easting",500000],PARAMETER["false_northing",0],UNIT["metre",1,AUTHORITY["EPSG","9001"]],AXIS["X",EAST],AXIS["Y",NORTH],AUTHORITY["EPSG","2786"]]</t>
  </si>
  <si>
    <t xml:space="preserve">+proj=tmerc +lat_0=21.66666666666667 +lon_0=-160.1666666666667 +k=1 +x_0=500000 +y_0=0 +ellps=GRS80 +towgs84=0,0,0,0,0,0,0 +units=m +no_defs </t>
  </si>
  <si>
    <t>PROJCS["NAD83(HARN) / Idaho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-112.1666666666667],PARAMETER["scale_factor",0.999947368],PARAMETER["false_easting",200000],PARAMETER["false_northing",0],UNIT["metre",1,AUTHORITY["EPSG","9001"]],AXIS["X",EAST],AXIS["Y",NORTH],AUTHORITY["EPSG","2787"]]</t>
  </si>
  <si>
    <t xml:space="preserve">+proj=tmerc +lat_0=41.66666666666666 +lon_0=-112.1666666666667 +k=0.9999473679999999 +x_0=200000 +y_0=0 +ellps=GRS80 +towgs84=0,0,0,0,0,0,0 +units=m +no_defs </t>
  </si>
  <si>
    <t>PROJCS["NAD83(HARN) / Idaho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-114],PARAMETER["scale_factor",0.999947368],PARAMETER["false_easting",500000],PARAMETER["false_northing",0],UNIT["metre",1,AUTHORITY["EPSG","9001"]],AXIS["X",EAST],AXIS["Y",NORTH],AUTHORITY["EPSG","2788"]]</t>
  </si>
  <si>
    <t xml:space="preserve">+proj=tmerc +lat_0=41.66666666666666 +lon_0=-114 +k=0.9999473679999999 +x_0=500000 +y_0=0 +ellps=GRS80 +towgs84=0,0,0,0,0,0,0 +units=m +no_defs </t>
  </si>
  <si>
    <t>PROJCS["NAD83(HARN) / Idaho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-115.75],PARAMETER["scale_factor",0.999933333],PARAMETER["false_easting",800000],PARAMETER["false_northing",0],UNIT["metre",1,AUTHORITY["EPSG","9001"]],AXIS["X",EAST],AXIS["Y",NORTH],AUTHORITY["EPSG","2789"]]</t>
  </si>
  <si>
    <t xml:space="preserve">+proj=tmerc +lat_0=41.66666666666666 +lon_0=-115.75 +k=0.999933333 +x_0=800000 +y_0=0 +ellps=GRS80 +towgs84=0,0,0,0,0,0,0 +units=m +no_defs </t>
  </si>
  <si>
    <t>PROJCS["NAD83(HARN) / Illinois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36.66666666666666],PARAMETER["central_meridian",-88.33333333333333],PARAMETER["scale_factor",0.999975],PARAMETER["false_easting",300000],PARAMETER["false_northing",0],UNIT["metre",1,AUTHORITY["EPSG","9001"]],AXIS["X",EAST],AXIS["Y",NORTH],AUTHORITY["EPSG","2790"]]</t>
  </si>
  <si>
    <t xml:space="preserve">+proj=tmerc +lat_0=36.66666666666666 +lon_0=-88.33333333333333 +k=0.9999749999999999 +x_0=300000 +y_0=0 +ellps=GRS80 +towgs84=0,0,0,0,0,0,0 +units=m +no_defs </t>
  </si>
  <si>
    <t>PROJCS["NAD83(HARN) / Illinois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36.66666666666666],PARAMETER["central_meridian",-90.16666666666667],PARAMETER["scale_factor",0.999941177],PARAMETER["false_easting",700000],PARAMETER["false_northing",0],UNIT["metre",1,AUTHORITY["EPSG","9001"]],AXIS["X",EAST],AXIS["Y",NORTH],AUTHORITY["EPSG","2791"]]</t>
  </si>
  <si>
    <t xml:space="preserve">+proj=tmerc +lat_0=36.66666666666666 +lon_0=-90.16666666666667 +k=0.999941177 +x_0=700000 +y_0=0 +ellps=GRS80 +towgs84=0,0,0,0,0,0,0 +units=m +no_defs </t>
  </si>
  <si>
    <t>PROJCS["NAD83(HARN) / Indiana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-85.66666666666667],PARAMETER["scale_factor",0.999966667],PARAMETER["false_easting",100000],PARAMETER["false_northing",250000],UNIT["metre",1,AUTHORITY["EPSG","9001"]],AXIS["X",EAST],AXIS["Y",NORTH],AUTHORITY["EPSG","2792"]]</t>
  </si>
  <si>
    <t xml:space="preserve">+proj=tmerc +lat_0=37.5 +lon_0=-85.66666666666667 +k=0.999966667 +x_0=100000 +y_0=250000 +ellps=GRS80 +towgs84=0,0,0,0,0,0,0 +units=m +no_defs </t>
  </si>
  <si>
    <t>PROJCS["NAD83(HARN) / Indiana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-87.08333333333333],PARAMETER["scale_factor",0.999966667],PARAMETER["false_easting",900000],PARAMETER["false_northing",250000],UNIT["metre",1,AUTHORITY["EPSG","9001"]],AXIS["X",EAST],AXIS["Y",NORTH],AUTHORITY["EPSG","2793"]]</t>
  </si>
  <si>
    <t xml:space="preserve">+proj=tmerc +lat_0=37.5 +lon_0=-87.08333333333333 +k=0.999966667 +x_0=900000 +y_0=250000 +ellps=GRS80 +towgs84=0,0,0,0,0,0,0 +units=m +no_defs </t>
  </si>
  <si>
    <t>PROJCS["NAD83(HARN) / Iowa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43.26666666666667],PARAMETER["standard_parallel_2",42.06666666666667],PARAMETER["latitude_of_origin",41.5],PARAMETER["central_meridian",-93.5],PARAMETER["false_easting",1500000],PARAMETER["false_northing",1000000],UNIT["metre",1,AUTHORITY["EPSG","9001"]],AXIS["X",EAST],AXIS["Y",NORTH],AUTHORITY["EPSG","2794"]]</t>
  </si>
  <si>
    <t xml:space="preserve">+proj=lcc +lat_1=43.26666666666667 +lat_2=42.06666666666667 +lat_0=41.5 +lon_0=-93.5 +x_0=1500000 +y_0=1000000 +ellps=GRS80 +towgs84=0,0,0,0,0,0,0 +units=m +no_defs </t>
  </si>
  <si>
    <t>PROJCS["NAD83(HARN) / Iowa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40.61666666666667],PARAMETER["latitude_of_origin",40],PARAMETER["central_meridian",-93.5],PARAMETER["false_easting",500000],PARAMETER["false_northing",0],UNIT["metre",1,AUTHORITY["EPSG","9001"]],AXIS["X",EAST],AXIS["Y",NORTH],AUTHORITY["EPSG","2795"]]</t>
  </si>
  <si>
    <t xml:space="preserve">+proj=lcc +lat_1=41.78333333333333 +lat_2=40.61666666666667 +lat_0=40 +lon_0=-93.5 +x_0=500000 +y_0=0 +ellps=GRS80 +towgs84=0,0,0,0,0,0,0 +units=m +no_defs </t>
  </si>
  <si>
    <t>PROJCS["NAD83(HARN) / Kansas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39.78333333333333],PARAMETER["standard_parallel_2",38.71666666666667],PARAMETER["latitude_of_origin",38.33333333333334],PARAMETER["central_meridian",-98],PARAMETER["false_easting",400000],PARAMETER["false_northing",0],UNIT["metre",1,AUTHORITY["EPSG","9001"]],AXIS["X",EAST],AXIS["Y",NORTH],AUTHORITY["EPSG","2796"]]</t>
  </si>
  <si>
    <t xml:space="preserve">+proj=lcc +lat_1=39.78333333333333 +lat_2=38.71666666666667 +lat_0=38.33333333333334 +lon_0=-98 +x_0=400000 +y_0=0 +ellps=GRS80 +towgs84=0,0,0,0,0,0,0 +units=m +no_defs </t>
  </si>
  <si>
    <t>PROJCS["NAD83(HARN) / Kansas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38.56666666666667],PARAMETER["standard_parallel_2",37.26666666666667],PARAMETER["latitude_of_origin",36.66666666666666],PARAMETER["central_meridian",-98.5],PARAMETER["false_easting",400000],PARAMETER["false_northing",400000],UNIT["metre",1,AUTHORITY["EPSG","9001"]],AXIS["X",EAST],AXIS["Y",NORTH],AUTHORITY["EPSG","2797"]]</t>
  </si>
  <si>
    <t xml:space="preserve">+proj=lcc +lat_1=38.56666666666667 +lat_2=37.26666666666667 +lat_0=36.66666666666666 +lon_0=-98.5 +x_0=400000 +y_0=400000 +ellps=GRS80 +towgs84=0,0,0,0,0,0,0 +units=m +no_defs </t>
  </si>
  <si>
    <t>PROJCS["NAD83(HARN) / Kentucky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37.96666666666667],PARAMETER["standard_parallel_2",38.96666666666667],PARAMETER["latitude_of_origin",37.5],PARAMETER["central_meridian",-84.25],PARAMETER["false_easting",500000],PARAMETER["false_northing",0],UNIT["metre",1,AUTHORITY["EPSG","9001"]],AXIS["X",EAST],AXIS["Y",NORTH],AUTHORITY["EPSG","2798"]]</t>
  </si>
  <si>
    <t xml:space="preserve">+proj=lcc +lat_1=37.96666666666667 +lat_2=38.96666666666667 +lat_0=37.5 +lon_0=-84.25 +x_0=500000 +y_0=0 +ellps=GRS80 +towgs84=0,0,0,0,0,0,0 +units=m +no_defs </t>
  </si>
  <si>
    <t>PROJCS["NAD83(HARN) / Kentucky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37.93333333333333],PARAMETER["standard_parallel_2",36.73333333333333],PARAMETER["latitude_of_origin",36.33333333333334],PARAMETER["central_meridian",-85.75],PARAMETER["false_easting",500000],PARAMETER["false_northing",500000],UNIT["metre",1,AUTHORITY["EPSG","9001"]],AXIS["X",EAST],AXIS["Y",NORTH],AUTHORITY["EPSG","2799"]]</t>
  </si>
  <si>
    <t xml:space="preserve">+proj=lcc +lat_1=37.93333333333333 +lat_2=36.73333333333333 +lat_0=36.33333333333334 +lon_0=-85.75 +x_0=500000 +y_0=500000 +ellps=GRS80 +towgs84=0,0,0,0,0,0,0 +units=m +no_defs </t>
  </si>
  <si>
    <t>GEOCCS["Moznet (geocentric)",DATUM["Moznet_ITRF94",SPHEROID["WGS 84",6378137,298.257223563,AUTHORITY["EPSG","7030"]],AUTHORITY["EPSG","6130"]],PRIMEM["Greenwich",0,AUTHORITY["EPSG","8901"]],UNIT["metre",1,AUTHORITY["EPSG","9001"]],AXIS["Geocentric X",OTHER],AXIS["Geocentric Y",OTHER],AXIS["Geocentric Z",NORTH],AUTHORITY["EPSG","4358"]]</t>
  </si>
  <si>
    <t>PROJCS["NAD83(HARN) / Louisiana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32.66666666666666],PARAMETER["standard_parallel_2",31.16666666666667],PARAMETER["latitude_of_origin",30.5],PARAMETER["central_meridian",-92.5],PARAMETER["false_easting",1000000],PARAMETER["false_northing",0],UNIT["metre",1,AUTHORITY["EPSG","9001"]],AXIS["X",EAST],AXIS["Y",NORTH],AUTHORITY["EPSG","2800"]]</t>
  </si>
  <si>
    <t xml:space="preserve">+proj=lcc +lat_1=32.66666666666666 +lat_2=31.16666666666667 +lat_0=30.5 +lon_0=-92.5 +x_0=1000000 +y_0=0 +ellps=GRS80 +towgs84=0,0,0,0,0,0,0 +units=m +no_defs </t>
  </si>
  <si>
    <t>PROJCS["NAD83(HARN) / Louisiana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30.7],PARAMETER["standard_parallel_2",29.3],PARAMETER["latitude_of_origin",28.5],PARAMETER["central_meridian",-91.33333333333333],PARAMETER["false_easting",1000000],PARAMETER["false_northing",0],UNIT["metre",1,AUTHORITY["EPSG","9001"]],AXIS["X",EAST],AXIS["Y",NORTH],AUTHORITY["EPSG","2801"]]</t>
  </si>
  <si>
    <t xml:space="preserve">+proj=lcc +lat_1=30.7 +lat_2=29.3 +lat_0=28.5 +lon_0=-91.33333333333333 +x_0=1000000 +y_0=0 +ellps=GRS80 +towgs84=0,0,0,0,0,0,0 +units=m +no_defs </t>
  </si>
  <si>
    <t>PROJCS["NAD83(HARN) / Maine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2802"]]</t>
  </si>
  <si>
    <t xml:space="preserve">+proj=tmerc +lat_0=43.66666666666666 +lon_0=-68.5 +k=0.9999 +x_0=300000 +y_0=0 +ellps=GRS80 +towgs84=0,0,0,0,0,0,0 +units=m +no_defs </t>
  </si>
  <si>
    <t>PROJCS["NAD83(HARN) / Maine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2803"]]</t>
  </si>
  <si>
    <t xml:space="preserve">+proj=tmerc +lat_0=42.83333333333334 +lon_0=-70.16666666666667 +k=0.999966667 +x_0=900000 +y_0=0 +ellps=GRS80 +towgs84=0,0,0,0,0,0,0 +units=m +no_defs </t>
  </si>
  <si>
    <t>PROJCS["NAD83(HARN) / Maryland",GEOGCS["NAD83(HARN)",DATUM["NAD83_High_Accuracy_Reference_Network",SPHEROID["GRS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39.45],PARAMETER["standard_parallel_2",38.3],PARAMETER["latitude_of_origin",37.66666666666666],PARAMETER["central_meridian",-77],PARAMETER["false_easting",400000],PARAMETER["false_northing",0],UNIT["metre",1,AUTHORITY["EPSG","9001"]],AXIS["X",EAST],AXIS["Y",NORTH],AUTHORITY["EPSG","2804"]]</t>
  </si>
  <si>
    <t xml:space="preserve">+proj=lcc +lat_1=39.45 +lat_2=38.3 +lat_0=37.66666666666666 +lon_0=-77 +x_0=400000 +y_0=0 +ellps=GRS80 +towgs84=0,0,0,0,0,0,0 +units=m +no_defs </t>
  </si>
  <si>
    <t>PROJCS["NAD83(HARN) / Massachusetts Mainland",GEOGCS["NAD83(HARN)",DATUM["NAD83_High_Accuracy_Reference_Network",SPHEROID["GRS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42.68333333333333],PARAMETER["standard_parallel_2",41.71666666666667],PARAMETER["latitude_of_origin",41],PARAMETER["central_meridian",-71.5],PARAMETER["false_easting",200000],PARAMETER["false_northing",750000],UNIT["metre",1,AUTHORITY["EPSG","9001"]],AXIS["X",EAST],AXIS["Y",NORTH],AUTHORITY["EPSG","2805"]]</t>
  </si>
  <si>
    <t xml:space="preserve">+proj=lcc +lat_1=42.68333333333333 +lat_2=41.71666666666667 +lat_0=41 +lon_0=-71.5 +x_0=200000 +y_0=750000 +ellps=GRS80 +towgs84=0,0,0,0,0,0,0 +units=m +no_defs </t>
  </si>
  <si>
    <t>PROJCS["NAD83(HARN) / Massachusetts Island",GEOGCS["NAD83(HARN)",DATUM["NAD83_High_Accuracy_Reference_Network",SPHEROID["GRS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41.48333333333333],PARAMETER["standard_parallel_2",41.28333333333333],PARAMETER["latitude_of_origin",41],PARAMETER["central_meridian",-70.5],PARAMETER["false_easting",500000],PARAMETER["false_northing",0],UNIT["metre",1,AUTHORITY["EPSG","9001"]],AXIS["X",EAST],AXIS["Y",NORTH],AUTHORITY["EPSG","2806"]]</t>
  </si>
  <si>
    <t xml:space="preserve">+proj=lcc +lat_1=41.48333333333333 +lat_2=41.28333333333333 +lat_0=41 +lon_0=-70.5 +x_0=500000 +y_0=0 +ellps=GRS80 +towgs84=0,0,0,0,0,0,0 +units=m +no_defs </t>
  </si>
  <si>
    <t>PROJCS["NAD83(HARN) / Michigan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47.08333333333334],PARAMETER["standard_parallel_2",45.48333333333333],PARAMETER["latitude_of_origin",44.78333333333333],PARAMETER["central_meridian",-87],PARAMETER["false_easting",8000000],PARAMETER["false_northing",0],UNIT["metre",1,AUTHORITY["EPSG","9001"]],AXIS["X",EAST],AXIS["Y",NORTH],AUTHORITY["EPSG","2807"]]</t>
  </si>
  <si>
    <t xml:space="preserve">+proj=lcc +lat_1=47.08333333333334 +lat_2=45.48333333333333 +lat_0=44.78333333333333 +lon_0=-87 +x_0=8000000 +y_0=0 +ellps=GRS80 +towgs84=0,0,0,0,0,0,0 +units=m +no_defs </t>
  </si>
  <si>
    <t>PROJCS["ETRS89 / TM38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45],PARAMETER["scale_factor",0.9996],PARAMETER["false_easting",500000],PARAMETER["false_northing",0],UNIT["metre",1,AUTHORITY["EPSG","9001"]],AUTHORITY["EPSG","3050"]]</t>
  </si>
  <si>
    <t xml:space="preserve">+proj=utm +zone=38 +ellps=GRS80 +towgs84=0,0,0,0,0,0,0 +units=m +no_defs </t>
  </si>
  <si>
    <t>PROJCS["NAD83(HARN) / Michigan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45.7],PARAMETER["standard_parallel_2",44.18333333333333],PARAMETER["latitude_of_origin",43.31666666666667],PARAMETER["central_meridian",-84.36666666666666],PARAMETER["false_easting",6000000],PARAMETER["false_northing",0],UNIT["metre",1,AUTHORITY["EPSG","9001"]],AXIS["X",EAST],AXIS["Y",NORTH],AUTHORITY["EPSG","2808"]]</t>
  </si>
  <si>
    <t xml:space="preserve">+proj=lcc +lat_1=45.7 +lat_2=44.18333333333333 +lat_0=43.31666666666667 +lon_0=-84.36666666666666 +x_0=6000000 +y_0=0 +ellps=GRS80 +towgs84=0,0,0,0,0,0,0 +units=m +no_defs </t>
  </si>
  <si>
    <t>PROJCS["NAD83(HARN) / Michigan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43.66666666666666],PARAMETER["standard_parallel_2",42.1],PARAMETER["latitude_of_origin",41.5],PARAMETER["central_meridian",-84.36666666666666],PARAMETER["false_easting",4000000],PARAMETER["false_northing",0],UNIT["metre",1,AUTHORITY["EPSG","9001"]],AXIS["X",EAST],AXIS["Y",NORTH],AUTHORITY["EPSG","2809"]]</t>
  </si>
  <si>
    <t xml:space="preserve">+proj=lcc +lat_1=43.66666666666666 +lat_2=42.1 +lat_0=41.5 +lon_0=-84.36666666666666 +x_0=4000000 +y_0=0 +ellps=GRS80 +towgs84=0,0,0,0,0,0,0 +units=m +no_defs </t>
  </si>
  <si>
    <t>PROJCS["NAD83(HARN) / Minnesota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48.63333333333333],PARAMETER["standard_parallel_2",47.03333333333333],PARAMETER["latitude_of_origin",46.5],PARAMETER["central_meridian",-93.1],PARAMETER["false_easting",800000],PARAMETER["false_northing",100000],UNIT["metre",1,AUTHORITY["EPSG","9001"]],AXIS["X",EAST],AXIS["Y",NORTH],AUTHORITY["EPSG","2810"]]</t>
  </si>
  <si>
    <t xml:space="preserve">+proj=lcc +lat_1=48.63333333333333 +lat_2=47.03333333333333 +lat_0=46.5 +lon_0=-93.09999999999999 +x_0=800000 +y_0=100000 +ellps=GRS80 +towgs84=0,0,0,0,0,0,0 +units=m +no_defs </t>
  </si>
  <si>
    <t>PROJCS["NAD83(HARN) / Minnesota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47.05],PARAMETER["standard_parallel_2",45.61666666666667],PARAMETER["latitude_of_origin",45],PARAMETER["central_meridian",-94.25],PARAMETER["false_easting",800000],PARAMETER["false_northing",100000],UNIT["metre",1,AUTHORITY["EPSG","9001"]],AXIS["X",EAST],AXIS["Y",NORTH],AUTHORITY["EPSG","2811"]]</t>
  </si>
  <si>
    <t xml:space="preserve">+proj=lcc +lat_1=47.05 +lat_2=45.61666666666667 +lat_0=45 +lon_0=-94.25 +x_0=800000 +y_0=100000 +ellps=GRS80 +towgs84=0,0,0,0,0,0,0 +units=m +no_defs </t>
  </si>
  <si>
    <t>PROJCS["NAD83(HARN) / Minnesota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45.21666666666667],PARAMETER["standard_parallel_2",43.78333333333333],PARAMETER["latitude_of_origin",43],PARAMETER["central_meridian",-94],PARAMETER["false_easting",800000],PARAMETER["false_northing",100000],UNIT["metre",1,AUTHORITY["EPSG","9001"]],AXIS["X",EAST],AXIS["Y",NORTH],AUTHORITY["EPSG","2812"]]</t>
  </si>
  <si>
    <t xml:space="preserve">+proj=lcc +lat_1=45.21666666666667 +lat_2=43.78333333333333 +lat_0=43 +lon_0=-94 +x_0=800000 +y_0=100000 +ellps=GRS80 +towgs84=0,0,0,0,0,0,0 +units=m +no_defs </t>
  </si>
  <si>
    <t>PROJCS["NAD83(HARN) / Mississippi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29.5],PARAMETER["central_meridian",-88.83333333333333],PARAMETER["scale_factor",0.99995],PARAMETER["false_easting",300000],PARAMETER["false_northing",0],UNIT["metre",1,AUTHORITY["EPSG","9001"]],AXIS["X",EAST],AXIS["Y",NORTH],AUTHORITY["EPSG","2813"]]</t>
  </si>
  <si>
    <t xml:space="preserve">+proj=tmerc +lat_0=29.5 +lon_0=-88.83333333333333 +k=0.99995 +x_0=300000 +y_0=0 +ellps=GRS80 +towgs84=0,0,0,0,0,0,0 +units=m +no_defs </t>
  </si>
  <si>
    <t>PROJCS["NAD83(HARN) / Mississippi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29.5],PARAMETER["central_meridian",-90.33333333333333],PARAMETER["scale_factor",0.99995],PARAMETER["false_easting",700000],PARAMETER["false_northing",0],UNIT["metre",1,AUTHORITY["EPSG","9001"]],AXIS["X",EAST],AXIS["Y",NORTH],AUTHORITY["EPSG","2814"]]</t>
  </si>
  <si>
    <t xml:space="preserve">+proj=tmerc +lat_0=29.5 +lon_0=-90.33333333333333 +k=0.99995 +x_0=700000 +y_0=0 +ellps=GRS80 +towgs84=0,0,0,0,0,0,0 +units=m +no_defs </t>
  </si>
  <si>
    <t>PROJCS["NAD83(HARN) / Missouri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35.83333333333334],PARAMETER["central_meridian",-90.5],PARAMETER["scale_factor",0.999933333],PARAMETER["false_easting",250000],PARAMETER["false_northing",0],UNIT["metre",1,AUTHORITY["EPSG","9001"]],AXIS["X",EAST],AXIS["Y",NORTH],AUTHORITY["EPSG","2815"]]</t>
  </si>
  <si>
    <t xml:space="preserve">+proj=tmerc +lat_0=35.83333333333334 +lon_0=-90.5 +k=0.999933333 +x_0=250000 +y_0=0 +ellps=GRS80 +towgs84=0,0,0,0,0,0,0 +units=m +no_defs </t>
  </si>
  <si>
    <t>PROJCS["NAD83(CSRS) / UTM zone 19N",GEOGCS["NAD83(CSRS)",DATUM["NAD83_Canadian_Spatial_Reference_System",SPHEROID["GRS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2960"]]</t>
  </si>
  <si>
    <t>PROJCS["NAD83(HARN) / Missouri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35.83333333333334],PARAMETER["central_meridian",-92.5],PARAMETER["scale_factor",0.999933333],PARAMETER["false_easting",500000],PARAMETER["false_northing",0],UNIT["metre",1,AUTHORITY["EPSG","9001"]],AXIS["X",EAST],AXIS["Y",NORTH],AUTHORITY["EPSG","2816"]]</t>
  </si>
  <si>
    <t xml:space="preserve">+proj=tmerc +lat_0=35.83333333333334 +lon_0=-92.5 +k=0.999933333 +x_0=500000 +y_0=0 +ellps=GRS80 +towgs84=0,0,0,0,0,0,0 +units=m +no_defs </t>
  </si>
  <si>
    <t>PROJCS["NAD83(HARN) / Missouri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36.16666666666666],PARAMETER["central_meridian",-94.5],PARAMETER["scale_factor",0.999941177],PARAMETER["false_easting",850000],PARAMETER["false_northing",0],UNIT["metre",1,AUTHORITY["EPSG","9001"]],AXIS["X",EAST],AXIS["Y",NORTH],AUTHORITY["EPSG","2817"]]</t>
  </si>
  <si>
    <t xml:space="preserve">+proj=tmerc +lat_0=36.16666666666666 +lon_0=-94.5 +k=0.999941177 +x_0=850000 +y_0=0 +ellps=GRS80 +towgs84=0,0,0,0,0,0,0 +units=m +no_defs </t>
  </si>
  <si>
    <t>PROJCS["NAD83(HARN) / Montana",GEOGCS["NAD83(HARN)",DATUM["NAD83_High_Accuracy_Reference_Network",SPHEROID["GRS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49],PARAMETER["standard_parallel_2",45],PARAMETER["latitude_of_origin",44.25],PARAMETER["central_meridian",-109.5],PARAMETER["false_easting",600000],PARAMETER["false_northing",0],UNIT["metre",1,AUTHORITY["EPSG","9001"]],AXIS["X",EAST],AXIS["Y",NORTH],AUTHORITY["EPSG","2818"]]</t>
  </si>
  <si>
    <t xml:space="preserve">+proj=lcc +lat_1=49 +lat_2=45 +lat_0=44.25 +lon_0=-109.5 +x_0=600000 +y_0=0 +ellps=GRS80 +towgs84=0,0,0,0,0,0,0 +units=m +no_defs </t>
  </si>
  <si>
    <t>PROJCS["NAD83(HARN) / Nebraska",GEOGCS["NAD83(HARN)",DATUM["NAD83_High_Accuracy_Reference_Network",SPHEROID["GRS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40],PARAMETER["latitude_of_origin",39.83333333333334],PARAMETER["central_meridian",-100],PARAMETER["false_easting",500000],PARAMETER["false_northing",0],UNIT["metre",1,AUTHORITY["EPSG","9001"]],AXIS["X",EAST],AXIS["Y",NORTH],AUTHORITY["EPSG","2819"]]</t>
  </si>
  <si>
    <t xml:space="preserve">+proj=lcc +lat_1=43 +lat_2=40 +lat_0=39.83333333333334 +lon_0=-100 +x_0=500000 +y_0=0 +ellps=GRS80 +towgs84=0,0,0,0,0,0,0 +units=m +no_defs </t>
  </si>
  <si>
    <t>PROJCS["NAD83(HARN) / Nevada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-115.5833333333333],PARAMETER["scale_factor",0.9999],PARAMETER["false_easting",200000],PARAMETER["false_northing",8000000],UNIT["metre",1,AUTHORITY["EPSG","9001"]],AXIS["X",EAST],AXIS["Y",NORTH],AUTHORITY["EPSG","2820"]]</t>
  </si>
  <si>
    <t xml:space="preserve">+proj=tmerc +lat_0=34.75 +lon_0=-115.5833333333333 +k=0.9999 +x_0=200000 +y_0=8000000 +ellps=GRS80 +towgs84=0,0,0,0,0,0,0 +units=m +no_defs </t>
  </si>
  <si>
    <t>PROJCS["NAD83(HARN) / Nevada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-116.6666666666667],PARAMETER["scale_factor",0.9999],PARAMETER["false_easting",500000],PARAMETER["false_northing",6000000],UNIT["metre",1,AUTHORITY["EPSG","9001"]],AXIS["X",EAST],AXIS["Y",NORTH],AUTHORITY["EPSG","2821"]]</t>
  </si>
  <si>
    <t xml:space="preserve">+proj=tmerc +lat_0=34.75 +lon_0=-116.6666666666667 +k=0.9999 +x_0=500000 +y_0=6000000 +ellps=GRS80 +towgs84=0,0,0,0,0,0,0 +units=m +no_defs </t>
  </si>
  <si>
    <t>PROJCS["NAD83(HARN) / Nevada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-118.5833333333333],PARAMETER["scale_factor",0.9999],PARAMETER["false_easting",800000],PARAMETER["false_northing",4000000],UNIT["metre",1,AUTHORITY["EPSG","9001"]],AXIS["X",EAST],AXIS["Y",NORTH],AUTHORITY["EPSG","2822"]]</t>
  </si>
  <si>
    <t xml:space="preserve">+proj=tmerc +lat_0=34.75 +lon_0=-118.5833333333333 +k=0.9999 +x_0=800000 +y_0=4000000 +ellps=GRS80 +towgs84=0,0,0,0,0,0,0 +units=m +no_defs </t>
  </si>
  <si>
    <t>PROJCS["NAD83(HARN) / New Hampshire",GEOGCS["NAD83(HARN)",DATUM["NAD83_High_Accuracy_Reference_Network",SPHEROID["GRS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42.5],PARAMETER["central_meridian",-71.66666666666667],PARAMETER["scale_factor",0.999966667],PARAMETER["false_easting",300000],PARAMETER["false_northing",0],UNIT["metre",1,AUTHORITY["EPSG","9001"]],AXIS["X",EAST],AXIS["Y",NORTH],AUTHORITY["EPSG","2823"]]</t>
  </si>
  <si>
    <t xml:space="preserve">+proj=tmerc +lat_0=42.5 +lon_0=-71.66666666666667 +k=0.999966667 +x_0=300000 +y_0=0 +ellps=GRS80 +towgs84=0,0,0,0,0,0,0 +units=m +no_defs </t>
  </si>
  <si>
    <t>PROJCS["NAD83(HARN) / New Jersey",GEOGCS["NAD83(HARN)",DATUM["NAD83_High_Accuracy_Reference_Network",SPHEROID["GRS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2824"]]</t>
  </si>
  <si>
    <t xml:space="preserve">+proj=tmerc +lat_0=38.83333333333334 +lon_0=-74.5 +k=0.9999 +x_0=150000 +y_0=0 +ellps=GRS80 +towgs84=0,0,0,0,0,0,0 +units=m +no_defs </t>
  </si>
  <si>
    <t>PROJCS["NAD83(HARN) / New Mexico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-104.3333333333333],PARAMETER["scale_factor",0.999909091],PARAMETER["false_easting",165000],PARAMETER["false_northing",0],UNIT["metre",1,AUTHORITY["EPSG","9001"]],AXIS["X",EAST],AXIS["Y",NORTH],AUTHORITY["EPSG","2825"]]</t>
  </si>
  <si>
    <t xml:space="preserve">+proj=tmerc +lat_0=31 +lon_0=-104.3333333333333 +k=0.999909091 +x_0=165000 +y_0=0 +ellps=GRS80 +towgs84=0,0,0,0,0,0,0 +units=m +no_defs </t>
  </si>
  <si>
    <t>PROJCS["NAD83(HARN) / New Mexico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-106.25],PARAMETER["scale_factor",0.9999],PARAMETER["false_easting",500000],PARAMETER["false_northing",0],UNIT["metre",1,AUTHORITY["EPSG","9001"]],AXIS["X",EAST],AXIS["Y",NORTH],AUTHORITY["EPSG","2826"]]</t>
  </si>
  <si>
    <t xml:space="preserve">+proj=tmerc +lat_0=31 +lon_0=-106.25 +k=0.9999 +x_0=500000 +y_0=0 +ellps=GRS80 +towgs84=0,0,0,0,0,0,0 +units=m +no_defs </t>
  </si>
  <si>
    <t>PROJCS["NAD83(HARN) / New Mexico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-107.8333333333333],PARAMETER["scale_factor",0.999916667],PARAMETER["false_easting",830000],PARAMETER["false_northing",0],UNIT["metre",1,AUTHORITY["EPSG","9001"]],AXIS["X",EAST],AXIS["Y",NORTH],AUTHORITY["EPSG","2827"]]</t>
  </si>
  <si>
    <t xml:space="preserve">+proj=tmerc +lat_0=31 +lon_0=-107.8333333333333 +k=0.999916667 +x_0=830000 +y_0=0 +ellps=GRS80 +towgs84=0,0,0,0,0,0,0 +units=m +no_defs </t>
  </si>
  <si>
    <t>PROJCS["NAD83(HARN) / New York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2828"]]</t>
  </si>
  <si>
    <t>PROJCS["NAD83(HARN) / New York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40],PARAMETER["central_meridian",-76.58333333333333],PARAMETER["scale_factor",0.9999375],PARAMETER["false_easting",250000],PARAMETER["false_northing",0],UNIT["metre",1,AUTHORITY["EPSG","9001"]],AXIS["X",EAST],AXIS["Y",NORTH],AUTHORITY["EPSG","2829"]]</t>
  </si>
  <si>
    <t xml:space="preserve">+proj=tmerc +lat_0=40 +lon_0=-76.58333333333333 +k=0.9999375 +x_0=250000 +y_0=0 +ellps=GRS80 +towgs84=0,0,0,0,0,0,0 +units=m +no_defs </t>
  </si>
  <si>
    <t>PROJCS["NAD83(HARN) / New York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40],PARAMETER["central_meridian",-78.58333333333333],PARAMETER["scale_factor",0.9999375],PARAMETER["false_easting",350000],PARAMETER["false_northing",0],UNIT["metre",1,AUTHORITY["EPSG","9001"]],AXIS["X",EAST],AXIS["Y",NORTH],AUTHORITY["EPSG","2830"]]</t>
  </si>
  <si>
    <t xml:space="preserve">+proj=tmerc +lat_0=40 +lon_0=-78.58333333333333 +k=0.9999375 +x_0=350000 +y_0=0 +ellps=GRS80 +towgs84=0,0,0,0,0,0,0 +units=m +no_defs </t>
  </si>
  <si>
    <t>PROJCS["NAD83(HARN) / New York Long Island",GEOGCS["NAD83(HARN)",DATUM["NAD83_High_Accuracy_Reference_Network",SPHEROID["GRS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41.03333333333333],PARAMETER["standard_parallel_2",40.66666666666666],PARAMETER["latitude_of_origin",40.16666666666666],PARAMETER["central_meridian",-74],PARAMETER["false_easting",300000],PARAMETER["false_northing",0],UNIT["metre",1,AUTHORITY["EPSG","9001"]],AXIS["X",EAST],AXIS["Y",NORTH],AUTHORITY["EPSG","2831"]]</t>
  </si>
  <si>
    <t xml:space="preserve">+proj=lcc +lat_1=41.03333333333333 +lat_2=40.66666666666666 +lat_0=40.16666666666666 +lon_0=-74 +x_0=300000 +y_0=0 +ellps=GRS80 +towgs84=0,0,0,0,0,0,0 +units=m +no_defs </t>
  </si>
  <si>
    <t>PROJCS["NAD83(HARN) / North Dakota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48.73333333333333],PARAMETER["standard_parallel_2",47.43333333333333],PARAMETER["latitude_of_origin",47],PARAMETER["central_meridian",-100.5],PARAMETER["false_easting",600000],PARAMETER["false_northing",0],UNIT["metre",1,AUTHORITY["EPSG","9001"]],AXIS["X",EAST],AXIS["Y",NORTH],AUTHORITY["EPSG","2832"]]</t>
  </si>
  <si>
    <t xml:space="preserve">+proj=lcc +lat_1=48.73333333333333 +lat_2=47.43333333333333 +lat_0=47 +lon_0=-100.5 +x_0=600000 +y_0=0 +ellps=GRS80 +towgs84=0,0,0,0,0,0,0 +units=m +no_defs </t>
  </si>
  <si>
    <t>PROJCS["NAD83(HARN) / North Dakota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47.48333333333333],PARAMETER["standard_parallel_2",46.18333333333333],PARAMETER["latitude_of_origin",45.66666666666666],PARAMETER["central_meridian",-100.5],PARAMETER["false_easting",600000],PARAMETER["false_northing",0],UNIT["metre",1,AUTHORITY["EPSG","9001"]],AXIS["X",EAST],AXIS["Y",NORTH],AUTHORITY["EPSG","2833"]]</t>
  </si>
  <si>
    <t xml:space="preserve">+proj=lcc +lat_1=47.48333333333333 +lat_2=46.18333333333333 +lat_0=45.66666666666666 +lon_0=-100.5 +x_0=600000 +y_0=0 +ellps=GRS80 +towgs84=0,0,0,0,0,0,0 +units=m +no_defs </t>
  </si>
  <si>
    <t>PROJCS["NAD83(HARN) / Ohio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41.7],PARAMETER["standard_parallel_2",40.43333333333333],PARAMETER["latitude_of_origin",39.66666666666666],PARAMETER["central_meridian",-82.5],PARAMETER["false_easting",600000],PARAMETER["false_northing",0],UNIT["metre",1,AUTHORITY["EPSG","9001"]],AXIS["X",EAST],AXIS["Y",NORTH],AUTHORITY["EPSG","2834"]]</t>
  </si>
  <si>
    <t xml:space="preserve">+proj=lcc +lat_1=41.7 +lat_2=40.43333333333333 +lat_0=39.66666666666666 +lon_0=-82.5 +x_0=600000 +y_0=0 +ellps=GRS80 +towgs84=0,0,0,0,0,0,0 +units=m +no_defs </t>
  </si>
  <si>
    <t>PROJCS["NAD83(HARN) / Ohio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40.03333333333333],PARAMETER["standard_parallel_2",38.73333333333333],PARAMETER["latitude_of_origin",38],PARAMETER["central_meridian",-82.5],PARAMETER["false_easting",600000],PARAMETER["false_northing",0],UNIT["metre",1,AUTHORITY["EPSG","9001"]],AXIS["X",EAST],AXIS["Y",NORTH],AUTHORITY["EPSG","2835"]]</t>
  </si>
  <si>
    <t xml:space="preserve">+proj=lcc +lat_1=40.03333333333333 +lat_2=38.73333333333333 +lat_0=38 +lon_0=-82.5 +x_0=600000 +y_0=0 +ellps=GRS80 +towgs84=0,0,0,0,0,0,0 +units=m +no_defs </t>
  </si>
  <si>
    <t>PROJCS["NAD83(HARN) / Oklahoma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36.76666666666667],PARAMETER["standard_parallel_2",35.56666666666667],PARAMETER["latitude_of_origin",35],PARAMETER["central_meridian",-98],PARAMETER["false_easting",600000],PARAMETER["false_northing",0],UNIT["metre",1,AUTHORITY["EPSG","9001"]],AXIS["X",EAST],AXIS["Y",NORTH],AUTHORITY["EPSG","2836"]]</t>
  </si>
  <si>
    <t xml:space="preserve">+proj=lcc +lat_1=36.76666666666667 +lat_2=35.56666666666667 +lat_0=35 +lon_0=-98 +x_0=600000 +y_0=0 +ellps=GRS80 +towgs84=0,0,0,0,0,0,0 +units=m +no_defs </t>
  </si>
  <si>
    <t>PROJCS["NAD83(HARN) / Oklahoma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35.23333333333333],PARAMETER["standard_parallel_2",33.93333333333333],PARAMETER["latitude_of_origin",33.33333333333334],PARAMETER["central_meridian",-98],PARAMETER["false_easting",600000],PARAMETER["false_northing",0],UNIT["metre",1,AUTHORITY["EPSG","9001"]],AXIS["X",EAST],AXIS["Y",NORTH],AUTHORITY["EPSG","2837"]]</t>
  </si>
  <si>
    <t xml:space="preserve">+proj=lcc +lat_1=35.23333333333333 +lat_2=33.93333333333333 +lat_0=33.33333333333334 +lon_0=-98 +x_0=600000 +y_0=0 +ellps=GRS80 +towgs84=0,0,0,0,0,0,0 +units=m +no_defs </t>
  </si>
  <si>
    <t>PROJCS["NAD83(HARN) / Oregon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2838"]]</t>
  </si>
  <si>
    <t xml:space="preserve">+proj=lcc +lat_1=46 +lat_2=44.33333333333334 +lat_0=43.66666666666666 +lon_0=-120.5 +x_0=2500000 +y_0=0 +ellps=GRS80 +towgs84=0,0,0,0,0,0,0 +units=m +no_defs </t>
  </si>
  <si>
    <t>PROJCS["NAD83(HARN) / Oregon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2839"]]</t>
  </si>
  <si>
    <t xml:space="preserve">+proj=lcc +lat_1=44 +lat_2=42.33333333333334 +lat_0=41.66666666666666 +lon_0=-120.5 +x_0=1500000 +y_0=0 +ellps=GRS80 +towgs84=0,0,0,0,0,0,0 +units=m +no_defs </t>
  </si>
  <si>
    <t>PROJCS["NAD83(HARN) / Rhode Island",GEOGCS["NAD83(HARN)",DATUM["NAD83_High_Accuracy_Reference_Network",SPHEROID["GRS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41.08333333333334],PARAMETER["central_meridian",-71.5],PARAMETER["scale_factor",0.99999375],PARAMETER["false_easting",100000],PARAMETER["false_northing",0],UNIT["metre",1,AUTHORITY["EPSG","9001"]],AXIS["X",EAST],AXIS["Y",NORTH],AUTHORITY["EPSG","2840"]]</t>
  </si>
  <si>
    <t xml:space="preserve">+proj=tmerc +lat_0=41.08333333333334 +lon_0=-71.5 +k=0.99999375 +x_0=100000 +y_0=0 +ellps=GRS80 +towgs84=0,0,0,0,0,0,0 +units=m +no_defs </t>
  </si>
  <si>
    <t>PROJCS["NAD83(HARN) / South Dakota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45.68333333333333],PARAMETER["standard_parallel_2",44.41666666666666],PARAMETER["latitude_of_origin",43.83333333333334],PARAMETER["central_meridian",-100],PARAMETER["false_easting",600000],PARAMETER["false_northing",0],UNIT["metre",1,AUTHORITY["EPSG","9001"]],AXIS["X",EAST],AXIS["Y",NORTH],AUTHORITY["EPSG","2841"]]</t>
  </si>
  <si>
    <t xml:space="preserve">+proj=lcc +lat_1=45.68333333333333 +lat_2=44.41666666666666 +lat_0=43.83333333333334 +lon_0=-100 +x_0=600000 +y_0=0 +ellps=GRS80 +towgs84=0,0,0,0,0,0,0 +units=m +no_defs </t>
  </si>
  <si>
    <t>GEOCCS["NAD83(CSRS) (geocentric)",DATUM["NAD83_Canadian_Spatial_Reference_System",SPHEROID["GRS 1980",6378137,298.257222101,AUTHORITY["EPSG","7019"]],AUTHORITY["EPSG","6140"]],PRIMEM["Greenwich",0,AUTHORITY["EPSG","8901"]],UNIT["metre",1,AUTHORITY["EPSG","9001"]],AXIS["Geocentric X",OTHER],AXIS["Geocentric Y",OTHER],AXIS["Geocentric Z",NORTH],AUTHORITY["EPSG","4360"]]</t>
  </si>
  <si>
    <t>PROJCS["NAD83(HARN) / South Dakota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44.4],PARAMETER["standard_parallel_2",42.83333333333334],PARAMETER["latitude_of_origin",42.33333333333334],PARAMETER["central_meridian",-100.3333333333333],PARAMETER["false_easting",600000],PARAMETER["false_northing",0],UNIT["metre",1,AUTHORITY["EPSG","9001"]],AXIS["X",EAST],AXIS["Y",NORTH],AUTHORITY["EPSG","2842"]]</t>
  </si>
  <si>
    <t xml:space="preserve">+proj=lcc +lat_1=44.4 +lat_2=42.83333333333334 +lat_0=42.33333333333334 +lon_0=-100.3333333333333 +x_0=600000 +y_0=0 +ellps=GRS80 +towgs84=0,0,0,0,0,0,0 +units=m +no_defs </t>
  </si>
  <si>
    <t>PROJCS["NAD83(HARN) / Tennessee",GEOGCS["NAD83(HARN)",DATUM["NAD83_High_Accuracy_Reference_Network",SPHEROID["GRS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36.41666666666666],PARAMETER["standard_parallel_2",35.25],PARAMETER["latitude_of_origin",34.33333333333334],PARAMETER["central_meridian",-86],PARAMETER["false_easting",600000],PARAMETER["false_northing",0],UNIT["metre",1,AUTHORITY["EPSG","9001"]],AXIS["X",EAST],AXIS["Y",NORTH],AUTHORITY["EPSG","2843"]]</t>
  </si>
  <si>
    <t xml:space="preserve">+proj=lcc +lat_1=36.41666666666666 +lat_2=35.25 +lat_0=34.33333333333334 +lon_0=-86 +x_0=600000 +y_0=0 +ellps=GRS80 +towgs84=0,0,0,0,0,0,0 +units=m +no_defs </t>
  </si>
  <si>
    <t>PROJCS["NAD83(HARN) / Texas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36.18333333333333],PARAMETER["standard_parallel_2",34.65],PARAMETER["latitude_of_origin",34],PARAMETER["central_meridian",-101.5],PARAMETER["false_easting",200000],PARAMETER["false_northing",1000000],UNIT["metre",1,AUTHORITY["EPSG","9001"]],AXIS["X",EAST],AXIS["Y",NORTH],AUTHORITY["EPSG","2844"]]</t>
  </si>
  <si>
    <t xml:space="preserve">+proj=lcc +lat_1=36.18333333333333 +lat_2=34.65 +lat_0=34 +lon_0=-101.5 +x_0=200000 +y_0=1000000 +ellps=GRS80 +towgs84=0,0,0,0,0,0,0 +units=m +no_defs </t>
  </si>
  <si>
    <t>PROJCS["NAD83(HARN) / Texas North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33.96666666666667],PARAMETER["standard_parallel_2",32.13333333333333],PARAMETER["latitude_of_origin",31.66666666666667],PARAMETER["central_meridian",-98.5],PARAMETER["false_easting",600000],PARAMETER["false_northing",2000000],UNIT["metre",1,AUTHORITY["EPSG","9001"]],AXIS["X",EAST],AXIS["Y",NORTH],AUTHORITY["EPSG","2845"]]</t>
  </si>
  <si>
    <t xml:space="preserve">+proj=lcc +lat_1=33.96666666666667 +lat_2=32.13333333333333 +lat_0=31.66666666666667 +lon_0=-98.5 +x_0=600000 +y_0=2000000 +ellps=GRS80 +towgs84=0,0,0,0,0,0,0 +units=m +no_defs </t>
  </si>
  <si>
    <t>PROJCS["NAD83(HARN) / Texas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31.88333333333333],PARAMETER["standard_parallel_2",30.11666666666667],PARAMETER["latitude_of_origin",29.66666666666667],PARAMETER["central_meridian",-100.3333333333333],PARAMETER["false_easting",700000],PARAMETER["false_northing",3000000],UNIT["metre",1,AUTHORITY["EPSG","9001"]],AXIS["X",EAST],AXIS["Y",NORTH],AUTHORITY["EPSG","2846"]]</t>
  </si>
  <si>
    <t xml:space="preserve">+proj=lcc +lat_1=31.88333333333333 +lat_2=30.11666666666667 +lat_0=29.66666666666667 +lon_0=-100.3333333333333 +x_0=700000 +y_0=3000000 +ellps=GRS80 +towgs84=0,0,0,0,0,0,0 +units=m +no_defs </t>
  </si>
  <si>
    <t>PROJCS["NAD83(HARN) / Texas South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30.28333333333333],PARAMETER["standard_parallel_2",28.38333333333333],PARAMETER["latitude_of_origin",27.83333333333333],PARAMETER["central_meridian",-99],PARAMETER["false_easting",600000],PARAMETER["false_northing",4000000],UNIT["metre",1,AUTHORITY["EPSG","9001"]],AXIS["X",EAST],AXIS["Y",NORTH],AUTHORITY["EPSG","2847"]]</t>
  </si>
  <si>
    <t xml:space="preserve">+proj=lcc +lat_1=30.28333333333333 +lat_2=28.38333333333333 +lat_0=27.83333333333333 +lon_0=-99 +x_0=600000 +y_0=4000000 +ellps=GRS80 +towgs84=0,0,0,0,0,0,0 +units=m +no_defs </t>
  </si>
  <si>
    <t>PROJCS["NAD83(HARN) / Texas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27.83333333333333],PARAMETER["standard_parallel_2",26.16666666666667],PARAMETER["latitude_of_origin",25.66666666666667],PARAMETER["central_meridian",-98.5],PARAMETER["false_easting",300000],PARAMETER["false_northing",5000000],UNIT["metre",1,AUTHORITY["EPSG","9001"]],AXIS["X",EAST],AXIS["Y",NORTH],AUTHORITY["EPSG","2848"]]</t>
  </si>
  <si>
    <t xml:space="preserve">+proj=lcc +lat_1=27.83333333333333 +lat_2=26.16666666666667 +lat_0=25.66666666666667 +lon_0=-98.5 +x_0=300000 +y_0=5000000 +ellps=GRS80 +towgs84=0,0,0,0,0,0,0 +units=m +no_defs </t>
  </si>
  <si>
    <t>PROJCS["NAD83(HARN) / Utah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40.71666666666667],PARAMETER["latitude_of_origin",40.33333333333334],PARAMETER["central_meridian",-111.5],PARAMETER["false_easting",500000],PARAMETER["false_northing",1000000],UNIT["metre",1,AUTHORITY["EPSG","9001"]],AXIS["X",EAST],AXIS["Y",NORTH],AUTHORITY["EPSG","2849"]]</t>
  </si>
  <si>
    <t xml:space="preserve">+proj=lcc +lat_1=41.78333333333333 +lat_2=40.71666666666667 +lat_0=40.33333333333334 +lon_0=-111.5 +x_0=500000 +y_0=1000000 +ellps=GRS80 +towgs84=0,0,0,0,0,0,0 +units=m +no_defs </t>
  </si>
  <si>
    <t>PROJCS["NAD83(HARN) / Utah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40.65],PARAMETER["standard_parallel_2",39.01666666666667],PARAMETER["latitude_of_origin",38.33333333333334],PARAMETER["central_meridian",-111.5],PARAMETER["false_easting",500000],PARAMETER["false_northing",2000000],UNIT["metre",1,AUTHORITY["EPSG","9001"]],AXIS["X",EAST],AXIS["Y",NORTH],AUTHORITY["EPSG","2850"]]</t>
  </si>
  <si>
    <t xml:space="preserve">+proj=lcc +lat_1=40.65 +lat_2=39.01666666666667 +lat_0=38.33333333333334 +lon_0=-111.5 +x_0=500000 +y_0=2000000 +ellps=GRS80 +towgs84=0,0,0,0,0,0,0 +units=m +no_defs </t>
  </si>
  <si>
    <t>PROJCS["NAD83(HARN) / Utah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38.35],PARAMETER["standard_parallel_2",37.21666666666667],PARAMETER["latitude_of_origin",36.66666666666666],PARAMETER["central_meridian",-111.5],PARAMETER["false_easting",500000],PARAMETER["false_northing",3000000],UNIT["metre",1,AUTHORITY["EPSG","9001"]],AXIS["X",EAST],AXIS["Y",NORTH],AUTHORITY["EPSG","2851"]]</t>
  </si>
  <si>
    <t xml:space="preserve">+proj=lcc +lat_1=38.35 +lat_2=37.21666666666667 +lat_0=36.66666666666666 +lon_0=-111.5 +x_0=500000 +y_0=3000000 +ellps=GRS80 +towgs84=0,0,0,0,0,0,0 +units=m +no_defs </t>
  </si>
  <si>
    <t>PROJCS["NAD83(HARN) / Vermont",GEOGCS["NAD83(HARN)",DATUM["NAD83_High_Accuracy_Reference_Network",SPHEROID["GRS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42.5],PARAMETER["central_meridian",-72.5],PARAMETER["scale_factor",0.999964286],PARAMETER["false_easting",500000],PARAMETER["false_northing",0],UNIT["metre",1,AUTHORITY["EPSG","9001"]],AXIS["X",EAST],AXIS["Y",NORTH],AUTHORITY["EPSG","2852"]]</t>
  </si>
  <si>
    <t xml:space="preserve">+proj=tmerc +lat_0=42.5 +lon_0=-72.5 +k=0.999964286 +x_0=500000 +y_0=0 +ellps=GRS80 +towgs84=0,0,0,0,0,0,0 +units=m +no_defs </t>
  </si>
  <si>
    <t>PROJCS["NAD83(HARN) / Virginia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39.2],PARAMETER["standard_parallel_2",38.03333333333333],PARAMETER["latitude_of_origin",37.66666666666666],PARAMETER["central_meridian",-78.5],PARAMETER["false_easting",3500000],PARAMETER["false_northing",2000000],UNIT["metre",1,AUTHORITY["EPSG","9001"]],AXIS["X",EAST],AXIS["Y",NORTH],AUTHORITY["EPSG","2853"]]</t>
  </si>
  <si>
    <t xml:space="preserve">+proj=lcc +lat_1=39.2 +lat_2=38.03333333333333 +lat_0=37.66666666666666 +lon_0=-78.5 +x_0=3500000 +y_0=2000000 +ellps=GRS80 +towgs84=0,0,0,0,0,0,0 +units=m +no_defs </t>
  </si>
  <si>
    <t>PROJCS["NAD83(HARN) / Virginia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37.96666666666667],PARAMETER["standard_parallel_2",36.76666666666667],PARAMETER["latitude_of_origin",36.33333333333334],PARAMETER["central_meridian",-78.5],PARAMETER["false_easting",3500000],PARAMETER["false_northing",1000000],UNIT["metre",1,AUTHORITY["EPSG","9001"]],AXIS["X",EAST],AXIS["Y",NORTH],AUTHORITY["EPSG","2854"]]</t>
  </si>
  <si>
    <t xml:space="preserve">+proj=lcc +lat_1=37.96666666666667 +lat_2=36.76666666666667 +lat_0=36.33333333333334 +lon_0=-78.5 +x_0=3500000 +y_0=1000000 +ellps=GRS80 +towgs84=0,0,0,0,0,0,0 +units=m +no_defs </t>
  </si>
  <si>
    <t>PROJCS["NAD83(HARN) / Washington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48.73333333333333],PARAMETER["standard_parallel_2",47.5],PARAMETER["latitude_of_origin",47],PARAMETER["central_meridian",-120.8333333333333],PARAMETER["false_easting",500000],PARAMETER["false_northing",0],UNIT["metre",1,AUTHORITY["EPSG","9001"]],AXIS["X",EAST],AXIS["Y",NORTH],AUTHORITY["EPSG","2855"]]</t>
  </si>
  <si>
    <t xml:space="preserve">+proj=lcc +lat_1=48.73333333333333 +lat_2=47.5 +lat_0=47 +lon_0=-120.8333333333333 +x_0=500000 +y_0=0 +ellps=GRS80 +towgs84=0,0,0,0,0,0,0 +units=m +no_defs </t>
  </si>
  <si>
    <t>PROJCS["NAD83(HARN) / Washington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47.33333333333334],PARAMETER["standard_parallel_2",45.83333333333334],PARAMETER["latitude_of_origin",45.33333333333334],PARAMETER["central_meridian",-120.5],PARAMETER["false_easting",500000],PARAMETER["false_northing",0],UNIT["metre",1,AUTHORITY["EPSG","9001"]],AXIS["X",EAST],AXIS["Y",NORTH],AUTHORITY["EPSG","2856"]]</t>
  </si>
  <si>
    <t xml:space="preserve">+proj=lcc +lat_1=47.33333333333334 +lat_2=45.83333333333334 +lat_0=45.33333333333334 +lon_0=-120.5 +x_0=500000 +y_0=0 +ellps=GRS80 +towgs84=0,0,0,0,0,0,0 +units=m +no_defs </t>
  </si>
  <si>
    <t>PROJCS["NAD83(HARN) / West Virginia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40.25],PARAMETER["standard_parallel_2",39],PARAMETER["latitude_of_origin",38.5],PARAMETER["central_meridian",-79.5],PARAMETER["false_easting",600000],PARAMETER["false_northing",0],UNIT["metre",1,AUTHORITY["EPSG","9001"]],AXIS["X",EAST],AXIS["Y",NORTH],AUTHORITY["EPSG","2857"]]</t>
  </si>
  <si>
    <t xml:space="preserve">+proj=lcc +lat_1=40.25 +lat_2=39 +lat_0=38.5 +lon_0=-79.5 +x_0=600000 +y_0=0 +ellps=GRS80 +towgs84=0,0,0,0,0,0,0 +units=m +no_defs </t>
  </si>
  <si>
    <t>GEOCCS["NAD83(HARN) (geocentric)",DATUM["NAD83_High_Accuracy_Reference_Network",SPHEROID["GRS 1980",6378137,298.257222101,AUTHORITY["EPSG","7019"]],AUTHORITY["EPSG","6152"]],PRIMEM["Greenwich",0,AUTHORITY["EPSG","8901"]],UNIT["metre",1,AUTHORITY["EPSG","9001"]],AXIS["Geocentric X",OTHER],AXIS["Geocentric Y",OTHER],AXIS["Geocentric Z",NORTH],AUTHORITY["EPSG","4362"]]</t>
  </si>
  <si>
    <t>PROJCS["NAD83(HARN) / West Virginia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38.88333333333333],PARAMETER["standard_parallel_2",37.48333333333333],PARAMETER["latitude_of_origin",37],PARAMETER["central_meridian",-81],PARAMETER["false_easting",600000],PARAMETER["false_northing",0],UNIT["metre",1,AUTHORITY["EPSG","9001"]],AXIS["X",EAST],AXIS["Y",NORTH],AUTHORITY["EPSG","2858"]]</t>
  </si>
  <si>
    <t xml:space="preserve">+proj=lcc +lat_1=38.88333333333333 +lat_2=37.48333333333333 +lat_0=37 +lon_0=-81 +x_0=600000 +y_0=0 +ellps=GRS80 +towgs84=0,0,0,0,0,0,0 +units=m +no_defs </t>
  </si>
  <si>
    <t>PROJCS["NAD83(HARN) / Wisconsin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46.76666666666667],PARAMETER["standard_parallel_2",45.56666666666667],PARAMETER["latitude_of_origin",45.16666666666666],PARAMETER["central_meridian",-90],PARAMETER["false_easting",600000],PARAMETER["false_northing",0],UNIT["metre",1,AUTHORITY["EPSG","9001"]],AXIS["X",EAST],AXIS["Y",NORTH],AUTHORITY["EPSG","2859"]]</t>
  </si>
  <si>
    <t xml:space="preserve">+proj=lcc +lat_1=46.76666666666667 +lat_2=45.56666666666667 +lat_0=45.16666666666666 +lon_0=-90 +x_0=600000 +y_0=0 +ellps=GRS80 +towgs84=0,0,0,0,0,0,0 +units=m +no_defs </t>
  </si>
  <si>
    <t>PROJCS["NAD83(HARN) / Wisconsin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2860"]]</t>
  </si>
  <si>
    <t xml:space="preserve">+proj=lcc +lat_1=45.5 +lat_2=44.25 +lat_0=43.83333333333334 +lon_0=-90 +x_0=600000 +y_0=0 +ellps=GRS80 +towgs84=0,0,0,0,0,0,0 +units=m +no_defs </t>
  </si>
  <si>
    <t>PROJCS["NAD83(HARN) / Wisconsin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44.06666666666667],PARAMETER["standard_parallel_2",42.73333333333333],PARAMETER["latitude_of_origin",42],PARAMETER["central_meridian",-90],PARAMETER["false_easting",600000],PARAMETER["false_northing",0],UNIT["metre",1,AUTHORITY["EPSG","9001"]],AXIS["X",EAST],AXIS["Y",NORTH],AUTHORITY["EPSG","2861"]]</t>
  </si>
  <si>
    <t xml:space="preserve">+proj=lcc +lat_1=44.06666666666667 +lat_2=42.73333333333333 +lat_0=42 +lon_0=-90 +x_0=600000 +y_0=0 +ellps=GRS80 +towgs84=0,0,0,0,0,0,0 +units=m +no_defs </t>
  </si>
  <si>
    <t>PROJCS["NAD83(HARN) / Wyoming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-105.1666666666667],PARAMETER["scale_factor",0.9999375],PARAMETER["false_easting",200000],PARAMETER["false_northing",0],UNIT["metre",1,AUTHORITY["EPSG","9001"]],AXIS["X",EAST],AXIS["Y",NORTH],AUTHORITY["EPSG","2862"]]</t>
  </si>
  <si>
    <t xml:space="preserve">+proj=tmerc +lat_0=40.5 +lon_0=-105.1666666666667 +k=0.9999375 +x_0=200000 +y_0=0 +ellps=GRS80 +towgs84=0,0,0,0,0,0,0 +units=m +no_defs </t>
  </si>
  <si>
    <t>PROJCS["NAD83(HARN) / Wyoming East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-107.3333333333333],PARAMETER["scale_factor",0.9999375],PARAMETER["false_easting",400000],PARAMETER["false_northing",100000],UNIT["metre",1,AUTHORITY["EPSG","9001"]],AXIS["X",EAST],AXIS["Y",NORTH],AUTHORITY["EPSG","2863"]]</t>
  </si>
  <si>
    <t xml:space="preserve">+proj=tmerc +lat_0=40.5 +lon_0=-107.3333333333333 +k=0.9999375 +x_0=400000 +y_0=100000 +ellps=GRS80 +towgs84=0,0,0,0,0,0,0 +units=m +no_defs </t>
  </si>
  <si>
    <t>PROJCS["NAD83(HARN) / Wyoming West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-108.75],PARAMETER["scale_factor",0.9999375],PARAMETER["false_easting",600000],PARAMETER["false_northing",0],UNIT["metre",1,AUTHORITY["EPSG","9001"]],AXIS["X",EAST],AXIS["Y",NORTH],AUTHORITY["EPSG","2864"]]</t>
  </si>
  <si>
    <t xml:space="preserve">+proj=tmerc +lat_0=40.5 +lon_0=-108.75 +k=0.9999375 +x_0=600000 +y_0=0 +ellps=GRS80 +towgs84=0,0,0,0,0,0,0 +units=m +no_defs </t>
  </si>
  <si>
    <t>PROJCS["NAD83(HARN) / Wyoming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-110.0833333333333],PARAMETER["scale_factor",0.9999375],PARAMETER["false_easting",800000],PARAMETER["false_northing",100000],UNIT["metre",1,AUTHORITY["EPSG","9001"]],AXIS["X",EAST],AXIS["Y",NORTH],AUTHORITY["EPSG","2865"]]</t>
  </si>
  <si>
    <t xml:space="preserve">+proj=tmerc +lat_0=40.5 +lon_0=-110.0833333333333 +k=0.9999375 +x_0=800000 +y_0=100000 +ellps=GRS80 +towgs84=0,0,0,0,0,0,0 +units=m +no_defs </t>
  </si>
  <si>
    <t>PROJCS["Pulkovo 1942 / CS63 zone K2",GEOGCS["Pulkovo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0.1333333333333333],PARAMETER["central_meridian",50.76666666666667],PARAMETER["scale_factor",1],PARAMETER["false_easting",2300000],PARAMETER["false_northing",0],UNIT["metre",1,AUTHORITY["EPSG","9001"]],AUTHORITY["EPSG","2939"]]</t>
  </si>
  <si>
    <t xml:space="preserve">+proj=tmerc +lat_0=0.1333333333333333 +lon_0=50.76666666666667 +k=1 +x_0=2300000 +y_0=0 +ellps=krass +towgs84=23.92,-141.27,-80.9,0,0.35,0.82,-0.12 +units=m +no_defs </t>
  </si>
  <si>
    <t>PROJCS["NAD83(HARN) / Puerto Rico and Virgin Is.",GEOGCS["NAD83(HARN)",DATUM["NAD83_High_Accuracy_Reference_Network",SPHEROID["GRS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2866"]]</t>
  </si>
  <si>
    <t xml:space="preserve">+proj=lcc +lat_1=18.43333333333333 +lat_2=18.03333333333333 +lat_0=17.83333333333333 +lon_0=-66.43333333333334 +x_0=200000 +y_0=200000 +ellps=GRS80 +towgs84=0,0,0,0,0,0,0 +units=m +no_defs </t>
  </si>
  <si>
    <t>PROJCS["NAD83(HARN) / Arizona East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-110.1666666666667],PARAMETER["scale_factor",0.9999],PARAMETER["false_easting",700000],PARAMETER["false_northing",0],UNIT["foot",0.3048,AUTHORITY["EPSG","9002"]],AXIS["X",EAST],AXIS["Y",NORTH],AUTHORITY["EPSG","2867"]]</t>
  </si>
  <si>
    <t xml:space="preserve">+proj=tmerc +lat_0=31 +lon_0=-110.1666666666667 +k=0.9999 +x_0=213360 +y_0=0 +ellps=GRS80 +towgs84=0,0,0,0,0,0,0 +units=ft +no_defs </t>
  </si>
  <si>
    <t>PROJCS["NAD83(HARN) / Arizona Central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-111.9166666666667],PARAMETER["scale_factor",0.9999],PARAMETER["false_easting",700000],PARAMETER["false_northing",0],UNIT["foot",0.3048,AUTHORITY["EPSG","9002"]],AXIS["X",EAST],AXIS["Y",NORTH],AUTHORITY["EPSG","2868"]]</t>
  </si>
  <si>
    <t xml:space="preserve">+proj=tmerc +lat_0=31 +lon_0=-111.9166666666667 +k=0.9999 +x_0=213360 +y_0=0 +ellps=GRS80 +towgs84=0,0,0,0,0,0,0 +units=ft +no_defs </t>
  </si>
  <si>
    <t>PROJCS["NAD83(HARN) / Arizona West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-113.75],PARAMETER["scale_factor",0.999933333],PARAMETER["false_easting",700000],PARAMETER["false_northing",0],UNIT["foot",0.3048,AUTHORITY["EPSG","9002"]],AXIS["X",EAST],AXIS["Y",NORTH],AUTHORITY["EPSG","2869"]]</t>
  </si>
  <si>
    <t xml:space="preserve">+proj=tmerc +lat_0=31 +lon_0=-113.75 +k=0.999933333 +x_0=213360 +y_0=0 +ellps=GRS80 +towgs84=0,0,0,0,0,0,0 +units=ft +no_defs </t>
  </si>
  <si>
    <t>PROJCS["NAD83(HARN) / California zone 1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41.66666666666666],PARAMETER["standard_parallel_2",40],PARAMETER["latitude_of_origin",39.33333333333334],PARAMETER["central_meridian",-122],PARAMETER["false_easting",6561666.667],PARAMETER["false_northing",1640416.667],UNIT["US survey foot",0.3048006096012192,AUTHORITY["EPSG","9003"]],AXIS["X",EAST],AXIS["Y",NORTH],AUTHORITY["EPSG","2870"]]</t>
  </si>
  <si>
    <t xml:space="preserve">+proj=lcc +lat_1=41.66666666666666 +lat_2=40 +lat_0=39.33333333333334 +lon_0=-122 +x_0=2000000.0001016 +y_0=500000.0001016001 +ellps=GRS80 +towgs84=0,0,0,0,0,0,0 +units=us-ft +no_defs </t>
  </si>
  <si>
    <t>PROJCS["NAD83(HARN) / California zone 2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39.83333333333334],PARAMETER["standard_parallel_2",38.33333333333334],PARAMETER["latitude_of_origin",37.66666666666666],PARAMETER["central_meridian",-122],PARAMETER["false_easting",6561666.667],PARAMETER["false_northing",1640416.667],UNIT["US survey foot",0.3048006096012192,AUTHORITY["EPSG","9003"]],AXIS["X",EAST],AXIS["Y",NORTH],AUTHORITY["EPSG","2871"]]</t>
  </si>
  <si>
    <t xml:space="preserve">+proj=lcc +lat_1=39.83333333333334 +lat_2=38.33333333333334 +lat_0=37.66666666666666 +lon_0=-122 +x_0=2000000.0001016 +y_0=500000.0001016001 +ellps=GRS80 +towgs84=0,0,0,0,0,0,0 +units=us-ft +no_defs </t>
  </si>
  <si>
    <t>PROJCS["NAD83(HARN) / California zone 3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38.43333333333333],PARAMETER["standard_parallel_2",37.06666666666667],PARAMETER["latitude_of_origin",36.5],PARAMETER["central_meridian",-120.5],PARAMETER["false_easting",6561666.667],PARAMETER["false_northing",1640416.667],UNIT["US survey foot",0.3048006096012192,AUTHORITY["EPSG","9003"]],AXIS["X",EAST],AXIS["Y",NORTH],AUTHORITY["EPSG","2872"]]</t>
  </si>
  <si>
    <t xml:space="preserve">+proj=lcc +lat_1=38.43333333333333 +lat_2=37.06666666666667 +lat_0=36.5 +lon_0=-120.5 +x_0=2000000.0001016 +y_0=500000.0001016001 +ellps=GRS80 +towgs84=0,0,0,0,0,0,0 +units=us-ft +no_defs </t>
  </si>
  <si>
    <t>PROJCS["NAD83(HARN) / California zone 4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37.25],PARAMETER["standard_parallel_2",36],PARAMETER["latitude_of_origin",35.33333333333334],PARAMETER["central_meridian",-119],PARAMETER["false_easting",6561666.667],PARAMETER["false_northing",1640416.667],UNIT["US survey foot",0.3048006096012192,AUTHORITY["EPSG","9003"]],AXIS["X",EAST],AXIS["Y",NORTH],AUTHORITY["EPSG","2873"]]</t>
  </si>
  <si>
    <t xml:space="preserve">+proj=lcc +lat_1=37.25 +lat_2=36 +lat_0=35.33333333333334 +lon_0=-119 +x_0=2000000.0001016 +y_0=500000.0001016001 +ellps=GRS80 +towgs84=0,0,0,0,0,0,0 +units=us-ft +no_defs </t>
  </si>
  <si>
    <t>GEOCCS["NZGD2000 (geocentric)",DATUM["New_Zealand_Geodetic_Datum_2000",SPHEROID["GRS 1980",6378137,298.257222101,AUTHORITY["EPSG","7019"]],AUTHORITY["EPSG","6167"]],PRIMEM["Greenwich",0,AUTHORITY["EPSG","8901"]],UNIT["metre",1,AUTHORITY["EPSG","9001"]],AXIS["Geocentric X",OTHER],AXIS["Geocentric Y",OTHER],AXIS["Geocentric Z",NORTH],AUTHORITY["EPSG","4364"]]</t>
  </si>
  <si>
    <t>PROJCS["NAD83(HARN) / California zone 5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35.46666666666667],PARAMETER["standard_parallel_2",34.03333333333333],PARAMETER["latitude_of_origin",33.5],PARAMETER["central_meridian",-118],PARAMETER["false_easting",6561666.667],PARAMETER["false_northing",1640416.667],UNIT["US survey foot",0.3048006096012192,AUTHORITY["EPSG","9003"]],AXIS["X",EAST],AXIS["Y",NORTH],AUTHORITY["EPSG","2874"]]</t>
  </si>
  <si>
    <t xml:space="preserve">+proj=lcc +lat_1=35.46666666666667 +lat_2=34.03333333333333 +lat_0=33.5 +lon_0=-118 +x_0=2000000.0001016 +y_0=500000.0001016001 +ellps=GRS80 +towgs84=0,0,0,0,0,0,0 +units=us-ft +no_defs </t>
  </si>
  <si>
    <t>PROJCS["NAD83(HARN) / California zone 6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33.88333333333333],PARAMETER["standard_parallel_2",32.78333333333333],PARAMETER["latitude_of_origin",32.16666666666666],PARAMETER["central_meridian",-116.25],PARAMETER["false_easting",6561666.667],PARAMETER["false_northing",1640416.667],UNIT["US survey foot",0.3048006096012192,AUTHORITY["EPSG","9003"]],AXIS["X",EAST],AXIS["Y",NORTH],AUTHORITY["EPSG","2875"]]</t>
  </si>
  <si>
    <t xml:space="preserve">+proj=lcc +lat_1=33.88333333333333 +lat_2=32.78333333333333 +lat_0=32.16666666666666 +lon_0=-116.25 +x_0=2000000.0001016 +y_0=500000.0001016001 +ellps=GRS80 +towgs84=0,0,0,0,0,0,0 +units=us-ft +no_defs </t>
  </si>
  <si>
    <t>PROJCS["NAD83(HARN) / Colorado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40.78333333333333],PARAMETER["standard_parallel_2",39.71666666666667],PARAMETER["latitude_of_origin",39.33333333333334],PARAMETER["central_meridian",-105.5],PARAMETER["false_easting",3000000],PARAMETER["false_northing",1000000],UNIT["US survey foot",0.3048006096012192,AUTHORITY["EPSG","9003"]],AXIS["X",EAST],AXIS["Y",NORTH],AUTHORITY["EPSG","2876"]]</t>
  </si>
  <si>
    <t xml:space="preserve">+proj=lcc +lat_1=40.78333333333333 +lat_2=39.71666666666667 +lat_0=39.33333333333334 +lon_0=-105.5 +x_0=914401.8288036576 +y_0=304800.6096012192 +ellps=GRS80 +towgs84=0,0,0,0,0,0,0 +units=us-ft +no_defs </t>
  </si>
  <si>
    <t>PROJCS["NAD83(HARN) / Colorado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39.75],PARAMETER["standard_parallel_2",38.45],PARAMETER["latitude_of_origin",37.83333333333334],PARAMETER["central_meridian",-105.5],PARAMETER["false_easting",3000000],PARAMETER["false_northing",1000000],UNIT["US survey foot",0.3048006096012192,AUTHORITY["EPSG","9003"]],AXIS["X",EAST],AXIS["Y",NORTH],AUTHORITY["EPSG","2877"]]</t>
  </si>
  <si>
    <t xml:space="preserve">+proj=lcc +lat_1=39.75 +lat_2=38.45 +lat_0=37.83333333333334 +lon_0=-105.5 +x_0=914401.8288036576 +y_0=304800.6096012192 +ellps=GRS80 +towgs84=0,0,0,0,0,0,0 +units=us-ft +no_defs </t>
  </si>
  <si>
    <t>PROJCS["NAD83(HARN) / Colorado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38.43333333333333],PARAMETER["standard_parallel_2",37.23333333333333],PARAMETER["latitude_of_origin",36.66666666666666],PARAMETER["central_meridian",-105.5],PARAMETER["false_easting",3000000],PARAMETER["false_northing",1000000],UNIT["US survey foot",0.3048006096012192,AUTHORITY["EPSG","9003"]],AXIS["X",EAST],AXIS["Y",NORTH],AUTHORITY["EPSG","2878"]]</t>
  </si>
  <si>
    <t xml:space="preserve">+proj=lcc +lat_1=38.43333333333333 +lat_2=37.23333333333333 +lat_0=36.66666666666666 +lon_0=-105.5 +x_0=914401.8288036576 +y_0=304800.6096012192 +ellps=GRS80 +towgs84=0,0,0,0,0,0,0 +units=us-ft +no_defs </t>
  </si>
  <si>
    <t>PROJCS["NAD83(HARN) / Connecticut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41.86666666666667],PARAMETER["standard_parallel_2",41.2],PARAMETER["latitude_of_origin",40.83333333333334],PARAMETER["central_meridian",-72.75],PARAMETER["false_easting",1000000],PARAMETER["false_northing",500000],UNIT["US survey foot",0.3048006096012192,AUTHORITY["EPSG","9003"]],AXIS["X",EAST],AXIS["Y",NORTH],AUTHORITY["EPSG","2879"]]</t>
  </si>
  <si>
    <t xml:space="preserve">+proj=lcc +lat_1=41.86666666666667 +lat_2=41.2 +lat_0=40.83333333333334 +lon_0=-72.75 +x_0=304800.6096012192 +y_0=152400.3048006096 +ellps=GRS80 +towgs84=0,0,0,0,0,0,0 +units=us-ft +no_defs </t>
  </si>
  <si>
    <t>PROJCS["NAD83(HARN) / Delaware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38],PARAMETER["central_meridian",-75.41666666666667],PARAMETER["scale_factor",0.999995],PARAMETER["false_easting",656166.667],PARAMETER["false_northing",0],UNIT["US survey foot",0.3048006096012192,AUTHORITY["EPSG","9003"]],AXIS["X",EAST],AXIS["Y",NORTH],AUTHORITY["EPSG","2880"]]</t>
  </si>
  <si>
    <t xml:space="preserve">+proj=tmerc +lat_0=38 +lon_0=-75.41666666666667 +k=0.999995 +x_0=200000.0001016002 +y_0=0 +ellps=GRS80 +towgs84=0,0,0,0,0,0,0 +units=us-ft +no_defs </t>
  </si>
  <si>
    <t>PROJCS["NAD83(HARN) / Florida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24.33333333333333],PARAMETER["central_meridian",-81],PARAMETER["scale_factor",0.999941177],PARAMETER["false_easting",656166.667],PARAMETER["false_northing",0],UNIT["US survey foot",0.3048006096012192,AUTHORITY["EPSG","9003"]],AXIS["X",EAST],AXIS["Y",NORTH],AUTHORITY["EPSG","2881"]]</t>
  </si>
  <si>
    <t xml:space="preserve">+proj=tmerc +lat_0=24.33333333333333 +lon_0=-81 +k=0.999941177 +x_0=200000.0001016002 +y_0=0 +ellps=GRS80 +towgs84=0,0,0,0,0,0,0 +units=us-ft +no_defs </t>
  </si>
  <si>
    <t>PROJCS["NAD83(HARN) / Florida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24.33333333333333],PARAMETER["central_meridian",-82],PARAMETER["scale_factor",0.999941177],PARAMETER["false_easting",656166.667],PARAMETER["false_northing",0],UNIT["US survey foot",0.3048006096012192,AUTHORITY["EPSG","9003"]],AXIS["X",EAST],AXIS["Y",NORTH],AUTHORITY["EPSG","2882"]]</t>
  </si>
  <si>
    <t xml:space="preserve">+proj=tmerc +lat_0=24.33333333333333 +lon_0=-82 +k=0.999941177 +x_0=200000.0001016002 +y_0=0 +ellps=GRS80 +towgs84=0,0,0,0,0,0,0 +units=us-ft +no_defs </t>
  </si>
  <si>
    <t>PROJCS["NAD83(HARN) / Florida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30.75],PARAMETER["standard_parallel_2",29.58333333333333],PARAMETER["latitude_of_origin",29],PARAMETER["central_meridian",-84.5],PARAMETER["false_easting",1968500],PARAMETER["false_northing",0],UNIT["US survey foot",0.3048006096012192,AUTHORITY["EPSG","9003"]],AXIS["X",EAST],AXIS["Y",NORTH],AUTHORITY["EPSG","2883"]]</t>
  </si>
  <si>
    <t xml:space="preserve">+proj=lcc +lat_1=30.75 +lat_2=29.58333333333333 +lat_0=29 +lon_0=-84.5 +x_0=600000 +y_0=0 +ellps=GRS80 +towgs84=0,0,0,0,0,0,0 +units=us-ft +no_defs </t>
  </si>
  <si>
    <t>PROJCS["NAD83(HARN) / Georgia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-82.16666666666667],PARAMETER["scale_factor",0.9999],PARAMETER["false_easting",656166.667],PARAMETER["false_northing",0],UNIT["US survey foot",0.3048006096012192,AUTHORITY["EPSG","9003"]],AXIS["X",EAST],AXIS["Y",NORTH],AUTHORITY["EPSG","2884"]]</t>
  </si>
  <si>
    <t xml:space="preserve">+proj=tmerc +lat_0=30 +lon_0=-82.16666666666667 +k=0.9999 +x_0=200000.0001016002 +y_0=0 +ellps=GRS80 +towgs84=0,0,0,0,0,0,0 +units=us-ft +no_defs </t>
  </si>
  <si>
    <t>PROJCS["NAD83(HARN) / Georgia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30],PARAMETER["central_meridian",-84.16666666666667],PARAMETER["scale_factor",0.9999],PARAMETER["false_easting",2296583.333],PARAMETER["false_northing",0],UNIT["US survey foot",0.3048006096012192,AUTHORITY["EPSG","9003"]],AXIS["X",EAST],AXIS["Y",NORTH],AUTHORITY["EPSG","2885"]]</t>
  </si>
  <si>
    <t xml:space="preserve">+proj=tmerc +lat_0=30 +lon_0=-84.16666666666667 +k=0.9999 +x_0=699999.9998983998 +y_0=0 +ellps=GRS80 +towgs84=0,0,0,0,0,0,0 +units=us-ft +no_defs </t>
  </si>
  <si>
    <t>PROJCS["NAD83(HARN) / Idaho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-112.1666666666667],PARAMETER["scale_factor",0.999947368],PARAMETER["false_easting",656166.667],PARAMETER["false_northing",0],UNIT["US survey foot",0.3048006096012192,AUTHORITY["EPSG","9003"]],AXIS["X",EAST],AXIS["Y",NORTH],AUTHORITY["EPSG","2886"]]</t>
  </si>
  <si>
    <t xml:space="preserve">+proj=tmerc +lat_0=41.66666666666666 +lon_0=-112.1666666666667 +k=0.9999473679999999 +x_0=200000.0001016002 +y_0=0 +ellps=GRS80 +towgs84=0,0,0,0,0,0,0 +units=us-ft +no_defs </t>
  </si>
  <si>
    <t>PROJCS["NAD83(HARN) / Idaho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-114],PARAMETER["scale_factor",0.999947368],PARAMETER["false_easting",1640416.667],PARAMETER["false_northing",0],UNIT["US survey foot",0.3048006096012192,AUTHORITY["EPSG","9003"]],AXIS["X",EAST],AXIS["Y",NORTH],AUTHORITY["EPSG","2887"]]</t>
  </si>
  <si>
    <t xml:space="preserve">+proj=tmerc +lat_0=41.66666666666666 +lon_0=-114 +k=0.9999473679999999 +x_0=500000.0001016001 +y_0=0 +ellps=GRS80 +towgs84=0,0,0,0,0,0,0 +units=us-ft +no_defs </t>
  </si>
  <si>
    <t>PROJCS["NAD83(HARN) / Idaho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41.66666666666666],PARAMETER["central_meridian",-115.75],PARAMETER["scale_factor",0.999933333],PARAMETER["false_easting",2624666.667],PARAMETER["false_northing",0],UNIT["US survey foot",0.3048006096012192,AUTHORITY["EPSG","9003"]],AXIS["X",EAST],AXIS["Y",NORTH],AUTHORITY["EPSG","2888"]]</t>
  </si>
  <si>
    <t xml:space="preserve">+proj=tmerc +lat_0=41.66666666666666 +lon_0=-115.75 +k=0.999933333 +x_0=800000.0001016001 +y_0=0 +ellps=GRS80 +towgs84=0,0,0,0,0,0,0 +units=us-ft +no_defs </t>
  </si>
  <si>
    <t>PROJCS["NAD83(HARN) / Indiana East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-85.66666666666667],PARAMETER["scale_factor",0.999966667],PARAMETER["false_easting",328083.333],PARAMETER["false_northing",818125],UNIT["US survey foot",0.3048006096012192,AUTHORITY["EPSG","9003"]],AXIS["X",EAST],AXIS["Y",NORTH],AUTHORITY["EPSG","2889"]]</t>
  </si>
  <si>
    <t xml:space="preserve">+proj=tmerc +lat_0=37.5 +lon_0=-85.66666666666667 +k=0.999966667 +x_0=99999.99989839978 +y_0=249364.9987299975 +ellps=GRS80 +towgs84=0,0,0,0,0,0,0 +units=us-ft +no_defs </t>
  </si>
  <si>
    <t>PROJCS["WGS 84 / North Pole LAEA Canada",GEOGCS["WGS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-100],PARAMETER["false_easting",0],PARAMETER["false_northing",0],UNIT["metre",1,AUTHORITY["EPSG","9001"]],AXIS["X",EAST],AXIS["Y",NORTH],AUTHORITY["EPSG","3573"]]</t>
  </si>
  <si>
    <t>PROJCS["NAD83(HARN) / Indiana West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-87.08333333333333],PARAMETER["scale_factor",0.999966667],PARAMETER["false_easting",2952750],PARAMETER["false_northing",818125],UNIT["US survey foot",0.3048006096012192,AUTHORITY["EPSG","9003"]],AXIS["X",EAST],AXIS["Y",NORTH],AUTHORITY["EPSG","2890"]]</t>
  </si>
  <si>
    <t xml:space="preserve">+proj=tmerc +lat_0=37.5 +lon_0=-87.08333333333333 +k=0.999966667 +x_0=900000 +y_0=249364.9987299975 +ellps=GRS80 +towgs84=0,0,0,0,0,0,0 +units=us-ft +no_defs </t>
  </si>
  <si>
    <t>PROJCS["NAD83(HARN) / Kentucky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37.96666666666667],PARAMETER["standard_parallel_2",38.96666666666667],PARAMETER["latitude_of_origin",37.5],PARAMETER["central_meridian",-84.25],PARAMETER["false_easting",1640416.667],PARAMETER["false_northing",0],UNIT["US survey foot",0.3048006096012192,AUTHORITY["EPSG","9003"]],AXIS["X",EAST],AXIS["Y",NORTH],AUTHORITY["EPSG","2891"]]</t>
  </si>
  <si>
    <t xml:space="preserve">+proj=lcc +lat_1=37.96666666666667 +lat_2=38.96666666666667 +lat_0=37.5 +lon_0=-84.25 +x_0=500000.0001016001 +y_0=0 +ellps=GRS80 +towgs84=0,0,0,0,0,0,0 +units=us-ft +no_defs </t>
  </si>
  <si>
    <t>PROJCS["NAD83(HARN) / Kentucky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37.93333333333333],PARAMETER["standard_parallel_2",36.73333333333333],PARAMETER["latitude_of_origin",36.33333333333334],PARAMETER["central_meridian",-85.75],PARAMETER["false_easting",1640416.667],PARAMETER["false_northing",1640416.667],UNIT["US survey foot",0.3048006096012192,AUTHORITY["EPSG","9003"]],AXIS["X",EAST],AXIS["Y",NORTH],AUTHORITY["EPSG","2892"]]</t>
  </si>
  <si>
    <t xml:space="preserve">+proj=lcc +lat_1=37.93333333333333 +lat_2=36.73333333333333 +lat_0=36.33333333333334 +lon_0=-85.75 +x_0=500000.0001016001 +y_0=500000.0001016001 +ellps=GRS80 +towgs84=0,0,0,0,0,0,0 +units=us-ft +no_defs </t>
  </si>
  <si>
    <t>PROJCS["NAD83(HARN) / Maryland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39.45],PARAMETER["standard_parallel_2",38.3],PARAMETER["latitude_of_origin",37.66666666666666],PARAMETER["central_meridian",-77],PARAMETER["false_easting",1312333.333],PARAMETER["false_northing",0],UNIT["US survey foot",0.3048006096012192,AUTHORITY["EPSG","9003"]],AXIS["X",EAST],AXIS["Y",NORTH],AUTHORITY["EPSG","2893"]]</t>
  </si>
  <si>
    <t xml:space="preserve">+proj=lcc +lat_1=39.45 +lat_2=38.3 +lat_0=37.66666666666666 +lon_0=-77 +x_0=399999.9998983998 +y_0=0 +ellps=GRS80 +towgs84=0,0,0,0,0,0,0 +units=us-ft +no_defs </t>
  </si>
  <si>
    <t>PROJCS["NAD83(HARN) / Massachusetts Mainland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42.68333333333333],PARAMETER["standard_parallel_2",41.71666666666667],PARAMETER["latitude_of_origin",41],PARAMETER["central_meridian",-71.5],PARAMETER["false_easting",656166.667],PARAMETER["false_northing",2460625],UNIT["US survey foot",0.3048006096012192,AUTHORITY["EPSG","9003"]],AXIS["X",EAST],AXIS["Y",NORTH],AUTHORITY["EPSG","2894"]]</t>
  </si>
  <si>
    <t xml:space="preserve">+proj=lcc +lat_1=42.68333333333333 +lat_2=41.71666666666667 +lat_0=41 +lon_0=-71.5 +x_0=200000.0001016002 +y_0=750000 +ellps=GRS80 +towgs84=0,0,0,0,0,0,0 +units=us-ft +no_defs </t>
  </si>
  <si>
    <t>PROJCS["NAD83(HARN) / Massachusetts Island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41.48333333333333],PARAMETER["standard_parallel_2",41.28333333333333],PARAMETER["latitude_of_origin",41],PARAMETER["central_meridian",-70.5],PARAMETER["false_easting",1640416.667],PARAMETER["false_northing",0],UNIT["US survey foot",0.3048006096012192,AUTHORITY["EPSG","9003"]],AXIS["X",EAST],AXIS["Y",NORTH],AUTHORITY["EPSG","2895"]]</t>
  </si>
  <si>
    <t xml:space="preserve">+proj=lcc +lat_1=41.48333333333333 +lat_2=41.28333333333333 +lat_0=41 +lon_0=-70.5 +x_0=500000.0001016001 +y_0=0 +ellps=GRS80 +towgs84=0,0,0,0,0,0,0 +units=us-ft +no_defs </t>
  </si>
  <si>
    <t>PROJCS["NAD83(HARN) / Michigan North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47.08333333333334],PARAMETER["standard_parallel_2",45.48333333333333],PARAMETER["latitude_of_origin",44.78333333333333],PARAMETER["central_meridian",-87],PARAMETER["false_easting",26246719.16],PARAMETER["false_northing",0],UNIT["foot",0.3048,AUTHORITY["EPSG","9002"]],AXIS["X",EAST],AXIS["Y",NORTH],AUTHORITY["EPSG","2896"]]</t>
  </si>
  <si>
    <t xml:space="preserve">+proj=lcc +lat_1=47.08333333333334 +lat_2=45.48333333333333 +lat_0=44.78333333333333 +lon_0=-87 +x_0=7999999.999968001 +y_0=0 +ellps=GRS80 +towgs84=0,0,0,0,0,0,0 +units=ft +no_defs </t>
  </si>
  <si>
    <t>PROJCS["NAD83(HARN) / Michigan Central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45.7],PARAMETER["standard_parallel_2",44.18333333333333],PARAMETER["latitude_of_origin",43.31666666666667],PARAMETER["central_meridian",-84.36666666666666],PARAMETER["false_easting",19685039.37],PARAMETER["false_northing",0],UNIT["foot",0.3048,AUTHORITY["EPSG","9002"]],AXIS["X",EAST],AXIS["Y",NORTH],AUTHORITY["EPSG","2897"]]</t>
  </si>
  <si>
    <t xml:space="preserve">+proj=lcc +lat_1=45.7 +lat_2=44.18333333333333 +lat_0=43.31666666666667 +lon_0=-84.36666666666666 +x_0=5999999.999976001 +y_0=0 +ellps=GRS80 +towgs84=0,0,0,0,0,0,0 +units=ft +no_defs </t>
  </si>
  <si>
    <t>PROJCS["NAD83(HARN) / Michigan South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43.66666666666666],PARAMETER["standard_parallel_2",42.1],PARAMETER["latitude_of_origin",41.5],PARAMETER["central_meridian",-84.36666666666666],PARAMETER["false_easting",13123359.58],PARAMETER["false_northing",0],UNIT["foot",0.3048,AUTHORITY["EPSG","9002"]],AXIS["X",EAST],AXIS["Y",NORTH],AUTHORITY["EPSG","2898"]]</t>
  </si>
  <si>
    <t xml:space="preserve">+proj=lcc +lat_1=43.66666666666666 +lat_2=42.1 +lat_0=41.5 +lon_0=-84.36666666666666 +x_0=3999999.999984 +y_0=0 +ellps=GRS80 +towgs84=0,0,0,0,0,0,0 +units=ft +no_defs </t>
  </si>
  <si>
    <t>PROJCS["NAD83(HARN) / Mississippi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29.5],PARAMETER["central_meridian",-88.83333333333333],PARAMETER["scale_factor",0.99995],PARAMETER["false_easting",984250.0000000002],PARAMETER["false_northing",0],UNIT["US survey foot",0.3048006096012192,AUTHORITY["EPSG","9003"]],AXIS["X",EAST],AXIS["Y",NORTH],AUTHORITY["EPSG","2899"]]</t>
  </si>
  <si>
    <t xml:space="preserve">+proj=tmerc +lat_0=29.5 +lon_0=-88.83333333333333 +k=0.99995 +x_0=300000.0000000001 +y_0=0 +ellps=GRS80 +towgs84=0,0,0,0,0,0,0 +units=us-ft +no_defs </t>
  </si>
  <si>
    <t>PROJCS["NAD83(HARN) / Mississippi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29.5],PARAMETER["central_meridian",-90.33333333333333],PARAMETER["scale_factor",0.99995],PARAMETER["false_easting",2296583.333],PARAMETER["false_northing",0],UNIT["US survey foot",0.3048006096012192,AUTHORITY["EPSG","9003"]],AXIS["X",EAST],AXIS["Y",NORTH],AUTHORITY["EPSG","2900"]]</t>
  </si>
  <si>
    <t xml:space="preserve">+proj=tmerc +lat_0=29.5 +lon_0=-90.33333333333333 +k=0.99995 +x_0=699999.9998983998 +y_0=0 +ellps=GRS80 +towgs84=0,0,0,0,0,0,0 +units=us-ft +no_defs </t>
  </si>
  <si>
    <t>PROJCS["NAD83(HARN) / Montana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49],PARAMETER["standard_parallel_2",45],PARAMETER["latitude_of_origin",44.25],PARAMETER["central_meridian",-109.5],PARAMETER["false_easting",1968503.937],PARAMETER["false_northing",0],UNIT["foot",0.3048,AUTHORITY["EPSG","9002"]],AXIS["X",EAST],AXIS["Y",NORTH],AUTHORITY["EPSG","2901"]]</t>
  </si>
  <si>
    <t xml:space="preserve">+proj=lcc +lat_1=49 +lat_2=45 +lat_0=44.25 +lon_0=-109.5 +x_0=599999.9999976 +y_0=0 +ellps=GRS80 +towgs84=0,0,0,0,0,0,0 +units=ft +no_defs </t>
  </si>
  <si>
    <t>PROJCS["NAD83(HARN) / New Mexico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-104.3333333333333],PARAMETER["scale_factor",0.999909091],PARAMETER["false_easting",541337.5],PARAMETER["false_northing",0],UNIT["US survey foot",0.3048006096012192,AUTHORITY["EPSG","9003"]],AXIS["X",EAST],AXIS["Y",NORTH],AUTHORITY["EPSG","2902"]]</t>
  </si>
  <si>
    <t xml:space="preserve">+proj=tmerc +lat_0=31 +lon_0=-104.3333333333333 +k=0.999909091 +x_0=165000 +y_0=0 +ellps=GRS80 +towgs84=0,0,0,0,0,0,0 +units=us-ft +no_defs </t>
  </si>
  <si>
    <t>PROJCS["NAD83(HARN) / New Mexico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-106.25],PARAMETER["scale_factor",0.9999],PARAMETER["false_easting",1640416.667],PARAMETER["false_northing",0],UNIT["US survey foot",0.3048006096012192,AUTHORITY["EPSG","9003"]],AXIS["X",EAST],AXIS["Y",NORTH],AUTHORITY["EPSG","2903"]]</t>
  </si>
  <si>
    <t xml:space="preserve">+proj=tmerc +lat_0=31 +lon_0=-106.25 +k=0.9999 +x_0=500000.0001016001 +y_0=0 +ellps=GRS80 +towgs84=0,0,0,0,0,0,0 +units=us-ft +no_defs </t>
  </si>
  <si>
    <t>PROJCS["NAD83(HARN) / New Mexico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31],PARAMETER["central_meridian",-107.8333333333333],PARAMETER["scale_factor",0.999916667],PARAMETER["false_easting",2723091.667],PARAMETER["false_northing",0],UNIT["US survey foot",0.3048006096012192,AUTHORITY["EPSG","9003"]],AXIS["X",EAST],AXIS["Y",NORTH],AUTHORITY["EPSG","2904"]]</t>
  </si>
  <si>
    <t xml:space="preserve">+proj=tmerc +lat_0=31 +lon_0=-107.8333333333333 +k=0.999916667 +x_0=830000.0001016001 +y_0=0 +ellps=GRS80 +towgs84=0,0,0,0,0,0,0 +units=us-ft +no_defs </t>
  </si>
  <si>
    <t>PROJCS["NAD83(HARN) / New York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foot",0.3048006096012192,AUTHORITY["EPSG","9003"]],AXIS["X",EAST],AXIS["Y",NORTH],AUTHORITY["EPSG","2905"]]</t>
  </si>
  <si>
    <t xml:space="preserve">+proj=tmerc +lat_0=38.83333333333334 +lon_0=-74.5 +k=0.9999 +x_0=150000 +y_0=0 +ellps=GRS80 +towgs84=0,0,0,0,0,0,0 +units=us-ft +no_defs </t>
  </si>
  <si>
    <t>PROJCS["NAD83(CSRS) / MTM zone 7",GEOGCS["NAD83(CSRS)",DATUM["NAD83_Canadian_Spatial_Reference_System",SPHEROID["GRS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-70.5],PARAMETER["scale_factor",0.9999],PARAMETER["false_easting",304800],PARAMETER["false_northing",0],UNIT["metre",1,AUTHORITY["EPSG","9001"]],AXIS["E(X)",EAST],AXIS["N(Y)",NORTH],AUTHORITY["EPSG","2949"]]</t>
  </si>
  <si>
    <t>PROJCS["NAD83(HARN) / New York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40],PARAMETER["central_meridian",-76.58333333333333],PARAMETER["scale_factor",0.9999375],PARAMETER["false_easting",820208.3330000002],PARAMETER["false_northing",0],UNIT["US survey foot",0.3048006096012192,AUTHORITY["EPSG","9003"]],AXIS["X",EAST],AXIS["Y",NORTH],AUTHORITY["EPSG","2906"]]</t>
  </si>
  <si>
    <t xml:space="preserve">+proj=tmerc +lat_0=40 +lon_0=-76.58333333333333 +k=0.9999375 +x_0=249999.9998983998 +y_0=0 +ellps=GRS80 +towgs84=0,0,0,0,0,0,0 +units=us-ft +no_defs </t>
  </si>
  <si>
    <t>PROJCS["NAD83(HARN) / New York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40],PARAMETER["central_meridian",-78.58333333333333],PARAMETER["scale_factor",0.9999375],PARAMETER["false_easting",1148291.667],PARAMETER["false_northing",0],UNIT["US survey foot",0.3048006096012192,AUTHORITY["EPSG","9003"]],AXIS["X",EAST],AXIS["Y",NORTH],AUTHORITY["EPSG","2907"]]</t>
  </si>
  <si>
    <t xml:space="preserve">+proj=tmerc +lat_0=40 +lon_0=-78.58333333333333 +k=0.9999375 +x_0=350000.0001016001 +y_0=0 +ellps=GRS80 +towgs84=0,0,0,0,0,0,0 +units=us-ft +no_defs </t>
  </si>
  <si>
    <t>PROJCS["NAD83(HARN) / New York Long Island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41.03333333333333],PARAMETER["standard_parallel_2",40.66666666666666],PARAMETER["latitude_of_origin",40.16666666666666],PARAMETER["central_meridian",-74],PARAMETER["false_easting",984250.0000000002],PARAMETER["false_northing",0],UNIT["US survey foot",0.3048006096012192,AUTHORITY["EPSG","9003"]],AXIS["X",EAST],AXIS["Y",NORTH],AUTHORITY["EPSG","2908"]]</t>
  </si>
  <si>
    <t xml:space="preserve">+proj=lcc +lat_1=41.03333333333333 +lat_2=40.66666666666666 +lat_0=40.16666666666666 +lon_0=-74 +x_0=300000.0000000001 +y_0=0 +ellps=GRS80 +towgs84=0,0,0,0,0,0,0 +units=us-ft +no_defs </t>
  </si>
  <si>
    <t>PROJCS["NAD83(HARN) / North Dakota North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48.73333333333333],PARAMETER["standard_parallel_2",47.43333333333333],PARAMETER["latitude_of_origin",47],PARAMETER["central_meridian",-100.5],PARAMETER["false_easting",1968503.937],PARAMETER["false_northing",0],UNIT["foot",0.3048,AUTHORITY["EPSG","9002"]],AXIS["X",EAST],AXIS["Y",NORTH],AUTHORITY["EPSG","2909"]]</t>
  </si>
  <si>
    <t xml:space="preserve">+proj=lcc +lat_1=48.73333333333333 +lat_2=47.43333333333333 +lat_0=47 +lon_0=-100.5 +x_0=599999.9999976 +y_0=0 +ellps=GRS80 +towgs84=0,0,0,0,0,0,0 +units=ft +no_defs </t>
  </si>
  <si>
    <t>PROJCS["NAD83(HARN) / North Dakota South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47.48333333333333],PARAMETER["standard_parallel_2",46.18333333333333],PARAMETER["latitude_of_origin",45.66666666666666],PARAMETER["central_meridian",-100.5],PARAMETER["false_easting",1968503.937],PARAMETER["false_northing",0],UNIT["foot",0.3048,AUTHORITY["EPSG","9002"]],AXIS["X",EAST],AXIS["Y",NORTH],AUTHORITY["EPSG","2910"]]</t>
  </si>
  <si>
    <t xml:space="preserve">+proj=lcc +lat_1=47.48333333333333 +lat_2=46.18333333333333 +lat_0=45.66666666666666 +lon_0=-100.5 +x_0=599999.9999976 +y_0=0 +ellps=GRS80 +towgs84=0,0,0,0,0,0,0 +units=ft +no_defs </t>
  </si>
  <si>
    <t>PROJCS["NAD83(HARN) / Oklahoma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36.76666666666667],PARAMETER["standard_parallel_2",35.56666666666667],PARAMETER["latitude_of_origin",35],PARAMETER["central_meridian",-98],PARAMETER["false_easting",1968500],PARAMETER["false_northing",0],UNIT["US survey foot",0.3048006096012192,AUTHORITY["EPSG","9003"]],AXIS["X",EAST],AXIS["Y",NORTH],AUTHORITY["EPSG","2911"]]</t>
  </si>
  <si>
    <t xml:space="preserve">+proj=lcc +lat_1=36.76666666666667 +lat_2=35.56666666666667 +lat_0=35 +lon_0=-98 +x_0=600000 +y_0=0 +ellps=GRS80 +towgs84=0,0,0,0,0,0,0 +units=us-ft +no_defs </t>
  </si>
  <si>
    <t>PROJCS["NAD83(HARN) / Oklahoma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35.23333333333333],PARAMETER["standard_parallel_2",33.93333333333333],PARAMETER["latitude_of_origin",33.33333333333334],PARAMETER["central_meridian",-98],PARAMETER["false_easting",1968500],PARAMETER["false_northing",0],UNIT["US survey foot",0.3048006096012192,AUTHORITY["EPSG","9003"]],AXIS["X",EAST],AXIS["Y",NORTH],AUTHORITY["EPSG","2912"]]</t>
  </si>
  <si>
    <t xml:space="preserve">+proj=lcc +lat_1=35.23333333333333 +lat_2=33.93333333333333 +lat_0=33.33333333333334 +lon_0=-98 +x_0=600000 +y_0=0 +ellps=GRS80 +towgs84=0,0,0,0,0,0,0 +units=us-ft +no_defs </t>
  </si>
  <si>
    <t>PROJCS["NAD83(HARN) / Oregon North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2913"]]</t>
  </si>
  <si>
    <t xml:space="preserve">+proj=lcc +lat_1=46 +lat_2=44.33333333333334 +lat_0=43.66666666666666 +lon_0=-120.5 +x_0=2500000.0001424 +y_0=0 +ellps=GRS80 +towgs84=0,0,0,0,0,0,0 +units=ft +no_defs </t>
  </si>
  <si>
    <t>PROJCS["NAD83(HARN) / Oregon South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2914"]]</t>
  </si>
  <si>
    <t xml:space="preserve">+proj=lcc +lat_1=44 +lat_2=42.33333333333334 +lat_0=41.66666666666666 +lon_0=-120.5 +x_0=1500000.0001464 +y_0=0 +ellps=GRS80 +towgs84=0,0,0,0,0,0,0 +units=ft +no_defs </t>
  </si>
  <si>
    <t>PROJCS["NAD83(HARN) / Tennessee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36.41666666666666],PARAMETER["standard_parallel_2",35.25],PARAMETER["latitude_of_origin",34.33333333333334],PARAMETER["central_meridian",-86],PARAMETER["false_easting",1968500],PARAMETER["false_northing",0],UNIT["US survey foot",0.3048006096012192,AUTHORITY["EPSG","9003"]],AXIS["X",EAST],AXIS["Y",NORTH],AUTHORITY["EPSG","2915"]]</t>
  </si>
  <si>
    <t xml:space="preserve">+proj=lcc +lat_1=36.41666666666666 +lat_2=35.25 +lat_0=34.33333333333334 +lon_0=-86 +x_0=600000 +y_0=0 +ellps=GRS80 +towgs84=0,0,0,0,0,0,0 +units=us-ft +no_defs </t>
  </si>
  <si>
    <t>PROJCS["NAD83(HARN) / Texas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36.18333333333333],PARAMETER["standard_parallel_2",34.65],PARAMETER["latitude_of_origin",34],PARAMETER["central_meridian",-101.5],PARAMETER["false_easting",656166.667],PARAMETER["false_northing",3280833.333],UNIT["US survey foot",0.3048006096012192,AUTHORITY["EPSG","9003"]],AXIS["X",EAST],AXIS["Y",NORTH],AUTHORITY["EPSG","2916"]]</t>
  </si>
  <si>
    <t xml:space="preserve">+proj=lcc +lat_1=36.18333333333333 +lat_2=34.65 +lat_0=34 +lon_0=-101.5 +x_0=200000.0001016002 +y_0=999999.9998983998 +ellps=GRS80 +towgs84=0,0,0,0,0,0,0 +units=us-ft +no_defs </t>
  </si>
  <si>
    <t>PROJCS["NAD83(HARN) / Texas North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33.96666666666667],PARAMETER["standard_parallel_2",32.13333333333333],PARAMETER["latitude_of_origin",31.66666666666667],PARAMETER["central_meridian",-98.5],PARAMETER["false_easting",1968500],PARAMETER["false_northing",6561666.667],UNIT["US survey foot",0.3048006096012192,AUTHORITY["EPSG","9003"]],AXIS["X",EAST],AXIS["Y",NORTH],AUTHORITY["EPSG","2917"]]</t>
  </si>
  <si>
    <t xml:space="preserve">+proj=lcc +lat_1=33.96666666666667 +lat_2=32.13333333333333 +lat_0=31.66666666666667 +lon_0=-98.5 +x_0=600000 +y_0=2000000.0001016 +ellps=GRS80 +towgs84=0,0,0,0,0,0,0 +units=us-ft +no_defs </t>
  </si>
  <si>
    <t>PROJCS["NAD83(HARN) / Texas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31.88333333333333],PARAMETER["standard_parallel_2",30.11666666666667],PARAMETER["latitude_of_origin",29.66666666666667],PARAMETER["central_meridian",-100.3333333333333],PARAMETER["false_easting",2296583.333],PARAMETER["false_northing",9842500.000000002],UNIT["US survey foot",0.3048006096012192,AUTHORITY["EPSG","9003"]],AXIS["X",EAST],AXIS["Y",NORTH],AUTHORITY["EPSG","2918"]]</t>
  </si>
  <si>
    <t xml:space="preserve">+proj=lcc +lat_1=31.88333333333333 +lat_2=30.11666666666667 +lat_0=29.66666666666667 +lon_0=-100.3333333333333 +x_0=699999.9998983998 +y_0=3000000 +ellps=GRS80 +towgs84=0,0,0,0,0,0,0 +units=us-ft +no_defs </t>
  </si>
  <si>
    <t>PROJCS["NAD83(HARN) / Texas South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30.28333333333333],PARAMETER["standard_parallel_2",28.38333333333333],PARAMETER["latitude_of_origin",27.83333333333333],PARAMETER["central_meridian",-99],PARAMETER["false_easting",1968500],PARAMETER["false_northing",13123333.333],UNIT["US survey foot",0.3048006096012192,AUTHORITY["EPSG","9003"]],AXIS["X",EAST],AXIS["Y",NORTH],AUTHORITY["EPSG","2919"]]</t>
  </si>
  <si>
    <t xml:space="preserve">+proj=lcc +lat_1=30.28333333333333 +lat_2=28.38333333333333 +lat_0=27.83333333333333 +lon_0=-99 +x_0=600000 +y_0=3999999.9998984 +ellps=GRS80 +towgs84=0,0,0,0,0,0,0 +units=us-ft +no_defs </t>
  </si>
  <si>
    <t>PROJCS["NAD83(HARN) / Texas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27.83333333333333],PARAMETER["standard_parallel_2",26.16666666666667],PARAMETER["latitude_of_origin",25.66666666666667],PARAMETER["central_meridian",-98.5],PARAMETER["false_easting",984250.0000000002],PARAMETER["false_northing",16404166.667],UNIT["US survey foot",0.3048006096012192,AUTHORITY["EPSG","9003"]],AXIS["X",EAST],AXIS["Y",NORTH],AUTHORITY["EPSG","2920"]]</t>
  </si>
  <si>
    <t xml:space="preserve">+proj=lcc +lat_1=27.83333333333333 +lat_2=26.16666666666667 +lat_0=25.66666666666667 +lon_0=-98.5 +x_0=300000.0000000001 +y_0=5000000.0001016 +ellps=GRS80 +towgs84=0,0,0,0,0,0,0 +units=us-ft +no_defs </t>
  </si>
  <si>
    <t>PROJCS["NAD83(HARN) / Utah North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40.71666666666667],PARAMETER["latitude_of_origin",40.33333333333334],PARAMETER["central_meridian",-111.5],PARAMETER["false_easting",1640419.948],PARAMETER["false_northing",3280839.895],UNIT["foot",0.3048,AUTHORITY["EPSG","9002"]],AXIS["X",EAST],AXIS["Y",NORTH],AUTHORITY["EPSG","2921"]]</t>
  </si>
  <si>
    <t xml:space="preserve">+proj=lcc +lat_1=41.78333333333333 +lat_2=40.71666666666667 +lat_0=40.33333333333334 +lon_0=-111.5 +x_0=500000.0001504 +y_0=999999.9999960001 +ellps=GRS80 +towgs84=0,0,0,0,0,0,0 +units=ft +no_defs </t>
  </si>
  <si>
    <t>PROJCS["NAD83(HARN) / Utah Central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40.65],PARAMETER["standard_parallel_2",39.01666666666667],PARAMETER["latitude_of_origin",38.33333333333334],PARAMETER["central_meridian",-111.5],PARAMETER["false_easting",1640419.948],PARAMETER["false_northing",6561679.79],UNIT["foot",0.3048,AUTHORITY["EPSG","9002"]],AXIS["X",EAST],AXIS["Y",NORTH],AUTHORITY["EPSG","2922"]]</t>
  </si>
  <si>
    <t xml:space="preserve">+proj=lcc +lat_1=40.65 +lat_2=39.01666666666667 +lat_0=38.33333333333334 +lon_0=-111.5 +x_0=500000.0001504 +y_0=1999999.999992 +ellps=GRS80 +towgs84=0,0,0,0,0,0,0 +units=ft +no_defs </t>
  </si>
  <si>
    <t>PROJCS["NAD83(HARN) / Utah South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38.35],PARAMETER["standard_parallel_2",37.21666666666667],PARAMETER["latitude_of_origin",36.66666666666666],PARAMETER["central_meridian",-111.5],PARAMETER["false_easting",1640419.948],PARAMETER["false_northing",9842519.685],UNIT["foot",0.3048,AUTHORITY["EPSG","9002"]],AXIS["X",EAST],AXIS["Y",NORTH],AUTHORITY["EPSG","2923"]]</t>
  </si>
  <si>
    <t xml:space="preserve">+proj=lcc +lat_1=38.35 +lat_2=37.21666666666667 +lat_0=36.66666666666666 +lon_0=-111.5 +x_0=500000.0001504 +y_0=2999999.999988 +ellps=GRS80 +towgs84=0,0,0,0,0,0,0 +units=ft +no_defs </t>
  </si>
  <si>
    <t>PROJCS["NAD83(HARN) / Virginia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39.2],PARAMETER["standard_parallel_2",38.03333333333333],PARAMETER["latitude_of_origin",37.66666666666666],PARAMETER["central_meridian",-78.5],PARAMETER["false_easting",11482916.667],PARAMETER["false_northing",6561666.667],UNIT["US survey foot",0.3048006096012192,AUTHORITY["EPSG","9003"]],AXIS["X",EAST],AXIS["Y",NORTH],AUTHORITY["EPSG","2924"]]</t>
  </si>
  <si>
    <t xml:space="preserve">+proj=lcc +lat_1=39.2 +lat_2=38.03333333333333 +lat_0=37.66666666666666 +lon_0=-78.5 +x_0=3500000.0001016 +y_0=2000000.0001016 +ellps=GRS80 +towgs84=0,0,0,0,0,0,0 +units=us-ft +no_defs </t>
  </si>
  <si>
    <t>PROJCS["NAD83(HARN) / Virginia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37.96666666666667],PARAMETER["standard_parallel_2",36.76666666666667],PARAMETER["latitude_of_origin",36.33333333333334],PARAMETER["central_meridian",-78.5],PARAMETER["false_easting",11482916.667],PARAMETER["false_northing",3280833.333],UNIT["US survey foot",0.3048006096012192,AUTHORITY["EPSG","9003"]],AXIS["X",EAST],AXIS["Y",NORTH],AUTHORITY["EPSG","2925"]]</t>
  </si>
  <si>
    <t xml:space="preserve">+proj=lcc +lat_1=37.96666666666667 +lat_2=36.76666666666667 +lat_0=36.33333333333334 +lon_0=-78.5 +x_0=3500000.0001016 +y_0=999999.9998983998 +ellps=GRS80 +towgs84=0,0,0,0,0,0,0 +units=us-ft +no_defs </t>
  </si>
  <si>
    <t>PROJCS["NAD83(HARN) / Washington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48.73333333333333],PARAMETER["standard_parallel_2",47.5],PARAMETER["latitude_of_origin",47],PARAMETER["central_meridian",-120.8333333333333],PARAMETER["false_easting",1640416.667],PARAMETER["false_northing",0],UNIT["US survey foot",0.3048006096012192,AUTHORITY["EPSG","9003"]],AXIS["X",EAST],AXIS["Y",NORTH],AUTHORITY["EPSG","2926"]]</t>
  </si>
  <si>
    <t xml:space="preserve">+proj=lcc +lat_1=48.73333333333333 +lat_2=47.5 +lat_0=47 +lon_0=-120.8333333333333 +x_0=500000.0001016001 +y_0=0 +ellps=GRS80 +towgs84=0,0,0,0,0,0,0 +units=us-ft +no_defs </t>
  </si>
  <si>
    <t>PROJCS["NAD83(HARN) / Washington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47.33333333333334],PARAMETER["standard_parallel_2",45.83333333333334],PARAMETER["latitude_of_origin",45.33333333333334],PARAMETER["central_meridian",-120.5],PARAMETER["false_easting",1640416.667],PARAMETER["false_northing",0],UNIT["US survey foot",0.3048006096012192,AUTHORITY["EPSG","9003"]],AXIS["X",EAST],AXIS["Y",NORTH],AUTHORITY["EPSG","2927"]]</t>
  </si>
  <si>
    <t xml:space="preserve">+proj=lcc +lat_1=47.33333333333334 +lat_2=45.83333333333334 +lat_0=45.33333333333334 +lon_0=-120.5 +x_0=500000.0001016001 +y_0=0 +ellps=GRS80 +towgs84=0,0,0,0,0,0,0 +units=us-ft +no_defs </t>
  </si>
  <si>
    <t>PROJCS["NAD83(HARN) / Wisconsin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46.76666666666667],PARAMETER["standard_parallel_2",45.56666666666667],PARAMETER["latitude_of_origin",45.16666666666666],PARAMETER["central_meridian",-90],PARAMETER["false_easting",1968500],PARAMETER["false_northing",0],UNIT["US survey foot",0.3048006096012192,AUTHORITY["EPSG","9003"]],AXIS["X",EAST],AXIS["Y",NORTH],AUTHORITY["EPSG","2928"]]</t>
  </si>
  <si>
    <t xml:space="preserve">+proj=lcc +lat_1=46.76666666666667 +lat_2=45.56666666666667 +lat_0=45.16666666666666 +lon_0=-90 +x_0=600000 +y_0=0 +ellps=GRS80 +towgs84=0,0,0,0,0,0,0 +units=us-ft +no_defs </t>
  </si>
  <si>
    <t>PROJCS["NAD83(HARN) / Wisconsin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45.5],PARAMETER["standard_parallel_2",44.25],PARAMETER["latitude_of_origin",43.83333333333334],PARAMETER["central_meridian",-90],PARAMETER["false_easting",1968500],PARAMETER["false_northing",0],UNIT["US survey foot",0.3048006096012192,AUTHORITY["EPSG","9003"]],AXIS["X",EAST],AXIS["Y",NORTH],AUTHORITY["EPSG","2929"]]</t>
  </si>
  <si>
    <t xml:space="preserve">+proj=lcc +lat_1=45.5 +lat_2=44.25 +lat_0=43.83333333333334 +lon_0=-90 +x_0=600000 +y_0=0 +ellps=GRS80 +towgs84=0,0,0,0,0,0,0 +units=us-ft +no_defs </t>
  </si>
  <si>
    <t>PROJCS["NAD83(HARN) / Wisconsin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44.06666666666667],PARAMETER["standard_parallel_2",42.73333333333333],PARAMETER["latitude_of_origin",42],PARAMETER["central_meridian",-90],PARAMETER["false_easting",1968500],PARAMETER["false_northing",0],UNIT["US survey foot",0.3048006096012192,AUTHORITY["EPSG","9003"]],AXIS["X",EAST],AXIS["Y",NORTH],AUTHORITY["EPSG","2930"]]</t>
  </si>
  <si>
    <t xml:space="preserve">+proj=lcc +lat_1=44.06666666666667 +lat_2=42.73333333333333 +lat_0=42 +lon_0=-90 +x_0=600000 +y_0=0 +ellps=GRS80 +towgs84=0,0,0,0,0,0,0 +units=us-ft +no_defs </t>
  </si>
  <si>
    <t>PROJCS["Beduaram / TM 13 NE",GEOGCS["Beduaram",DATUM["Beduaram",SPHEROID["Clarke 1880 (IGN)",6378249.2,293.4660212936269,AUTHORITY["EPSG","7011"]],TOWGS84[-106,-87,188,0,0,0,0],AUTHORITY["EPSG","6213"]],PRIMEM["Greenwich",0,AUTHORITY["EPSG","8901"]],UNIT["degree",0.0174532925199433,AUTHORITY["EPSG","9122"]],AUTHORITY["EPSG","4213"]],PROJECTION["Transverse_Mercator"],PARAMETER["latitude_of_origin",0],PARAMETER["central_meridian",13],PARAMETER["scale_factor",0.9996],PARAMETER["false_easting",500000],PARAMETER["false_northing",0],UNIT["metre",1,AUTHORITY["EPSG","9001"]],AXIS["X",EAST],AXIS["Y",NORTH],AUTHORITY["EPSG","2931"]]</t>
  </si>
  <si>
    <t xml:space="preserve">+proj=tmerc +lat_0=0 +lon_0=13 +k=0.9996 +x_0=500000 +y_0=0 +a=6378249.2 +b=6356515 +towgs84=-106,-87,188,0,0,0,0 +units=m +no_defs </t>
  </si>
  <si>
    <t>PROJCS["QND95 / Qatar National Grid",GEOGCS["QND95",DATUM["Qatar_National_Datum_1995",SPHEROID["International 1924",6378388,297,AUTHORITY["EPSG","7022"]],TOWGS84[-119.4248,-303.65872,-11.00061,1.164298,0.174458,1.096259,3.657065],AUTHORITY["EPSG","6614"]],PRIMEM["Greenwich",0,AUTHORITY["EPSG","8901"]],UNIT["degree",0.0174532925199433,AUTHORITY["EPSG","9122"]],AUTHORITY["EPSG","4614"]],PROJECTION["Transverse_Mercator"],PARAMETER["latitude_of_origin",24.45],PARAMETER["central_meridian",51.21666666666667],PARAMETER["scale_factor",0.99999],PARAMETER["false_easting",200000],PARAMETER["false_northing",300000],UNIT["metre",1,AUTHORITY["EPSG","9001"]],AXIS["Easting",EAST],AXIS["Northing",NORTH],AUTHORITY["EPSG","2932"]]</t>
  </si>
  <si>
    <t xml:space="preserve">+proj=tmerc +lat_0=24.45 +lon_0=51.21666666666667 +k=0.99999 +x_0=200000 +y_0=300000 +ellps=intl +towgs84=-119.4248,-303.65872,-11.00061,1.164298,0.174458,1.096259,3.657065 +units=m +no_defs </t>
  </si>
  <si>
    <t>PROJCS["Segara / UTM zone 50S",GEOGCS["Segara",DATUM["Gunung_Segara",SPHEROID["Bessel 1841",6377397.155,299.1528128,AUTHORITY["EPSG","7004"]],TOWGS84[-403,684,41,0,0,0,0],AUTHORITY["EPSG","6613"]],PRIMEM["Greenwich",0,AUTHORITY["EPSG","8901"]],UNIT["degree",0.0174532925199433,AUTHORITY["EPSG","9122"]],AUTHORITY["EPSG","4613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2933"]]</t>
  </si>
  <si>
    <t xml:space="preserve">+proj=utm +zone=50 +south +ellps=bessel +towgs84=-403,684,41,0,0,0,0 +units=m +no_defs </t>
  </si>
  <si>
    <t>PROJCS["Segara (Jakarta) / NEIEZ (deprecated)",GEOGCS["Segara (Jakarta)",DATUM["Gunung_Segara_Jakarta",SPHEROID["Bessel 1841",6377397.155,299.1528128,AUTHORITY["EPSG","7004"]],TOWGS84[-403,684,41,0,0,0,0],AUTHORITY["EPSG","6820"]],PRIMEM["Jakarta",106.8077194444444,AUTHORITY["EPSG","8908"]],UNIT["degree",0.0174532925199433,AUTHORITY["EPSG","9122"]],AUTHORITY["EPSG","4820"]],PROJECTION["Mercator_1SP"],PARAMETER["central_meridian",110],PARAMETER["scale_factor",0.997],PARAMETER["false_easting",3900000],PARAMETER["false_northing",900000],UNIT["metre",1,AUTHORITY["EPSG","9001"]],AXIS["X",EAST],AXIS["Y",NORTH],AUTHORITY["EPSG","2934"]]</t>
  </si>
  <si>
    <t xml:space="preserve">+proj=merc +lon_0=110 +k=0.997 +x_0=3900000 +y_0=900000 +ellps=bessel +towgs84=-403,684,41,0,0,0,0 +pm=jakarta +units=m +no_defs </t>
  </si>
  <si>
    <t>PROJCS["Pulkovo 1942 / CS63 zone A1",GEOGCS["Pulkovo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0.1166666666666667],PARAMETER["central_meridian",41.53333333333333],PARAMETER["scale_factor",1],PARAMETER["false_easting",1300000],PARAMETER["false_northing",0],UNIT["metre",1,AUTHORITY["EPSG","9001"]],AUTHORITY["EPSG","2935"]]</t>
  </si>
  <si>
    <t xml:space="preserve">+proj=tmerc +lat_0=0.1166666666666667 +lon_0=41.53333333333333 +k=1 +x_0=1300000 +y_0=0 +ellps=krass +towgs84=23.92,-141.27,-80.9,0,0.35,0.82,-0.12 +units=m +no_defs </t>
  </si>
  <si>
    <t>PROJCS["Pulkovo 1942 / CS63 zone A2",GEOGCS["Pulkovo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0.1166666666666667],PARAMETER["central_meridian",44.53333333333333],PARAMETER["scale_factor",1],PARAMETER["false_easting",2300000],PARAMETER["false_northing",0],UNIT["metre",1,AUTHORITY["EPSG","9001"]],AUTHORITY["EPSG","2936"]]</t>
  </si>
  <si>
    <t xml:space="preserve">+proj=tmerc +lat_0=0.1166666666666667 +lon_0=44.53333333333333 +k=1 +x_0=2300000 +y_0=0 +ellps=krass +towgs84=23.92,-141.27,-80.9,0,0.35,0.82,-0.12 +units=m +no_defs </t>
  </si>
  <si>
    <t>PROJCS["Pulkovo 1942 / CS63 zone A3",GEOGCS["Pulkovo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0.1166666666666667],PARAMETER["central_meridian",47.53333333333333],PARAMETER["scale_factor",1],PARAMETER["false_easting",3300000],PARAMETER["false_northing",0],UNIT["metre",1,AUTHORITY["EPSG","9001"]],AUTHORITY["EPSG","2937"]]</t>
  </si>
  <si>
    <t xml:space="preserve">+proj=tmerc +lat_0=0.1166666666666667 +lon_0=47.53333333333333 +k=1 +x_0=3300000 +y_0=0 +ellps=krass +towgs84=23.92,-141.27,-80.9,0,0.35,0.82,-0.12 +units=m +no_defs </t>
  </si>
  <si>
    <t>PROJCS["Pulkovo 1942 / CS63 zone A4",GEOGCS["Pulkovo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0.1166666666666667],PARAMETER["central_meridian",50.53333333333333],PARAMETER["scale_factor",1],PARAMETER["false_easting",4300000],PARAMETER["false_northing",0],UNIT["metre",1,AUTHORITY["EPSG","9001"]],AUTHORITY["EPSG","2938"]]</t>
  </si>
  <si>
    <t xml:space="preserve">+proj=tmerc +lat_0=0.1166666666666667 +lon_0=50.53333333333333 +k=1 +x_0=4300000 +y_0=0 +ellps=krass +towgs84=23.92,-141.27,-80.9,0,0.35,0.82,-0.12 +units=m +no_defs </t>
  </si>
  <si>
    <t>PROJCS["Pulkovo 1942 / CS63 zone K3",GEOGCS["Pulkovo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0.1333333333333333],PARAMETER["central_meridian",53.76666666666667],PARAMETER["scale_factor",1],PARAMETER["false_easting",3300000],PARAMETER["false_northing",0],UNIT["metre",1,AUTHORITY["EPSG","9001"]],AUTHORITY["EPSG","2940"]]</t>
  </si>
  <si>
    <t xml:space="preserve">+proj=tmerc +lat_0=0.1333333333333333 +lon_0=53.76666666666667 +k=1 +x_0=3300000 +y_0=0 +ellps=krass +towgs84=23.92,-141.27,-80.9,0,0.35,0.82,-0.12 +units=m +no_defs </t>
  </si>
  <si>
    <t>PROJCS["Pulkovo 1942 / CS63 zone K4",GEOGCS["Pulkovo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0.1333333333333333],PARAMETER["central_meridian",56.76666666666667],PARAMETER["scale_factor",1],PARAMETER["false_easting",4300000],PARAMETER["false_northing",0],UNIT["metre",1,AUTHORITY["EPSG","9001"]],AUTHORITY["EPSG","2941"]]</t>
  </si>
  <si>
    <t xml:space="preserve">+proj=tmerc +lat_0=0.1333333333333333 +lon_0=56.76666666666667 +k=1 +x_0=4300000 +y_0=0 +ellps=krass +towgs84=23.92,-141.27,-80.9,0,0.35,0.82,-0.12 +units=m +no_defs </t>
  </si>
  <si>
    <t>PROJCS["Porto Santo / UTM zone 28N",GEOGCS["Porto Santo",DATUM["Porto_Santo_1936",SPHEROID["International 1924",6378388,297,AUTHORITY["EPSG","7022"]],TOWGS84[-499,-249,314,0,0,0,0],AUTHORITY["EPSG","6615"]],PRIMEM["Greenwich",0,AUTHORITY["EPSG","8901"]],UNIT["degree",0.0174532925199433,AUTHORITY["EPSG","9122"]],AUTHORITY["EPSG","4615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2942"]]</t>
  </si>
  <si>
    <t xml:space="preserve">+proj=utm +zone=28 +ellps=intl +towgs84=-499,-249,314,0,0,0,0 +units=m +no_defs </t>
  </si>
  <si>
    <t>PROJCS["Selvagem Grande / UTM zone 28N",GEOGCS["Selvagem Grande",DATUM["Selvagem_Grande",SPHEROID["International 1924",6378388,297,AUTHORITY["EPSG","7022"]],TOWGS84[-289,-124,60,0,0,0,0],AUTHORITY["EPSG","6616"]],PRIMEM["Greenwich",0,AUTHORITY["EPSG","8901"]],UNIT["degree",0.0174532925199433,AUTHORITY["EPSG","9122"]],AUTHORITY["EPSG","4616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2943"]]</t>
  </si>
  <si>
    <t xml:space="preserve">+proj=utm +zone=28 +ellps=intl +towgs84=-289,-124,60,0,0,0,0 +units=m +no_defs </t>
  </si>
  <si>
    <t>PROJCS["NAD83(CSRS) / SCoPQ zone 2 (deprecated)",GEOGCS["NAD83(CSRS)",DATUM["NAD83_Canadian_Spatial_Reference_System",SPHEROID["GRS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-55.5],PARAMETER["scale_factor",0.9999],PARAMETER["false_easting",304800],PARAMETER["false_northing",0],UNIT["metre",1,AUTHORITY["EPSG","9001"]],AXIS["X",EAST],AXIS["Y",NORTH],AUTHORITY["EPSG","2944"]]</t>
  </si>
  <si>
    <t>PROJCS["NAD83(CSRS) / MTM zone 3",GEOGCS["NAD83(CSRS)",DATUM["NAD83_Canadian_Spatial_Reference_System",SPHEROID["GRS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-58.5],PARAMETER["scale_factor",0.9999],PARAMETER["false_easting",304800],PARAMETER["false_northing",0],UNIT["metre",1,AUTHORITY["EPSG","9001"]],AXIS["E(X)",EAST],AXIS["N(Y)",NORTH],AUTHORITY["EPSG","2945"]]</t>
  </si>
  <si>
    <t>PROJCS["NAD83(CSRS) / MTM zone 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-61.5],PARAMETER["scale_factor",0.9999],PARAMETER["false_easting",304800],PARAMETER["false_northing",0],UNIT["metre",1,AUTHORITY["EPSG","9001"]],AXIS["E(X)",EAST],AXIS["N(Y)",NORTH],AUTHORITY["EPSG","2946"]]</t>
  </si>
  <si>
    <t>PROJCS["NAD83(CSRS) / MTM zone 5",GEOGCS["NAD83(CSRS)",DATUM["NAD83_Canadian_Spatial_Reference_System",SPHEROID["GRS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-64.5],PARAMETER["scale_factor",0.9999],PARAMETER["false_easting",304800],PARAMETER["false_northing",0],UNIT["metre",1,AUTHORITY["EPSG","9001"]],AXIS["E(X)",EAST],AXIS["N(Y)",NORTH],AUTHORITY["EPSG","2947"]]</t>
  </si>
  <si>
    <t>PROJCS["NAD83(CSRS) / MTM zone 6",GEOGCS["NAD83(CSRS)",DATUM["NAD83_Canadian_Spatial_Reference_System",SPHEROID["GRS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-67.5],PARAMETER["scale_factor",0.9999],PARAMETER["false_easting",304800],PARAMETER["false_northing",0],UNIT["metre",1,AUTHORITY["EPSG","9001"]],AXIS["E(X)",EAST],AXIS["N(Y)",NORTH],AUTHORITY["EPSG","2948"]]</t>
  </si>
  <si>
    <t>PROJCS["WGS 84 / North Pole LAEA Atlantic",GEOGCS["WGS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-40],PARAMETER["false_easting",0],PARAMETER["false_northing",0],UNIT["metre",1,AUTHORITY["EPSG","9001"]],AXIS["X",EAST],AXIS["Y",NORTH],AUTHORITY["EPSG","3574"]]</t>
  </si>
  <si>
    <t>PROJCS["NAD83(CSRS) / MTM zone 8",GEOGCS["NAD83(CSRS)",DATUM["NAD83_Canadian_Spatial_Reference_System",SPHEROID["GRS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-73.5],PARAMETER["scale_factor",0.9999],PARAMETER["false_easting",304800],PARAMETER["false_northing",0],UNIT["metre",1,AUTHORITY["EPSG","9001"]],AXIS["E(X)",EAST],AXIS["N(Y)",NORTH],AUTHORITY["EPSG","2950"]]</t>
  </si>
  <si>
    <t>PROJCS["NAD83(CSRS) / MTM zone 9",GEOGCS["NAD83(CSRS)",DATUM["NAD83_Canadian_Spatial_Reference_System",SPHEROID["GRS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-76.5],PARAMETER["scale_factor",0.9999],PARAMETER["false_easting",304800],PARAMETER["false_northing",0],UNIT["metre",1,AUTHORITY["EPSG","9001"]],AXIS["E(X)",EAST],AXIS["N(Y)",NORTH],AUTHORITY["EPSG","2951"]]</t>
  </si>
  <si>
    <t>PROJCS["NAD83(CSRS) / MTM zone 10",GEOGCS["NAD83(CSRS)",DATUM["NAD83_Canadian_Spatial_Reference_System",SPHEROID["GRS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-79.5],PARAMETER["scale_factor",0.9999],PARAMETER["false_easting",304800],PARAMETER["false_northing",0],UNIT["metre",1,AUTHORITY["EPSG","9001"]],AXIS["E(X)",EAST],AXIS["N(Y)",NORTH],AUTHORITY["EPSG","2952"]]</t>
  </si>
  <si>
    <t>PROJCS["NAD83(CSRS) / New Brunswick Stereographic",GEOGCS["NAD83(CSRS)",DATUM["NAD83_Canadian_Spatial_Reference_System",SPHEROID["GRS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Oblique_Stereographic"],PARAMETER["latitude_of_origin",46.5],PARAMETER["central_meridian",-66.5],PARAMETER["scale_factor",0.999912],PARAMETER["false_easting",2500000],PARAMETER["false_northing",7500000],UNIT["metre",1,AUTHORITY["EPSG","9001"]],AUTHORITY["EPSG","2953"]]</t>
  </si>
  <si>
    <t>PROJCS["NAD83(CSRS) / Prince Edward Isl. Stereographic (NAD83)",GEOGCS["NAD83(CSRS)",DATUM["NAD83_Canadian_Spatial_Reference_System",SPHEROID["GRS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Oblique_Stereographic"],PARAMETER["latitude_of_origin",47.25],PARAMETER["central_meridian",-63],PARAMETER["scale_factor",0.999912],PARAMETER["false_easting",400000],PARAMETER["false_northing",800000],UNIT["metre",1,AUTHORITY["EPSG","9001"]],AXIS["E(X)",EAST],AXIS["N(Y)",NORTH],AUTHORITY["EPSG","2954"]]</t>
  </si>
  <si>
    <t>PROJCS["NAD83(CSRS) / UTM zone 11N",GEOGCS["NAD83(CSRS)",DATUM["NAD83_Canadian_Spatial_Reference_System",SPHEROID["GRS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2955"]]</t>
  </si>
  <si>
    <t>PROJCS["NAD83(CSRS) / UTM zone 12N",GEOGCS["NAD83(CSRS)",DATUM["NAD83_Canadian_Spatial_Reference_System",SPHEROID["GRS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2956"]]</t>
  </si>
  <si>
    <t>PROJCS["NAD83(CSRS) / UTM zone 13N",GEOGCS["NAD83(CSRS)",DATUM["NAD83_Canadian_Spatial_Reference_System",SPHEROID["GRS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2957"]]</t>
  </si>
  <si>
    <t>PROJCS["NAD83(CSRS) / UTM zone 17N",GEOGCS["NAD83(CSRS)",DATUM["NAD83_Canadian_Spatial_Reference_System",SPHEROID["GRS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2958"]]</t>
  </si>
  <si>
    <t>PROJCS["NAD83(CSRS) / UTM zone 18N",GEOGCS["NAD83(CSRS)",DATUM["NAD83_Canadian_Spatial_Reference_System",SPHEROID["GRS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2959"]]</t>
  </si>
  <si>
    <t>PROJCS["NAD83(CSRS) / UTM zone 20N",GEOGCS["NAD83(CSRS)",DATUM["NAD83_Canadian_Spatial_Reference_System",SPHEROID["GRS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2961"]]</t>
  </si>
  <si>
    <t>PROJCS["NAD83(CSRS) / UTM zone 21N",GEOGCS["NAD83(CSRS)",DATUM["NAD83_Canadian_Spatial_Reference_System",SPHEROID["GRS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2962"]]</t>
  </si>
  <si>
    <t>PROJCS["NAD27 / Alaska Albers",GEOGCS["NAD27",DATUM["North_American_Datum_1927",SPHEROID["Clarke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Albers_Conic_Equal_Area"],PARAMETER["standard_parallel_1",55],PARAMETER["standard_parallel_2",65],PARAMETER["latitude_of_center",50],PARAMETER["longitude_of_center",-154],PARAMETER["false_easting",0],PARAMETER["false_northing",0],UNIT["US survey foot",0.3048006096012192,AUTHORITY["EPSG","9003"]],AXIS["X",EAST],AXIS["Y",NORTH],AUTHORITY["EPSG","2964"]]</t>
  </si>
  <si>
    <t>PROJCS["NAD83 / Indiana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-85.66666666666667],PARAMETER["scale_factor",0.999966667],PARAMETER["false_easting",328083.333],PARAMETER["false_northing",820208.3330000002],UNIT["US survey foot",0.3048006096012192,AUTHORITY["EPSG","9003"]],AXIS["X",EAST],AXIS["Y",NORTH],AUTHORITY["EPSG","2965"]]</t>
  </si>
  <si>
    <t>PROJCS["NAD83 / Indiana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-87.08333333333333],PARAMETER["scale_factor",0.999966667],PARAMETER["false_easting",2952750],PARAMETER["false_northing",820208.3330000002],UNIT["US survey foot",0.3048006096012192,AUTHORITY["EPSG","9003"]],AXIS["X",EAST],AXIS["Y",NORTH],AUTHORITY["EPSG","2966"]]</t>
  </si>
  <si>
    <t>PROJCS["NAD83(HARN) / Indiana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-85.66666666666667],PARAMETER["scale_factor",0.999966667],PARAMETER["false_easting",328083.333],PARAMETER["false_northing",820208.3330000002],UNIT["US survey foot",0.3048006096012192,AUTHORITY["EPSG","9003"]],AXIS["X",EAST],AXIS["Y",NORTH],AUTHORITY["EPSG","2967"]]</t>
  </si>
  <si>
    <t xml:space="preserve">+proj=tmerc +lat_0=37.5 +lon_0=-85.66666666666667 +k=0.999966667 +x_0=99999.99989839978 +y_0=249999.9998983998 +ellps=GRS80 +towgs84=0,0,0,0,0,0,0 +units=us-ft +no_defs </t>
  </si>
  <si>
    <t>PROJCS["NAD83(HARN) / Indiana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37.5],PARAMETER["central_meridian",-87.08333333333333],PARAMETER["scale_factor",0.999966667],PARAMETER["false_easting",2952750],PARAMETER["false_northing",820208.3330000002],UNIT["US survey foot",0.3048006096012192,AUTHORITY["EPSG","9003"]],AXIS["X",EAST],AXIS["Y",NORTH],AUTHORITY["EPSG","2968"]]</t>
  </si>
  <si>
    <t xml:space="preserve">+proj=tmerc +lat_0=37.5 +lon_0=-87.08333333333333 +k=0.999966667 +x_0=900000 +y_0=249999.9998983998 +ellps=GRS80 +towgs84=0,0,0,0,0,0,0 +units=us-ft +no_defs </t>
  </si>
  <si>
    <t>PROJCS["Fort Marigot / UTM zone 20N",GEOGCS["Fort Marigot",DATUM["Fort_Marigot",SPHEROID["International 1924",6378388,297,AUTHORITY["EPSG","7022"]],TOWGS84[137,248,-430,0,0,0,0],AUTHORITY["EPSG","6621"]],PRIMEM["Greenwich",0,AUTHORITY["EPSG","8901"]],UNIT["degree",0.0174532925199433,AUTHORITY["EPSG","9122"]],AUTHORITY["EPSG","4621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2969"]]</t>
  </si>
  <si>
    <t xml:space="preserve">+proj=utm +zone=20 +ellps=intl +towgs84=137,248,-430,0,0,0,0 +units=m +no_defs </t>
  </si>
  <si>
    <t>PROJCS["Guadeloupe 1948 / UTM zone 20N",GEOGCS["Guadeloupe 1948",DATUM["Guadeloupe_1948",SPHEROID["International 1924",6378388,297,AUTHORITY["EPSG","7022"]],TOWGS84[-467,-16,-300,0,0,0,0],AUTHORITY["EPSG","6622"]],PRIMEM["Greenwich",0,AUTHORITY["EPSG","8901"]],UNIT["degree",0.0174532925199433,AUTHORITY["EPSG","9122"]],AUTHORITY["EPSG","4622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2970"]]</t>
  </si>
  <si>
    <t xml:space="preserve">+proj=utm +zone=20 +ellps=intl +towgs84=-467,-16,-300,0,0,0,0 +units=m +no_defs </t>
  </si>
  <si>
    <t>GEOCCS["POSGAR 98 (geocentric)",DATUM["Posiciones_Geodesicas_Argentinas_1998",SPHEROID["GRS 1980",6378137,298.257222101,AUTHORITY["EPSG","7019"]],AUTHORITY["EPSG","6190"]],PRIMEM["Greenwich",0,AUTHORITY["EPSG","8901"]],UNIT["metre",1,AUTHORITY["EPSG","9001"]],AXIS["Geocentric X",OTHER],AXIS["Geocentric Y",OTHER],AXIS["Geocentric Z",NORTH],AUTHORITY["EPSG","4366"]]</t>
  </si>
  <si>
    <t>PROJCS["CSG67 / UTM zone 22N",GEOGCS["CSG67",DATUM["Centre_Spatial_Guyanais_1967",SPHEROID["International 1924",6378388,297,AUTHORITY["EPSG","7022"]],TOWGS84[-186,230,110,0,0,0,0],AUTHORITY["EPSG","6623"]],PRIMEM["Greenwich",0,AUTHORITY["EPSG","8901"]],UNIT["degree",0.0174532925199433,AUTHORITY["EPSG","9122"]],AUTHORITY["EPSG","4623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2971"]]</t>
  </si>
  <si>
    <t xml:space="preserve">+proj=utm +zone=22 +ellps=intl +towgs84=-186,230,110,0,0,0,0 +units=m +no_defs </t>
  </si>
  <si>
    <t>PROJCS["RGFG95 / UTM zone 22N",GEOGCS["RGFG95",DATUM["Reseau_Geodesique_Francais_Guyane_1995",SPHEROID["GRS 1980",6378137,298.257222101,AUTHORITY["EPSG","7019"]],TOWGS84[0,0,0,0,0,0,0],AUTHORITY["EPSG","6624"]],PRIMEM["Greenwich",0,AUTHORITY["EPSG","8901"]],UNIT["degree",0.0174532925199433,AUTHORITY["EPSG","9122"]],AUTHORITY["EPSG","4624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2972"]]</t>
  </si>
  <si>
    <t xml:space="preserve">+proj=utm +zone=22 +ellps=GRS80 +towgs84=0,0,0,0,0,0,0 +units=m +no_defs </t>
  </si>
  <si>
    <t>PROJCS["Martinique 1938 / UTM zone 20N",GEOGCS["Martinique 1938",DATUM["Martinique_1938",SPHEROID["International 1924",6378388,297,AUTHORITY["EPSG","7022"]],TOWGS84[186,482,151,0,0,0,0],AUTHORITY["EPSG","6625"]],PRIMEM["Greenwich",0,AUTHORITY["EPSG","8901"]],UNIT["degree",0.0174532925199433,AUTHORITY["EPSG","9122"]],AUTHORITY["EPSG","4625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2973"]]</t>
  </si>
  <si>
    <t xml:space="preserve">+proj=utm +zone=20 +ellps=intl +towgs84=186,482,151,0,0,0,0 +units=m +no_defs </t>
  </si>
  <si>
    <t>PROJCS["RGR92 / UTM zone 40S",GEOGCS["RGR92",DATUM["Reseau_Geodesique_de_la_Reunion_1992",SPHEROID["GRS 1980",6378137,298.257222101,AUTHORITY["EPSG","7019"]],TOWGS84[0,0,0,0,0,0,0],AUTHORITY["EPSG","6627"]],PRIMEM["Greenwich",0,AUTHORITY["EPSG","8901"]],UNIT["degree",0.0174532925199433,AUTHORITY["EPSG","9122"]],AUTHORITY["EPSG","4627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2975"]]</t>
  </si>
  <si>
    <t xml:space="preserve">+proj=utm +zone=40 +south +ellps=GRS80 +towgs84=0,0,0,0,0,0,0 +units=m +no_defs </t>
  </si>
  <si>
    <t>PROJCS["Tahiti 52 / UTM zone 6S",GEOGCS["Tahiti 52",DATUM["Tahiti_52",SPHEROID["International 1924",6378388,297,AUTHORITY["EPSG","7022"]],TOWGS84[162,117,154,0,0,0,0],AUTHORITY["EPSG","6628"]],PRIMEM["Greenwich",0,AUTHORITY["EPSG","8901"]],UNIT["degree",0.0174532925199433,AUTHORITY["EPSG","9122"]],AUTHORITY["EPSG","4628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2976"]]</t>
  </si>
  <si>
    <t xml:space="preserve">+proj=utm +zone=6 +south +ellps=intl +towgs84=162,117,154,0,0,0,0 +units=m +no_defs </t>
  </si>
  <si>
    <t>PROJCS["Tahaa 54 / UTM zone 5S",GEOGCS["Tahaa 54",DATUM["Tahaa_54",SPHEROID["International 1924",6378388,297,AUTHORITY["EPSG","7022"]],TOWGS84[72.438,345.918,79.486,1.6045,0.8823,0.5565,1.3746],AUTHORITY["EPSG","6629"]],PRIMEM["Greenwich",0,AUTHORITY["EPSG","8901"]],UNIT["degree",0.0174532925199433,AUTHORITY["EPSG","9122"]],AUTHORITY["EPSG","4629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2977"]]</t>
  </si>
  <si>
    <t xml:space="preserve">+proj=utm +zone=5 +south +ellps=intl +towgs84=72.438,345.918,79.486,1.6045,0.8823,0.5565,1.3746 +units=m +no_defs </t>
  </si>
  <si>
    <t>PROJCS["IGN72 Nuku Hiva / UTM zone 7S",GEOGCS["IGN72 Nuku Hiva",DATUM["IGN72_Nuku_Hiva",SPHEROID["International 1924",6378388,297,AUTHORITY["EPSG","7022"]],TOWGS84[84,274,65,0,0,0,0],AUTHORITY["EPSG","6630"]],PRIMEM["Greenwich",0,AUTHORITY["EPSG","8901"]],UNIT["degree",0.0174532925199433,AUTHORITY["EPSG","9122"]],AUTHORITY["EPSG","4630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2978"]]</t>
  </si>
  <si>
    <t xml:space="preserve">+proj=utm +zone=7 +south +ellps=intl +towgs84=84,274,65,0,0,0,0 +units=m +no_defs </t>
  </si>
  <si>
    <t>PROJCS["K0 1949 / UTM zone 42S (deprecated)",GEOGCS["K0 1949",DATUM["K0_1949",SPHEROID["International 1924",6378388,297,AUTHORITY["EPSG","7022"]],TOWGS84[145,-187,103,0,0,0,0],AUTHORITY["EPSG","6631"]],PRIMEM["Greenwich",0,AUTHORITY["EPSG","8901"]],UNIT["degree",0.0174532925199433,AUTHORITY["EPSG","9122"]],AUTHORITY["EPSG","4631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2979"]]</t>
  </si>
  <si>
    <t xml:space="preserve">+proj=utm +zone=42 +south +ellps=intl +towgs84=145,-187,103,0,0,0,0 +units=m +no_defs </t>
  </si>
  <si>
    <t>PROJCS["Combani 1950 / UTM zone 38S",GEOGCS["Combani 1950",DATUM["Combani_1950",SPHEROID["International 1924",6378388,297,AUTHORITY["EPSG","7022"]],TOWGS84[-382,-59,-262,0,0,0,0],AUTHORITY["EPSG","6632"]],PRIMEM["Greenwich",0,AUTHORITY["EPSG","8901"]],UNIT["degree",0.0174532925199433,AUTHORITY["EPSG","9122"]],AUTHORITY["EPSG","4632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2980"]]</t>
  </si>
  <si>
    <t xml:space="preserve">+proj=utm +zone=38 +south +ellps=intl +towgs84=-382,-59,-262,0,0,0,0 +units=m +no_defs </t>
  </si>
  <si>
    <t>PROJCS["IGN56 Lifou / UTM zone 58S",GEOGCS["IGN56 Lifou",DATUM["IGN56_Lifou",SPHEROID["International 1924",6378388,297,AUTHORITY["EPSG","7022"]],TOWGS84[335.47,222.58,-230.94,0,0,0,0],AUTHORITY["EPSG","6633"]],PRIMEM["Greenwich",0,AUTHORITY["EPSG","8901"]],UNIT["degree",0.0174532925199433,AUTHORITY["EPSG","9122"]],AUTHORITY["EPSG","4633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2981"]]</t>
  </si>
  <si>
    <t xml:space="preserve">+proj=utm +zone=58 +south +ellps=intl +towgs84=335.47,222.58,-230.94,0,0,0,0 +units=m +no_defs </t>
  </si>
  <si>
    <t>PROJCS["IGN72 Grand Terre / UTM zone 58S (deprecated)",GEOGCS["IGN72 Grand Terre",DATUM["IGN72_Grande_Terre",SPHEROID["International 1924",6378388,297,AUTHORITY["EPSG","7022"]],TOWGS84[-13,-348,292,0,0,0,0],AUTHORITY["EPSG","6634"]],PRIMEM["Greenwich",0,AUTHORITY["EPSG","8901"]],UNIT["degree",0.0174532925199433,AUTHORITY["EPSG","9108"]],AUTHORITY["EPSG","4634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2982"]]</t>
  </si>
  <si>
    <t xml:space="preserve">+proj=utm +zone=58 +south +ellps=intl +towgs84=-13,-348,292,0,0,0,0 +units=m +no_defs </t>
  </si>
  <si>
    <t>PROJCS["ST87 Ouvea / UTM zone 58S (deprecated)",GEOGCS["ST87 Ouvea",DATUM["ST87_Ouvea",SPHEROID["International 1924",6378388,297,AUTHORITY["EPSG","7022"]],TOWGS84[-122.383,-188.696,103.344,3.5107,-4.9668,-5.7047,4.4798],AUTHORITY["EPSG","6635"]],PRIMEM["Greenwich",0,AUTHORITY["EPSG","8901"]],UNIT["degree",0.0174532925199433,AUTHORITY["EPSG","9122"]],AUTHORITY["EPSG","4635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2983"]]</t>
  </si>
  <si>
    <t xml:space="preserve">+proj=utm +zone=58 +south +ellps=intl +towgs84=-122.383,-188.696,103.344,3.5107,-4.9668,-5.7047,4.4798 +units=m +no_defs </t>
  </si>
  <si>
    <t>PROJCS["RGNC 1991 / Lambert New Caledonia (deprecated)",GEOGCS["RGNC 1991",DATUM["Reseau_Geodesique_Nouvelle_Caledonie_1991",SPHEROID["International 1924",6378388,297,AUTHORITY["EPSG","7022"]],TOWGS84[0,0,0,0,0,0,0],AUTHORITY["EPSG","6645"]],PRIMEM["Greenwich",0,AUTHORITY["EPSG","8901"]],UNIT["degree",0.0174532925199433,AUTHORITY["EPSG","9122"]],AUTHORITY["EPSG","4645"]],PROJECTION["Lambert_Conformal_Conic_2SP"],PARAMETER["standard_parallel_1",-20.66666666666667],PARAMETER["standard_parallel_2",-22.33333333333333],PARAMETER["latitude_of_origin",-21.5],PARAMETER["central_meridian",166],PARAMETER["false_easting",400000],PARAMETER["false_northing",300000],UNIT["metre",1,AUTHORITY["EPSG","9001"]],AXIS["X",EAST],AXIS["Y",NORTH],AUTHORITY["EPSG","2984"]]</t>
  </si>
  <si>
    <t xml:space="preserve">+proj=lcc +lat_1=-20.66666666666667 +lat_2=-22.33333333333333 +lat_0=-21.5 +lon_0=166 +x_0=400000 +y_0=300000 +ellps=intl +towgs84=0,0,0,0,0,0,0 +units=m +no_defs </t>
  </si>
  <si>
    <t>PROJCS["Saint Pierre et Miquelon 1950 / UTM zone 21N",GEOGCS["Saint Pierre et Miquelon 1950",DATUM["Saint_Pierre_et_Miquelon_1950",SPHEROID["Clarke 1866",6378206.4,294.9786982138982,AUTHORITY["EPSG","7008"]],TOWGS84[11.363,424.148,373.13,0,0,0,0],AUTHORITY["EPSG","6638"]],PRIMEM["Greenwich",0,AUTHORITY["EPSG","8901"]],UNIT["degree",0.0174532925199433,AUTHORITY["EPSG","9122"]],AUTHORITY["EPSG","4638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2987"]]</t>
  </si>
  <si>
    <t xml:space="preserve">+proj=utm +zone=21 +ellps=clrk66 +towgs84=11.363,424.148,373.13,0,0,0,0 +units=m +no_defs </t>
  </si>
  <si>
    <t>PROJCS["MOP78 / UTM zone 1S",GEOGCS["MOP78",DATUM["MOP78",SPHEROID["International 1924",6378388,297,AUTHORITY["EPSG","7022"]],TOWGS84[253,-132,-127,0,0,0,0],AUTHORITY["EPSG","6639"]],PRIMEM["Greenwich",0,AUTHORITY["EPSG","8901"]],UNIT["degree",0.0174532925199433,AUTHORITY["EPSG","9122"]],AUTHORITY["EPSG","4639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2988"]]</t>
  </si>
  <si>
    <t xml:space="preserve">+proj=utm +zone=1 +south +ellps=intl +towgs84=253,-132,-127,0,0,0,0 +units=m +no_defs </t>
  </si>
  <si>
    <t>PROJCS["RRAF 1991 / UTM zone 20N (deprecated)",GEOGCS["RRAF 1991",DATUM["Reseau_de_Reference_des_Antilles_Francaises_1991",SPHEROID["WGS 84",6378137,298.257223563,AUTHORITY["EPSG","7030"]],TOWGS84[0,0,0,0,0,0,0],AUTHORITY["EPSG","6640"]],PRIMEM["Greenwich",0,AUTHORITY["EPSG","8901"]],UNIT["degree",0.0174532925199433,AUTHORITY["EPSG","9122"]],AUTHORITY["EPSG","4640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2989"]]</t>
  </si>
  <si>
    <t xml:space="preserve">+proj=utm +zone=20 +ellps=WGS84 +towgs84=0,0,0,0,0,0,0 +units=m +no_defs </t>
  </si>
  <si>
    <t>PROJCS["Reunion 1947 / TM Reunion (deprecated)",GEOGCS["Reunion 1947",DATUM["Reunion_1947",SPHEROID["International 1924",6378388,297,AUTHORITY["EPSG","7022"]],TOWGS84[94,-948,-1262,0,0,0,0],AUTHORITY["EPSG","6626"]],PRIMEM["Greenwich",0,AUTHORITY["EPSG","8901"]],UNIT["degree",0.0174532925199433,AUTHORITY["EPSG","9122"]],AUTHORITY["EPSG","4626"]],PROJECTION["Transverse_Mercator"],PARAMETER["latitude_of_origin",-21.11666666666667],PARAMETER["central_meridian",55.53333333333333],PARAMETER["scale_factor",1],PARAMETER["false_easting",50000],PARAMETER["false_northing",160000],UNIT["metre",1,AUTHORITY["EPSG","9001"]],AXIS["X",EAST],AXIS["Y",NORTH],AUTHORITY["EPSG","2990"]]</t>
  </si>
  <si>
    <t xml:space="preserve">+proj=tmerc +lat_0=-21.11666666666667 +lon_0=55.53333333333333 +k=1 +x_0=50000 +y_0=160000 +ellps=intl +towgs84=94,-948,-1262,0,0,0,0 +units=m +no_defs </t>
  </si>
  <si>
    <t>PROJCS["NAD83 / Oregon LCC (m)",GEOGCS["NAD83",DATUM["North_American_Datum_1983",SPHEROID["GRS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2991"]]</t>
  </si>
  <si>
    <t>PROJCS["NAD83 / Oregon GIC Lambert (ft)",GEOGCS["NAD83",DATUM["North_American_Datum_1983",SPHEROID["GRS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2992"]]</t>
  </si>
  <si>
    <t>GEOCCS["REGVEN (geocentric)",DATUM["Red_Geodesica_Venezolana",SPHEROID["GRS 1980",6378137,298.257222101,AUTHORITY["EPSG","7019"]],AUTHORITY["EPSG","6189"]],PRIMEM["Greenwich",0,AUTHORITY["EPSG","8901"]],UNIT["metre",1,AUTHORITY["EPSG","9001"]],AXIS["Geocentric X",OTHER],AXIS["Geocentric Y",OTHER],AXIS["Geocentric Z",NORTH],AUTHORITY["EPSG","4368"]]</t>
  </si>
  <si>
    <t>PROJCS["NAD83(HARN) / Oregon LCC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2993"]]</t>
  </si>
  <si>
    <t xml:space="preserve">+proj=lcc +lat_1=43 +lat_2=45.5 +lat_0=41.75 +lon_0=-120.5 +x_0=400000 +y_0=0 +ellps=GRS80 +towgs84=0,0,0,0,0,0,0 +units=m +no_defs </t>
  </si>
  <si>
    <t>PROJCS["NAD83(HARN) / Oregon GIC Lambert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2994"]]</t>
  </si>
  <si>
    <t xml:space="preserve">+proj=lcc +lat_1=43 +lat_2=45.5 +lat_0=41.75 +lon_0=-120.5 +x_0=399999.9999984 +y_0=0 +ellps=GRS80 +towgs84=0,0,0,0,0,0,0 +units=ft +no_defs </t>
  </si>
  <si>
    <t>PROJCS["IGN53 Mare / UTM zone 58S",GEOGCS["IGN53 Mare",DATUM["IGN53_Mare",SPHEROID["International 1924",6378388,297,AUTHORITY["EPSG","7022"]],TOWGS84[287.58,177.78,-135.41,0,0,0,0],AUTHORITY["EPSG","6641"]],PRIMEM["Greenwich",0,AUTHORITY["EPSG","8901"]],UNIT["degree",0.0174532925199433,AUTHORITY["EPSG","9122"]],AUTHORITY["EPSG","4641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2995"]]</t>
  </si>
  <si>
    <t xml:space="preserve">+proj=utm +zone=58 +south +ellps=intl +towgs84=287.58,177.78,-135.41,0,0,0,0 +units=m +no_defs </t>
  </si>
  <si>
    <t>PROJCS["ST84 Ile des Pins / UTM zone 58S",GEOGCS["ST84 Ile des Pins",DATUM["ST84_Ile_des_Pins",SPHEROID["International 1924",6378388,297,AUTHORITY["EPSG","7022"]],TOWGS84[-13,-348,292,0,0,0,0],AUTHORITY["EPSG","6642"]],PRIMEM["Greenwich",0,AUTHORITY["EPSG","8901"]],UNIT["degree",0.0174532925199433,AUTHORITY["EPSG","9122"]],AUTHORITY["EPSG","4642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2996"]]</t>
  </si>
  <si>
    <t>PROJCS["ST71 Belep / UTM zone 58S",GEOGCS["ST71 Belep",DATUM["ST71_Belep",SPHEROID["International 1924",6378388,297,AUTHORITY["EPSG","7022"]],TOWGS84[-480.26,-438.32,-643.429,16.3119,20.1721,-4.0349,-111.7002],AUTHORITY["EPSG","6643"]],PRIMEM["Greenwich",0,AUTHORITY["EPSG","8901"]],UNIT["degree",0.0174532925199433,AUTHORITY["EPSG","9122"]],AUTHORITY["EPSG","4643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2997"]]</t>
  </si>
  <si>
    <t xml:space="preserve">+proj=utm +zone=58 +south +ellps=intl +towgs84=-480.26,-438.32,-643.429,16.3119,20.1721,-4.0349,-111.7002 +units=m +no_defs </t>
  </si>
  <si>
    <t>PROJCS["NEA74 Noumea / UTM zone 58S",GEOGCS["NEA74 Noumea",DATUM["NEA74_Noumea",SPHEROID["International 1924",6378388,297,AUTHORITY["EPSG","7022"]],TOWGS84[-10.18,-350.43,291.37,0,0,0,0],AUTHORITY["EPSG","6644"]],PRIMEM["Greenwich",0,AUTHORITY["EPSG","8901"]],UNIT["degree",0.0174532925199433,AUTHORITY["EPSG","9122"]],AUTHORITY["EPSG","4644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2998"]]</t>
  </si>
  <si>
    <t xml:space="preserve">+proj=utm +zone=58 +south +ellps=intl +towgs84=-10.18,-350.43,291.37,0,0,0,0 +units=m +no_defs </t>
  </si>
  <si>
    <t>PROJCS["Grand Comoros / UTM zone 38S",GEOGCS["Grand Comoros",DATUM["Grand_Comoros",SPHEROID["International 1924",6378388,297,AUTHORITY["EPSG","7022"]],TOWGS84[-963,510,-359,0,0,0,0],AUTHORITY["EPSG","6646"]],PRIMEM["Greenwich",0,AUTHORITY["EPSG","8901"]],UNIT["degree",0.0174532925199433,AUTHORITY["EPSG","9122"]],AUTHORITY["EPSG","4646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2999"]]</t>
  </si>
  <si>
    <t xml:space="preserve">+proj=utm +zone=38 +south +ellps=intl +towgs84=-963,510,-359,0,0,0,0 +units=m +no_defs </t>
  </si>
  <si>
    <t>PROJCS["Segara / NEIEZ",GEOGCS["Segara",DATUM["Gunung_Segara",SPHEROID["Bessel 1841",6377397.155,299.1528128,AUTHORITY["EPSG","7004"]],TOWGS84[-403,684,41,0,0,0,0],AUTHORITY["EPSG","6613"]],PRIMEM["Greenwich",0,AUTHORITY["EPSG","8901"]],UNIT["degree",0.0174532925199433,AUTHORITY["EPSG","9122"]],AUTHORITY["EPSG","4613"]],PROJECTION["Mercator_1SP"],PARAMETER["central_meridian",110],PARAMETER["scale_factor",0.997],PARAMETER["false_easting",3900000],PARAMETER["false_northing",900000],UNIT["metre",1,AUTHORITY["EPSG","9001"]],AXIS["X",EAST],AXIS["Y",NORTH],AUTHORITY["EPSG","3000"]]</t>
  </si>
  <si>
    <t xml:space="preserve">+proj=merc +lon_0=110 +k=0.997 +x_0=3900000 +y_0=900000 +ellps=bessel +towgs84=-403,684,41,0,0,0,0 +units=m +no_defs </t>
  </si>
  <si>
    <t>PROJCS["Batavia / NEIEZ",GEOGCS["Batavia",DATUM["Batavia",SPHEROID["Bessel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Mercator_1SP"],PARAMETER["central_meridian",110],PARAMETER["scale_factor",0.997],PARAMETER["false_easting",3900000],PARAMETER["false_northing",900000],UNIT["metre",1,AUTHORITY["EPSG","9001"]],AXIS["X",EAST],AXIS["Y",NORTH],AUTHORITY["EPSG","3001"]]</t>
  </si>
  <si>
    <t xml:space="preserve">+proj=merc +lon_0=110 +k=0.997 +x_0=3900000 +y_0=900000 +ellps=bessel +towgs84=-377,681,-50,0,0,0,0 +units=m +no_defs </t>
  </si>
  <si>
    <t>PROJCS["Makassar / NEIEZ",GEOGCS["Makassar",DATUM["Makassar",SPHEROID["Bessel 1841",6377397.155,299.1528128,AUTHORITY["EPSG","7004"]],TOWGS84[-587.8,519.75,145.76,0,0,0,0],AUTHORITY["EPSG","6257"]],PRIMEM["Greenwich",0,AUTHORITY["EPSG","8901"]],UNIT["degree",0.0174532925199433,AUTHORITY["EPSG","9122"]],AUTHORITY["EPSG","4257"]],PROJECTION["Mercator_1SP"],PARAMETER["central_meridian",110],PARAMETER["scale_factor",0.997],PARAMETER["false_easting",3900000],PARAMETER["false_northing",900000],UNIT["metre",1,AUTHORITY["EPSG","9001"]],AXIS["X",EAST],AXIS["Y",NORTH],AUTHORITY["EPSG","3002"]]</t>
  </si>
  <si>
    <t xml:space="preserve">+proj=merc +lon_0=110 +k=0.997 +x_0=3900000 +y_0=900000 +ellps=bessel +towgs84=-587.8,519.75,145.76,0,0,0,0 +units=m +no_defs </t>
  </si>
  <si>
    <t>PROJCS["Monte Mario / Italy zone 1",GEOGCS["Monte Mario",DATUM["Monte_Mario",SPHEROID["International 1924",6378388,297,AUTHORITY["EPSG","7022"]],TOWGS84[-104.1,-49.1,-9.9,0.971,-2.917,0.714,-11.68],AUTHORITY["EPSG","6265"]],PRIMEM["Greenwich",0,AUTHORITY["EPSG","8901"]],UNIT["degree",0.0174532925199433,AUTHORITY["EPSG","9122"]],AUTHORITY["EPSG","4265"]],PROJECTION["Transverse_Mercator"],PARAMETER["latitude_of_origin",0],PARAMETER["central_meridian",9],PARAMETER["scale_factor",0.9996],PARAMETER["false_easting",1500000],PARAMETER["false_northing",0],UNIT["metre",1,AUTHORITY["EPSG","9001"]],AXIS["X",EAST],AXIS["Y",NORTH],AUTHORITY["EPSG","3003"]]</t>
  </si>
  <si>
    <t xml:space="preserve">+proj=tmerc +lat_0=0 +lon_0=9 +k=0.9996 +x_0=1500000 +y_0=0 +ellps=intl +towgs84=-104.1,-49.1,-9.9,0.971,-2.917,0.714,-11.68 +units=m +no_defs </t>
  </si>
  <si>
    <t>PROJCS["Monte Mario / Italy zone 2",GEOGCS["Monte Mario",DATUM["Monte_Mario",SPHEROID["International 1924",6378388,297,AUTHORITY["EPSG","7022"]],TOWGS84[-104.1,-49.1,-9.9,0.971,-2.917,0.714,-11.68],AUTHORITY["EPSG","6265"]],PRIMEM["Greenwich",0,AUTHORITY["EPSG","8901"]],UNIT["degree",0.0174532925199433,AUTHORITY["EPSG","9122"]],AUTHORITY["EPSG","4265"]],PROJECTION["Transverse_Mercator"],PARAMETER["latitude_of_origin",0],PARAMETER["central_meridian",15],PARAMETER["scale_factor",0.9996],PARAMETER["false_easting",2520000],PARAMETER["false_northing",0],UNIT["metre",1,AUTHORITY["EPSG","9001"]],AXIS["X",EAST],AXIS["Y",NORTH],AUTHORITY["EPSG","3004"]]</t>
  </si>
  <si>
    <t xml:space="preserve">+proj=tmerc +lat_0=0 +lon_0=15 +k=0.9996 +x_0=2520000 +y_0=0 +ellps=intl +towgs84=-104.1,-49.1,-9.9,0.971,-2.917,0.714,-11.68 +units=m +no_defs </t>
  </si>
  <si>
    <t>PROJCS["NAD83 / BC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50],PARAMETER["standard_parallel_2",58.5],PARAMETER["latitude_of_center",45],PARAMETER["longitude_of_center",-126],PARAMETER["false_easting",1000000],PARAMETER["false_northing",0],UNIT["metre",1,AUTHORITY["EPSG","9001"]],AXIS["Easting",EAST],AXIS["Northing",NORTH],AUTHORITY["EPSG","3005"]]</t>
  </si>
  <si>
    <t>PROJCS["SWEREF99 TM",GEOGCS["SWEREF99",DATUM["SWEREF99",SPHEROID["GRS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15],PARAMETER["scale_factor",0.9996],PARAMETER["false_easting",500000],PARAMETER["false_northing",0],UNIT["metre",1,AUTHORITY["EPSG","9001"]],AUTHORITY["EPSG","3006"]]</t>
  </si>
  <si>
    <t>PROJCS["SWEREF99 12 00",GEOGCS["SWEREF99",DATUM["SWEREF99",SPHEROID["GRS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12],PARAMETER["scale_factor",1],PARAMETER["false_easting",150000],PARAMETER["false_northing",0],UNIT["metre",1,AUTHORITY["EPSG","9001"]],AUTHORITY["EPSG","3007"]]</t>
  </si>
  <si>
    <t xml:space="preserve">+proj=tmerc +lat_0=0 +lon_0=12 +k=1 +x_0=150000 +y_0=0 +ellps=GRS80 +towgs84=0,0,0,0,0,0,0 +units=m +no_defs </t>
  </si>
  <si>
    <t>PROJCS["SWEREF99 13 30",GEOGCS["SWEREF99",DATUM["SWEREF99",SPHEROID["GRS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13.5],PARAMETER["scale_factor",1],PARAMETER["false_easting",150000],PARAMETER["false_northing",0],UNIT["metre",1,AUTHORITY["EPSG","9001"]],AUTHORITY["EPSG","3008"]]</t>
  </si>
  <si>
    <t xml:space="preserve">+proj=tmerc +lat_0=0 +lon_0=13.5 +k=1 +x_0=150000 +y_0=0 +ellps=GRS80 +towgs84=0,0,0,0,0,0,0 +units=m +no_defs </t>
  </si>
  <si>
    <t>PROJCS["SWEREF99 15 00",GEOGCS["SWEREF99",DATUM["SWEREF99",SPHEROID["GRS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15],PARAMETER["scale_factor",1],PARAMETER["false_easting",150000],PARAMETER["false_northing",0],UNIT["metre",1,AUTHORITY["EPSG","9001"]],AUTHORITY["EPSG","3009"]]</t>
  </si>
  <si>
    <t xml:space="preserve">+proj=tmerc +lat_0=0 +lon_0=15 +k=1 +x_0=150000 +y_0=0 +ellps=GRS80 +towgs84=0,0,0,0,0,0,0 +units=m +no_defs </t>
  </si>
  <si>
    <t>PROJCS["SWEREF99 16 30",GEOGCS["SWEREF99",DATUM["SWEREF99",SPHEROID["GRS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16.5],PARAMETER["scale_factor",1],PARAMETER["false_easting",150000],PARAMETER["false_northing",0],UNIT["metre",1,AUTHORITY["EPSG","9001"]],AUTHORITY["EPSG","3010"]]</t>
  </si>
  <si>
    <t xml:space="preserve">+proj=tmerc +lat_0=0 +lon_0=16.5 +k=1 +x_0=150000 +y_0=0 +ellps=GRS80 +towgs84=0,0,0,0,0,0,0 +units=m +no_defs </t>
  </si>
  <si>
    <t>PROJCS["SWEREF99 18 00",GEOGCS["SWEREF99",DATUM["SWEREF99",SPHEROID["GRS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18],PARAMETER["scale_factor",1],PARAMETER["false_easting",150000],PARAMETER["false_northing",0],UNIT["metre",1,AUTHORITY["EPSG","9001"]],AUTHORITY["EPSG","3011"]]</t>
  </si>
  <si>
    <t xml:space="preserve">+proj=tmerc +lat_0=0 +lon_0=18 +k=1 +x_0=150000 +y_0=0 +ellps=GRS80 +towgs84=0,0,0,0,0,0,0 +units=m +no_defs </t>
  </si>
  <si>
    <t>PROJCS["SWEREF99 14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14.25],PARAMETER["scale_factor",1],PARAMETER["false_easting",150000],PARAMETER["false_northing",0],UNIT["metre",1,AUTHORITY["EPSG","9001"]],AUTHORITY["EPSG","3012"]]</t>
  </si>
  <si>
    <t xml:space="preserve">+proj=tmerc +lat_0=0 +lon_0=14.25 +k=1 +x_0=150000 +y_0=0 +ellps=GRS80 +towgs84=0,0,0,0,0,0,0 +units=m +no_defs </t>
  </si>
  <si>
    <t>GEOCCS["RGF93 (geocentric)",DATUM["Reseau_Geodesique_Francais_1993",SPHEROID["GRS 1980",6378137,298.257222101,AUTHORITY["EPSG","7019"]],AUTHORITY["EPSG","6171"]],PRIMEM["Greenwich",0,AUTHORITY["EPSG","8901"]],UNIT["metre",1,AUTHORITY["EPSG","9001"]],AXIS["Geocentric X",OTHER],AXIS["Geocentric Y",OTHER],AXIS["Geocentric Z",NORTH],AUTHORITY["EPSG","4370"]]</t>
  </si>
  <si>
    <t>PROJCS["RT90 7.5 gon V",GEOGCS["RT90",DATUM["Rikets_koordinatsystem_1990",SPHEROID["Bessel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11.30827777777778],PARAMETER["scale_factor",1],PARAMETER["false_easting",1500000],PARAMETER["false_northing",0],UNIT["metre",1,AUTHORITY["EPSG","9001"]],AUTHORITY["EPSG","3019"]]</t>
  </si>
  <si>
    <t xml:space="preserve">+proj=tmerc +lat_0=0 +lon_0=11.30827777777778 +k=1 +x_0=1500000 +y_0=0 +ellps=bessel +towgs84=414.1,41.3,603.1,-0.855,2.141,-7.023,0 +units=m +no_defs </t>
  </si>
  <si>
    <t>PROJCS["RT90 5 gon V",GEOGCS["RT90",DATUM["Rikets_koordinatsystem_1990",SPHEROID["Bessel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13.55827777777778],PARAMETER["scale_factor",1],PARAMETER["false_easting",1500000],PARAMETER["false_northing",0],UNIT["metre",1,AUTHORITY["EPSG","9001"]],AUTHORITY["EPSG","3020"]]</t>
  </si>
  <si>
    <t xml:space="preserve">+proj=tmerc +lat_0=0 +lon_0=13.55827777777778 +k=1 +x_0=1500000 +y_0=0 +ellps=bessel +towgs84=414.1,41.3,603.1,-0.855,2.141,-7.023,0 +units=m +no_defs </t>
  </si>
  <si>
    <t>PROJCS["RT90 2.5 gon V",GEOGCS["RT90",DATUM["Rikets_koordinatsystem_1990",SPHEROID["Bessel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15.80827777777778],PARAMETER["scale_factor",1],PARAMETER["false_easting",1500000],PARAMETER["false_northing",0],UNIT["metre",1,AUTHORITY["EPSG","9001"]],AUTHORITY["EPSG","3021"]]</t>
  </si>
  <si>
    <t>PROJCS["RT90 0 gon",GEOGCS["RT90",DATUM["Rikets_koordinatsystem_1990",SPHEROID["Bessel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18.05827777777778],PARAMETER["scale_factor",1],PARAMETER["false_easting",1500000],PARAMETER["false_northing",0],UNIT["metre",1,AUTHORITY["EPSG","9001"]],AUTHORITY["EPSG","3022"]]</t>
  </si>
  <si>
    <t xml:space="preserve">+proj=tmerc +lat_0=0 +lon_0=18.05827777777778 +k=1 +x_0=1500000 +y_0=0 +ellps=bessel +towgs84=414.1,41.3,603.1,-0.855,2.141,-7.023,0 +units=m +no_defs </t>
  </si>
  <si>
    <t>PROJCS["RT90 2.5 gon O",GEOGCS["RT90",DATUM["Rikets_koordinatsystem_1990",SPHEROID["Bessel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20.30827777777778],PARAMETER["scale_factor",1],PARAMETER["false_easting",1500000],PARAMETER["false_northing",0],UNIT["metre",1,AUTHORITY["EPSG","9001"]],AUTHORITY["EPSG","3023"]]</t>
  </si>
  <si>
    <t xml:space="preserve">+proj=tmerc +lat_0=0 +lon_0=20.30827777777778 +k=1 +x_0=1500000 +y_0=0 +ellps=bessel +towgs84=414.1,41.3,603.1,-0.855,2.141,-7.023,0 +units=m +no_defs </t>
  </si>
  <si>
    <t>PROJCS["RT90 5 gon O",GEOGCS["RT90",DATUM["Rikets_koordinatsystem_1990",SPHEROID["Bessel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PROJECTION["Transverse_Mercator"],PARAMETER["latitude_of_origin",0],PARAMETER["central_meridian",22.55827777777778],PARAMETER["scale_factor",1],PARAMETER["false_easting",1500000],PARAMETER["false_northing",0],UNIT["metre",1,AUTHORITY["EPSG","9001"]],AUTHORITY["EPSG","3024"]]</t>
  </si>
  <si>
    <t xml:space="preserve">+proj=tmerc +lat_0=0 +lon_0=22.55827777777778 +k=1 +x_0=1500000 +y_0=0 +ellps=bessel +towgs84=414.1,41.3,603.1,-0.855,2.141,-7.023,0 +units=m +no_defs </t>
  </si>
  <si>
    <t>PROJCS["RT38 7.5 gon V",GEOGCS["RT38",DATUM["Stockholm_1938",SPHEROID["Bessel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11.30827777777778],PARAMETER["scale_factor",1],PARAMETER["false_easting",1500000],PARAMETER["false_northing",0],UNIT["metre",1,AUTHORITY["EPSG","9001"]],AUTHORITY["EPSG","3025"]]</t>
  </si>
  <si>
    <t>PROJCS["RT38 5 gon V",GEOGCS["RT38",DATUM["Stockholm_1938",SPHEROID["Bessel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13.55827777777778],PARAMETER["scale_factor",1],PARAMETER["false_easting",1500000],PARAMETER["false_northing",0],UNIT["metre",1,AUTHORITY["EPSG","9001"]],AUTHORITY["EPSG","3026"]]</t>
  </si>
  <si>
    <t>PROJCS["RT38 2.5 gon V",GEOGCS["RT38",DATUM["Stockholm_1938",SPHEROID["Bessel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15.80827777777778],PARAMETER["scale_factor",1],PARAMETER["false_easting",1500000],PARAMETER["false_northing",0],UNIT["metre",1,AUTHORITY["EPSG","9001"]],AUTHORITY["EPSG","3027"]]</t>
  </si>
  <si>
    <t>PROJCS["RT38 0 gon",GEOGCS["RT38",DATUM["Stockholm_1938",SPHEROID["Bessel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18.05827777777778],PARAMETER["scale_factor",1],PARAMETER["false_easting",1500000],PARAMETER["false_northing",0],UNIT["metre",1,AUTHORITY["EPSG","9001"]],AUTHORITY["EPSG","3028"]]</t>
  </si>
  <si>
    <t>PROJCS["WGS 84 / Australian Antarctic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-71],PARAMETER["central_meridian",70],PARAMETER["scale_factor",1],PARAMETER["false_easting",6000000],PARAMETER["false_northing",6000000],UNIT["metre",1,AUTHORITY["EPSG","9001"]],AXIS["Easting",EAST],AXIS["Northing",NORTH],AUTHORITY["EPSG","3032"]]</t>
  </si>
  <si>
    <t>PROJCS["WGS 84 / Australian Antarctic Lambert",GEOGCS["WGS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-68.5],PARAMETER["standard_parallel_2",-74.5],PARAMETER["latitude_of_origin",-50],PARAMETER["central_meridian",70],PARAMETER["false_easting",6000000],PARAMETER["false_northing",6000000],UNIT["metre",1,AUTHORITY["EPSG","9001"]],AXIS["Easting",EAST],AXIS["Northing",NORTH],AUTHORITY["EPSG","3033"]]</t>
  </si>
  <si>
    <t>PROJCS["ETRS89 / LCC Europe",GEOGCS["ETRS89",DATUM["European_Terrestrial_Reference_System_1989",SPHEROID["GRS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3034"]]</t>
  </si>
  <si>
    <t xml:space="preserve">+proj=lcc +lat_1=35 +lat_2=65 +lat_0=52 +lon_0=10 +x_0=4000000 +y_0=2800000 +ellps=GRS80 +towgs84=0,0,0,0,0,0,0 +units=m +no_defs </t>
  </si>
  <si>
    <t>PROJCS["ETRS89 / LAEA Europe",GEOGCS["ETRS89",DATUM["European_Terrestrial_Reference_System_1989",SPHEROID["GRS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Azimuthal_Equal_Area"],PARAMETER["latitude_of_center",52],PARAMETER["longitude_of_center",10],PARAMETER["false_easting",4321000],PARAMETER["false_northing",3210000],UNIT["metre",1,AUTHORITY["EPSG","9001"]],AUTHORITY["EPSG","3035"]]</t>
  </si>
  <si>
    <t xml:space="preserve">+proj=laea +lat_0=52 +lon_0=10 +x_0=4321000 +y_0=3210000 +ellps=GRS80 +towgs84=0,0,0,0,0,0,0 +units=m +no_defs </t>
  </si>
  <si>
    <t>PROJCS["Moznet / UTM zone 36S",GEOGCS["Moznet",DATUM["Moznet_ITRF94",SPHEROID["WGS 84",6378137,298.257223563,AUTHORITY["EPSG","7030"]],TOWGS84[0,0,0,0,0,0,0],AUTHORITY["EPSG","6130"]],PRIMEM["Greenwich",0,AUTHORITY["EPSG","8901"]],UNIT["degree",0.0174532925199433,AUTHORITY["EPSG","9122"]],AUTHORITY["EPSG","4130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3036"]]</t>
  </si>
  <si>
    <t xml:space="preserve">+proj=utm +zone=36 +south +ellps=WGS84 +towgs84=0,0,0,0,0,0,0 +units=m +no_defs </t>
  </si>
  <si>
    <t>PROJCS["Moznet / UTM zone 37S",GEOGCS["Moznet",DATUM["Moznet_ITRF94",SPHEROID["WGS 84",6378137,298.257223563,AUTHORITY["EPSG","7030"]],TOWGS84[0,0,0,0,0,0,0],AUTHORITY["EPSG","6130"]],PRIMEM["Greenwich",0,AUTHORITY["EPSG","8901"]],UNIT["degree",0.0174532925199433,AUTHORITY["EPSG","9122"]],AUTHORITY["EPSG","4130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3037"]]</t>
  </si>
  <si>
    <t xml:space="preserve">+proj=utm +zone=37 +south +ellps=WGS84 +towgs84=0,0,0,0,0,0,0 +units=m +no_defs </t>
  </si>
  <si>
    <t>PROJCS["ETRS89 / TM26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-27],PARAMETER["scale_factor",0.9996],PARAMETER["false_easting",500000],PARAMETER["false_northing",0],UNIT["metre",1,AUTHORITY["EPSG","9001"]],AUTHORITY["EPSG","3038"]]</t>
  </si>
  <si>
    <t xml:space="preserve">+proj=utm +zone=26 +ellps=GRS80 +towgs84=0,0,0,0,0,0,0 +units=m +no_defs </t>
  </si>
  <si>
    <t>PROJCS["ETRS89 / TM27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-21],PARAMETER["scale_factor",0.9996],PARAMETER["false_easting",500000],PARAMETER["false_northing",0],UNIT["metre",1,AUTHORITY["EPSG","9001"]],AUTHORITY["EPSG","3039"]]</t>
  </si>
  <si>
    <t xml:space="preserve">+proj=utm +zone=27 +ellps=GRS80 +towgs84=0,0,0,0,0,0,0 +units=m +no_defs </t>
  </si>
  <si>
    <t>PROJCS["ETRS89 / UTM zone 28N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-15],PARAMETER["scale_factor",0.9996],PARAMETER["false_easting",500000],PARAMETER["false_northing",0],UNIT["metre",1,AUTHORITY["EPSG","9001"]],AUTHORITY["EPSG","3040"]]</t>
  </si>
  <si>
    <t xml:space="preserve">+proj=utm +zone=28 +ellps=GRS80 +towgs84=0,0,0,0,0,0,0 +units=m +no_defs </t>
  </si>
  <si>
    <t>PROJCS["ETRS89 / UTM zone 29N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-9],PARAMETER["scale_factor",0.9996],PARAMETER["false_easting",500000],PARAMETER["false_northing",0],UNIT["metre",1,AUTHORITY["EPSG","9001"]],AUTHORITY["EPSG","3041"]]</t>
  </si>
  <si>
    <t>PROJCS["ETRS89 / TM39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51],PARAMETER["scale_factor",0.9996],PARAMETER["false_easting",500000],PARAMETER["false_northing",0],UNIT["metre",1,AUTHORITY["EPSG","9001"]],AUTHORITY["EPSG","3051"]]</t>
  </si>
  <si>
    <t xml:space="preserve">+proj=utm +zone=39 +ellps=GRS80 +towgs84=0,0,0,0,0,0,0 +units=m +no_defs </t>
  </si>
  <si>
    <t>PROJCS["Hjorsey 1955 / UTM zone 26N",GEOGCS["Hjorsey 1955",DATUM["Hjorsey_1955",SPHEROID["International 1924",6378388,297,AUTHORITY["EPSG","7022"]],TOWGS84[-73,47,-83,0,0,0,0],AUTHORITY["EPSG","6658"]],PRIMEM["Greenwich",0,AUTHORITY["EPSG","8901"]],UNIT["degree",0.0174532925199433,AUTHORITY["EPSG","9122"]],AUTHORITY["EPSG","4658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3054"]]</t>
  </si>
  <si>
    <t xml:space="preserve">+proj=utm +zone=26 +ellps=intl +towgs84=-73,47,-83,0,0,0,0 +units=m +no_defs </t>
  </si>
  <si>
    <t>PROJCS["Hjorsey 1955 / UTM zone 27N",GEOGCS["Hjorsey 1955",DATUM["Hjorsey_1955",SPHEROID["International 1924",6378388,297,AUTHORITY["EPSG","7022"]],TOWGS84[-73,47,-83,0,0,0,0],AUTHORITY["EPSG","6658"]],PRIMEM["Greenwich",0,AUTHORITY["EPSG","8901"]],UNIT["degree",0.0174532925199433,AUTHORITY["EPSG","9122"]],AUTHORITY["EPSG","4658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3055"]]</t>
  </si>
  <si>
    <t xml:space="preserve">+proj=utm +zone=27 +ellps=intl +towgs84=-73,47,-83,0,0,0,0 +units=m +no_defs </t>
  </si>
  <si>
    <t>PROJCS["Hjorsey 1955 / UTM zone 28N",GEOGCS["Hjorsey 1955",DATUM["Hjorsey_1955",SPHEROID["International 1924",6378388,297,AUTHORITY["EPSG","7022"]],TOWGS84[-73,47,-83,0,0,0,0],AUTHORITY["EPSG","6658"]],PRIMEM["Greenwich",0,AUTHORITY["EPSG","8901"]],UNIT["degree",0.0174532925199433,AUTHORITY["EPSG","9122"]],AUTHORITY["EPSG","4658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3056"]]</t>
  </si>
  <si>
    <t xml:space="preserve">+proj=utm +zone=28 +ellps=intl +towgs84=-73,47,-83,0,0,0,0 +units=m +no_defs </t>
  </si>
  <si>
    <t>PROJCS["ISN93 / Lambert 1993",GEOGCS["ISN93",DATUM["Islands_Net_1993",SPHEROID["GRS 1980",6378137,298.257222101,AUTHORITY["EPSG","7019"]],TOWGS84[0,0,0,0,0,0,0],AUTHORITY["EPSG","6659"]],PRIMEM["Greenwich",0,AUTHORITY["EPSG","8901"]],UNIT["degree",0.0174532925199433,AUTHORITY["EPSG","9122"]],AUTHORITY["EPSG","4659"]],PROJECTION["Lambert_Conformal_Conic_2SP"],PARAMETER["standard_parallel_1",64.25],PARAMETER["standard_parallel_2",65.75],PARAMETER["latitude_of_origin",65],PARAMETER["central_meridian",-19],PARAMETER["false_easting",500000],PARAMETER["false_northing",500000],UNIT["metre",1,AUTHORITY["EPSG","9001"]],AXIS["X",EAST],AXIS["Y",NORTH],AUTHORITY["EPSG","3057"]]</t>
  </si>
  <si>
    <t xml:space="preserve">+proj=lcc +lat_1=64.25 +lat_2=65.75 +lat_0=65 +lon_0=-19 +x_0=500000 +y_0=500000 +ellps=GRS80 +towgs84=0,0,0,0,0,0,0 +units=m +no_defs </t>
  </si>
  <si>
    <t>PROJCS["Helle 1954 / Jan Mayen Grid",GEOGCS["Helle 1954",DATUM["Helle_1954",SPHEROID["International 1924",6378388,297,AUTHORITY["EPSG","7022"]],TOWGS84[982.6087,552.753,-540.873,6.6816266,-31.6114924,-19.84816,16.805],AUTHORITY["EPSG","6660"]],PRIMEM["Greenwich",0,AUTHORITY["EPSG","8901"]],UNIT["degree",0.0174532925199433,AUTHORITY["EPSG","9122"]],AUTHORITY["EPSG","4660"]],PROJECTION["Transverse_Mercator"],PARAMETER["latitude_of_origin",0],PARAMETER["central_meridian",-8.5],PARAMETER["scale_factor",1],PARAMETER["false_easting",50000],PARAMETER["false_northing",-7800000],UNIT["metre",1,AUTHORITY["EPSG","9001"]],AUTHORITY["EPSG","3058"]]</t>
  </si>
  <si>
    <t xml:space="preserve">+proj=tmerc +lat_0=0 +lon_0=-8.5 +k=1 +x_0=50000 +y_0=-7800000 +ellps=intl +towgs84=982.6087,552.753,-540.873,6.6816266,-31.6114924,-19.84816,16.805 +units=m +no_defs </t>
  </si>
  <si>
    <t>PROJCS["LKS92 / Latvia TM",GEOGCS["LKS92",DATUM["Latvia_1992",SPHEROID["GRS 1980",6378137,298.257222101,AUTHORITY["EPSG","7019"]],TOWGS84[0,0,0,0,0,0,0],AUTHORITY["EPSG","6661"]],PRIMEM["Greenwich",0,AUTHORITY["EPSG","8901"]],UNIT["degree",0.0174532925199433,AUTHORITY["EPSG","9122"]],AUTHORITY["EPSG","4661"]],PROJECTION["Transverse_Mercator"],PARAMETER["latitude_of_origin",0],PARAMETER["central_meridian",24],PARAMETER["scale_factor",0.9996],PARAMETER["false_easting",500000],PARAMETER["false_northing",-6000000],UNIT["metre",1,AUTHORITY["EPSG","9001"]],AUTHORITY["EPSG","3059"]]</t>
  </si>
  <si>
    <t xml:space="preserve">+proj=tmerc +lat_0=0 +lon_0=24 +k=0.9996 +x_0=500000 +y_0=-6000000 +ellps=GRS80 +towgs84=0,0,0,0,0,0,0 +units=m +no_defs </t>
  </si>
  <si>
    <t>PROJCS["IGN72 Grande Terre / UTM zone 58S",GEOGCS["IGN72 Grande Terre",DATUM["IGN72_Grande_Terre",SPHEROID["International 1924",6378388,297,AUTHORITY["EPSG","7022"]],TOWGS84[-11.64,-348.6,291.98,0,0,0,0],AUTHORITY["EPSG","6634"]],PRIMEM["Greenwich",0,AUTHORITY["EPSG","8901"]],UNIT["degree",0.0174532925199433,AUTHORITY["EPSG","9122"]],AUTHORITY["EPSG","4662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3060"]]</t>
  </si>
  <si>
    <t xml:space="preserve">+proj=utm +zone=58 +south +ellps=intl +towgs84=-11.64,-348.6,291.98,0,0,0,0 +units=m +no_defs </t>
  </si>
  <si>
    <t>PROJCS["Porto Santo 1995 / UTM zone 28N",GEOGCS["Porto Santo 1995",DATUM["Porto_Santo_1995",SPHEROID["International 1924",6378388,297,AUTHORITY["EPSG","7022"]],TOWGS84[-502.862,-247.438,312.724,0,0,0,0],AUTHORITY["EPSG","6663"]],PRIMEM["Greenwich",0,AUTHORITY["EPSG","8901"]],UNIT["degree",0.0174532925199433,AUTHORITY["EPSG","9122"]],AUTHORITY["EPSG","4663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3061"]]</t>
  </si>
  <si>
    <t xml:space="preserve">+proj=utm +zone=28 +ellps=intl +towgs84=-502.862,-247.438,312.724,0,0,0,0 +units=m +no_defs </t>
  </si>
  <si>
    <t>PROJCS["Azores Oriental 1995 / UTM zone 26N",GEOGCS["Azores Oriental 1995",DATUM["Azores_Oriental_Islands_1995",SPHEROID["International 1924",6378388,297,AUTHORITY["EPSG","7022"]],TOWGS84[-204.619,140.176,55.226,0,0,0,0],AUTHORITY["EPSG","6664"]],PRIMEM["Greenwich",0,AUTHORITY["EPSG","8901"]],UNIT["degree",0.0174532925199433,AUTHORITY["EPSG","9122"]],AUTHORITY["EPSG","4664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3062"]]</t>
  </si>
  <si>
    <t xml:space="preserve">+proj=utm +zone=26 +ellps=intl +towgs84=-204.619,140.176,55.226,0,0,0,0 +units=m +no_defs </t>
  </si>
  <si>
    <t>PROJCS["Azores Central 1995 / UTM zone 26N",GEOGCS["Azores Central 1995",DATUM["Azores_Central_Islands_1995",SPHEROID["International 1924",6378388,297,AUTHORITY["EPSG","7022"]],TOWGS84[-106.226,166.366,-37.893,0,0,0,0],AUTHORITY["EPSG","6665"]],PRIMEM["Greenwich",0,AUTHORITY["EPSG","8901"]],UNIT["degree",0.0174532925199433,AUTHORITY["EPSG","9122"]],AUTHORITY["EPSG","4665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3063"]]</t>
  </si>
  <si>
    <t xml:space="preserve">+proj=utm +zone=26 +ellps=intl +towgs84=-106.226,166.366,-37.893,0,0,0,0 +units=m +no_defs </t>
  </si>
  <si>
    <t>PROJCS["IGM95 / UTM zone 32N",GEOGCS["IGM95",DATUM["Istituto_Geografico_Militaire_1995",SPHEROID["WGS 84",6378137,298.257223563,AUTHORITY["EPSG","7030"]],TOWGS84[0,0,0,0,0,0,0],AUTHORITY["EPSG","6670"]],PRIMEM["Greenwich",0,AUTHORITY["EPSG","8901"]],UNIT["degree",0.0174532925199433,AUTHORITY["EPSG","9122"]],AUTHORITY["EPSG","4670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3064"]]</t>
  </si>
  <si>
    <t xml:space="preserve">+proj=utm +zone=32 +ellps=WGS84 +towgs84=0,0,0,0,0,0,0 +units=m +no_defs </t>
  </si>
  <si>
    <t>PROJCS["IGM95 / UTM zone 33N",GEOGCS["IGM95",DATUM["Istituto_Geografico_Militaire_1995",SPHEROID["WGS 84",6378137,298.257223563,AUTHORITY["EPSG","7030"]],TOWGS84[0,0,0,0,0,0,0],AUTHORITY["EPSG","6670"]],PRIMEM["Greenwich",0,AUTHORITY["EPSG","8901"]],UNIT["degree",0.0174532925199433,AUTHORITY["EPSG","9122"]],AUTHORITY["EPSG","4670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3065"]]</t>
  </si>
  <si>
    <t xml:space="preserve">+proj=utm +zone=33 +ellps=WGS84 +towgs84=0,0,0,0,0,0,0 +units=m +no_defs </t>
  </si>
  <si>
    <t>PROJCS["ED50 / Jordan TM",GEOGCS["ED50",DATUM["European_Datum_1950",SPHEROID["International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37],PARAMETER["scale_factor",0.9998],PARAMETER["false_easting",500000],PARAMETER["false_northing",-3000000],UNIT["metre",1,AUTHORITY["EPSG","9001"]],AXIS["Easting",EAST],AXIS["Northing",NORTH],AUTHORITY["EPSG","3066"]]</t>
  </si>
  <si>
    <t xml:space="preserve">+proj=tmerc +lat_0=0 +lon_0=37 +k=0.9998 +x_0=500000 +y_0=-3000000 +ellps=intl +towgs84=-87,-98,-121,0,0,0,0 +units=m +no_defs </t>
  </si>
  <si>
    <t>PROJCS["ETRS89 / TM35FIN(E,N)",GEOGCS["ETRS89",DATUM["European_Terrestrial_Reference_System_1989",SPHEROID["GRS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3067"]]</t>
  </si>
  <si>
    <t>PROJCS["DHDN / Soldner Berlin",GEOGCS["DHDN",DATUM["Deutsches_Hauptdreiecksnetz",SPHEROID["Bessel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Cassini_Soldner"],PARAMETER["latitude_of_origin",52.41864827777778],PARAMETER["central_meridian",13.62720366666667],PARAMETER["false_easting",40000],PARAMETER["false_northing",10000],UNIT["metre",1,AUTHORITY["EPSG","9001"]],AUTHORITY["EPSG","3068"]]</t>
  </si>
  <si>
    <t>PROJCS["NAD27 / Wisconsin Transverse Mercator",GEOGCS["NAD27",DATUM["North_American_Datum_1927",SPHEROID["Clarke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-90],PARAMETER["scale_factor",0.9996],PARAMETER["false_easting",500000],PARAMETER["false_northing",-4500000],UNIT["metre",1,AUTHORITY["EPSG","9001"]],AXIS["X",EAST],AXIS["Y",NORTH],AUTHORITY["EPSG","3069"]]</t>
  </si>
  <si>
    <t>PROJCS["NAD83 / Wisconsin Transverse Mercator",GEOGCS["NAD83",DATUM["North_American_Datum_1983",SPHEROID["GRS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-90],PARAMETER["scale_factor",0.9996],PARAMETER["false_easting",520000],PARAMETER["false_northing",-4480000],UNIT["metre",1,AUTHORITY["EPSG","9001"]],AXIS["X",EAST],AXIS["Y",NORTH],AUTHORITY["EPSG","3070"]]</t>
  </si>
  <si>
    <t>PROJCS["NAD83(HARN) / Wisconsin Transverse Mercator",GEOGCS["NAD83(HARN)",DATUM["NAD83_High_Accuracy_Reference_Network",SPHEROID["GRS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-90],PARAMETER["scale_factor",0.9996],PARAMETER["false_easting",520000],PARAMETER["false_northing",-4480000],UNIT["metre",1,AUTHORITY["EPSG","9001"]],AXIS["X",EAST],AXIS["Y",NORTH],AUTHORITY["EPSG","3071"]]</t>
  </si>
  <si>
    <t xml:space="preserve">+proj=tmerc +lat_0=0 +lon_0=-90 +k=0.9996 +x_0=520000 +y_0=-4480000 +ellps=GRS80 +towgs84=0,0,0,0,0,0,0 +units=m +no_defs </t>
  </si>
  <si>
    <t>PROJCS["NAD83 / Maine CS2000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43.83333333333334],PARAMETER["central_meridian",-67.875],PARAMETER["scale_factor",0.99998],PARAMETER["false_easting",700000],PARAMETER["false_northing",0],UNIT["metre",1,AUTHORITY["EPSG","9001"]],AXIS["X",EAST],AXIS["Y",NORTH],AUTHORITY["EPSG","3072"]]</t>
  </si>
  <si>
    <t>PROJCS["NAD83 / Maine CS2000 Central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43],PARAMETER["central_meridian",-69.125],PARAMETER["scale_factor",0.99998],PARAMETER["false_easting",500000],PARAMETER["false_northing",0],UNIT["metre",1,AUTHORITY["EPSG","9001"]],AXIS["X",EAST],AXIS["Y",NORTH],AUTHORITY["EPSG","3073"]]</t>
  </si>
  <si>
    <t>PROJCS["NAD83 / Maine CS2000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42.83333333333334],PARAMETER["central_meridian",-70.375],PARAMETER["scale_factor",0.99998],PARAMETER["false_easting",300000],PARAMETER["false_northing",0],UNIT["metre",1,AUTHORITY["EPSG","9001"]],AXIS["X",EAST],AXIS["Y",NORTH],AUTHORITY["EPSG","3074"]]</t>
  </si>
  <si>
    <t>PROJCS["NAD83(HARN) / Maine CS2000 East",GEOGCS["NAD83(HARN)",DATUM["NAD83_High_Accuracy_Reference_Network",SPHEROID["GRS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43.83333333333334],PARAMETER["central_meridian",-67.875],PARAMETER["scale_factor",0.99998],PARAMETER["false_easting",700000],PARAMETER["false_northing",0],UNIT["metre",1,AUTHORITY["EPSG","9001"]],AXIS["X",EAST],AXIS["Y",NORTH],AUTHORITY["EPSG","3075"]]</t>
  </si>
  <si>
    <t xml:space="preserve">+proj=tmerc +lat_0=43.83333333333334 +lon_0=-67.875 +k=0.99998 +x_0=700000 +y_0=0 +ellps=GRS80 +towgs84=0,0,0,0,0,0,0 +units=m +no_defs </t>
  </si>
  <si>
    <t>PROJCS["NAD83(HARN) / Maine CS2000 Central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43],PARAMETER["central_meridian",-69.125],PARAMETER["scale_factor",0.99998],PARAMETER["false_easting",500000],PARAMETER["false_northing",0],UNIT["metre",1,AUTHORITY["EPSG","9001"]],AXIS["X",EAST],AXIS["Y",NORTH],AUTHORITY["EPSG","3076"]]</t>
  </si>
  <si>
    <t xml:space="preserve">+proj=tmerc +lat_0=43 +lon_0=-69.125 +k=0.99998 +x_0=500000 +y_0=0 +ellps=GRS80 +towgs84=0,0,0,0,0,0,0 +units=m +no_defs </t>
  </si>
  <si>
    <t>PROJCS["NAD83(HARN) / Maine CS2000 West",GEOGCS["NAD83(HARN)",DATUM["NAD83_High_Accuracy_Reference_Network",SPHEROID["GRS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42.83333333333334],PARAMETER["central_meridian",-70.375],PARAMETER["scale_factor",0.99998],PARAMETER["false_easting",300000],PARAMETER["false_northing",0],UNIT["metre",1,AUTHORITY["EPSG","9001"]],AXIS["X",EAST],AXIS["Y",NORTH],AUTHORITY["EPSG","3077"]]</t>
  </si>
  <si>
    <t xml:space="preserve">+proj=tmerc +lat_0=42.83333333333334 +lon_0=-70.375 +k=0.99998 +x_0=300000 +y_0=0 +ellps=GRS80 +towgs84=0,0,0,0,0,0,0 +units=m +no_defs </t>
  </si>
  <si>
    <t>PROJCS["NAD83 / Michigan Oblique Mercator",GEOGCS["NAD83",DATUM["North_American_Datum_1983",SPHEROID["GRS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Hotine_Oblique_Mercator"],PARAMETER["latitude_of_center",45.30916666666666],PARAMETER["longitude_of_center",-86],PARAMETER["azimuth",337.25556],PARAMETER["rectified_grid_angle",337.25556],PARAMETER["scale_factor",0.9996],PARAMETER["false_easting",2546731.496],PARAMETER["false_northing",-4354009.816],UNIT["metre",1,AUTHORITY["EPSG","9001"]],AXIS["X",EAST],AXIS["Y",NORTH],AUTHORITY["EPSG","3078"]]</t>
  </si>
  <si>
    <t>PROJCS["NAD83(HARN) / Michigan Oblique Mercator",GEOGCS["NAD83(HARN)",DATUM["NAD83_High_Accuracy_Reference_Network",SPHEROID["GRS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Hotine_Oblique_Mercator"],PARAMETER["latitude_of_center",45.30916666666666],PARAMETER["longitude_of_center",-86],PARAMETER["azimuth",337.25556],PARAMETER["rectified_grid_angle",337.25556],PARAMETER["scale_factor",0.9996],PARAMETER["false_easting",2546731.496],PARAMETER["false_northing",-4354009.816],UNIT["metre",1,AUTHORITY["EPSG","9001"]],AXIS["X",EAST],AXIS["Y",NORTH],AUTHORITY["EPSG","3079"]]</t>
  </si>
  <si>
    <t xml:space="preserve">+proj=omerc +lat_0=45.30916666666666 +lonc=-86 +alpha=337.25556 +k=0.9996 +x_0=2546731.496 +y_0=-4354009.816 +no_uoff +gamma=337.25556 +ellps=GRS80 +towgs84=0,0,0,0,0,0,0 +units=m +no_defs </t>
  </si>
  <si>
    <t>PROJCS["NAD27 / Shackleford",GEOGCS["NAD27",DATUM["North_American_Datum_1927",SPHEROID["Clarke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27.41666666666667],PARAMETER["standard_parallel_2",34.91666666666666],PARAMETER["latitude_of_origin",31.16666666666667],PARAMETER["central_meridian",-100],PARAMETER["false_easting",3000000],PARAMETER["false_northing",3000000],UNIT["foot",0.3048,AUTHORITY["EPSG","9002"]],AXIS["X",EAST],AXIS["Y",NORTH],AUTHORITY["EPSG","3080"]]</t>
  </si>
  <si>
    <t>PROJCS["NAD83 / Texas State Mapping System",GEOGCS["NAD83",DATUM["North_American_Datum_1983",SPHEROID["GRS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27.41666666666667],PARAMETER["standard_parallel_2",34.91666666666666],PARAMETER["latitude_of_origin",31.16666666666667],PARAMETER["central_meridian",-100],PARAMETER["false_easting",1000000],PARAMETER["false_northing",1000000],UNIT["metre",1,AUTHORITY["EPSG","9001"]],AXIS["X",EAST],AXIS["Y",NORTH],AUTHORITY["EPSG","3081"]]</t>
  </si>
  <si>
    <t>PROJCS["NAD83 / Texas Centric Lambert Conformal",GEOGCS["NAD83",DATUM["North_American_Datum_1983",SPHEROID["GRS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27.5],PARAMETER["standard_parallel_2",35],PARAMETER["latitude_of_origin",18],PARAMETER["central_meridian",-100],PARAMETER["false_easting",1500000],PARAMETER["false_northing",5000000],UNIT["metre",1,AUTHORITY["EPSG","9001"]],AXIS["X",EAST],AXIS["Y",NORTH],AUTHORITY["EPSG","3082"]]</t>
  </si>
  <si>
    <t>PROJCS["NAD83 / Texas Centric Albers Equal Area",GEOGCS["NAD83",DATUM["North_American_Datum_1983",SPHEROID["GRS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27.5],PARAMETER["standard_parallel_2",35],PARAMETER["latitude_of_center",18],PARAMETER["longitude_of_center",-100],PARAMETER["false_easting",1500000],PARAMETER["false_northing",6000000],UNIT["metre",1,AUTHORITY["EPSG","9001"]],AXIS["X",EAST],AXIS["Y",NORTH],AUTHORITY["EPSG","3083"]]</t>
  </si>
  <si>
    <t>PROJCS["NAD83(HARN) / Texas Centric Lambert Conformal",GEOGCS["NAD83(HARN)",DATUM["NAD83_High_Accuracy_Reference_Network",SPHEROID["GRS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27.5],PARAMETER["standard_parallel_2",35],PARAMETER["latitude_of_origin",18],PARAMETER["central_meridian",-100],PARAMETER["false_easting",1500000],PARAMETER["false_northing",5000000],UNIT["metre",1,AUTHORITY["EPSG","9001"]],AXIS["X",EAST],AXIS["Y",NORTH],AUTHORITY["EPSG","3084"]]</t>
  </si>
  <si>
    <t xml:space="preserve">+proj=lcc +lat_1=27.5 +lat_2=35 +lat_0=18 +lon_0=-100 +x_0=1500000 +y_0=5000000 +ellps=GRS80 +towgs84=0,0,0,0,0,0,0 +units=m +no_defs </t>
  </si>
  <si>
    <t>PROJCS["NAD83(HARN) / Texas Centric Albers Equal Area",GEOGCS["NAD83(HARN)",DATUM["NAD83_High_Accuracy_Reference_Network",SPHEROID["GRS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Albers_Conic_Equal_Area"],PARAMETER["standard_parallel_1",27.5],PARAMETER["standard_parallel_2",35],PARAMETER["latitude_of_center",18],PARAMETER["longitude_of_center",-100],PARAMETER["false_easting",1500000],PARAMETER["false_northing",6000000],UNIT["metre",1,AUTHORITY["EPSG","9001"]],AXIS["X",EAST],AXIS["Y",NORTH],AUTHORITY["EPSG","3085"]]</t>
  </si>
  <si>
    <t xml:space="preserve">+proj=aea +lat_1=27.5 +lat_2=35 +lat_0=18 +lon_0=-100 +x_0=1500000 +y_0=6000000 +ellps=GRS80 +towgs84=0,0,0,0,0,0,0 +units=m +no_defs </t>
  </si>
  <si>
    <t>PROJCS["NAD83 / Florida GDL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24],PARAMETER["standard_parallel_2",31.5],PARAMETER["latitude_of_center",24],PARAMETER["longitude_of_center",-84],PARAMETER["false_easting",400000],PARAMETER["false_northing",0],UNIT["metre",1,AUTHORITY["EPSG","9001"]],AXIS["X",EAST],AXIS["Y",NORTH],AUTHORITY["EPSG","3086"]]</t>
  </si>
  <si>
    <t>PROJCS["NAD83(HARN) / Florida GDL Albers",GEOGCS["NAD83(HARN)",DATUM["NAD83_High_Accuracy_Reference_Network",SPHEROID["GRS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Albers_Conic_Equal_Area"],PARAMETER["standard_parallel_1",24],PARAMETER["standard_parallel_2",31.5],PARAMETER["latitude_of_center",24],PARAMETER["longitude_of_center",-84],PARAMETER["false_easting",400000],PARAMETER["false_northing",0],UNIT["metre",1,AUTHORITY["EPSG","9001"]],AXIS["X",EAST],AXIS["Y",NORTH],AUTHORITY["EPSG","3087"]]</t>
  </si>
  <si>
    <t xml:space="preserve">+proj=aea +lat_1=24 +lat_2=31.5 +lat_0=24 +lon_0=-84 +x_0=400000 +y_0=0 +ellps=GRS80 +towgs84=0,0,0,0,0,0,0 +units=m +no_defs </t>
  </si>
  <si>
    <t>PROJCS["NAD83 / Kentucky Single Zone",GEOGCS["NAD83",DATUM["North_American_Datum_1983",SPHEROID["GRS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37.08333333333334],PARAMETER["standard_parallel_2",38.66666666666666],PARAMETER["latitude_of_origin",36.33333333333334],PARAMETER["central_meridian",-85.75],PARAMETER["false_easting",1500000],PARAMETER["false_northing",1000000],UNIT["metre",1,AUTHORITY["EPSG","9001"]],AXIS["X",EAST],AXIS["Y",NORTH],AUTHORITY["EPSG","3088"]]</t>
  </si>
  <si>
    <t>PROJCS["NAD83 / Kentucky Single Zone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37.08333333333334],PARAMETER["standard_parallel_2",38.66666666666666],PARAMETER["latitude_of_origin",36.33333333333334],PARAMETER["central_meridian",-85.75],PARAMETER["false_easting",4921250],PARAMETER["false_northing",3280833.333],UNIT["US survey foot",0.3048006096012192,AUTHORITY["EPSG","9003"]],AXIS["X",EAST],AXIS["Y",NORTH],AUTHORITY["EPSG","3089"]]</t>
  </si>
  <si>
    <t>PROJCS["JGD2000 / UTM zone 53N",GEOGCS["JGD2000",DATUM["Japanese_Geodetic_Datum_2000",SPHEROID["GRS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3099"]]</t>
  </si>
  <si>
    <t xml:space="preserve">+proj=utm +zone=53 +ellps=GRS80 +towgs84=0,0,0,0,0,0,0 +units=m +no_defs </t>
  </si>
  <si>
    <t>PROJCS["NAD83(HARN) / Kentucky Single Zone",GEOGCS["NAD83(HARN)",DATUM["NAD83_High_Accuracy_Reference_Network",SPHEROID["GRS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37.08333333333334],PARAMETER["standard_parallel_2",38.66666666666666],PARAMETER["latitude_of_origin",36.33333333333334],PARAMETER["central_meridian",-85.75],PARAMETER["false_easting",1500000],PARAMETER["false_northing",1000000],UNIT["metre",1,AUTHORITY["EPSG","9001"]],AXIS["X",EAST],AXIS["Y",NORTH],AUTHORITY["EPSG","3090"]]</t>
  </si>
  <si>
    <t xml:space="preserve">+proj=lcc +lat_1=37.08333333333334 +lat_2=38.66666666666666 +lat_0=36.33333333333334 +lon_0=-85.75 +x_0=1500000 +y_0=1000000 +ellps=GRS80 +towgs84=0,0,0,0,0,0,0 +units=m +no_defs </t>
  </si>
  <si>
    <t>PROJCS["NAD83(HARN) / Kentucky Single Zone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37.08333333333334],PARAMETER["standard_parallel_2",38.66666666666666],PARAMETER["latitude_of_origin",36.33333333333334],PARAMETER["central_meridian",-85.75],PARAMETER["false_easting",4921250],PARAMETER["false_northing",3280833.333],UNIT["US survey foot",0.3048006096012192,AUTHORITY["EPSG","9003"]],AXIS["X",EAST],AXIS["Y",NORTH],AUTHORITY["EPSG","3091"]]</t>
  </si>
  <si>
    <t xml:space="preserve">+proj=lcc +lat_1=37.08333333333334 +lat_2=38.66666666666666 +lat_0=36.33333333333334 +lon_0=-85.75 +x_0=1500000 +y_0=999999.9998983998 +ellps=GRS80 +towgs84=0,0,0,0,0,0,0 +units=us-ft +no_defs </t>
  </si>
  <si>
    <t>PROJCS["Tokyo / UTM zone 51N",GEOGCS["Tokyo",DATUM["Tokyo",SPHEROID["Bessel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3092"]]</t>
  </si>
  <si>
    <t xml:space="preserve">+proj=utm +zone=51 +ellps=bessel +towgs84=-146.414,507.337,680.507,0,0,0,0 +units=m +no_defs </t>
  </si>
  <si>
    <t>PROJCS["Tokyo / UTM zone 52N",GEOGCS["Tokyo",DATUM["Tokyo",SPHEROID["Bessel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3093"]]</t>
  </si>
  <si>
    <t xml:space="preserve">+proj=utm +zone=52 +ellps=bessel +towgs84=-146.414,507.337,680.507,0,0,0,0 +units=m +no_defs </t>
  </si>
  <si>
    <t>PROJCS["Tokyo / UTM zone 53N",GEOGCS["Tokyo",DATUM["Tokyo",SPHEROID["Bessel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3094"]]</t>
  </si>
  <si>
    <t xml:space="preserve">+proj=utm +zone=53 +ellps=bessel +towgs84=-146.414,507.337,680.507,0,0,0,0 +units=m +no_defs </t>
  </si>
  <si>
    <t>PROJCS["Tokyo / UTM zone 54N",GEOGCS["Tokyo",DATUM["Tokyo",SPHEROID["Bessel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3095"]]</t>
  </si>
  <si>
    <t xml:space="preserve">+proj=utm +zone=54 +ellps=bessel +towgs84=-146.414,507.337,680.507,0,0,0,0 +units=m +no_defs </t>
  </si>
  <si>
    <t>PROJCS["Tokyo / UTM zone 55N",GEOGCS["Tokyo",DATUM["Tokyo",SPHEROID["Bessel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3096"]]</t>
  </si>
  <si>
    <t xml:space="preserve">+proj=utm +zone=55 +ellps=bessel +towgs84=-146.414,507.337,680.507,0,0,0,0 +units=m +no_defs </t>
  </si>
  <si>
    <t>PROJCS["JGD2000 / UTM zone 51N",GEOGCS["JGD2000",DATUM["Japanese_Geodetic_Datum_2000",SPHEROID["GRS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3097"]]</t>
  </si>
  <si>
    <t xml:space="preserve">+proj=utm +zone=51 +ellps=GRS80 +towgs84=0,0,0,0,0,0,0 +units=m +no_defs </t>
  </si>
  <si>
    <t>PROJCS["JGD2000 / UTM zone 52N",GEOGCS["JGD2000",DATUM["Japanese_Geodetic_Datum_2000",SPHEROID["GRS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3098"]]</t>
  </si>
  <si>
    <t xml:space="preserve">+proj=utm +zone=52 +ellps=GRS80 +towgs84=0,0,0,0,0,0,0 +units=m +no_defs </t>
  </si>
  <si>
    <t>GEOCCS["RGFG95 (geocentric)",DATUM["Reseau_Geodesique_Francais_Guyane_1995",SPHEROID["GRS 1980",6378137,298.257222101,AUTHORITY["EPSG","7019"]],AUTHORITY["EPSG","6624"]],PRIMEM["Greenwich",0,AUTHORITY["EPSG","8901"]],UNIT["metre",1,AUTHORITY["EPSG","9001"]],AXIS["Geocentric X",OTHER],AXIS["Geocentric Y",OTHER],AXIS["Geocentric Z",NORTH],AUTHORITY["EPSG","4372"]]</t>
  </si>
  <si>
    <t>PROJCS["JGD2000 / UTM zone 54N",GEOGCS["JGD2000",DATUM["Japanese_Geodetic_Datum_2000",SPHEROID["GRS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3100"]]</t>
  </si>
  <si>
    <t xml:space="preserve">+proj=utm +zone=54 +ellps=GRS80 +towgs84=0,0,0,0,0,0,0 +units=m +no_defs </t>
  </si>
  <si>
    <t>PROJCS["JGD2000 / UTM zone 55N",GEOGCS["JGD2000",DATUM["Japanese_Geodetic_Datum_2000",SPHEROID["GRS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3101"]]</t>
  </si>
  <si>
    <t xml:space="preserve">+proj=utm +zone=55 +ellps=GRS80 +towgs84=0,0,0,0,0,0,0 +units=m +no_defs </t>
  </si>
  <si>
    <t>PROJCS["American Samoa 1962 / American Samoa Lambert",GEOGCS["American Samoa 1962",DATUM["American_Samoa_1962",SPHEROID["Clarke 1866",6378206.4,294.9786982138982,AUTHORITY["EPSG","7008"]],TOWGS84[-115,118,426,0,0,0,0],AUTHORITY["EPSG","6169"]],PRIMEM["Greenwich",0,AUTHORITY["EPSG","8901"]],UNIT["degree",0.0174532925199433,AUTHORITY["EPSG","9122"]],AUTHORITY["EPSG","4169"]],PROJECTION["Lambert_Conformal_Conic_1SP"],PARAMETER["latitude_of_origin",-14.26666666666667],PARAMETER["central_meridian",-170],PARAMETER["scale_factor",1],PARAMETER["false_easting",500000],PARAMETER["false_northing",312234.65],UNIT["US survey foot",0.3048006096012192,AUTHORITY["EPSG","9003"]],AXIS["X",EAST],AXIS["Y",NORTH],AUTHORITY["EPSG","3102"]]</t>
  </si>
  <si>
    <t xml:space="preserve">+proj=lcc +lat_1=-14.26666666666667 +lat_0=-14.26666666666667 +lon_0=-170 +k_0=1 +x_0=152400.3048006096 +y_0=95169.31165862332 +ellps=clrk66 +towgs84=-115,118,426,0,0,0,0 +units=us-ft +no_defs </t>
  </si>
  <si>
    <t>PROJCS["Mauritania 1999 / UTM zone 28N (deprecated)",GEOGCS["Mauritania 1999",DATUM["Mauritania_1999",SPHEROID["Clarke 1880 (RGS)",6378249.145,293.465,AUTHORITY["EPSG","7012"]],AUTHORITY["EPSG","6681"]],PRIMEM["Greenwich",0,AUTHORITY["EPSG","8901"]],UNIT["degree",0.0174532925199433,AUTHORITY["EPSG","9122"]],AUTHORITY["EPSG","4681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3103"]]</t>
  </si>
  <si>
    <t>PROJCS["Mauritania 1999 / UTM zone 29N (deprecated)",GEOGCS["Mauritania 1999",DATUM["Mauritania_1999",SPHEROID["Clarke 1880 (RGS)",6378249.145,293.465,AUTHORITY["EPSG","7012"]],AUTHORITY["EPSG","6681"]],PRIMEM["Greenwich",0,AUTHORITY["EPSG","8901"]],UNIT["degree",0.0174532925199433,AUTHORITY["EPSG","9122"]],AUTHORITY["EPSG","4681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3104"]]</t>
  </si>
  <si>
    <t>PROJCS["Mauritania 1999 / UTM zone 30N (deprecated)",GEOGCS["Mauritania 1999",DATUM["Mauritania_1999",SPHEROID["Clarke 1880 (RGS)",6378249.145,293.465,AUTHORITY["EPSG","7012"]],AUTHORITY["EPSG","6681"]],PRIMEM["Greenwich",0,AUTHORITY["EPSG","8901"]],UNIT["degree",0.0174532925199433,AUTHORITY["EPSG","9122"]],AUTHORITY["EPSG","4681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3105"]]</t>
  </si>
  <si>
    <t>PROJCS["Gulshan 303 / Bangladesh Transverse Mercator",GEOGCS["Gulshan 303",DATUM["Gulshan_303",SPHEROID["Everest 1830 (1937 Adjustment)",6377276.345,300.8017,AUTHORITY["EPSG","7015"]],TOWGS84[283.7,735.9,261.1,0,0,0,0],AUTHORITY["EPSG","6682"]],PRIMEM["Greenwich",0,AUTHORITY["EPSG","8901"]],UNIT["degree",0.0174532925199433,AUTHORITY["EPSG","9122"]],AUTHORITY["EPSG","4682"]],PROJECTION["Transverse_Mercator"],PARAMETER["latitude_of_origin",0],PARAMETER["central_meridian",90],PARAMETER["scale_factor",0.9996],PARAMETER["false_easting",500000],PARAMETER["false_northing",0],UNIT["metre",1,AUTHORITY["EPSG","9001"]],AXIS["Easting",EAST],AXIS["Northing",NORTH],AUTHORITY["EPSG","3106"]]</t>
  </si>
  <si>
    <t xml:space="preserve">+proj=tmerc +lat_0=0 +lon_0=90 +k=0.9996 +x_0=500000 +y_0=0 +a=6377276.345 +b=6356075.41314024 +towgs84=283.7,735.9,261.1,0,0,0,0 +units=m +no_defs </t>
  </si>
  <si>
    <t>PROJCS["GDA94 / SA Lambert",GEOGCS["GDA94",DATUM["Geocentric_Datum_of_Australia_1994",SPHEROID["GRS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Lambert_Conformal_Conic_2SP"],PARAMETER["standard_parallel_1",-28],PARAMETER["standard_parallel_2",-36],PARAMETER["latitude_of_origin",-32],PARAMETER["central_meridian",135],PARAMETER["false_easting",1000000],PARAMETER["false_northing",2000000],UNIT["metre",1,AUTHORITY["EPSG","9001"]],AXIS["Easting",EAST],AXIS["Northing",NORTH],AUTHORITY["EPSG","3107"]]</t>
  </si>
  <si>
    <t xml:space="preserve">+proj=lcc +lat_1=-28 +lat_2=-36 +lat_0=-32 +lon_0=135 +x_0=1000000 +y_0=2000000 +ellps=GRS80 +towgs84=0,0,0,0,0,0,0 +units=m +no_defs </t>
  </si>
  <si>
    <t>PROJCS["ETRS89 / Guernsey Grid",GEOGCS["ETRS89",DATUM["European_Terrestrial_Reference_System_1989",SPHEROID["GRS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49.5],PARAMETER["central_meridian",-2.416666666666667],PARAMETER["scale_factor",0.999997],PARAMETER["false_easting",47000],PARAMETER["false_northing",50000],UNIT["metre",1,AUTHORITY["EPSG","9001"]],AXIS["Easting",EAST],AXIS["Northing",NORTH],AUTHORITY["EPSG","3108"]]</t>
  </si>
  <si>
    <t xml:space="preserve">+proj=tmerc +lat_0=49.5 +lon_0=-2.416666666666667 +k=0.999997 +x_0=47000 +y_0=50000 +ellps=GRS80 +towgs84=0,0,0,0,0,0,0 +units=m +no_defs </t>
  </si>
  <si>
    <t>PROJCS["WGS 84 / North Pole LAEA Europe",GEOGCS["WGS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10],PARAMETER["false_easting",0],PARAMETER["false_northing",0],UNIT["metre",1,AUTHORITY["EPSG","9001"]],AXIS["X",EAST],AXIS["Y",NORTH],AUTHORITY["EPSG","3575"]]</t>
  </si>
  <si>
    <t>PROJCS["ETRS89 / Jersey Transverse Mercator",GEOGCS["ETRS89",DATUM["European_Terrestrial_Reference_System_1989",SPHEROID["GRS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49.225],PARAMETER["central_meridian",-2.135],PARAMETER["scale_factor",0.9999999],PARAMETER["false_easting",40000],PARAMETER["false_northing",70000],UNIT["metre",1,AUTHORITY["EPSG","9001"]],AXIS["Easting",EAST],AXIS["Northing",NORTH],AUTHORITY["EPSG","3109"]]</t>
  </si>
  <si>
    <t xml:space="preserve">+proj=tmerc +lat_0=49.225 +lon_0=-2.135 +k=0.9999999000000001 +x_0=40000 +y_0=70000 +ellps=GRS80 +towgs84=0,0,0,0,0,0,0 +units=m +no_defs </t>
  </si>
  <si>
    <t>PROJCS["AGD66 / Vicgrid66",GEOGCS["AGD66",DATUM["Australian_Geodetic_Datum_1966",SPHEROID["Australian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Lambert_Conformal_Conic_2SP"],PARAMETER["standard_parallel_1",-36],PARAMETER["standard_parallel_2",-38],PARAMETER["latitude_of_origin",-37],PARAMETER["central_meridian",145],PARAMETER["false_easting",2500000],PARAMETER["false_northing",4500000],UNIT["metre",1,AUTHORITY["EPSG","9001"]],AXIS["Easting",EAST],AXIS["Northing",NORTH],AUTHORITY["EPSG","3110"]]</t>
  </si>
  <si>
    <t xml:space="preserve">+proj=lcc +lat_1=-36 +lat_2=-38 +lat_0=-37 +lon_0=145 +x_0=2500000 +y_0=4500000 +ellps=aust_SA +towgs84=-117.808,-51.536,137.784,0.303,0.446,0.234,-0.29 +units=m +no_defs </t>
  </si>
  <si>
    <t>PROJCS["GDA94 / Vicgrid",GEOGCS["GDA94",DATUM["Geocentric_Datum_of_Australia_1994",SPHEROID["GRS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Lambert_Conformal_Conic_2SP"],PARAMETER["standard_parallel_1",-36],PARAMETER["standard_parallel_2",-38],PARAMETER["latitude_of_origin",-37],PARAMETER["central_meridian",145],PARAMETER["false_easting",2500000],PARAMETER["false_northing",2500000],UNIT["metre",1,AUTHORITY["EPSG","9001"]],AXIS["Easting",EAST],AXIS["Northing",NORTH],AUTHORITY["EPSG","3111"]]</t>
  </si>
  <si>
    <t xml:space="preserve">+proj=lcc +lat_1=-36 +lat_2=-38 +lat_0=-37 +lon_0=145 +x_0=2500000 +y_0=2500000 +ellps=GRS80 +towgs84=0,0,0,0,0,0,0 +units=m +no_defs </t>
  </si>
  <si>
    <t>PROJCS["GDA94 / Geoscience Australia Lambert",GEOGCS["GDA94",DATUM["Geocentric_Datum_of_Australia_1994",SPHEROID["GRS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Lambert_Conformal_Conic_2SP"],PARAMETER["standard_parallel_1",-18],PARAMETER["standard_parallel_2",-36],PARAMETER["latitude_of_origin",0],PARAMETER["central_meridian",134],PARAMETER["false_easting",0],PARAMETER["false_northing",0],UNIT["metre",1,AUTHORITY["EPSG","9001"]],AXIS["Easting",EAST],AXIS["Northing",NORTH],AUTHORITY["EPSG","3112"]]</t>
  </si>
  <si>
    <t xml:space="preserve">+proj=lcc +lat_1=-18 +lat_2=-36 +lat_0=0 +lon_0=134 +x_0=0 +y_0=0 +ellps=GRS80 +towgs84=0,0,0,0,0,0,0 +units=m +no_defs </t>
  </si>
  <si>
    <t>PROJCS["GDA94 / BCSG02",GEOGCS["GDA94",DATUM["Geocentric_Datum_of_Australia_1994",SPHEROID["GRS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-28],PARAMETER["central_meridian",153],PARAMETER["scale_factor",0.99999],PARAMETER["false_easting",50000],PARAMETER["false_northing",100000],UNIT["metre",1,AUTHORITY["EPSG","9001"]],AXIS["Easting",EAST],AXIS["Northing",NORTH],AUTHORITY["EPSG","3113"]]</t>
  </si>
  <si>
    <t xml:space="preserve">+proj=tmerc +lat_0=-28 +lon_0=153 +k=0.99999 +x_0=50000 +y_0=100000 +ellps=GRS80 +towgs84=0,0,0,0,0,0,0 +units=m +no_defs </t>
  </si>
  <si>
    <t>PROJCS["MAGNA-SIRGAS / Colombia Far West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-80.07750791666666],PARAMETER["scale_factor",1],PARAMETER["false_easting",1000000],PARAMETER["false_northing",1000000],UNIT["metre",1,AUTHORITY["EPSG","9001"]],AUTHORITY["EPSG","3114"]]</t>
  </si>
  <si>
    <t xml:space="preserve">+proj=tmerc +lat_0=4.596200416666666 +lon_0=-80.07750791666666 +k=1 +x_0=1000000 +y_0=1000000 +ellps=GRS80 +towgs84=0,0,0,0,0,0,0 +units=m +no_defs </t>
  </si>
  <si>
    <t>PROJCS["MAGNA-SIRGAS / Colombia West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-77.07750791666666],PARAMETER["scale_factor",1],PARAMETER["false_easting",1000000],PARAMETER["false_northing",1000000],UNIT["metre",1,AUTHORITY["EPSG","9001"]],AUTHORITY["EPSG","3115"]]</t>
  </si>
  <si>
    <t xml:space="preserve">+proj=tmerc +lat_0=4.596200416666666 +lon_0=-77.07750791666666 +k=1 +x_0=1000000 +y_0=1000000 +ellps=GRS80 +towgs84=0,0,0,0,0,0,0 +units=m +no_defs </t>
  </si>
  <si>
    <t>PROJCS["MAGNA-SIRGAS / Colombia Bogota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-74.07750791666666],PARAMETER["scale_factor",1],PARAMETER["false_easting",1000000],PARAMETER["false_northing",1000000],UNIT["metre",1,AUTHORITY["EPSG","9001"]],AUTHORITY["EPSG","3116"]]</t>
  </si>
  <si>
    <t xml:space="preserve">+proj=tmerc +lat_0=4.596200416666666 +lon_0=-74.07750791666666 +k=1 +x_0=1000000 +y_0=1000000 +ellps=GRS80 +towgs84=0,0,0,0,0,0,0 +units=m +no_defs </t>
  </si>
  <si>
    <t>PROJCS["MAGNA-SIRGAS / Colombia East Central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-71.07750791666666],PARAMETER["scale_factor",1],PARAMETER["false_easting",1000000],PARAMETER["false_northing",1000000],UNIT["metre",1,AUTHORITY["EPSG","9001"]],AUTHORITY["EPSG","3117"]]</t>
  </si>
  <si>
    <t xml:space="preserve">+proj=tmerc +lat_0=4.596200416666666 +lon_0=-71.07750791666666 +k=1 +x_0=1000000 +y_0=1000000 +ellps=GRS80 +towgs84=0,0,0,0,0,0,0 +units=m +no_defs </t>
  </si>
  <si>
    <t>PROJCS["MAGNA-SIRGAS / Colombia East zone",GEOGCS["MAGNA-SIRGAS",DATUM["Marco_Geocentrico_Nacional_de_Referencia",SPHEROID["GRS 1980",6378137,298.257222101,AUTHORITY["EPSG","7019"]],TOWGS84[0,0,0,0,0,0,0],AUTHORITY["EPSG","6686"]],PRIMEM["Greenwich",0,AUTHORITY["EPSG","8901"]],UNIT["degree",0.0174532925199433,AUTHORITY["EPSG","9122"]],AUTHORITY["EPSG","4686"]],PROJECTION["Transverse_Mercator"],PARAMETER["latitude_of_origin",4.596200416666666],PARAMETER["central_meridian",-68.07750791666666],PARAMETER["scale_factor",1],PARAMETER["false_easting",1000000],PARAMETER["false_northing",1000000],UNIT["metre",1,AUTHORITY["EPSG","9001"]],AUTHORITY["EPSG","3118"]]</t>
  </si>
  <si>
    <t xml:space="preserve">+proj=tmerc +lat_0=4.596200416666666 +lon_0=-68.07750791666666 +k=1 +x_0=1000000 +y_0=1000000 +ellps=GRS80 +towgs84=0,0,0,0,0,0,0 +units=m +no_defs </t>
  </si>
  <si>
    <t>PROJCS["Douala 1948 / AEF west",GEOGCS["Douala 1948",DATUM["Douala_1948",SPHEROID["International 1924",6378388,297,AUTHORITY["EPSG","7022"]],TOWGS84[-206.1,-174.7,-87.7,0,0,0,0],AUTHORITY["EPSG","6192"]],PRIMEM["Greenwich",0,AUTHORITY["EPSG","8901"]],UNIT["degree",0.0174532925199433,AUTHORITY["EPSG","9122"]],AUTHORITY["EPSG","4192"]],PROJECTION["Transverse_Mercator"],PARAMETER["latitude_of_origin",0],PARAMETER["central_meridian",10.5],PARAMETER["scale_factor",0.999],PARAMETER["false_easting",1000000],PARAMETER["false_northing",1000000],UNIT["metre",1,AUTHORITY["EPSG","9001"]],AXIS["Easting",EAST],AXIS["Northing",NORTH],AUTHORITY["EPSG","3119"]]</t>
  </si>
  <si>
    <t>PROJCS["Pulkovo 1942(58) / Poland zone I",GEOGCS["Pulkovo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50.625],PARAMETER["central_meridian",21.08333333333333],PARAMETER["scale_factor",0.9998],PARAMETER["false_easting",4637000],PARAMETER["false_northing",5467000],UNIT["metre",1,AUTHORITY["EPSG","9001"]],AUTHORITY["EPSG","3120"]]</t>
  </si>
  <si>
    <t xml:space="preserve">+proj=sterea +lat_0=50.625 +lon_0=21.08333333333333 +k=0.9998 +x_0=4637000 +y_0=5467000 +ellps=krass +towgs84=33.4,-146.6,-76.3,-0.359,-0.053,0.844,-0.84 +units=m +no_defs </t>
  </si>
  <si>
    <t>PROJCS["PRS92 / Philippines zone 1",GEOGCS["PRS92",DATUM["Philippine_Reference_System_1992",SPHEROID["Clarke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117],PARAMETER["scale_factor",0.99995],PARAMETER["false_easting",500000],PARAMETER["false_northing",0],UNIT["metre",1,AUTHORITY["EPSG","9001"]],AXIS["X",EAST],AXIS["Y",NORTH],AUTHORITY["EPSG","3121"]]</t>
  </si>
  <si>
    <t xml:space="preserve">+proj=tmerc +lat_0=0 +lon_0=117 +k=0.99995 +x_0=500000 +y_0=0 +ellps=clrk66 +towgs84=-127.62,-67.24,-47.04,-3.068,4.903,1.578,-1.06 +units=m +no_defs </t>
  </si>
  <si>
    <t>PROJCS["PRS92 / Philippines zone 2",GEOGCS["PRS92",DATUM["Philippine_Reference_System_1992",SPHEROID["Clarke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119],PARAMETER["scale_factor",0.99995],PARAMETER["false_easting",500000],PARAMETER["false_northing",0],UNIT["metre",1,AUTHORITY["EPSG","9001"]],AXIS["X",EAST],AXIS["Y",NORTH],AUTHORITY["EPSG","3122"]]</t>
  </si>
  <si>
    <t xml:space="preserve">+proj=tmerc +lat_0=0 +lon_0=119 +k=0.99995 +x_0=500000 +y_0=0 +ellps=clrk66 +towgs84=-127.62,-67.24,-47.04,-3.068,4.903,1.578,-1.06 +units=m +no_defs </t>
  </si>
  <si>
    <t>PROJCS["PRS92 / Philippines zone 3",GEOGCS["PRS92",DATUM["Philippine_Reference_System_1992",SPHEROID["Clarke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121],PARAMETER["scale_factor",0.99995],PARAMETER["false_easting",500000],PARAMETER["false_northing",0],UNIT["metre",1,AUTHORITY["EPSG","9001"]],AXIS["X",EAST],AXIS["Y",NORTH],AUTHORITY["EPSG","3123"]]</t>
  </si>
  <si>
    <t xml:space="preserve">+proj=tmerc +lat_0=0 +lon_0=121 +k=0.99995 +x_0=500000 +y_0=0 +ellps=clrk66 +towgs84=-127.62,-67.24,-47.04,-3.068,4.903,1.578,-1.06 +units=m +no_defs </t>
  </si>
  <si>
    <t>PROJCS["PRS92 / Philippines zone 4",GEOGCS["PRS92",DATUM["Philippine_Reference_System_1992",SPHEROID["Clarke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123],PARAMETER["scale_factor",0.99995],PARAMETER["false_easting",500000],PARAMETER["false_northing",0],UNIT["metre",1,AUTHORITY["EPSG","9001"]],AXIS["X",EAST],AXIS["Y",NORTH],AUTHORITY["EPSG","3124"]]</t>
  </si>
  <si>
    <t xml:space="preserve">+proj=tmerc +lat_0=0 +lon_0=123 +k=0.99995 +x_0=500000 +y_0=0 +ellps=clrk66 +towgs84=-127.62,-67.24,-47.04,-3.068,4.903,1.578,-1.06 +units=m +no_defs </t>
  </si>
  <si>
    <t>PROJCS["PRS92 / Philippines zone 5",GEOGCS["PRS92",DATUM["Philippine_Reference_System_1992",SPHEROID["Clarke 1866",6378206.4,294.9786982138982,AUTHORITY["EPSG","7008"]],TOWGS84[-127.62,-67.24,-47.04,-3.068,4.903,1.578,-1.06],AUTHORITY["EPSG","6683"]],PRIMEM["Greenwich",0,AUTHORITY["EPSG","8901"]],UNIT["degree",0.0174532925199433,AUTHORITY["EPSG","9122"]],AUTHORITY["EPSG","4683"]],PROJECTION["Transverse_Mercator"],PARAMETER["latitude_of_origin",0],PARAMETER["central_meridian",125],PARAMETER["scale_factor",0.99995],PARAMETER["false_easting",500000],PARAMETER["false_northing",0],UNIT["metre",1,AUTHORITY["EPSG","9001"]],AXIS["X",EAST],AXIS["Y",NORTH],AUTHORITY["EPSG","3125"]]</t>
  </si>
  <si>
    <t xml:space="preserve">+proj=tmerc +lat_0=0 +lon_0=125 +k=0.99995 +x_0=500000 +y_0=0 +ellps=clrk66 +towgs84=-127.62,-67.24,-47.04,-3.068,4.903,1.578,-1.06 +units=m +no_defs </t>
  </si>
  <si>
    <t>PROJCS["ETRS89 / ETRS-GK19FIN",GEOGCS["ETRS89",DATUM["European_Terrestrial_Reference_System_1989",SPHEROID["GRS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19],PARAMETER["scale_factor",1],PARAMETER["false_easting",500000],PARAMETER["false_northing",0],UNIT["metre",1,AUTHORITY["EPSG","9001"]],AUTHORITY["EPSG","3126"]]</t>
  </si>
  <si>
    <t xml:space="preserve">+proj=tmerc +lat_0=0 +lon_0=19 +k=1 +x_0=500000 +y_0=0 +ellps=GRS80 +towgs84=0,0,0,0,0,0,0 +units=m +no_defs </t>
  </si>
  <si>
    <t>PROJCS["ETRS89 / ETRS-GK20FIN",GEOGCS["ETRS89",DATUM["European_Terrestrial_Reference_System_1989",SPHEROID["GRS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20],PARAMETER["scale_factor",1],PARAMETER["false_easting",500000],PARAMETER["false_northing",0],UNIT["metre",1,AUTHORITY["EPSG","9001"]],AUTHORITY["EPSG","3127"]]</t>
  </si>
  <si>
    <t xml:space="preserve">+proj=tmerc +lat_0=0 +lon_0=20 +k=1 +x_0=500000 +y_0=0 +ellps=GRS80 +towgs84=0,0,0,0,0,0,0 +units=m +no_defs </t>
  </si>
  <si>
    <t>PROJCS["ETRS89 / ETRS-GK21FIN",GEOGCS["ETRS89",DATUM["European_Terrestrial_Reference_System_1989",SPHEROID["GRS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1],PARAMETER["false_easting",500000],PARAMETER["false_northing",0],UNIT["metre",1,AUTHORITY["EPSG","9001"]],AUTHORITY["EPSG","3128"]]</t>
  </si>
  <si>
    <t xml:space="preserve">+proj=tmerc +lat_0=0 +lon_0=21 +k=1 +x_0=500000 +y_0=0 +ellps=GRS80 +towgs84=0,0,0,0,0,0,0 +units=m +no_defs </t>
  </si>
  <si>
    <t>PROJCS["ETRS89 / ETRS-GK22FIN",GEOGCS["ETRS89",DATUM["European_Terrestrial_Reference_System_1989",SPHEROID["GRS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22],PARAMETER["scale_factor",1],PARAMETER["false_easting",500000],PARAMETER["false_northing",0],UNIT["metre",1,AUTHORITY["EPSG","9001"]],AUTHORITY["EPSG","3129"]]</t>
  </si>
  <si>
    <t xml:space="preserve">+proj=tmerc +lat_0=0 +lon_0=22 +k=1 +x_0=500000 +y_0=0 +ellps=GRS80 +towgs84=0,0,0,0,0,0,0 +units=m +no_defs </t>
  </si>
  <si>
    <t>PROJCS["ETRS89 / ETRS-GK23FIN",GEOGCS["ETRS89",DATUM["European_Terrestrial_Reference_System_1989",SPHEROID["GRS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23],PARAMETER["scale_factor",1],PARAMETER["false_easting",500000],PARAMETER["false_northing",0],UNIT["metre",1,AUTHORITY["EPSG","9001"]],AUTHORITY["EPSG","3130"]]</t>
  </si>
  <si>
    <t xml:space="preserve">+proj=tmerc +lat_0=0 +lon_0=23 +k=1 +x_0=500000 +y_0=0 +ellps=GRS80 +towgs84=0,0,0,0,0,0,0 +units=m +no_defs </t>
  </si>
  <si>
    <t>PROJCS["ETRS89 / ETRS-GK24FIN",GEOGCS["ETRS89",DATUM["European_Terrestrial_Reference_System_1989",SPHEROID["GRS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24],PARAMETER["scale_factor",1],PARAMETER["false_easting",500000],PARAMETER["false_northing",0],UNIT["metre",1,AUTHORITY["EPSG","9001"]],AUTHORITY["EPSG","3131"]]</t>
  </si>
  <si>
    <t xml:space="preserve">+proj=tmerc +lat_0=0 +lon_0=24 +k=1 +x_0=500000 +y_0=0 +ellps=GRS80 +towgs84=0,0,0,0,0,0,0 +units=m +no_defs </t>
  </si>
  <si>
    <t>PROJCS["ETRS89 / ETRS-GK25FIN",GEOGCS["ETRS89",DATUM["European_Terrestrial_Reference_System_1989",SPHEROID["GRS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25],PARAMETER["scale_factor",1],PARAMETER["false_easting",500000],PARAMETER["false_northing",0],UNIT["metre",1,AUTHORITY["EPSG","9001"]],AUTHORITY["EPSG","3132"]]</t>
  </si>
  <si>
    <t xml:space="preserve">+proj=tmerc +lat_0=0 +lon_0=25 +k=1 +x_0=500000 +y_0=0 +ellps=GRS80 +towgs84=0,0,0,0,0,0,0 +units=m +no_defs </t>
  </si>
  <si>
    <t>PROJCS["ETRS89 / ETRS-GK26FIN",GEOGCS["ETRS89",DATUM["European_Terrestrial_Reference_System_1989",SPHEROID["GRS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26],PARAMETER["scale_factor",1],PARAMETER["false_easting",500000],PARAMETER["false_northing",0],UNIT["metre",1,AUTHORITY["EPSG","9001"]],AUTHORITY["EPSG","3133"]]</t>
  </si>
  <si>
    <t xml:space="preserve">+proj=tmerc +lat_0=0 +lon_0=26 +k=1 +x_0=500000 +y_0=0 +ellps=GRS80 +towgs84=0,0,0,0,0,0,0 +units=m +no_defs </t>
  </si>
  <si>
    <t>PROJCS["ETRS89 / ETRS-GK27FIN",GEOGCS["ETRS89",DATUM["European_Terrestrial_Reference_System_1989",SPHEROID["GRS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1],PARAMETER["false_easting",500000],PARAMETER["false_northing",0],UNIT["metre",1,AUTHORITY["EPSG","9001"]],AUTHORITY["EPSG","3134"]]</t>
  </si>
  <si>
    <t xml:space="preserve">+proj=tmerc +lat_0=0 +lon_0=27 +k=1 +x_0=500000 +y_0=0 +ellps=GRS80 +towgs84=0,0,0,0,0,0,0 +units=m +no_defs </t>
  </si>
  <si>
    <t>PROJCS["ETRS89 / ETRS-GK28FIN",GEOGCS["ETRS89",DATUM["European_Terrestrial_Reference_System_1989",SPHEROID["GRS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28],PARAMETER["scale_factor",1],PARAMETER["false_easting",500000],PARAMETER["false_northing",0],UNIT["metre",1,AUTHORITY["EPSG","9001"]],AUTHORITY["EPSG","3135"]]</t>
  </si>
  <si>
    <t xml:space="preserve">+proj=tmerc +lat_0=0 +lon_0=28 +k=1 +x_0=500000 +y_0=0 +ellps=GRS80 +towgs84=0,0,0,0,0,0,0 +units=m +no_defs </t>
  </si>
  <si>
    <t>PROJCS["ETRS89 / ETRS-GK29FIN",GEOGCS["ETRS89",DATUM["European_Terrestrial_Reference_System_1989",SPHEROID["GRS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29],PARAMETER["scale_factor",1],PARAMETER["false_easting",500000],PARAMETER["false_northing",0],UNIT["metre",1,AUTHORITY["EPSG","9001"]],AUTHORITY["EPSG","3136"]]</t>
  </si>
  <si>
    <t xml:space="preserve">+proj=tmerc +lat_0=0 +lon_0=29 +k=1 +x_0=500000 +y_0=0 +ellps=GRS80 +towgs84=0,0,0,0,0,0,0 +units=m +no_defs </t>
  </si>
  <si>
    <t>GEOCCS["RGR92 (geocentric)",DATUM["Reseau_Geodesique_de_la_Reunion_1992",SPHEROID["GRS 1980",6378137,298.257222101,AUTHORITY["EPSG","7019"]],AUTHORITY["EPSG","6627"]],PRIMEM["Greenwich",0,AUTHORITY["EPSG","8901"]],UNIT["metre",1,AUTHORITY["EPSG","9001"]],AXIS["Geocentric X",OTHER],AXIS["Geocentric Y",OTHER],AXIS["Geocentric Z",NORTH],AUTHORITY["EPSG","4374"]]</t>
  </si>
  <si>
    <t>PROJCS["ETRS89 / ETRS-GK30FIN",GEOGCS["ETRS89",DATUM["European_Terrestrial_Reference_System_1989",SPHEROID["GRS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30],PARAMETER["scale_factor",1],PARAMETER["false_easting",500000],PARAMETER["false_northing",0],UNIT["metre",1,AUTHORITY["EPSG","9001"]],AUTHORITY["EPSG","3137"]]</t>
  </si>
  <si>
    <t xml:space="preserve">+proj=tmerc +lat_0=0 +lon_0=30 +k=1 +x_0=500000 +y_0=0 +ellps=GRS80 +towgs84=0,0,0,0,0,0,0 +units=m +no_defs </t>
  </si>
  <si>
    <t>PROJCS["ETRS89 / ETRS-GK31FIN",GEOGCS["ETRS89",DATUM["European_Terrestrial_Reference_System_1989",SPHEROID["GRS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31],PARAMETER["scale_factor",1],PARAMETER["false_easting",500000],PARAMETER["false_northing",0],UNIT["metre",1,AUTHORITY["EPSG","9001"]],AUTHORITY["EPSG","3138"]]</t>
  </si>
  <si>
    <t xml:space="preserve">+proj=tmerc +lat_0=0 +lon_0=31 +k=1 +x_0=500000 +y_0=0 +ellps=GRS80 +towgs84=0,0,0,0,0,0,0 +units=m +no_defs </t>
  </si>
  <si>
    <t>PROJCS["Viti Levu 1912 / Viti Levu Grid",GEOGCS["Viti Levu 1912",DATUM["Viti_Levu_1912",SPHEROID["Clarke 1880 (international foot)",6378306.3696,293.4663076556355,AUTHORITY["EPSG","7055"]],TOWGS84[98,390,-22,0,0,0,0],AUTHORITY["EPSG","6752"]],PRIMEM["Greenwich",0,AUTHORITY["EPSG","8901"]],UNIT["degree",0.0174532925199433,AUTHORITY["EPSG","9122"]],AUTHORITY["EPSG","4752"]],PROJECTION["Cassini_Soldner"],PARAMETER["latitude_of_origin",-18],PARAMETER["central_meridian",178],PARAMETER["false_easting",544000],PARAMETER["false_northing",704000],UNIT["link",0.201168,AUTHORITY["EPSG","9098"]],AUTHORITY["EPSG","3140"]]</t>
  </si>
  <si>
    <t xml:space="preserve">+proj=cass +lat_0=-18 +lon_0=178 +x_0=109435.392 +y_0=141622.272 +a=6378306.3696 +b=6356571.996 +towgs84=98,390,-22,0,0,0,0 +units=link +no_defs </t>
  </si>
  <si>
    <t>PROJCS["Fiji 1956 / UTM zone 60S",GEOGCS["Fiji 1956",DATUM["Fiji_1956",SPHEROID["International 1924",6378388,297,AUTHORITY["EPSG","7022"]],TOWGS84[265.025,384.929,-194.046,0,0,0,0],AUTHORITY["EPSG","6721"]],PRIMEM["Greenwich",0,AUTHORITY["EPSG","8901"]],UNIT["degree",0.0174532925199433,AUTHORITY["EPSG","9122"]],AUTHORITY["EPSG","4721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3141"]]</t>
  </si>
  <si>
    <t xml:space="preserve">+proj=utm +zone=60 +south +ellps=intl +towgs84=265.025,384.929,-194.046,0,0,0,0 +units=m +no_defs </t>
  </si>
  <si>
    <t>PROJCS["Fiji 1956 / UTM zone 1S",GEOGCS["Fiji 1956",DATUM["Fiji_1956",SPHEROID["International 1924",6378388,297,AUTHORITY["EPSG","7022"]],TOWGS84[265.025,384.929,-194.046,0,0,0,0],AUTHORITY["EPSG","6721"]],PRIMEM["Greenwich",0,AUTHORITY["EPSG","8901"]],UNIT["degree",0.0174532925199433,AUTHORITY["EPSG","9122"]],AUTHORITY["EPSG","4721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3142"]]</t>
  </si>
  <si>
    <t xml:space="preserve">+proj=utm +zone=1 +south +ellps=intl +towgs84=265.025,384.929,-194.046,0,0,0,0 +units=m +no_defs </t>
  </si>
  <si>
    <t>PROJCS["Fiji 1986 / Fiji Map Grid (deprecated)",GEOGCS["Fiji 1986",DATUM["Fiji_Geodetic_Datum_1986",SPHEROID["WGS 72",6378135,298.26,AUTHORITY["EPSG","7043"]],TOWGS84[0,0,4.5,0,0,0.554,0.2263],AUTHORITY["EPSG","6720"]],PRIMEM["Greenwich",0,AUTHORITY["EPSG","8901"]],UNIT["degree",0.0174532925199433,AUTHORITY["EPSG","9122"]],AUTHORITY["EPSG","4720"]],PROJECTION["Transverse_Mercator"],PARAMETER["latitude_of_origin",-17],PARAMETER["central_meridian",178.75],PARAMETER["scale_factor",0.99985],PARAMETER["false_easting",2000000],PARAMETER["false_northing",4000000],UNIT["metre",1,AUTHORITY["EPSG","9001"]],AXIS["Easting",EAST],AXIS["Northing",NORTH],AUTHORITY["EPSG","3143"]]</t>
  </si>
  <si>
    <t xml:space="preserve">+proj=tmerc +lat_0=-17 +lon_0=178.75 +k=0.99985 +x_0=2000000 +y_0=4000000 +ellps=WGS72 +towgs84=0,0,4.5,0,0,0.554,0.2263 +units=m +no_defs </t>
  </si>
  <si>
    <t>PROJCS["Pulkovo 1942 / 3-degree Gauss-Kruger zone 6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18],PARAMETER["scale_factor",1],PARAMETER["false_easting",6500000],PARAMETER["false_northing",0],UNIT["metre",1,AUTHORITY["EPSG","9001"]],AUTHORITY["EPSG","3146"]]</t>
  </si>
  <si>
    <t xml:space="preserve">+proj=tmerc +lat_0=0 +lon_0=18 +k=1 +x_0=6500000 +y_0=0 +ellps=krass +towgs84=23.92,-141.27,-80.9,0,0.35,0.82,-0.12 +units=m +no_defs </t>
  </si>
  <si>
    <t>PROJCS["Pulkovo 1942 / 3-degree Gauss-Kruger CM 18E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18],PARAMETER["scale_factor",1],PARAMETER["false_easting",500000],PARAMETER["false_northing",0],UNIT["metre",1,AUTHORITY["EPSG","9001"]],AUTHORITY["EPSG","3147"]]</t>
  </si>
  <si>
    <t xml:space="preserve">+proj=tmerc +lat_0=0 +lon_0=18 +k=1 +x_0=500000 +y_0=0 +ellps=krass +towgs84=23.92,-141.27,-80.9,0,0.35,0.82,-0.12 +units=m +no_defs </t>
  </si>
  <si>
    <t>PROJCS["Indian 1960 / UTM zone 48N",GEOGCS["Indian 1960",DATUM["Indian_1960",SPHEROID["Everest 1830 (1937 Adjustment)",6377276.345,300.8017,AUTHORITY["EPSG","7015"]],TOWGS84[198,881,317,0,0,0,0],AUTHORITY["EPSG","6131"]],PRIMEM["Greenwich",0,AUTHORITY["EPSG","8901"]],UNIT["degree",0.0174532925199433,AUTHORITY["EPSG","9122"]],AUTHORITY["EPSG","4131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3148"]]</t>
  </si>
  <si>
    <t xml:space="preserve">+proj=utm +zone=48 +a=6377276.345 +b=6356075.41314024 +towgs84=198,881,317,0,0,0,0 +units=m +no_defs </t>
  </si>
  <si>
    <t>PROJCS["Indian 1960 / UTM zone 49N",GEOGCS["Indian 1960",DATUM["Indian_1960",SPHEROID["Everest 1830 (1937 Adjustment)",6377276.345,300.8017,AUTHORITY["EPSG","7015"]],TOWGS84[198,881,317,0,0,0,0],AUTHORITY["EPSG","6131"]],PRIMEM["Greenwich",0,AUTHORITY["EPSG","8901"]],UNIT["degree",0.0174532925199433,AUTHORITY["EPSG","9122"]],AUTHORITY["EPSG","4131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3149"]]</t>
  </si>
  <si>
    <t xml:space="preserve">+proj=utm +zone=49 +a=6377276.345 +b=6356075.41314024 +towgs84=198,881,317,0,0,0,0 +units=m +no_defs </t>
  </si>
  <si>
    <t>PROJCS["Pulkovo 1995 / 3-degree Gauss-Kruger zone 6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18],PARAMETER["scale_factor",1],PARAMETER["false_easting",6500000],PARAMETER["false_northing",0],UNIT["metre",1,AUTHORITY["EPSG","9001"]],AUTHORITY["EPSG","3150"]]</t>
  </si>
  <si>
    <t xml:space="preserve">+proj=tmerc +lat_0=0 +lon_0=18 +k=1 +x_0=6500000 +y_0=0 +ellps=krass +towgs84=24.47,-130.89,-81.56,0,0,0.13,-0.22 +units=m +no_defs </t>
  </si>
  <si>
    <t>PROJCS["Pulkovo 1995 / 3-degree Gauss-Kruger CM 18E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18],PARAMETER["scale_factor",1],PARAMETER["false_easting",500000],PARAMETER["false_northing",0],UNIT["metre",1,AUTHORITY["EPSG","9001"]],AUTHORITY["EPSG","3151"]]</t>
  </si>
  <si>
    <t xml:space="preserve">+proj=tmerc +lat_0=0 +lon_0=18 +k=1 +x_0=500000 +y_0=0 +ellps=krass +towgs84=24.47,-130.89,-81.56,0,0,0.13,-0.22 +units=m +no_defs </t>
  </si>
  <si>
    <t>PROJCS["ST74",GEOGCS["SWEREF99",DATUM["SWEREF99",SPHEROID["GRS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18.05779],PARAMETER["scale_factor",0.99999425],PARAMETER["false_easting",100178.1808],PARAMETER["false_northing",-6500614.7836],UNIT["metre",1,AUTHORITY["EPSG","9001"]],AUTHORITY["EPSG","3152"]]</t>
  </si>
  <si>
    <t xml:space="preserve">+proj=tmerc +lat_0=0 +lon_0=18.05779 +k=0.99999425 +x_0=100178.1808 +y_0=-6500614.7836 +ellps=GRS80 +towgs84=0,0,0,0,0,0,0 +units=m +no_defs </t>
  </si>
  <si>
    <t>PROJCS["NAD83(CSRS) / BC Albers",GEOGCS["NAD83(CSRS)",DATUM["NAD83_Canadian_Spatial_Reference_System",SPHEROID["GRS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Albers_Conic_Equal_Area"],PARAMETER["standard_parallel_1",50],PARAMETER["standard_parallel_2",58.5],PARAMETER["latitude_of_center",45],PARAMETER["longitude_of_center",-126],PARAMETER["false_easting",1000000],PARAMETER["false_northing",0],UNIT["metre",1,AUTHORITY["EPSG","9001"]],AXIS["Easting",EAST],AXIS["Northing",NORTH],AUTHORITY["EPSG","3153"]]</t>
  </si>
  <si>
    <t xml:space="preserve">+proj=aea +lat_1=50 +lat_2=58.5 +lat_0=45 +lon_0=-126 +x_0=1000000 +y_0=0 +ellps=GRS80 +towgs84=0,0,0,0,0,0,0 +units=m +no_defs </t>
  </si>
  <si>
    <t>PROJCS["NAD83(CSRS) / UTM zone 7N",GEOGCS["NAD83(CSRS)",DATUM["NAD83_Canadian_Spatial_Reference_System",SPHEROID["GRS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3154"]]</t>
  </si>
  <si>
    <t xml:space="preserve">+proj=utm +zone=7 +ellps=GRS80 +towgs84=0,0,0,0,0,0,0 +units=m +no_defs </t>
  </si>
  <si>
    <t>PROJCS["NAD83(CSRS) / UTM zone 8N",GEOGCS["NAD83(CSRS)",DATUM["NAD83_Canadian_Spatial_Reference_System",SPHEROID["GRS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3155"]]</t>
  </si>
  <si>
    <t xml:space="preserve">+proj=utm +zone=8 +ellps=GRS80 +towgs84=0,0,0,0,0,0,0 +units=m +no_defs </t>
  </si>
  <si>
    <t>PROJCS["NAD83(CSRS) / UTM zone 9N",GEOGCS["NAD83(CSRS)",DATUM["NAD83_Canadian_Spatial_Reference_System",SPHEROID["GRS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3156"]]</t>
  </si>
  <si>
    <t xml:space="preserve">+proj=utm +zone=9 +ellps=GRS80 +towgs84=0,0,0,0,0,0,0 +units=m +no_defs </t>
  </si>
  <si>
    <t>PROJCS["NAD83(CSRS) / UTM zone 10N",GEOGCS["NAD83(CSRS)",DATUM["NAD83_Canadian_Spatial_Reference_System",SPHEROID["GRS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3157"]]</t>
  </si>
  <si>
    <t xml:space="preserve">+proj=utm +zone=10 +ellps=GRS80 +towgs84=0,0,0,0,0,0,0 +units=m +no_defs </t>
  </si>
  <si>
    <t>PROJCS["NAD83(CSRS) / UTM zone 14N",GEOGCS["NAD83(CSRS)",DATUM["NAD83_Canadian_Spatial_Reference_System",SPHEROID["GRS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3158"]]</t>
  </si>
  <si>
    <t xml:space="preserve">+proj=utm +zone=14 +ellps=GRS80 +towgs84=0,0,0,0,0,0,0 +units=m +no_defs </t>
  </si>
  <si>
    <t>PROJCS["NAD83(CSRS) / UTM zone 15N",GEOGCS["NAD83(CSRS)",DATUM["NAD83_Canadian_Spatial_Reference_System",SPHEROID["GRS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3159"]]</t>
  </si>
  <si>
    <t xml:space="preserve">+proj=utm +zone=15 +ellps=GRS80 +towgs84=0,0,0,0,0,0,0 +units=m +no_defs </t>
  </si>
  <si>
    <t>PROJCS["NAD83(CSRS) / UTM zone 16N",GEOGCS["NAD83(CSRS)",DATUM["NAD83_Canadian_Spatial_Reference_System",SPHEROID["GRS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3160"]]</t>
  </si>
  <si>
    <t xml:space="preserve">+proj=utm +zone=16 +ellps=GRS80 +towgs84=0,0,0,0,0,0,0 +units=m +no_defs </t>
  </si>
  <si>
    <t>PROJCS["NAD83 / Ontario MNR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44.5],PARAMETER["standard_parallel_2",53.5],PARAMETER["latitude_of_origin",0],PARAMETER["central_meridian",-85],PARAMETER["false_easting",930000],PARAMETER["false_northing",6430000],UNIT["metre",1,AUTHORITY["EPSG","9001"]],AXIS["Easting",EAST],AXIS["Northing",NORTH],AUTHORITY["EPSG","3161"]]</t>
  </si>
  <si>
    <t>PROJCS["NAD83(CSRS) / Ontario MNR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44.5],PARAMETER["standard_parallel_2",53.5],PARAMETER["latitude_of_origin",0],PARAMETER["central_meridian",-85],PARAMETER["false_easting",930000],PARAMETER["false_northing",6430000],UNIT["metre",1,AUTHORITY["EPSG","9001"]],AXIS["Easting",EAST],AXIS["Northing",NORTH],AUTHORITY["EPSG","3162"]]</t>
  </si>
  <si>
    <t xml:space="preserve">+proj=lcc +lat_1=44.5 +lat_2=53.5 +lat_0=0 +lon_0=-85 +x_0=930000 +y_0=6430000 +ellps=GRS80 +towgs84=0,0,0,0,0,0,0 +units=m +no_defs </t>
  </si>
  <si>
    <t>PROJCS["RGNC91-93 / Lambert New Caledonia",GEOGCS["RGNC91-93",DATUM["Reseau_Geodesique_de_Nouvelle_Caledonie_91_93",SPHEROID["GRS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,PROJECTION["Lambert_Conformal_Conic_2SP"],PARAMETER["standard_parallel_1",-20.66666666666667],PARAMETER["standard_parallel_2",-22.33333333333333],PARAMETER["latitude_of_origin",-21.5],PARAMETER["central_meridian",166],PARAMETER["false_easting",400000],PARAMETER["false_northing",300000],UNIT["metre",1,AUTHORITY["EPSG","9001"]],AXIS["X",EAST],AXIS["Y",NORTH],AUTHORITY["EPSG","3163"]]</t>
  </si>
  <si>
    <t xml:space="preserve">+proj=lcc +lat_1=-20.66666666666667 +lat_2=-22.33333333333333 +lat_0=-21.5 +lon_0=166 +x_0=400000 +y_0=300000 +ellps=GRS80 +towgs84=0,0,0,0,0,0,0 +units=m +no_defs </t>
  </si>
  <si>
    <t>PROJCS["ST87 Ouvea / UTM zone 58S",GEOGCS["ST87 Ouvea",DATUM["ST87_Ouvea",SPHEROID["WGS 84",6378137,298.257223563,AUTHORITY["EPSG","7030"]],TOWGS84[-56.263,16.136,-22.856,0,0,0,0],AUTHORITY["EPSG","6750"]],PRIMEM["Greenwich",0,AUTHORITY["EPSG","8901"]],UNIT["degree",0.0174532925199433,AUTHORITY["EPSG","9122"]],AUTHORITY["EPSG","4750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3164"]]</t>
  </si>
  <si>
    <t xml:space="preserve">+proj=utm +zone=58 +south +ellps=WGS84 +towgs84=-56.263,16.136,-22.856,0,0,0,0 +units=m +no_defs </t>
  </si>
  <si>
    <t>PROJCS["NEA74 Noumea / Noumea Lambert",GEOGCS["NEA74 Noumea",DATUM["NEA74_Noumea",SPHEROID["International 1924",6378388,297,AUTHORITY["EPSG","7022"]],TOWGS84[-10.18,-350.43,291.37,0,0,0,0],AUTHORITY["EPSG","6644"]],PRIMEM["Greenwich",0,AUTHORITY["EPSG","8901"]],UNIT["degree",0.0174532925199433,AUTHORITY["EPSG","9122"]],AUTHORITY["EPSG","4644"]],PROJECTION["Lambert_Conformal_Conic_2SP"],PARAMETER["standard_parallel_1",-22.24469175],PARAMETER["standard_parallel_2",-22.29469175],PARAMETER["latitude_of_origin",-22.26969175],PARAMETER["central_meridian",166.44242575],PARAMETER["false_easting",0.66],PARAMETER["false_northing",1.02],UNIT["metre",1,AUTHORITY["EPSG","9001"]],AXIS["X",EAST],AXIS["Y",NORTH],AUTHORITY["EPSG","3165"]]</t>
  </si>
  <si>
    <t xml:space="preserve">+proj=lcc +lat_1=-22.24469175 +lat_2=-22.29469175 +lat_0=-22.26969175 +lon_0=166.44242575 +x_0=0.66 +y_0=1.02 +ellps=intl +towgs84=-10.18,-350.43,291.37,0,0,0,0 +units=m +no_defs </t>
  </si>
  <si>
    <t>PROJCS["NEA74 Noumea / Noumea Lambert 2",GEOGCS["NEA74 Noumea",DATUM["NEA74_Noumea",SPHEROID["International 1924",6378388,297,AUTHORITY["EPSG","7022"]],TOWGS84[-10.18,-350.43,291.37,0,0,0,0],AUTHORITY["EPSG","6644"]],PRIMEM["Greenwich",0,AUTHORITY["EPSG","8901"]],UNIT["degree",0.0174532925199433,AUTHORITY["EPSG","9122"]],AUTHORITY["EPSG","4644"]],PROJECTION["Lambert_Conformal_Conic_2SP"],PARAMETER["standard_parallel_1",-22.24472222222222],PARAMETER["standard_parallel_2",-22.29472222222222],PARAMETER["latitude_of_origin",-22.26972222222222],PARAMETER["central_meridian",166.4425],PARAMETER["false_easting",8.313],PARAMETER["false_northing",-2.354],UNIT["metre",1,AUTHORITY["EPSG","9001"]],AXIS["X",EAST],AXIS["Y",NORTH],AUTHORITY["EPSG","3166"]]</t>
  </si>
  <si>
    <t xml:space="preserve">+proj=lcc +lat_1=-22.24472222222222 +lat_2=-22.29472222222222 +lat_0=-22.26972222222222 +lon_0=166.4425 +x_0=8.313000000000001 +y_0=-2.354 +ellps=intl +towgs84=-10.18,-350.43,291.37,0,0,0,0 +units=m +no_defs </t>
  </si>
  <si>
    <t>PROJCS["Kertau (RSO) / RSO Malaya (ch)",GEOGCS["Kertau (RSO)",DATUM["Kertau_RSO",SPHEROID["Everest 1830 (RSO 1969)",6377295.664,300.8017,AUTHORITY["EPSG","7056"]],AUTHORITY["EPSG","6751"]],PRIMEM["Greenwich",0,AUTHORITY["EPSG","8901"]],UNIT["degree",0.0174532925199433,AUTHORITY["EPSG","9122"]],AUTHORITY["EPSG","4751"]],PROJECTION["Hotine_Oblique_Mercator"],PARAMETER["latitude_of_center",4],PARAMETER["longitude_of_center",102.25],PARAMETER["azimuth",323.0257905],PARAMETER["rectified_grid_angle",323.1301023611111],PARAMETER["scale_factor",0.99984],PARAMETER["false_easting",1988.392164223695],PARAMETER["false_northing",0],UNIT["British chain (Sears 1922 truncated)",20.116756,AUTHORITY["EPSG","9301"]],AXIS["Easting",EAST],AXIS["Northing",NORTH],AUTHORITY["EPSG","3167"]]</t>
  </si>
  <si>
    <t>PROJCS["GR96 / UTM zone 18N",GEOGCS["GR96",DATUM["Greenland_1996",SPHEROID["GRS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3178"]]</t>
  </si>
  <si>
    <t>PROJCS["Kertau (RSO) / RSO Malaya (m)",GEOGCS["Kertau (RSO)",DATUM["Kertau_RSO",SPHEROID["Everest 1830 (RSO 1969)",6377295.664,300.8017,AUTHORITY["EPSG","7056"]],AUTHORITY["EPSG","6751"]],PRIMEM["Greenwich",0,AUTHORITY["EPSG","8901"]],UNIT["degree",0.0174532925199433,AUTHORITY["EPSG","9122"]],AUTHORITY["EPSG","4751"]],PROJECTION["Hotine_Oblique_Mercator"],PARAMETER["latitude_of_center",4],PARAMETER["longitude_of_center",102.25],PARAMETER["azimuth",323.0257905],PARAMETER["rectified_grid_angle",323.1301023611111],PARAMETER["scale_factor",0.99984],PARAMETER["false_easting",804670.24],PARAMETER["false_northing",0],UNIT["metre",1,AUTHORITY["EPSG","9001"]],AXIS["Easting",EAST],AXIS["Northing",NORTH],AUTHORITY["EPSG","3168"]]</t>
  </si>
  <si>
    <t>PROJCS["RGNC91-93 / UTM zone 57S",GEOGCS["RGNC91-93",DATUM["Reseau_Geodesique_de_Nouvelle_Caledonie_91_93",SPHEROID["GRS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3169"]]</t>
  </si>
  <si>
    <t xml:space="preserve">+proj=utm +zone=57 +south +ellps=GRS80 +towgs84=0,0,0,0,0,0,0 +units=m +no_defs </t>
  </si>
  <si>
    <t>PROJCS["RGNC91-93 / UTM zone 58S",GEOGCS["RGNC91-93",DATUM["Reseau_Geodesique_de_Nouvelle_Caledonie_91_93",SPHEROID["GRS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3170"]]</t>
  </si>
  <si>
    <t>PROJCS["RGNC91-93 / UTM zone 59S",GEOGCS["RGNC91-93",DATUM["Reseau_Geodesique_de_Nouvelle_Caledonie_91_93",SPHEROID["GRS 1980",6378137,298.257222101,AUTHORITY["EPSG","7019"]],TOWGS84[0,0,0,0,0,0,0],AUTHORITY["EPSG","6749"]],PRIMEM["Greenwich",0,AUTHORITY["EPSG","8901"]],UNIT["degree",0.0174532925199433,AUTHORITY["EPSG","9122"]],AUTHORITY["EPSG","4749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3171"]]</t>
  </si>
  <si>
    <t>PROJCS["IGN53 Mare / UTM zone 59S",GEOGCS["IGN53 Mare",DATUM["IGN53_Mare",SPHEROID["International 1924",6378388,297,AUTHORITY["EPSG","7022"]],TOWGS84[287.58,177.78,-135.41,0,0,0,0],AUTHORITY["EPSG","6641"]],PRIMEM["Greenwich",0,AUTHORITY["EPSG","8901"]],UNIT["degree",0.0174532925199433,AUTHORITY["EPSG","9122"]],AUTHORITY["EPSG","4641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3172"]]</t>
  </si>
  <si>
    <t xml:space="preserve">+proj=utm +zone=59 +south +ellps=intl +towgs84=287.58,177.78,-135.41,0,0,0,0 +units=m +no_defs </t>
  </si>
  <si>
    <t>PROJCS["NAD83 / Great Lakes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42.122774],PARAMETER["standard_parallel_2",49.01518],PARAMETER["latitude_of_center",45.568977],PARAMETER["longitude_of_center",-84.455955],PARAMETER["false_easting",1000000],PARAMETER["false_northing",1000000],UNIT["metre",1,AUTHORITY["EPSG","9001"]],AXIS["X",EAST],AXIS["Y",NORTH],AUTHORITY["EPSG","3174"]]</t>
  </si>
  <si>
    <t>PROJCS["NAD83 / Great Lakes and St Lawrence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42.122774],PARAMETER["standard_parallel_2",49.01518],PARAMETER["latitude_of_center",45.568977],PARAMETER["longitude_of_center",-83.248627],PARAMETER["false_easting",1000000],PARAMETER["false_northing",1000000],UNIT["metre",1,AUTHORITY["EPSG","9001"]],AXIS["X",EAST],AXIS["Y",NORTH],AUTHORITY["EPSG","3175"]]</t>
  </si>
  <si>
    <t>PROJCS["Indian 1960 / TM 106 NE",GEOGCS["Indian 1960",DATUM["Indian_1960",SPHEROID["Everest 1830 (1937 Adjustment)",6377276.345,300.8017,AUTHORITY["EPSG","7015"]],TOWGS84[198,881,317,0,0,0,0],AUTHORITY["EPSG","6131"]],PRIMEM["Greenwich",0,AUTHORITY["EPSG","8901"]],UNIT["degree",0.0174532925199433,AUTHORITY["EPSG","9122"]],AUTHORITY["EPSG","4131"]],PROJECTION["Transverse_Mercator"],PARAMETER["latitude_of_origin",0],PARAMETER["central_meridian",106],PARAMETER["scale_factor",0.9996],PARAMETER["false_easting",500000],PARAMETER["false_northing",0],UNIT["metre",1,AUTHORITY["EPSG","9001"]],AXIS["Easting",EAST],AXIS["Northing",NORTH],AUTHORITY["EPSG","3176"]]</t>
  </si>
  <si>
    <t xml:space="preserve">+proj=tmerc +lat_0=0 +lon_0=106 +k=0.9996 +x_0=500000 +y_0=0 +a=6377276.345 +b=6356075.41314024 +towgs84=198,881,317,0,0,0,0 +units=m +no_defs </t>
  </si>
  <si>
    <t>PROJCS["LGD2006 / Libya TM",GEOGCS["LGD2006",DATUM["Libyan_Geodetic_Datum_2006",SPHEROID["International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17],PARAMETER["scale_factor",0.9965],PARAMETER["false_easting",1000000],PARAMETER["false_northing",0],UNIT["metre",1,AUTHORITY["EPSG","9001"]],AXIS["X",EAST],AXIS["Y",NORTH],AUTHORITY["EPSG","3177"]]</t>
  </si>
  <si>
    <t xml:space="preserve">+proj=tmerc +lat_0=0 +lon_0=17 +k=0.9965000000000001 +x_0=1000000 +y_0=0 +ellps=intl +towgs84=-208.4058,-109.8777,-2.5764,0,0,0,0 +units=m +no_defs </t>
  </si>
  <si>
    <t>GEOCCS["WGS 84 (G1762)",DATUM["World_Geodetic_System_1984_G1762",SPHEROID["WGS 84",6378137,298.257223563,AUTHORITY["EPSG","7030"]],AUTHORITY["EPSG","1156"]],PRIMEM["Greenwich",0,AUTHORITY["EPSG","8901"]],UNIT["metre",1,AUTHORITY["EPSG","9001"]],AXIS["Geocentric X",OTHER],AXIS["Geocentric Y",OTHER],AXIS["Geocentric Z",NORTH],AUTHORITY["EPSG","7664"]]</t>
  </si>
  <si>
    <t>PROJCS["GR96 / UTM zone 19N",GEOGCS["GR96",DATUM["Greenland_1996",SPHEROID["GRS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3179"]]</t>
  </si>
  <si>
    <t>PROJCS["GR96 / UTM zone 20N",GEOGCS["GR96",DATUM["Greenland_1996",SPHEROID["GRS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3180"]]</t>
  </si>
  <si>
    <t>PROJCS["GR96 / UTM zone 21N",GEOGCS["GR96",DATUM["Greenland_1996",SPHEROID["GRS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3181"]]</t>
  </si>
  <si>
    <t>PROJCS["GR96 / UTM zone 22N",GEOGCS["GR96",DATUM["Greenland_1996",SPHEROID["GRS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3182"]]</t>
  </si>
  <si>
    <t>PROJCS["GR96 / UTM zone 23N",GEOGCS["GR96",DATUM["Greenland_1996",SPHEROID["GRS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3183"]]</t>
  </si>
  <si>
    <t xml:space="preserve">+proj=utm +zone=23 +ellps=GRS80 +towgs84=0,0,0,0,0,0,0 +units=m +no_defs </t>
  </si>
  <si>
    <t>PROJCS["GR96 / UTM zone 24N",GEOGCS["GR96",DATUM["Greenland_1996",SPHEROID["GRS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3184"]]</t>
  </si>
  <si>
    <t xml:space="preserve">+proj=utm +zone=24 +ellps=GRS80 +towgs84=0,0,0,0,0,0,0 +units=m +no_defs </t>
  </si>
  <si>
    <t>PROJCS["GR96 / UTM zone 25N",GEOGCS["GR96",DATUM["Greenland_1996",SPHEROID["GRS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3185"]]</t>
  </si>
  <si>
    <t xml:space="preserve">+proj=utm +zone=25 +ellps=GRS80 +towgs84=0,0,0,0,0,0,0 +units=m +no_defs </t>
  </si>
  <si>
    <t>PROJCS["GR96 / UTM zone 26N",GEOGCS["GR96",DATUM["Greenland_1996",SPHEROID["GRS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3186"]]</t>
  </si>
  <si>
    <t>PROJCS["GR96 / UTM zone 27N",GEOGCS["GR96",DATUM["Greenland_1996",SPHEROID["GRS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3187"]]</t>
  </si>
  <si>
    <t>PROJCS["GR96 / UTM zone 28N",GEOGCS["GR96",DATUM["Greenland_1996",SPHEROID["GRS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3188"]]</t>
  </si>
  <si>
    <t>GEOCCS["SIRGAS (geocentric)",DATUM["Sistema_de_Referencia_Geocentrico_para_America_del_Sur_1995",SPHEROID["GRS 1980",6378137,298.257222101,AUTHORITY["EPSG","7019"]],AUTHORITY["EPSG","6170"]],PRIMEM["Greenwich",0,AUTHORITY["EPSG","8901"]],UNIT["metre",1,AUTHORITY["EPSG","9001"]],AXIS["Geocentric X",OTHER],AXIS["Geocentric Y",OTHER],AXIS["Geocentric Z",NORTH],AUTHORITY["EPSG","4376"]]</t>
  </si>
  <si>
    <t>PROJCS["GR96 / UTM zone 29N",GEOGCS["GR96",DATUM["Greenland_1996",SPHEROID["GRS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3189"]]</t>
  </si>
  <si>
    <t>PROJCS["LGD2006 / Libya TM zone 5",GEOGCS["LGD2006",DATUM["Libyan_Geodetic_Datum_2006",SPHEROID["International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9],PARAMETER["scale_factor",0.99995],PARAMETER["false_easting",200000],PARAMETER["false_northing",0],UNIT["metre",1,AUTHORITY["EPSG","9001"]],AXIS["X",EAST],AXIS["Y",NORTH],AUTHORITY["EPSG","3190"]]</t>
  </si>
  <si>
    <t xml:space="preserve">+proj=tmerc +lat_0=0 +lon_0=9 +k=0.99995 +x_0=200000 +y_0=0 +ellps=intl +towgs84=-208.4058,-109.8777,-2.5764,0,0,0,0 +units=m +no_defs </t>
  </si>
  <si>
    <t>PROJCS["LGD2006 / Libya TM zone 6",GEOGCS["LGD2006",DATUM["Libyan_Geodetic_Datum_2006",SPHEROID["International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11],PARAMETER["scale_factor",0.99995],PARAMETER["false_easting",200000],PARAMETER["false_northing",0],UNIT["metre",1,AUTHORITY["EPSG","9001"]],AXIS["X",EAST],AXIS["Y",NORTH],AUTHORITY["EPSG","3191"]]</t>
  </si>
  <si>
    <t xml:space="preserve">+proj=tmerc +lat_0=0 +lon_0=11 +k=0.99995 +x_0=200000 +y_0=0 +ellps=intl +towgs84=-208.4058,-109.8777,-2.5764,0,0,0,0 +units=m +no_defs </t>
  </si>
  <si>
    <t>PROJCS["LGD2006 / Libya TM zone 7",GEOGCS["LGD2006",DATUM["Libyan_Geodetic_Datum_2006",SPHEROID["International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13],PARAMETER["scale_factor",0.99995],PARAMETER["false_easting",200000],PARAMETER["false_northing",0],UNIT["metre",1,AUTHORITY["EPSG","9001"]],AXIS["X",EAST],AXIS["Y",NORTH],AUTHORITY["EPSG","3192"]]</t>
  </si>
  <si>
    <t xml:space="preserve">+proj=tmerc +lat_0=0 +lon_0=13 +k=0.99995 +x_0=200000 +y_0=0 +ellps=intl +towgs84=-208.4058,-109.8777,-2.5764,0,0,0,0 +units=m +no_defs </t>
  </si>
  <si>
    <t>PROJCS["LGD2006 / Libya TM zone 8",GEOGCS["LGD2006",DATUM["Libyan_Geodetic_Datum_2006",SPHEROID["International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15],PARAMETER["scale_factor",0.99995],PARAMETER["false_easting",200000],PARAMETER["false_northing",0],UNIT["metre",1,AUTHORITY["EPSG","9001"]],AXIS["X",EAST],AXIS["Y",NORTH],AUTHORITY["EPSG","3193"]]</t>
  </si>
  <si>
    <t xml:space="preserve">+proj=tmerc +lat_0=0 +lon_0=15 +k=0.99995 +x_0=200000 +y_0=0 +ellps=intl +towgs84=-208.4058,-109.8777,-2.5764,0,0,0,0 +units=m +no_defs </t>
  </si>
  <si>
    <t>PROJCS["LGD2006 / Libya TM zone 9",GEOGCS["LGD2006",DATUM["Libyan_Geodetic_Datum_2006",SPHEROID["International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17],PARAMETER["scale_factor",0.99995],PARAMETER["false_easting",200000],PARAMETER["false_northing",0],UNIT["metre",1,AUTHORITY["EPSG","9001"]],AXIS["X",EAST],AXIS["Y",NORTH],AUTHORITY["EPSG","3194"]]</t>
  </si>
  <si>
    <t xml:space="preserve">+proj=tmerc +lat_0=0 +lon_0=17 +k=0.99995 +x_0=200000 +y_0=0 +ellps=intl +towgs84=-208.4058,-109.8777,-2.5764,0,0,0,0 +units=m +no_defs </t>
  </si>
  <si>
    <t>PROJCS["LGD2006 / Libya TM zone 10",GEOGCS["LGD2006",DATUM["Libyan_Geodetic_Datum_2006",SPHEROID["International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19],PARAMETER["scale_factor",0.99995],PARAMETER["false_easting",200000],PARAMETER["false_northing",0],UNIT["metre",1,AUTHORITY["EPSG","9001"]],AXIS["X",EAST],AXIS["Y",NORTH],AUTHORITY["EPSG","3195"]]</t>
  </si>
  <si>
    <t xml:space="preserve">+proj=tmerc +lat_0=0 +lon_0=19 +k=0.99995 +x_0=200000 +y_0=0 +ellps=intl +towgs84=-208.4058,-109.8777,-2.5764,0,0,0,0 +units=m +no_defs </t>
  </si>
  <si>
    <t>PROJCS["LGD2006 / Libya TM zone 11",GEOGCS["LGD2006",DATUM["Libyan_Geodetic_Datum_2006",SPHEROID["International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21],PARAMETER["scale_factor",0.99995],PARAMETER["false_easting",200000],PARAMETER["false_northing",0],UNIT["metre",1,AUTHORITY["EPSG","9001"]],AXIS["X",EAST],AXIS["Y",NORTH],AUTHORITY["EPSG","3196"]]</t>
  </si>
  <si>
    <t xml:space="preserve">+proj=tmerc +lat_0=0 +lon_0=21 +k=0.99995 +x_0=200000 +y_0=0 +ellps=intl +towgs84=-208.4058,-109.8777,-2.5764,0,0,0,0 +units=m +no_defs </t>
  </si>
  <si>
    <t>PROJCS["LGD2006 / Libya TM zone 12",GEOGCS["LGD2006",DATUM["Libyan_Geodetic_Datum_2006",SPHEROID["International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23],PARAMETER["scale_factor",0.99995],PARAMETER["false_easting",200000],PARAMETER["false_northing",0],UNIT["metre",1,AUTHORITY["EPSG","9001"]],AXIS["X",EAST],AXIS["Y",NORTH],AUTHORITY["EPSG","3197"]]</t>
  </si>
  <si>
    <t xml:space="preserve">+proj=tmerc +lat_0=0 +lon_0=23 +k=0.99995 +x_0=200000 +y_0=0 +ellps=intl +towgs84=-208.4058,-109.8777,-2.5764,0,0,0,0 +units=m +no_defs </t>
  </si>
  <si>
    <t>GEOCCS["SWEREF99 (geocentric)",DATUM["SWEREF99",SPHEROID["GRS 1980",6378137,298.257222101,AUTHORITY["EPSG","7019"]],AUTHORITY["EPSG","6619"]],PRIMEM["Greenwich",0,AUTHORITY["EPSG","8901"]],UNIT["metre",1,AUTHORITY["EPSG","9001"]],AXIS["Geocentric X",OTHER],AXIS["Geocentric Y",OTHER],AXIS["Geocentric Z",NORTH],AUTHORITY["EPSG","4378"]]</t>
  </si>
  <si>
    <t>PROJCS["LGD2006 / Libya TM zone 13",GEOGCS["LGD2006",DATUM["Libyan_Geodetic_Datum_2006",SPHEROID["International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25],PARAMETER["scale_factor",0.99995],PARAMETER["false_easting",200000],PARAMETER["false_northing",0],UNIT["metre",1,AUTHORITY["EPSG","9001"]],AXIS["X",EAST],AXIS["Y",NORTH],AUTHORITY["EPSG","3198"]]</t>
  </si>
  <si>
    <t xml:space="preserve">+proj=tmerc +lat_0=0 +lon_0=25 +k=0.99995 +x_0=200000 +y_0=0 +ellps=intl +towgs84=-208.4058,-109.8777,-2.5764,0,0,0,0 +units=m +no_defs </t>
  </si>
  <si>
    <t>PROJCS["LGD2006 / UTM zone 32N",GEOGCS["LGD2006",DATUM["Libyan_Geodetic_Datum_2006",SPHEROID["International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3199"]]</t>
  </si>
  <si>
    <t xml:space="preserve">+proj=utm +zone=32 +ellps=intl +towgs84=-208.4058,-109.8777,-2.5764,0,0,0,0 +units=m +no_defs </t>
  </si>
  <si>
    <t>PROJCS["FD58 / Iraq zone",GEOGCS["FD58",DATUM["Final_Datum_1958",SPHEROID["Clarke 1880 (RGS)",6378249.145,293.465,AUTHORITY["EPSG","7012"]],TOWGS84[-241.54,-163.64,396.06,0,0,0,0],AUTHORITY["EPSG","6132"]],PRIMEM["Greenwich",0,AUTHORITY["EPSG","8901"]],UNIT["degree",0.0174532925199433,AUTHORITY["EPSG","9122"]],AUTHORITY["EPSG","4132"]],PROJECTION["Lambert_Conformal_Conic_1SP"],PARAMETER["latitude_of_origin",32.5],PARAMETER["central_meridian",45],PARAMETER["scale_factor",0.9987864078],PARAMETER["false_easting",1500000],PARAMETER["false_northing",1166200],UNIT["metre",1,AUTHORITY["EPSG","9001"]],AXIS["Easting",EAST],AXIS["Northing",NORTH],AUTHORITY["EPSG","3200"]]</t>
  </si>
  <si>
    <t xml:space="preserve">+proj=lcc +lat_1=32.5 +lat_0=32.5 +lon_0=45 +k_0=0.9987864078000001 +x_0=1500000 +y_0=1166200 +ellps=clrk80 +towgs84=-241.54,-163.64,396.06,0,0,0,0 +units=m +no_defs </t>
  </si>
  <si>
    <t>PROJCS["LGD2006 / UTM zone 33N",GEOGCS["LGD2006",DATUM["Libyan_Geodetic_Datum_2006",SPHEROID["International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3201"]]</t>
  </si>
  <si>
    <t xml:space="preserve">+proj=utm +zone=33 +ellps=intl +towgs84=-208.4058,-109.8777,-2.5764,0,0,0,0 +units=m +no_defs </t>
  </si>
  <si>
    <t>PROJCS["LGD2006 / UTM zone 34N",GEOGCS["LGD2006",DATUM["Libyan_Geodetic_Datum_2006",SPHEROID["International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3202"]]</t>
  </si>
  <si>
    <t xml:space="preserve">+proj=utm +zone=34 +ellps=intl +towgs84=-208.4058,-109.8777,-2.5764,0,0,0,0 +units=m +no_defs </t>
  </si>
  <si>
    <t>PROJCS["LGD2006 / UTM zone 35N",GEOGCS["LGD2006",DATUM["Libyan_Geodetic_Datum_2006",SPHEROID["International 1924",6378388,297,AUTHORITY["EPSG","7022"]],TOWGS84[-208.4058,-109.8777,-2.5764,0,0,0,0],AUTHORITY["EPSG","6754"]],PRIMEM["Greenwich",0,AUTHORITY["EPSG","8901"]],UNIT["degree",0.0174532925199433,AUTHORITY["EPSG","9122"]],AUTHORITY["EPSG","4754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3203"]]</t>
  </si>
  <si>
    <t xml:space="preserve">+proj=utm +zone=35 +ellps=intl +towgs84=-208.4058,-109.8777,-2.5764,0,0,0,0 +units=m +no_defs </t>
  </si>
  <si>
    <t>PROJCS["WGS 84 / SCAR IMW SP19-20",GEOGCS["WGS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-60.66666666666666],PARAMETER["standard_parallel_2",-63.33333333333334],PARAMETER["latitude_of_origin",-90],PARAMETER["central_meridian",-66],PARAMETER["false_easting",0],PARAMETER["false_northing",0],UNIT["metre",1,AUTHORITY["EPSG","9001"]],AXIS["Easting",EAST],AXIS["Northing",NORTH],AUTHORITY["EPSG","3204"]]</t>
  </si>
  <si>
    <t>PROJCS["WGS 84 / SCAR IMW SP21-22",GEOGCS["WGS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-60.66666666666666],PARAMETER["standard_parallel_2",-63.33333333333334],PARAMETER["latitude_of_origin",-90],PARAMETER["central_meridian",-54],PARAMETER["false_easting",0],PARAMETER["false_northing",0],UNIT["metre",1,AUTHORITY["EPSG","9001"]],AXIS["Easting",EAST],AXIS["Northing",NORTH],AUTHORITY["EPSG","3205"]]</t>
  </si>
  <si>
    <t>PROJCS["WGS 84 / SCAR IMW SP23-24",GEOGCS["WGS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-60.66666666666666],PARAMETER["standard_parallel_2",-63.33333333333334],PARAMETER["latitude_of_origin",-90],PARAMETER["central_meridian",-42],PARAMETER["false_easting",0],PARAMETER["false_northing",0],UNIT["metre",1,AUTHORITY["EPSG","9001"]],AXIS["Easting",EAST],AXIS["Northing",NORTH],AUTHORITY["EPSG","3206"]]</t>
  </si>
  <si>
    <t>GEOCCS["Yemen NGN96 (geocentric)",DATUM["Yemen_National_Geodetic_Network_1996",SPHEROID["WGS 84",6378137,298.257223563,AUTHORITY["EPSG","7030"]],AUTHORITY["EPSG","6163"]],PRIMEM["Greenwich",0,AUTHORITY["EPSG","8901"]],UNIT["metre",1,AUTHORITY["EPSG","9001"]],AXIS["Geocentric X",OTHER],AXIS["Geocentric Y",OTHER],AXIS["Geocentric Z",NORTH],AUTHORITY["EPSG","4380"]]</t>
  </si>
  <si>
    <t>PROJCS["WGS 84 / SCAR IMW SQ01-02",GEOGCS["WGS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-174],PARAMETER["false_easting",0],PARAMETER["false_northing",0],UNIT["metre",1,AUTHORITY["EPSG","9001"]],AXIS["Easting",EAST],AXIS["Northing",NORTH],AUTHORITY["EPSG","3207"]]</t>
  </si>
  <si>
    <t>PROJCS["WGS 84 / SCAR IMW SQ19-20",GEOGCS["WGS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-66],PARAMETER["false_easting",0],PARAMETER["false_northing",0],UNIT["metre",1,AUTHORITY["EPSG","9001"]],AXIS["Easting",EAST],AXIS["Northing",NORTH],AUTHORITY["EPSG","3208"]]</t>
  </si>
  <si>
    <t>PROJCS["WGS 84 / SCAR IMW SQ21-22",GEOGCS["WGS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-54],PARAMETER["false_easting",0],PARAMETER["false_northing",0],UNIT["metre",1,AUTHORITY["EPSG","9001"]],AXIS["Easting",EAST],AXIS["Northing",NORTH],AUTHORITY["EPSG","3209"]]</t>
  </si>
  <si>
    <t>PROJCS["WGS 84 / SCAR IMW SQ37-38",GEOGCS["WGS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42],PARAMETER["false_easting",0],PARAMETER["false_northing",0],UNIT["metre",1,AUTHORITY["EPSG","9001"]],AXIS["Easting",EAST],AXIS["Northing",NORTH],AUTHORITY["EPSG","3210"]]</t>
  </si>
  <si>
    <t>PROJCS["WGS 84 / SCAR IMW SQ39-40",GEOGCS["WGS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54],PARAMETER["false_easting",0],PARAMETER["false_northing",0],UNIT["metre",1,AUTHORITY["EPSG","9001"]],AXIS["Easting",EAST],AXIS["Northing",NORTH],AUTHORITY["EPSG","3211"]]</t>
  </si>
  <si>
    <t>PROJCS["WGS 84 / SCAR IMW SQ41-42",GEOGCS["WGS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66],PARAMETER["false_easting",0],PARAMETER["false_northing",0],UNIT["metre",1,AUTHORITY["EPSG","9001"]],AXIS["Easting",EAST],AXIS["Northing",NORTH],AUTHORITY["EPSG","3212"]]</t>
  </si>
  <si>
    <t>PROJCS["WGS 84 / SCAR IMW SQ43-44",GEOGCS["WGS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78],PARAMETER["false_easting",0],PARAMETER["false_northing",0],UNIT["metre",1,AUTHORITY["EPSG","9001"]],AXIS["Easting",EAST],AXIS["Northing",NORTH],AUTHORITY["EPSG","3213"]]</t>
  </si>
  <si>
    <t>PROJCS["WGS 84 / SCAR IMW SQ45-46",GEOGCS["WGS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90],PARAMETER["false_easting",0],PARAMETER["false_northing",0],UNIT["metre",1,AUTHORITY["EPSG","9001"]],AXIS["Easting",EAST],AXIS["Northing",NORTH],AUTHORITY["EPSG","3214"]]</t>
  </si>
  <si>
    <t>PROJCS["WGS 84 / SCAR IMW SQ47-48",GEOGCS["WGS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102],PARAMETER["false_easting",0],PARAMETER["false_northing",0],UNIT["metre",1,AUTHORITY["EPSG","9001"]],AXIS["Easting",EAST],AXIS["Northing",NORTH],AUTHORITY["EPSG","3215"]]</t>
  </si>
  <si>
    <t>PROJCS["WGS 84 / SCAR IMW SQ49-50",GEOGCS["WGS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114],PARAMETER["false_easting",0],PARAMETER["false_northing",0],UNIT["metre",1,AUTHORITY["EPSG","9001"]],AXIS["Easting",EAST],AXIS["Northing",NORTH],AUTHORITY["EPSG","3216"]]</t>
  </si>
  <si>
    <t>PROJCS["WGS 84 / SCAR IMW SQ51-52",GEOGCS["WGS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126],PARAMETER["false_easting",0],PARAMETER["false_northing",0],UNIT["metre",1,AUTHORITY["EPSG","9001"]],AXIS["Easting",EAST],AXIS["Northing",NORTH],AUTHORITY["EPSG","3217"]]</t>
  </si>
  <si>
    <t>PROJCS["WGS 84 / SCAR IMW SQ53-54",GEOGCS["WGS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138],PARAMETER["false_easting",0],PARAMETER["false_northing",0],UNIT["metre",1,AUTHORITY["EPSG","9001"]],AXIS["Easting",EAST],AXIS["Northing",NORTH],AUTHORITY["EPSG","3218"]]</t>
  </si>
  <si>
    <t>PROJCS["WGS 84 / SCAR IMW SQ55-56",GEOGCS["WGS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150],PARAMETER["false_easting",0],PARAMETER["false_northing",0],UNIT["metre",1,AUTHORITY["EPSG","9001"]],AXIS["Easting",EAST],AXIS["Northing",NORTH],AUTHORITY["EPSG","3219"]]</t>
  </si>
  <si>
    <t>PROJCS["WGS 84 / SCAR IMW SQ57-58",GEOGCS["WGS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-64.66666666666667],PARAMETER["standard_parallel_2",-67.33333333333333],PARAMETER["latitude_of_origin",-90],PARAMETER["central_meridian",162],PARAMETER["false_easting",0],PARAMETER["false_northing",0],UNIT["metre",1,AUTHORITY["EPSG","9001"]],AXIS["Easting",EAST],AXIS["Northing",NORTH],AUTHORITY["EPSG","3220"]]</t>
  </si>
  <si>
    <t>PROJCS["WGS 84 / SCAR IMW SR13-14",GEOGCS["WGS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-102],PARAMETER["false_easting",0],PARAMETER["false_northing",0],UNIT["metre",1,AUTHORITY["EPSG","9001"]],AXIS["Easting",EAST],AXIS["Northing",NORTH],AUTHORITY["EPSG","3221"]]</t>
  </si>
  <si>
    <t>PROJCS["WGS 84 / SCAR IMW SR15-16",GEOGCS["WGS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-90],PARAMETER["false_easting",0],PARAMETER["false_northing",0],UNIT["metre",1,AUTHORITY["EPSG","9001"]],AXIS["Easting",EAST],AXIS["Northing",NORTH],AUTHORITY["EPSG","3222"]]</t>
  </si>
  <si>
    <t>PROJCS["WGS 84 / SCAR IMW SR17-18",GEOGCS["WGS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-78],PARAMETER["false_easting",0],PARAMETER["false_northing",0],UNIT["metre",1,AUTHORITY["EPSG","9001"]],AXIS["Easting",EAST],AXIS["Northing",NORTH],AUTHORITY["EPSG","3223"]]</t>
  </si>
  <si>
    <t>PROJCS["WGS 84 / SCAR IMW SR19-20",GEOGCS["WGS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-66],PARAMETER["false_easting",0],PARAMETER["false_northing",0],UNIT["metre",1,AUTHORITY["EPSG","9001"]],AXIS["Easting",EAST],AXIS["Northing",NORTH],AUTHORITY["EPSG","3224"]]</t>
  </si>
  <si>
    <t>PROJCS["WGS 84 / SCAR IMW SR27-28",GEOGCS["WGS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-18],PARAMETER["false_easting",0],PARAMETER["false_northing",0],UNIT["metre",1,AUTHORITY["EPSG","9001"]],AXIS["Easting",EAST],AXIS["Northing",NORTH],AUTHORITY["EPSG","3225"]]</t>
  </si>
  <si>
    <t>PROJCS["WGS 84 / SCAR IMW SR29-30",GEOGCS["WGS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-6],PARAMETER["false_easting",0],PARAMETER["false_northing",0],UNIT["metre",1,AUTHORITY["EPSG","9001"]],AXIS["Easting",EAST],AXIS["Northing",NORTH],AUTHORITY["EPSG","3226"]]</t>
  </si>
  <si>
    <t>PROJCS["WGS 84 / SCAR IMW SR31-32",GEOGCS["WGS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6],PARAMETER["false_easting",0],PARAMETER["false_northing",0],UNIT["metre",1,AUTHORITY["EPSG","9001"]],AXIS["Easting",EAST],AXIS["Northing",NORTH],AUTHORITY["EPSG","3227"]]</t>
  </si>
  <si>
    <t>PROJCS["WGS 84 / SCAR IMW SR33-34",GEOGCS["WGS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18],PARAMETER["false_easting",0],PARAMETER["false_northing",0],UNIT["metre",1,AUTHORITY["EPSG","9001"]],AXIS["Easting",EAST],AXIS["Northing",NORTH],AUTHORITY["EPSG","3228"]]</t>
  </si>
  <si>
    <t>PROJCS["WGS 84 / SCAR IMW SR35-36",GEOGCS["WGS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30],PARAMETER["false_easting",0],PARAMETER["false_northing",0],UNIT["metre",1,AUTHORITY["EPSG","9001"]],AXIS["Easting",EAST],AXIS["Northing",NORTH],AUTHORITY["EPSG","3229"]]</t>
  </si>
  <si>
    <t>PROJCS["WGS 84 / SCAR IMW SR37-38",GEOGCS["WGS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42],PARAMETER["false_easting",0],PARAMETER["false_northing",0],UNIT["metre",1,AUTHORITY["EPSG","9001"]],AXIS["Easting",EAST],AXIS["Northing",NORTH],AUTHORITY["EPSG","3230"]]</t>
  </si>
  <si>
    <t>PROJCS["WGS 84 / SCAR IMW SR39-40",GEOGCS["WGS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54],PARAMETER["false_easting",0],PARAMETER["false_northing",0],UNIT["metre",1,AUTHORITY["EPSG","9001"]],AXIS["Easting",EAST],AXIS["Northing",NORTH],AUTHORITY["EPSG","3231"]]</t>
  </si>
  <si>
    <t>PROJCS["WGS 84 / SCAR IMW SR41-42",GEOGCS["WGS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66],PARAMETER["false_easting",0],PARAMETER["false_northing",0],UNIT["metre",1,AUTHORITY["EPSG","9001"]],AXIS["Easting",EAST],AXIS["Northing",NORTH],AUTHORITY["EPSG","3232"]]</t>
  </si>
  <si>
    <t>PROJCS["WGS 84 / SCAR IMW SR43-44",GEOGCS["WGS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78],PARAMETER["false_easting",0],PARAMETER["false_northing",0],UNIT["metre",1,AUTHORITY["EPSG","9001"]],AXIS["Easting",EAST],AXIS["Northing",NORTH],AUTHORITY["EPSG","3233"]]</t>
  </si>
  <si>
    <t>PROJCS["WGS 84 / SCAR IMW SR45-46",GEOGCS["WGS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90],PARAMETER["false_easting",0],PARAMETER["false_northing",0],UNIT["metre",1,AUTHORITY["EPSG","9001"]],AXIS["Easting",EAST],AXIS["Northing",NORTH],AUTHORITY["EPSG","3234"]]</t>
  </si>
  <si>
    <t>PROJCS["WGS 84 / SCAR IMW SR47-48",GEOGCS["WGS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102],PARAMETER["false_easting",0],PARAMETER["false_northing",0],UNIT["metre",1,AUTHORITY["EPSG","9001"]],AXIS["Easting",EAST],AXIS["Northing",NORTH],AUTHORITY["EPSG","3235"]]</t>
  </si>
  <si>
    <t>PROJCS["WGS 84 / SCAR IMW SR49-50",GEOGCS["WGS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114],PARAMETER["false_easting",0],PARAMETER["false_northing",0],UNIT["metre",1,AUTHORITY["EPSG","9001"]],AXIS["Easting",EAST],AXIS["Northing",NORTH],AUTHORITY["EPSG","3236"]]</t>
  </si>
  <si>
    <t>PROJCS["WGS 84 / SCAR IMW SR51-52",GEOGCS["WGS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126],PARAMETER["false_easting",0],PARAMETER["false_northing",0],UNIT["metre",1,AUTHORITY["EPSG","9001"]],AXIS["Easting",EAST],AXIS["Northing",NORTH],AUTHORITY["EPSG","3237"]]</t>
  </si>
  <si>
    <t>PROJCS["WGS 84 / SCAR IMW SR53-54",GEOGCS["WGS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138],PARAMETER["false_easting",0],PARAMETER["false_northing",0],UNIT["metre",1,AUTHORITY["EPSG","9001"]],AXIS["Easting",EAST],AXIS["Northing",NORTH],AUTHORITY["EPSG","3238"]]</t>
  </si>
  <si>
    <t>PROJCS["WGS 84 / SCAR IMW SR55-56",GEOGCS["WGS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150],PARAMETER["false_easting",0],PARAMETER["false_northing",0],UNIT["metre",1,AUTHORITY["EPSG","9001"]],AXIS["Easting",EAST],AXIS["Northing",NORTH],AUTHORITY["EPSG","3239"]]</t>
  </si>
  <si>
    <t>PROJCS["WGS 84 / SCAR IMW SR57-58",GEOGCS["WGS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162],PARAMETER["false_easting",0],PARAMETER["false_northing",0],UNIT["metre",1,AUTHORITY["EPSG","9001"]],AXIS["Easting",EAST],AXIS["Northing",NORTH],AUTHORITY["EPSG","3240"]]</t>
  </si>
  <si>
    <t>PROJCS["WGS 84 / SCAR IMW SR59-60",GEOGCS["WGS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-68.66666666666667],PARAMETER["standard_parallel_2",-71.33333333333333],PARAMETER["latitude_of_origin",-90],PARAMETER["central_meridian",174],PARAMETER["false_easting",0],PARAMETER["false_northing",0],UNIT["metre",1,AUTHORITY["EPSG","9001"]],AXIS["Easting",EAST],AXIS["Northing",NORTH],AUTHORITY["EPSG","3241"]]</t>
  </si>
  <si>
    <t>PROJCS["WGS 84 / SCAR IMW SS04-06",GEOGCS["WGS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-153],PARAMETER["false_easting",0],PARAMETER["false_northing",0],UNIT["metre",1,AUTHORITY["EPSG","9001"]],AXIS["Easting",EAST],AXIS["Northing",NORTH],AUTHORITY["EPSG","3242"]]</t>
  </si>
  <si>
    <t>PROJCS["WGS 84 / SCAR IMW SS07-09",GEOGCS["WGS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-135],PARAMETER["false_easting",0],PARAMETER["false_northing",0],UNIT["metre",1,AUTHORITY["EPSG","9001"]],AXIS["Easting",EAST],AXIS["Northing",NORTH],AUTHORITY["EPSG","3243"]]</t>
  </si>
  <si>
    <t>PROJCS["WGS 84 / SCAR IMW SS10-12",GEOGCS["WGS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-117],PARAMETER["false_easting",0],PARAMETER["false_northing",0],UNIT["metre",1,AUTHORITY["EPSG","9001"]],AXIS["Easting",EAST],AXIS["Northing",NORTH],AUTHORITY["EPSG","3244"]]</t>
  </si>
  <si>
    <t>PROJCS["WGS 84 / SCAR IMW SS13-15",GEOGCS["WGS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-99],PARAMETER["false_easting",0],PARAMETER["false_northing",0],UNIT["metre",1,AUTHORITY["EPSG","9001"]],AXIS["Easting",EAST],AXIS["Northing",NORTH],AUTHORITY["EPSG","3245"]]</t>
  </si>
  <si>
    <t>PROJCS["WGS 84 / SCAR IMW SS16-18",GEOGCS["WGS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-81],PARAMETER["false_easting",0],PARAMETER["false_northing",0],UNIT["metre",1,AUTHORITY["EPSG","9001"]],AXIS["Easting",EAST],AXIS["Northing",NORTH],AUTHORITY["EPSG","3246"]]</t>
  </si>
  <si>
    <t>PROJCS["WGS 84 / SCAR IMW SS19-21",GEOGCS["WGS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-63],PARAMETER["false_easting",0],PARAMETER["false_northing",0],UNIT["metre",1,AUTHORITY["EPSG","9001"]],AXIS["Easting",EAST],AXIS["Northing",NORTH],AUTHORITY["EPSG","3247"]]</t>
  </si>
  <si>
    <t>PROJCS["WGS 84 / SCAR IMW SS25-27",GEOGCS["WGS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-27],PARAMETER["false_easting",0],PARAMETER["false_northing",0],UNIT["metre",1,AUTHORITY["EPSG","9001"]],AXIS["Easting",EAST],AXIS["Northing",NORTH],AUTHORITY["EPSG","3248"]]</t>
  </si>
  <si>
    <t>PROJCS["WGS 84 / SCAR IMW SS28-30",GEOGCS["WGS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-9],PARAMETER["false_easting",0],PARAMETER["false_northing",0],UNIT["metre",1,AUTHORITY["EPSG","9001"]],AXIS["Easting",EAST],AXIS["Northing",NORTH],AUTHORITY["EPSG","3249"]]</t>
  </si>
  <si>
    <t>PROJCS["WGS 84 / SCAR IMW SS31-33",GEOGCS["WGS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9],PARAMETER["false_easting",0],PARAMETER["false_northing",0],UNIT["metre",1,AUTHORITY["EPSG","9001"]],AXIS["Easting",EAST],AXIS["Northing",NORTH],AUTHORITY["EPSG","3250"]]</t>
  </si>
  <si>
    <t>PROJCS["WGS 84 / SCAR IMW SS34-36",GEOGCS["WGS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27],PARAMETER["false_easting",0],PARAMETER["false_northing",0],UNIT["metre",1,AUTHORITY["EPSG","9001"]],AXIS["Easting",EAST],AXIS["Northing",NORTH],AUTHORITY["EPSG","3251"]]</t>
  </si>
  <si>
    <t>PROJCS["WGS 84 / SCAR IMW SS37-39",GEOGCS["WGS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45],PARAMETER["false_easting",0],PARAMETER["false_northing",0],UNIT["metre",1,AUTHORITY["EPSG","9001"]],AXIS["Easting",EAST],AXIS["Northing",NORTH],AUTHORITY["EPSG","3252"]]</t>
  </si>
  <si>
    <t>PROJCS["WGS 84 / SCAR IMW SS40-42",GEOGCS["WGS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63],PARAMETER["false_easting",0],PARAMETER["false_northing",0],UNIT["metre",1,AUTHORITY["EPSG","9001"]],AXIS["Easting",EAST],AXIS["Northing",NORTH],AUTHORITY["EPSG","3253"]]</t>
  </si>
  <si>
    <t>PROJCS["WGS 84 / SCAR IMW SS43-45",GEOGCS["WGS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81],PARAMETER["false_easting",0],PARAMETER["false_northing",0],UNIT["metre",1,AUTHORITY["EPSG","9001"]],AXIS["Easting",EAST],AXIS["Northing",NORTH],AUTHORITY["EPSG","3254"]]</t>
  </si>
  <si>
    <t>PROJCS["WGS 84 / SCAR IMW SS46-48",GEOGCS["WGS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99],PARAMETER["false_easting",0],PARAMETER["false_northing",0],UNIT["metre",1,AUTHORITY["EPSG","9001"]],AXIS["Easting",EAST],AXIS["Northing",NORTH],AUTHORITY["EPSG","3255"]]</t>
  </si>
  <si>
    <t>PROJCS["WGS 84 / SCAR IMW SS49-51",GEOGCS["WGS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117],PARAMETER["false_easting",0],PARAMETER["false_northing",0],UNIT["metre",1,AUTHORITY["EPSG","9001"]],AXIS["Easting",EAST],AXIS["Northing",NORTH],AUTHORITY["EPSG","3256"]]</t>
  </si>
  <si>
    <t>PROJCS["WGS 84 / SCAR IMW SS52-54",GEOGCS["WGS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135],PARAMETER["false_easting",0],PARAMETER["false_northing",0],UNIT["metre",1,AUTHORITY["EPSG","9001"]],AXIS["Easting",EAST],AXIS["Northing",NORTH],AUTHORITY["EPSG","3257"]]</t>
  </si>
  <si>
    <t>PROJCS["WGS 84 / SCAR IMW SS55-57",GEOGCS["WGS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153],PARAMETER["false_easting",0],PARAMETER["false_northing",0],UNIT["metre",1,AUTHORITY["EPSG","9001"]],AXIS["Easting",EAST],AXIS["Northing",NORTH],AUTHORITY["EPSG","3258"]]</t>
  </si>
  <si>
    <t>PROJCS["WGS 84 / SCAR IMW SS58-60",GEOGCS["WGS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-72.66666666666667],PARAMETER["standard_parallel_2",-75.33333333333333],PARAMETER["latitude_of_origin",-90],PARAMETER["central_meridian",171],PARAMETER["false_easting",0],PARAMETER["false_northing",0],UNIT["metre",1,AUTHORITY["EPSG","9001"]],AXIS["Easting",EAST],AXIS["Northing",NORTH],AUTHORITY["EPSG","3259"]]</t>
  </si>
  <si>
    <t>PROJCS["WGS 84 / SCAR IMW ST01-04",GEOGCS["WGS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-168],PARAMETER["false_easting",0],PARAMETER["false_northing",0],UNIT["metre",1,AUTHORITY["EPSG","9001"]],AXIS["Easting",EAST],AXIS["Northing",NORTH],AUTHORITY["EPSG","3260"]]</t>
  </si>
  <si>
    <t>PROJCS["WGS 84 / SCAR IMW ST05-08",GEOGCS["WGS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-144],PARAMETER["false_easting",0],PARAMETER["false_northing",0],UNIT["metre",1,AUTHORITY["EPSG","9001"]],AXIS["Easting",EAST],AXIS["Northing",NORTH],AUTHORITY["EPSG","3261"]]</t>
  </si>
  <si>
    <t>PROJCS["WGS 84 / SCAR IMW ST09-12",GEOGCS["WGS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-120],PARAMETER["false_easting",0],PARAMETER["false_northing",0],UNIT["metre",1,AUTHORITY["EPSG","9001"]],AXIS["Easting",EAST],AXIS["Northing",NORTH],AUTHORITY["EPSG","3262"]]</t>
  </si>
  <si>
    <t>PROJCS["WGS 84 / SCAR IMW ST13-16",GEOGCS["WGS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-96],PARAMETER["false_easting",0],PARAMETER["false_northing",0],UNIT["metre",1,AUTHORITY["EPSG","9001"]],AXIS["Easting",EAST],AXIS["Northing",NORTH],AUTHORITY["EPSG","3263"]]</t>
  </si>
  <si>
    <t>PROJCS["WGS 84 / SCAR IMW ST17-20",GEOGCS["WGS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-72],PARAMETER["false_easting",0],PARAMETER["false_northing",0],UNIT["metre",1,AUTHORITY["EPSG","9001"]],AXIS["Easting",EAST],AXIS["Northing",NORTH],AUTHORITY["EPSG","3264"]]</t>
  </si>
  <si>
    <t>PROJCS["WGS 84 / SCAR IMW ST21-24",GEOGCS["WGS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-48],PARAMETER["false_easting",0],PARAMETER["false_northing",0],UNIT["metre",1,AUTHORITY["EPSG","9001"]],AXIS["Easting",EAST],AXIS["Northing",NORTH],AUTHORITY["EPSG","3265"]]</t>
  </si>
  <si>
    <t>PROJCS["WGS 84 / SCAR IMW ST25-28",GEOGCS["WGS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-24],PARAMETER["false_easting",0],PARAMETER["false_northing",0],UNIT["metre",1,AUTHORITY["EPSG","9001"]],AXIS["Easting",EAST],AXIS["Northing",NORTH],AUTHORITY["EPSG","3266"]]</t>
  </si>
  <si>
    <t>PROJCS["WGS 84 / SCAR IMW ST29-32",GEOGCS["WGS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0],PARAMETER["false_easting",0],PARAMETER["false_northing",0],UNIT["metre",1,AUTHORITY["EPSG","9001"]],AXIS["Easting",EAST],AXIS["Northing",NORTH],AUTHORITY["EPSG","3267"]]</t>
  </si>
  <si>
    <t>PROJCS["WGS 84 / SCAR IMW ST33-36",GEOGCS["WGS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24],PARAMETER["false_easting",0],PARAMETER["false_northing",0],UNIT["metre",1,AUTHORITY["EPSG","9001"]],AXIS["Easting",EAST],AXIS["Northing",NORTH],AUTHORITY["EPSG","3268"]]</t>
  </si>
  <si>
    <t>PROJCS["WGS 84 / SCAR IMW ST37-40",GEOGCS["WGS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48],PARAMETER["false_easting",0],PARAMETER["false_northing",0],UNIT["metre",1,AUTHORITY["EPSG","9001"]],AXIS["Easting",EAST],AXIS["Northing",NORTH],AUTHORITY["EPSG","3269"]]</t>
  </si>
  <si>
    <t>PROJCS["WGS 84 / SCAR IMW ST41-44",GEOGCS["WGS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72],PARAMETER["false_easting",0],PARAMETER["false_northing",0],UNIT["metre",1,AUTHORITY["EPSG","9001"]],AXIS["Easting",EAST],AXIS["Northing",NORTH],AUTHORITY["EPSG","3270"]]</t>
  </si>
  <si>
    <t>PROJCS["WGS 84 / SCAR IMW ST45-48",GEOGCS["WGS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96],PARAMETER["false_easting",0],PARAMETER["false_northing",0],UNIT["metre",1,AUTHORITY["EPSG","9001"]],AXIS["Easting",EAST],AXIS["Northing",NORTH],AUTHORITY["EPSG","3271"]]</t>
  </si>
  <si>
    <t>PROJCS["WGS 84 / SCAR IMW ST49-52",GEOGCS["WGS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120],PARAMETER["false_easting",0],PARAMETER["false_northing",0],UNIT["metre",1,AUTHORITY["EPSG","9001"]],AXIS["Easting",EAST],AXIS["Northing",NORTH],AUTHORITY["EPSG","3272"]]</t>
  </si>
  <si>
    <t>PROJCS["WGS 84 / SCAR IMW ST53-56",GEOGCS["WGS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144],PARAMETER["false_easting",0],PARAMETER["false_northing",0],UNIT["metre",1,AUTHORITY["EPSG","9001"]],AXIS["Easting",EAST],AXIS["Northing",NORTH],AUTHORITY["EPSG","3273"]]</t>
  </si>
  <si>
    <t>PROJCS["WGS 84 / SCAR IMW ST57-60",GEOGCS["WGS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-90],PARAMETER["central_meridian",168],PARAMETER["false_easting",0],PARAMETER["false_northing",0],UNIT["metre",1,AUTHORITY["EPSG","9001"]],AXIS["Easting",EAST],AXIS["Northing",NORTH],AUTHORITY["EPSG","3274"]]</t>
  </si>
  <si>
    <t>PROJCS["WGS 84 / SCAR IMW SU01-05",GEOGCS["WGS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-165],PARAMETER["scale_factor",1],PARAMETER["false_easting",0],PARAMETER["false_northing",0],UNIT["metre",1,AUTHORITY["EPSG","9001"]],AXIS["Easting",EAST],AXIS["Northing",NORTH],AUTHORITY["EPSG","3275"]]</t>
  </si>
  <si>
    <t>PROJCS["WGS 84 / SCAR IMW SU06-10",GEOGCS["WGS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-135],PARAMETER["scale_factor",1],PARAMETER["false_easting",0],PARAMETER["false_northing",0],UNIT["metre",1,AUTHORITY["EPSG","9001"]],AXIS["Easting",EAST],AXIS["Northing",NORTH],AUTHORITY["EPSG","3276"]]</t>
  </si>
  <si>
    <t>PROJCS["WGS 84 / SCAR IMW SU11-15",GEOGCS["WGS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-105],PARAMETER["scale_factor",1],PARAMETER["false_easting",0],PARAMETER["false_northing",0],UNIT["metre",1,AUTHORITY["EPSG","9001"]],AXIS["Easting",EAST],AXIS["Northing",NORTH],AUTHORITY["EPSG","3277"]]</t>
  </si>
  <si>
    <t>PROJCS["WGS 84 / SCAR IMW SU16-20",GEOGCS["WGS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-75],PARAMETER["scale_factor",1],PARAMETER["false_easting",0],PARAMETER["false_northing",0],UNIT["metre",1,AUTHORITY["EPSG","9001"]],AXIS["Easting",EAST],AXIS["Northing",NORTH],AUTHORITY["EPSG","3278"]]</t>
  </si>
  <si>
    <t>PROJCS["WGS 84 / North Pole LAEA Russia",GEOGCS["WGS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90],PARAMETER["false_easting",0],PARAMETER["false_northing",0],UNIT["metre",1,AUTHORITY["EPSG","9001"]],AXIS["X",EAST],AXIS["Y",NORTH],AUTHORITY["EPSG","3576"]]</t>
  </si>
  <si>
    <t>PROJCS["WGS 84 / SCAR IMW SU21-25",GEOGCS["WGS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-45],PARAMETER["scale_factor",1],PARAMETER["false_easting",0],PARAMETER["false_northing",0],UNIT["metre",1,AUTHORITY["EPSG","9001"]],AXIS["Easting",EAST],AXIS["Northing",NORTH],AUTHORITY["EPSG","3279"]]</t>
  </si>
  <si>
    <t>PROJCS["WGS 84 / SCAR IMW SU26-30",GEOGCS["WGS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-15],PARAMETER["scale_factor",1],PARAMETER["false_easting",0],PARAMETER["false_northing",0],UNIT["metre",1,AUTHORITY["EPSG","9001"]],AXIS["Easting",EAST],AXIS["Northing",NORTH],AUTHORITY["EPSG","3280"]]</t>
  </si>
  <si>
    <t>PROJCS["WGS 84 / SCAR IMW SU31-35",GEOGCS["WGS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15],PARAMETER["scale_factor",1],PARAMETER["false_easting",0],PARAMETER["false_northing",0],UNIT["metre",1,AUTHORITY["EPSG","9001"]],AXIS["Easting",EAST],AXIS["Northing",NORTH],AUTHORITY["EPSG","3281"]]</t>
  </si>
  <si>
    <t>PROJCS["WGS 84 / SCAR IMW SU36-40",GEOGCS["WGS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45],PARAMETER["scale_factor",1],PARAMETER["false_easting",0],PARAMETER["false_northing",0],UNIT["metre",1,AUTHORITY["EPSG","9001"]],AXIS["Easting",EAST],AXIS["Northing",NORTH],AUTHORITY["EPSG","3282"]]</t>
  </si>
  <si>
    <t>PROJCS["WGS 84 / SCAR IMW SU41-45",GEOGCS["WGS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75],PARAMETER["scale_factor",1],PARAMETER["false_easting",0],PARAMETER["false_northing",0],UNIT["metre",1,AUTHORITY["EPSG","9001"]],AXIS["Easting",EAST],AXIS["Northing",NORTH],AUTHORITY["EPSG","3283"]]</t>
  </si>
  <si>
    <t>PROJCS["WGS 84 / SCAR IMW SU46-50",GEOGCS["WGS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105],PARAMETER["scale_factor",1],PARAMETER["false_easting",0],PARAMETER["false_northing",0],UNIT["metre",1,AUTHORITY["EPSG","9001"]],AXIS["Easting",EAST],AXIS["Northing",NORTH],AUTHORITY["EPSG","3284"]]</t>
  </si>
  <si>
    <t>PROJCS["WGS 84 / SCAR IMW SU51-55",GEOGCS["WGS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135],PARAMETER["scale_factor",1],PARAMETER["false_easting",0],PARAMETER["false_northing",0],UNIT["metre",1,AUTHORITY["EPSG","9001"]],AXIS["Easting",EAST],AXIS["Northing",NORTH],AUTHORITY["EPSG","3285"]]</t>
  </si>
  <si>
    <t>PROJCS["WGS 84 / SCAR IMW SU56-60",GEOGCS["WGS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165],PARAMETER["scale_factor",1],PARAMETER["false_easting",0],PARAMETER["false_northing",0],UNIT["metre",1,AUTHORITY["EPSG","9001"]],AXIS["Easting",EAST],AXIS["Northing",NORTH],AUTHORITY["EPSG","3286"]]</t>
  </si>
  <si>
    <t>PROJCS["WGS 84 / SCAR IMW SV01-10",GEOGCS["WGS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-150],PARAMETER["scale_factor",1],PARAMETER["false_easting",0],PARAMETER["false_northing",0],UNIT["metre",1,AUTHORITY["EPSG","9001"]],AXIS["Easting",EAST],AXIS["Northing",NORTH],AUTHORITY["EPSG","3287"]]</t>
  </si>
  <si>
    <t>PROJCS["WGS 84 / SCAR IMW SV11-20",GEOGCS["WGS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-90],PARAMETER["scale_factor",1],PARAMETER["false_easting",0],PARAMETER["false_northing",0],UNIT["metre",1,AUTHORITY["EPSG","9001"]],AXIS["Easting",EAST],AXIS["Northing",NORTH],AUTHORITY["EPSG","3288"]]</t>
  </si>
  <si>
    <t>PROJCS["WGS 84 / SCAR IMW SV21-30",GEOGCS["WGS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-30],PARAMETER["scale_factor",1],PARAMETER["false_easting",0],PARAMETER["false_northing",0],UNIT["metre",1,AUTHORITY["EPSG","9001"]],AXIS["Easting",EAST],AXIS["Northing",NORTH],AUTHORITY["EPSG","3289"]]</t>
  </si>
  <si>
    <t>PROJCS["WGS 84 / SCAR IMW SV31-40",GEOGCS["WGS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30],PARAMETER["scale_factor",1],PARAMETER["false_easting",0],PARAMETER["false_northing",0],UNIT["metre",1,AUTHORITY["EPSG","9001"]],AXIS["Easting",EAST],AXIS["Northing",NORTH],AUTHORITY["EPSG","3290"]]</t>
  </si>
  <si>
    <t>PROJCS["WGS 84 / SCAR IMW SV41-50",GEOGCS["WGS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90],PARAMETER["scale_factor",1],PARAMETER["false_easting",0],PARAMETER["false_northing",0],UNIT["metre",1,AUTHORITY["EPSG","9001"]],AXIS["Easting",EAST],AXIS["Northing",NORTH],AUTHORITY["EPSG","3291"]]</t>
  </si>
  <si>
    <t>PROJCS["WGS 84 / SCAR IMW SV51-60",GEOGCS["WGS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150],PARAMETER["scale_factor",1],PARAMETER["false_easting",0],PARAMETER["false_northing",0],UNIT["metre",1,AUTHORITY["EPSG","9001"]],AXIS["Easting",EAST],AXIS["Northing",NORTH],AUTHORITY["EPSG","3292"]]</t>
  </si>
  <si>
    <t>PROJCS["WGS 84 / SCAR IMW SW01-60",GEOGCS["WGS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-80.23861111111111],PARAMETER["central_meridian",0],PARAMETER["scale_factor",1],PARAMETER["false_easting",0],PARAMETER["false_northing",0],UNIT["metre",1,AUTHORITY["EPSG","9001"]],AXIS["Easting",EAST],AXIS["Northing",NORTH],AUTHORITY["EPSG","3293"]]</t>
  </si>
  <si>
    <t>PROJCS["WGS 84 / USGS Transantarctic Mountains",GEOGCS["WGS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-76.66666666666667],PARAMETER["standard_parallel_2",-79.33333333333333],PARAMETER["latitude_of_origin",-78],PARAMETER["central_meridian",162],PARAMETER["false_easting",0],PARAMETER["false_northing",0],UNIT["metre",1,AUTHORITY["EPSG","9001"]],AXIS["Easting",EAST],AXIS["Northing",NORTH],AUTHORITY["EPSG","3294"]]</t>
  </si>
  <si>
    <t>PROJCS["RGPF / UTM zone 5S",GEOGCS["RGPF",DATUM["Reseau_Geodesique_de_la_Polynesie_Francaise",SPHEROID["GRS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3296"]]</t>
  </si>
  <si>
    <t xml:space="preserve">+proj=utm +zone=5 +south +ellps=GRS80 +towgs84=0.072,-0.507,-0.245,-0.0183,0.0003,-0.007,-0.0093 +units=m +no_defs </t>
  </si>
  <si>
    <t>PROJCS["RGPF / UTM zone 6S",GEOGCS["RGPF",DATUM["Reseau_Geodesique_de_la_Polynesie_Francaise",SPHEROID["GRS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3297"]]</t>
  </si>
  <si>
    <t xml:space="preserve">+proj=utm +zone=6 +south +ellps=GRS80 +towgs84=0.072,-0.507,-0.245,-0.0183,0.0003,-0.007,-0.0093 +units=m +no_defs </t>
  </si>
  <si>
    <t>PROJCS["RGPF / UTM zone 7S",GEOGCS["RGPF",DATUM["Reseau_Geodesique_de_la_Polynesie_Francaise",SPHEROID["GRS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3298"]]</t>
  </si>
  <si>
    <t xml:space="preserve">+proj=utm +zone=7 +south +ellps=GRS80 +towgs84=0.072,-0.507,-0.245,-0.0183,0.0003,-0.007,-0.0093 +units=m +no_defs </t>
  </si>
  <si>
    <t>PROJCS["RGPF / UTM zone 8S",GEOGCS["RGPF",DATUM["Reseau_Geodesique_de_la_Polynesie_Francaise",SPHEROID["GRS 1980",6378137,298.257222101,AUTHORITY["EPSG","7019"]],TOWGS84[0.072,-0.507,-0.245,-0.0183,0.0003,-0.007,-0.0093],AUTHORITY["EPSG","6687"]],PRIMEM["Greenwich",0,AUTHORITY["EPSG","8901"]],UNIT["degree",0.0174532925199433,AUTHORITY["EPSG","9122"]],AUTHORITY["EPSG","4687"]],PROJECTION["Transverse_Mercator"],PARAMETER["latitude_of_origin",0],PARAMETER["central_meridian",-135],PARAMETER["scale_factor",0.9996],PARAMETER["false_easting",500000],PARAMETER["false_northing",10000000],UNIT["metre",1,AUTHORITY["EPSG","9001"]],AXIS["Easting",EAST],AXIS["Northing",NORTH],AUTHORITY["EPSG","3299"]]</t>
  </si>
  <si>
    <t xml:space="preserve">+proj=utm +zone=8 +south +ellps=GRS80 +towgs84=0.072,-0.507,-0.245,-0.0183,0.0003,-0.007,-0.0093 +units=m +no_defs </t>
  </si>
  <si>
    <t>PROJCS["Estonian Coordinate System of 1992",GEOGCS["EST92",DATUM["Estonia_1992",SPHEROID["GRS 1980",6378137,298.257222101,AUTHORITY["EPSG","7019"]],TOWGS84[0.055,-0.541,-0.185,0.0183,-0.0003,-0.007,-0.014],AUTHORITY["EPSG","6133"]],PRIMEM["Greenwich",0,AUTHORITY["EPSG","8901"]],UNIT["degree",0.0174532925199433,AUTHORITY["EPSG","9122"]],AUTHORITY["EPSG","4133"]],PROJECTION["Lambert_Conformal_Conic_2SP"],PARAMETER["standard_parallel_1",59.33333333333334],PARAMETER["standard_parallel_2",58],PARAMETER["latitude_of_origin",57.51755393055556],PARAMETER["central_meridian",24],PARAMETER["false_easting",500000],PARAMETER["false_northing",6375000],UNIT["metre",1,AUTHORITY["EPSG","9001"]],AUTHORITY["EPSG","3300"]]</t>
  </si>
  <si>
    <t xml:space="preserve">+proj=lcc +lat_1=59.33333333333334 +lat_2=58 +lat_0=57.51755393055556 +lon_0=24 +x_0=500000 +y_0=6375000 +ellps=GRS80 +towgs84=0.055,-0.541,-0.185,0.0183,-0.0003,-0.007,-0.014 +units=m +no_defs </t>
  </si>
  <si>
    <t>PROJCS["Estonian Coordinate System of 1997",GEOGCS["EST97",DATUM["Estonia_1997",SPHEROID["GRS 1980",6378137,298.257222101,AUTHORITY["EPSG","7019"]],TOWGS84[0,0,0,0,0,0,0],AUTHORITY["EPSG","6180"]],PRIMEM["Greenwich",0,AUTHORITY["EPSG","8901"]],UNIT["degree",0.0174532925199433,AUTHORITY["EPSG","9122"]],AUTHORITY["EPSG","4180"]],PROJECTION["Lambert_Conformal_Conic_2SP"],PARAMETER["standard_parallel_1",59.33333333333334],PARAMETER["standard_parallel_2",58],PARAMETER["latitude_of_origin",57.51755393055556],PARAMETER["central_meridian",24],PARAMETER["false_easting",500000],PARAMETER["false_northing",6375000],UNIT["metre",1,AUTHORITY["EPSG","9001"]],AUTHORITY["EPSG","3301"]]</t>
  </si>
  <si>
    <t xml:space="preserve">+proj=lcc +lat_1=59.33333333333334 +lat_2=58 +lat_0=57.51755393055556 +lon_0=24 +x_0=500000 +y_0=6375000 +ellps=GRS80 +towgs84=0,0,0,0,0,0,0 +units=m +no_defs </t>
  </si>
  <si>
    <t>PROJCS["IGN63 Hiva Oa / UTM zone 7S",GEOGCS["IGN63 Hiva Oa",DATUM["IGN63_Hiva_Oa",SPHEROID["International 1924",6378388,297,AUTHORITY["EPSG","7022"]],TOWGS84[410.721,55.049,80.746,2.5779,2.3514,0.6664,17.3311],AUTHORITY["EPSG","6689"]],PRIMEM["Greenwich",0,AUTHORITY["EPSG","8901"]],UNIT["degree",0.0174532925199433,AUTHORITY["EPSG","9122"]],AUTHORITY["EPSG","4689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3302"]]</t>
  </si>
  <si>
    <t xml:space="preserve">+proj=utm +zone=7 +south +ellps=intl +towgs84=410.721,55.049,80.746,2.5779,2.3514,0.6664,17.3311 +units=m +no_defs </t>
  </si>
  <si>
    <t>PROJCS["Fatu Iva 72 / UTM zone 7S",GEOGCS["Fatu Iva 72",DATUM["Fatu_Iva_72",SPHEROID["International 1924",6378388,297,AUTHORITY["EPSG","7022"]],TOWGS84[347.103,1078.125,2623.922,-33.8875,70.6773,-9.3943,186.074],AUTHORITY["EPSG","6688"]],PRIMEM["Greenwich",0,AUTHORITY["EPSG","8901"]],UNIT["degree",0.0174532925199433,AUTHORITY["EPSG","9122"]],AUTHORITY["EPSG","4688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3303"]]</t>
  </si>
  <si>
    <t xml:space="preserve">+proj=utm +zone=7 +south +ellps=intl +towgs84=347.103,1078.125,2623.922,-33.8875,70.6773,-9.3943,186.074 +units=m +no_defs </t>
  </si>
  <si>
    <t>PROJCS["Tahiti 79 / UTM zone 6S",GEOGCS["Tahiti 79",DATUM["Tahiti_79",SPHEROID["International 1924",6378388,297,AUTHORITY["EPSG","7022"]],TOWGS84[221.525,152.948,176.768,-2.3847,-1.3896,-0.877,11.4741],AUTHORITY["EPSG","6690"]],PRIMEM["Greenwich",0,AUTHORITY["EPSG","8901"]],UNIT["degree",0.0174532925199433,AUTHORITY["EPSG","9122"]],AUTHORITY["EPSG","4690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3304"]]</t>
  </si>
  <si>
    <t xml:space="preserve">+proj=utm +zone=6 +south +ellps=intl +towgs84=221.525,152.948,176.768,-2.3847,-1.3896,-0.877,11.4741 +units=m +no_defs </t>
  </si>
  <si>
    <t>PROJCS["Moorea 87 / UTM zone 6S",GEOGCS["Moorea 87",DATUM["Moorea_87",SPHEROID["International 1924",6378388,297,AUTHORITY["EPSG","7022"]],TOWGS84[215.525,149.593,176.229,-3.2624,-1.692,-1.1571,10.4773],AUTHORITY["EPSG","6691"]],PRIMEM["Greenwich",0,AUTHORITY["EPSG","8901"]],UNIT["degree",0.0174532925199433,AUTHORITY["EPSG","9122"]],AUTHORITY["EPSG","4691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3305"]]</t>
  </si>
  <si>
    <t xml:space="preserve">+proj=utm +zone=6 +south +ellps=intl +towgs84=215.525,149.593,176.229,-3.2624,-1.692,-1.1571,10.4773 +units=m +no_defs </t>
  </si>
  <si>
    <t>PROJCS["Maupiti 83 / UTM zone 5S",GEOGCS["Maupiti 83",DATUM["Maupiti_83",SPHEROID["International 1924",6378388,297,AUTHORITY["EPSG","7022"]],TOWGS84[217.037,86.959,23.956,0,0,0,0],AUTHORITY["EPSG","6692"]],PRIMEM["Greenwich",0,AUTHORITY["EPSG","8901"]],UNIT["degree",0.0174532925199433,AUTHORITY["EPSG","9122"]],AUTHORITY["EPSG","4692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3306"]]</t>
  </si>
  <si>
    <t xml:space="preserve">+proj=utm +zone=5 +south +ellps=intl +towgs84=217.037,86.959,23.956,0,0,0,0 +units=m +no_defs </t>
  </si>
  <si>
    <t>PROJCS["Nakhl-e Ghanem / UTM zone 39N",GEOGCS["Nakhl-e Ghanem",DATUM["Nakhl_e_Ghanem",SPHEROID["WGS 84",6378137,298.257223563,AUTHORITY["EPSG","7030"]],TOWGS84[0,-0.15,0.68,0,0,0,0],AUTHORITY["EPSG","6693"]],PRIMEM["Greenwich",0,AUTHORITY["EPSG","8901"]],UNIT["degree",0.0174532925199433,AUTHORITY["EPSG","9122"]],AUTHORITY["EPSG","4693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3307"]]</t>
  </si>
  <si>
    <t xml:space="preserve">+proj=utm +zone=39 +ellps=WGS84 +towgs84=0,-0.15,0.68,0,0,0,0 +units=m +no_defs </t>
  </si>
  <si>
    <t>PROJCS["GDA94 / NSW Lambert",GEOGCS["GDA94",DATUM["Geocentric_Datum_of_Australia_1994",SPHEROID["GRS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Lambert_Conformal_Conic_2SP"],PARAMETER["standard_parallel_1",-30.75],PARAMETER["standard_parallel_2",-35.75],PARAMETER["latitude_of_origin",-33.25],PARAMETER["central_meridian",147],PARAMETER["false_easting",9300000],PARAMETER["false_northing",4500000],UNIT["metre",1,AUTHORITY["EPSG","9001"]],AXIS["Easting",EAST],AXIS["Northing",NORTH],AUTHORITY["EPSG","3308"]]</t>
  </si>
  <si>
    <t xml:space="preserve">+proj=lcc +lat_1=-30.75 +lat_2=-35.75 +lat_0=-33.25 +lon_0=147 +x_0=9300000 +y_0=4500000 +ellps=GRS80 +towgs84=0,0,0,0,0,0,0 +units=m +no_defs </t>
  </si>
  <si>
    <t>PROJCS["NAD27 / California Albers",GEOGCS["NAD27",DATUM["North_American_Datum_1927",SPHEROID["Clarke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3309"]]</t>
  </si>
  <si>
    <t>PROJCS["NAD83 / California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3310"]]</t>
  </si>
  <si>
    <t>PROJCS["NAD83(HARN) / California Albers",GEOGCS["NAD83(HARN)",DATUM["NAD83_High_Accuracy_Reference_Network",SPHEROID["GRS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3311"]]</t>
  </si>
  <si>
    <t xml:space="preserve">+proj=aea +lat_1=34 +lat_2=40.5 +lat_0=0 +lon_0=-120 +x_0=0 +y_0=-4000000 +ellps=GRS80 +towgs84=0,0,0,0,0,0,0 +units=m +no_defs </t>
  </si>
  <si>
    <t>PROJCS["CSG67 / UTM zone 21N",GEOGCS["CSG67",DATUM["Centre_Spatial_Guyanais_1967",SPHEROID["International 1924",6378388,297,AUTHORITY["EPSG","7022"]],TOWGS84[-186,230,110,0,0,0,0],AUTHORITY["EPSG","6623"]],PRIMEM["Greenwich",0,AUTHORITY["EPSG","8901"]],UNIT["degree",0.0174532925199433,AUTHORITY["EPSG","9122"]],AUTHORITY["EPSG","4623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3312"]]</t>
  </si>
  <si>
    <t xml:space="preserve">+proj=utm +zone=21 +ellps=intl +towgs84=-186,230,110,0,0,0,0 +units=m +no_defs </t>
  </si>
  <si>
    <t>PROJCS["RGFG95 / UTM zone 21N",GEOGCS["RGFG95",DATUM["Reseau_Geodesique_Francais_Guyane_1995",SPHEROID["GRS 1980",6378137,298.257222101,AUTHORITY["EPSG","7019"]],TOWGS84[0,0,0,0,0,0,0],AUTHORITY["EPSG","6624"]],PRIMEM["Greenwich",0,AUTHORITY["EPSG","8901"]],UNIT["degree",0.0174532925199433,AUTHORITY["EPSG","9122"]],AUTHORITY["EPSG","4624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3313"]]</t>
  </si>
  <si>
    <t>PROJCS["Katanga 1955 / Katanga Lambert (deprecated)",GEOGCS["Katanga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Lambert_Conformal_Conic_2SP"],PARAMETER["standard_parallel_1",-6.5],PARAMETER["standard_parallel_2",-11.5],PARAMETER["latitude_of_origin",0],PARAMETER["central_meridian",26],PARAMETER["false_easting",0],PARAMETER["false_northing",0],UNIT["metre",1,AUTHORITY["EPSG","9001"]],AXIS["Easting",EAST],AXIS["Northing",NORTH],AUTHORITY["EPSG","3314"]]</t>
  </si>
  <si>
    <t xml:space="preserve">+proj=lcc +lat_1=-6.5 +lat_2=-11.5 +lat_0=0 +lon_0=26 +x_0=0 +y_0=0 +ellps=clrk66 +towgs84=-103.746,-9.614,-255.95,0,0,0,0 +units=m +no_defs </t>
  </si>
  <si>
    <t>PROJCS["Katanga 1955 / Katanga TM (deprecated)",GEOGCS["Katanga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26],PARAMETER["scale_factor",0.9998],PARAMETER["false_easting",0],PARAMETER["false_northing",0],UNIT["metre",1,AUTHORITY["EPSG","9001"]],AXIS["Easting",EAST],AXIS["Northing",NORTH],AUTHORITY["EPSG","3315"]]</t>
  </si>
  <si>
    <t xml:space="preserve">+proj=tmerc +lat_0=-9 +lon_0=26 +k=0.9998 +x_0=0 +y_0=0 +ellps=clrk66 +towgs84=-103.746,-9.614,-255.95,0,0,0,0 +units=m +no_defs </t>
  </si>
  <si>
    <t>PROJCS["Kasai 1953 / Congo TM zone 22",GEOGCS["Kasai 1953",DATUM["Kasai_1953",SPHEROID["Clarke 1880 (RGS)",6378249.145,293.465,AUTHORITY["EPSG","7012"]],AUTHORITY["EPSG","6696"]],PRIMEM["Greenwich",0,AUTHORITY["EPSG","8901"]],UNIT["degree",0.0174532925199433,AUTHORITY["EPSG","9122"]],AUTHORITY["EPSG","4696"]],PROJECTION["Transverse_Mercator"],PARAMETER["latitude_of_origin",0],PARAMETER["central_meridian",22],PARAMETER["scale_factor",0.9999],PARAMETER["false_easting",500000],PARAMETER["false_northing",10000000],UNIT["metre",1,AUTHORITY["EPSG","9001"]],AXIS["Easting",EAST],AXIS["Northing",NORTH],AUTHORITY["EPSG","3316"]]</t>
  </si>
  <si>
    <t>PROJCS["Kasai 1953 / Congo TM zone 24",GEOGCS["Kasai 1953",DATUM["Kasai_1953",SPHEROID["Clarke 1880 (RGS)",6378249.145,293.465,AUTHORITY["EPSG","7012"]],AUTHORITY["EPSG","6696"]],PRIMEM["Greenwich",0,AUTHORITY["EPSG","8901"]],UNIT["degree",0.0174532925199433,AUTHORITY["EPSG","9122"]],AUTHORITY["EPSG","4696"]],PROJECTION["Transverse_Mercator"],PARAMETER["latitude_of_origin",0],PARAMETER["central_meridian",24],PARAMETER["scale_factor",0.9999],PARAMETER["false_easting",500000],PARAMETER["false_northing",10000000],UNIT["metre",1,AUTHORITY["EPSG","9001"]],AXIS["Easting",EAST],AXIS["Northing",NORTH],AUTHORITY["EPSG","3317"]]</t>
  </si>
  <si>
    <t>PROJCS["New Beijing / Gauss-Kruger CM 75E",GEOGCS["New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75],PARAMETER["scale_factor",1],PARAMETER["false_easting",500000],PARAMETER["false_northing",0],UNIT["metre",1,AUTHORITY["EPSG","9001"]],AUTHORITY["EPSG","4579"]]</t>
  </si>
  <si>
    <t>PROJCS["IGC 1962 / Congo TM zone 12",GEOGCS["IGC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12],PARAMETER["scale_factor",0.9999],PARAMETER["false_easting",500000],PARAMETER["false_northing",10000000],UNIT["metre",1,AUTHORITY["EPSG","9001"]],AXIS["Easting",EAST],AXIS["Northing",NORTH],AUTHORITY["EPSG","3318"]]</t>
  </si>
  <si>
    <t>PROJCS["IGC 1962 / Congo TM zone 14",GEOGCS["IGC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14],PARAMETER["scale_factor",0.9999],PARAMETER["false_easting",500000],PARAMETER["false_northing",10000000],UNIT["metre",1,AUTHORITY["EPSG","9001"]],AXIS["Easting",EAST],AXIS["Northing",NORTH],AUTHORITY["EPSG","3319"]]</t>
  </si>
  <si>
    <t>PROJCS["IGC 1962 / Congo TM zone 16",GEOGCS["IGC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16],PARAMETER["scale_factor",0.9999],PARAMETER["false_easting",500000],PARAMETER["false_northing",10000000],UNIT["metre",1,AUTHORITY["EPSG","9001"]],AXIS["Easting",EAST],AXIS["Northing",NORTH],AUTHORITY["EPSG","3320"]]</t>
  </si>
  <si>
    <t>PROJCS["IGC 1962 / Congo TM zone 18",GEOGCS["IGC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18],PARAMETER["scale_factor",0.9999],PARAMETER["false_easting",500000],PARAMETER["false_northing",10000000],UNIT["metre",1,AUTHORITY["EPSG","9001"]],AXIS["Easting",EAST],AXIS["Northing",NORTH],AUTHORITY["EPSG","3321"]]</t>
  </si>
  <si>
    <t>PROJCS["IGC 1962 / Congo TM zone 20",GEOGCS["IGC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20],PARAMETER["scale_factor",0.9999],PARAMETER["false_easting",500000],PARAMETER["false_northing",10000000],UNIT["metre",1,AUTHORITY["EPSG","9001"]],AXIS["Easting",EAST],AXIS["Northing",NORTH],AUTHORITY["EPSG","3322"]]</t>
  </si>
  <si>
    <t>PROJCS["IGC 1962 / Congo TM zone 22",GEOGCS["IGC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22],PARAMETER["scale_factor",0.9999],PARAMETER["false_easting",500000],PARAMETER["false_northing",10000000],UNIT["metre",1,AUTHORITY["EPSG","9001"]],AXIS["Easting",EAST],AXIS["Northing",NORTH],AUTHORITY["EPSG","3323"]]</t>
  </si>
  <si>
    <t>PROJCS["IGC 1962 / Congo TM zone 24",GEOGCS["IGC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24],PARAMETER["scale_factor",0.9999],PARAMETER["false_easting",500000],PARAMETER["false_northing",10000000],UNIT["metre",1,AUTHORITY["EPSG","9001"]],AXIS["Easting",EAST],AXIS["Northing",NORTH],AUTHORITY["EPSG","3324"]]</t>
  </si>
  <si>
    <t>PROJCS["IGC 1962 / Congo TM zone 26",GEOGCS["IGC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26],PARAMETER["scale_factor",0.9999],PARAMETER["false_easting",500000],PARAMETER["false_northing",10000000],UNIT["metre",1,AUTHORITY["EPSG","9001"]],AXIS["Easting",EAST],AXIS["Northing",NORTH],AUTHORITY["EPSG","3325"]]</t>
  </si>
  <si>
    <t>PROJCS["IGC 1962 / Congo TM zone 28",GEOGCS["IGC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28],PARAMETER["scale_factor",0.9999],PARAMETER["false_easting",500000],PARAMETER["false_northing",10000000],UNIT["metre",1,AUTHORITY["EPSG","9001"]],AXIS["Easting",EAST],AXIS["Northing",NORTH],AUTHORITY["EPSG","3326"]]</t>
  </si>
  <si>
    <t>PROJCS["Mauritania 1999 / UTM zone 30N",GEOGCS["Mauritania 1999",DATUM["Mauritania_1999",SPHEROID["GRS 1980",6378137,298.257222101,AUTHORITY["EPSG","7019"]],TOWGS84[0,0,0,0,0,0,0],AUTHORITY["EPSG","6702"]],PRIMEM["Greenwich",0,AUTHORITY["EPSG","8901"]],UNIT["degree",0.0174532925199433,AUTHORITY["EPSG","9122"]],AUTHORITY["EPSG","4702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3345"]]</t>
  </si>
  <si>
    <t>PROJCS["IGC 1962 / Congo TM zone 30",GEOGCS["IGC 1962 6th Parallel South",DATUM["IGC_1962_Arc_of_the_6th_Parallel_South",SPHEROID["Clarke 1880 (RGS)",6378249.145,293.465,AUTHORITY["EPSG","7012"]],AUTHORITY["EPSG","6697"]],PRIMEM["Greenwich",0,AUTHORITY["EPSG","8901"]],UNIT["degree",0.0174532925199433,AUTHORITY["EPSG","9122"]],AUTHORITY["EPSG","4697"]],PROJECTION["Transverse_Mercator"],PARAMETER["latitude_of_origin",0],PARAMETER["central_meridian",30],PARAMETER["scale_factor",0.9999],PARAMETER["false_easting",500000],PARAMETER["false_northing",10000000],UNIT["metre",1,AUTHORITY["EPSG","9001"]],AXIS["Easting",EAST],AXIS["Northing",NORTH],AUTHORITY["EPSG","3327"]]</t>
  </si>
  <si>
    <t>PROJCS["Pulkovo 1942(58) / GUGiK-80",GEOGCS["Pulkovo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Oblique_Stereographic"],PARAMETER["latitude_of_origin",52.16666666666666],PARAMETER["central_meridian",19.16666666666667],PARAMETER["scale_factor",0.999714],PARAMETER["false_easting",500000],PARAMETER["false_northing",500000],UNIT["metre",1,AUTHORITY["EPSG","9001"]],AUTHORITY["EPSG","3328"]]</t>
  </si>
  <si>
    <t xml:space="preserve">+proj=sterea +lat_0=52.16666666666666 +lon_0=19.16666666666667 +k=0.999714 +x_0=500000 +y_0=500000 +ellps=krass +towgs84=33.4,-146.6,-76.3,-0.359,-0.053,0.844,-0.84 +units=m +no_defs </t>
  </si>
  <si>
    <t>PROJCS["Pulkovo 1942(58) / 3-degree Gauss-Kruger zone 5",GEOGCS["Pulkovo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15],PARAMETER["scale_factor",1],PARAMETER["false_easting",5500000],PARAMETER["false_northing",0],UNIT["metre",1,AUTHORITY["EPSG","9001"]],AUTHORITY["EPSG","3329"]]</t>
  </si>
  <si>
    <t xml:space="preserve">+proj=tmerc +lat_0=0 +lon_0=15 +k=1 +x_0=5500000 +y_0=0 +ellps=krass +towgs84=33.4,-146.6,-76.3,-0.359,-0.053,0.844,-0.84 +units=m +no_defs </t>
  </si>
  <si>
    <t>PROJCS["Pulkovo 1942(58) / 3-degree Gauss-Kruger zone 6",GEOGCS["Pulkovo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18],PARAMETER["scale_factor",1],PARAMETER["false_easting",6500000],PARAMETER["false_northing",0],UNIT["metre",1,AUTHORITY["EPSG","9001"]],AUTHORITY["EPSG","3330"]]</t>
  </si>
  <si>
    <t xml:space="preserve">+proj=tmerc +lat_0=0 +lon_0=18 +k=1 +x_0=6500000 +y_0=0 +ellps=krass +towgs84=33.4,-146.6,-76.3,-0.359,-0.053,0.844,-0.84 +units=m +no_defs </t>
  </si>
  <si>
    <t>PROJCS["Pulkovo 1942(58) / 3-degree Gauss-Kruger zone 7",GEOGCS["Pulkovo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21],PARAMETER["scale_factor",1],PARAMETER["false_easting",7500000],PARAMETER["false_northing",0],UNIT["metre",1,AUTHORITY["EPSG","9001"]],AUTHORITY["EPSG","3331"]]</t>
  </si>
  <si>
    <t xml:space="preserve">+proj=tmerc +lat_0=0 +lon_0=21 +k=1 +x_0=7500000 +y_0=0 +ellps=krass +towgs84=33.4,-146.6,-76.3,-0.359,-0.053,0.844,-0.84 +units=m +no_defs </t>
  </si>
  <si>
    <t>PROJCS["Pulkovo 1942(58) / 3-degree Gauss-Kruger zone 8",GEOGCS["Pulkovo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24],PARAMETER["scale_factor",1],PARAMETER["false_easting",8500000],PARAMETER["false_northing",0],UNIT["metre",1,AUTHORITY["EPSG","9001"]],AUTHORITY["EPSG","3332"]]</t>
  </si>
  <si>
    <t xml:space="preserve">+proj=tmerc +lat_0=0 +lon_0=24 +k=1 +x_0=8500000 +y_0=0 +ellps=krass +towgs84=33.4,-146.6,-76.3,-0.359,-0.053,0.844,-0.84 +units=m +no_defs </t>
  </si>
  <si>
    <t>PROJCS["Pulkovo 1942(58) / Gauss-Kruger zone 3",GEOGCS["Pulkovo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15],PARAMETER["scale_factor",1],PARAMETER["false_easting",3500000],PARAMETER["false_northing",0],UNIT["metre",1,AUTHORITY["EPSG","9001"]],AUTHORITY["EPSG","3333"]]</t>
  </si>
  <si>
    <t xml:space="preserve">+proj=tmerc +lat_0=0 +lon_0=15 +k=1 +x_0=3500000 +y_0=0 +ellps=krass +towgs84=33.4,-146.6,-76.3,-0.359,-0.053,0.844,-0.84 +units=m +no_defs </t>
  </si>
  <si>
    <t>PROJCS["Pulkovo 1942(58) / Gauss-Kruger zone 4",GEOGCS["Pulkovo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21],PARAMETER["scale_factor",1],PARAMETER["false_easting",4500000],PARAMETER["false_northing",0],UNIT["metre",1,AUTHORITY["EPSG","9001"]],AUTHORITY["EPSG","3334"]]</t>
  </si>
  <si>
    <t xml:space="preserve">+proj=tmerc +lat_0=0 +lon_0=21 +k=1 +x_0=4500000 +y_0=0 +ellps=krass +towgs84=33.4,-146.6,-76.3,-0.359,-0.053,0.844,-0.84 +units=m +no_defs </t>
  </si>
  <si>
    <t>PROJCS["Pulkovo 1942(58) / Gauss-Kruger zone 5",GEOGCS["Pulkovo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27],PARAMETER["scale_factor",1],PARAMETER["false_easting",5500000],PARAMETER["false_northing",0],UNIT["metre",1,AUTHORITY["EPSG","9001"]],AUTHORITY["EPSG","3335"]]</t>
  </si>
  <si>
    <t xml:space="preserve">+proj=tmerc +lat_0=0 +lon_0=27 +k=1 +x_0=5500000 +y_0=0 +ellps=krass +towgs84=33.4,-146.6,-76.3,-0.359,-0.053,0.844,-0.84 +units=m +no_defs </t>
  </si>
  <si>
    <t>GEOCCS["RGNC 1991 (geocentric)",DATUM["Reseau_Geodesique_Nouvelle_Caledonie_1991",SPHEROID["International 1924",6378388,297,AUTHORITY["EPSG","7022"]],AUTHORITY["EPSG","6645"]],PRIMEM["Greenwich",0,AUTHORITY["EPSG","8901"]],UNIT["metre",1,AUTHORITY["EPSG","9001"]],AXIS["Geocentric X",OTHER],AXIS["Geocentric Y",OTHER],AXIS["Geocentric Z",NORTH],AUTHORITY["EPSG","4382"]]</t>
  </si>
  <si>
    <t>PROJCS["IGN 1962 Kerguelen / UTM zone 42S",GEOGCS["IGN 1962 Kerguelen",DATUM["IGN_1962_Kerguelen",SPHEROID["International 1924",6378388,297,AUTHORITY["EPSG","7022"]],TOWGS84[145,-187,103,0,0,0,0],AUTHORITY["EPSG","6698"]],PRIMEM["Greenwich",0,AUTHORITY["EPSG","8901"]],UNIT["degree",0.0174532925199433,AUTHORITY["EPSG","9122"]],AUTHORITY["EPSG","4698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3336"]]</t>
  </si>
  <si>
    <t>PROJCS["Le Pouce 1934 / Mauritius Grid",GEOGCS["Le Pouce 1934",DATUM["Le_Pouce_1934",SPHEROID["Clarke 1880 (RGS)",6378249.145,293.465,AUTHORITY["EPSG","7012"]],TOWGS84[-770.1,158.4,-498.2,0,0,0,0],AUTHORITY["EPSG","6699"]],PRIMEM["Greenwich",0,AUTHORITY["EPSG","8901"]],UNIT["degree",0.0174532925199433,AUTHORITY["EPSG","9122"]],AUTHORITY["EPSG","4699"]],PROJECTION["Lambert_Conformal_Conic_1SP"],PARAMETER["latitude_of_origin",-20.19506944444445],PARAMETER["central_meridian",57.52182777777778],PARAMETER["scale_factor",1],PARAMETER["false_easting",1000000],PARAMETER["false_northing",1000000],UNIT["metre",1,AUTHORITY["EPSG","9001"]],AXIS["Easting",EAST],AXIS["Northing",NORTH],AUTHORITY["EPSG","3337"]]</t>
  </si>
  <si>
    <t xml:space="preserve">+proj=lcc +lat_1=-20.19506944444445 +lat_0=-20.19506944444445 +lon_0=57.52182777777778 +k_0=1 +x_0=1000000 +y_0=1000000 +ellps=clrk80 +towgs84=-770.1,158.4,-498.2,0,0,0,0 +units=m +no_defs </t>
  </si>
  <si>
    <t>PROJCS["NAD83 / Alaska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55],PARAMETER["standard_parallel_2",65],PARAMETER["latitude_of_center",50],PARAMETER["longitude_of_center",-154],PARAMETER["false_easting",0],PARAMETER["false_northing",0],UNIT["metre",1,AUTHORITY["EPSG","9001"]],AXIS["X",EAST],AXIS["Y",NORTH],AUTHORITY["EPSG","3338"]]</t>
  </si>
  <si>
    <t>PROJCS["IGCB 1955 / Congo TM zone 12",GEOGCS["IGCB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,PROJECTION["Transverse_Mercator"],PARAMETER["latitude_of_origin",0],PARAMETER["central_meridian",12],PARAMETER["scale_factor",0.9999],PARAMETER["false_easting",500000],PARAMETER["false_northing",10000000],UNIT["metre",1,AUTHORITY["EPSG","9001"]],AXIS["Easting",EAST],AXIS["Northing",NORTH],AUTHORITY["EPSG","3339"]]</t>
  </si>
  <si>
    <t xml:space="preserve">+proj=tmerc +lat_0=0 +lon_0=12 +k=0.9999 +x_0=500000 +y_0=10000000 +ellps=clrk80 +towgs84=-79.9,-158,-168.9,0,0,0,0 +units=m +no_defs </t>
  </si>
  <si>
    <t>PROJCS["IGCB 1955 / Congo TM zone 14",GEOGCS["IGCB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,PROJECTION["Transverse_Mercator"],PARAMETER["latitude_of_origin",0],PARAMETER["central_meridian",14],PARAMETER["scale_factor",0.9999],PARAMETER["false_easting",500000],PARAMETER["false_northing",10000000],UNIT["metre",1,AUTHORITY["EPSG","9001"]],AXIS["Easting",EAST],AXIS["Northing",NORTH],AUTHORITY["EPSG","3340"]]</t>
  </si>
  <si>
    <t xml:space="preserve">+proj=tmerc +lat_0=0 +lon_0=14 +k=0.9999 +x_0=500000 +y_0=10000000 +ellps=clrk80 +towgs84=-79.9,-158,-168.9,0,0,0,0 +units=m +no_defs </t>
  </si>
  <si>
    <t>PROJCS["IGCB 1955 / Congo TM zone 16",GEOGCS["IGCB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,PROJECTION["Transverse_Mercator"],PARAMETER["latitude_of_origin",0],PARAMETER["central_meridian",16],PARAMETER["scale_factor",0.9999],PARAMETER["false_easting",500000],PARAMETER["false_northing",10000000],UNIT["metre",1,AUTHORITY["EPSG","9001"]],AXIS["Easting",EAST],AXIS["Northing",NORTH],AUTHORITY["EPSG","3341"]]</t>
  </si>
  <si>
    <t xml:space="preserve">+proj=tmerc +lat_0=0 +lon_0=16 +k=0.9999 +x_0=500000 +y_0=10000000 +ellps=clrk80 +towgs84=-79.9,-158,-168.9,0,0,0,0 +units=m +no_defs </t>
  </si>
  <si>
    <t>PROJCS["IGCB 1955 / UTM zone 33S",GEOGCS["IGCB 1955",DATUM["Institut_Geographique_du_Congo_Belge_1955",SPHEROID["Clarke 1880 (RGS)",6378249.145,293.465,AUTHORITY["EPSG","7012"]],TOWGS84[-79.9,-158,-168.9,0,0,0,0],AUTHORITY["EPSG","6701"]],PRIMEM["Greenwich",0,AUTHORITY["EPSG","8901"]],UNIT["degree",0.0174532925199433,AUTHORITY["EPSG","9122"]],AUTHORITY["EPSG","4701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3342"]]</t>
  </si>
  <si>
    <t xml:space="preserve">+proj=utm +zone=33 +south +ellps=clrk80 +towgs84=-79.9,-158,-168.9,0,0,0,0 +units=m +no_defs </t>
  </si>
  <si>
    <t>PROJCS["Mauritania 1999 / UTM zone 28N",GEOGCS["Mauritania 1999",DATUM["Mauritania_1999",SPHEROID["GRS 1980",6378137,298.257222101,AUTHORITY["EPSG","7019"]],TOWGS84[0,0,0,0,0,0,0],AUTHORITY["EPSG","6702"]],PRIMEM["Greenwich",0,AUTHORITY["EPSG","8901"]],UNIT["degree",0.0174532925199433,AUTHORITY["EPSG","9122"]],AUTHORITY["EPSG","4702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3343"]]</t>
  </si>
  <si>
    <t>PROJCS["Mauritania 1999 / UTM zone 29N",GEOGCS["Mauritania 1999",DATUM["Mauritania_1999",SPHEROID["GRS 1980",6378137,298.257222101,AUTHORITY["EPSG","7019"]],TOWGS84[0,0,0,0,0,0,0],AUTHORITY["EPSG","6702"]],PRIMEM["Greenwich",0,AUTHORITY["EPSG","8901"]],UNIT["degree",0.0174532925199433,AUTHORITY["EPSG","9122"]],AUTHORITY["EPSG","4702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3344"]]</t>
  </si>
  <si>
    <t>GEOCCS["RRAF 1991 (geocentric)",DATUM["Reseau_de_Reference_des_Antilles_Francaises_1991",SPHEROID["WGS 84",6378137,298.257223563,AUTHORITY["EPSG","7030"]],AUTHORITY["EPSG","6640"]],PRIMEM["Greenwich",0,AUTHORITY["EPSG","8901"]],UNIT["metre",1,AUTHORITY["EPSG","9001"]],AXIS["Geocentric X",OTHER],AXIS["Geocentric Y",OTHER],AXIS["Geocentric Z",NORTH],AUTHORITY["EPSG","4384"]]</t>
  </si>
  <si>
    <t>PROJCS["LKS94 / Lithuania TM",GEOGCS["LKS94",DATUM["Lithuania_1994_ETRS89",SPHEROID["GRS 1980",6378137,298.257222101,AUTHORITY["EPSG","7019"]],TOWGS84[0,0,0,0,0,0,0],AUTHORITY["EPSG","6126"]],PRIMEM["Greenwich",0,AUTHORITY["EPSG","8901"]],UNIT["degree",0.0174532925199433,AUTHORITY["EPSG","9122"]],AUTHORITY["EPSG","4669"]],PROJECTION["Transverse_Mercator"],PARAMETER["latitude_of_origin",0],PARAMETER["central_meridian",24],PARAMETER["scale_factor",0.9998],PARAMETER["false_easting",500000],PARAMETER["false_northing",0],UNIT["metre",1,AUTHORITY["EPSG","9001"]],AUTHORITY["EPSG","3346"]]</t>
  </si>
  <si>
    <t>PROJCS["NAD83 / Statistics Canada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49],PARAMETER["standard_parallel_2",77],PARAMETER["latitude_of_origin",63.390675],PARAMETER["central_meridian",-91.86666666666666],PARAMETER["false_easting",6200000],PARAMETER["false_northing",3000000],UNIT["metre",1,AUTHORITY["EPSG","9001"]],AXIS["Easting",EAST],AXIS["Northing",NORTH],AUTHORITY["EPSG","3347"]]</t>
  </si>
  <si>
    <t>PROJCS["NAD83(CSRS) / Statistics Canada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49],PARAMETER["standard_parallel_2",77],PARAMETER["latitude_of_origin",63.390675],PARAMETER["central_meridian",-91.86666666666666],PARAMETER["false_easting",6200000],PARAMETER["false_northing",3000000],UNIT["metre",1,AUTHORITY["EPSG","9001"]],AXIS["Easting",EAST],AXIS["Northing",NORTH],AUTHORITY["EPSG","3348"]]</t>
  </si>
  <si>
    <t xml:space="preserve">+proj=lcc +lat_1=49 +lat_2=77 +lat_0=63.390675 +lon_0=-91.86666666666666 +x_0=6200000 +y_0=3000000 +ellps=GRS80 +towgs84=0,0,0,0,0,0,0 +units=m +no_defs </t>
  </si>
  <si>
    <t>PROJCS["WGS 84 / PDC Mercator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-150],PARAMETER["scale_factor",1],PARAMETER["false_easting",0],PARAMETER["false_northing",0],UNIT["metre",1,AUTHORITY["EPSG","9001"]],AXIS["Easting",EAST],AXIS["Northing",NORTH],AUTHORITY["EPSG","3349"]]</t>
  </si>
  <si>
    <t>PROJCS["Pulkovo 1942 / CS63 zone C0",GEOGCS["Pulkovo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0.1],PARAMETER["central_meridian",21.95],PARAMETER["scale_factor",1],PARAMETER["false_easting",250000],PARAMETER["false_northing",0],UNIT["metre",1,AUTHORITY["EPSG","9001"]],AUTHORITY["EPSG","3350"]]</t>
  </si>
  <si>
    <t xml:space="preserve">+proj=tmerc +lat_0=0.1 +lon_0=21.95 +k=1 +x_0=250000 +y_0=0 +ellps=krass +towgs84=23.92,-141.27,-80.9,0,0.35,0.82,-0.12 +units=m +no_defs </t>
  </si>
  <si>
    <t>PROJCS["Pulkovo 1942 / CS63 zone C1",GEOGCS["Pulkovo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0.1],PARAMETER["central_meridian",24.95],PARAMETER["scale_factor",1],PARAMETER["false_easting",1250000],PARAMETER["false_northing",0],UNIT["metre",1,AUTHORITY["EPSG","9001"]],AUTHORITY["EPSG","3351"]]</t>
  </si>
  <si>
    <t xml:space="preserve">+proj=tmerc +lat_0=0.1 +lon_0=24.95 +k=1 +x_0=1250000 +y_0=0 +ellps=krass +towgs84=23.92,-141.27,-80.9,0,0.35,0.82,-0.12 +units=m +no_defs </t>
  </si>
  <si>
    <t>PROJCS["Pulkovo 1942 / CS63 zone C2",GEOGCS["Pulkovo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0.1],PARAMETER["central_meridian",27.95],PARAMETER["scale_factor",1],PARAMETER["false_easting",2250000],PARAMETER["false_northing",0],UNIT["metre",1,AUTHORITY["EPSG","9001"]],AUTHORITY["EPSG","3352"]]</t>
  </si>
  <si>
    <t xml:space="preserve">+proj=tmerc +lat_0=0.1 +lon_0=27.95 +k=1 +x_0=2250000 +y_0=0 +ellps=krass +towgs84=23.92,-141.27,-80.9,0,0.35,0.82,-0.12 +units=m +no_defs </t>
  </si>
  <si>
    <t>PROJCS["Mhast (onshore) / UTM zone 32S",GEOGCS["Mhast (onshore)",DATUM["Mhast_onshore",SPHEROID["International 1924",6378388,297,AUTHORITY["EPSG","7022"]],AUTHORITY["EPSG","6704"]],PRIMEM["Greenwich",0,AUTHORITY["EPSG","8901"]],UNIT["degree",0.0174532925199433,AUTHORITY["EPSG","9122"]],AUTHORITY["EPSG","4704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3353"]]</t>
  </si>
  <si>
    <t>PROJCS["Mhast (offshore) / UTM zone 32S",GEOGCS["Mhast (offshore)",DATUM["Mhast_offshore",SPHEROID["International 1924",6378388,297,AUTHORITY["EPSG","7022"]],AUTHORITY["EPSG","6705"]],PRIMEM["Greenwich",0,AUTHORITY["EPSG","8901"]],UNIT["degree",0.0174532925199433,AUTHORITY["EPSG","9122"]],AUTHORITY["EPSG","4705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3354"]]</t>
  </si>
  <si>
    <t>PROJCS["Egypt Gulf of Suez S-650 TL / Red Belt",GEOGCS["Egypt Gulf of Suez S-650 TL",DATUM["Egypt_Gulf_of_Suez_S_650_TL",SPHEROID["Helmert 1906",6378200,298.3,AUTHORITY["EPSG","7020"]],TOWGS84[-146.21,112.63,4.05,0,0,0,0],AUTHORITY["EPSG","6706"]],PRIMEM["Greenwich",0,AUTHORITY["EPSG","8901"]],UNIT["degree",0.0174532925199433,AUTHORITY["EPSG","9122"]],AUTHORITY["EPSG","4706"]],PROJECTION["Transverse_Mercator"],PARAMETER["latitude_of_origin",30],PARAMETER["central_meridian",31],PARAMETER["scale_factor",1],PARAMETER["false_easting",615000],PARAMETER["false_northing",810000],UNIT["metre",1,AUTHORITY["EPSG","9001"]],AXIS["Easting",EAST],AXIS["Northing",NORTH],AUTHORITY["EPSG","3355"]]</t>
  </si>
  <si>
    <t xml:space="preserve">+proj=tmerc +lat_0=30 +lon_0=31 +k=1 +x_0=615000 +y_0=810000 +ellps=helmert +towgs84=-146.21,112.63,4.05,0,0,0,0 +units=m +no_defs </t>
  </si>
  <si>
    <t>PROJCS["Grand Cayman 1959 / UTM zone 17N (deprecated)",GEOGCS["GCGD59",DATUM["Grand_Cayman_Geodetic_Datum_1959",SPHEROID["Clarke 1866",6378206.4,294.9786982138982,AUTHORITY["EPSG","7008"]],TOWGS84[-179.483,-69.379,-27.584,-7.862,8.163,6.042,-13.925],AUTHORITY["EPSG","6723"]],PRIMEM["Greenwich",0,AUTHORITY["EPSG","8901"]],UNIT["degree",0.0174532925199433,AUTHORITY["EPSG","9122"]],AUTHORITY["EPSG","4723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3356"]]</t>
  </si>
  <si>
    <t xml:space="preserve">+proj=utm +zone=17 +ellps=clrk66 +towgs84=-179.483,-69.379,-27.584,-7.862,8.163,6.042,-13.925 +units=m +no_defs </t>
  </si>
  <si>
    <t>PROJCS["Little Cayman 1961 / UTM zone 17N (deprecated)",GEOGCS["SIGD61",DATUM["Sister_Islands_Geodetic_Datum_1961",SPHEROID["Clarke 1866",6378206.4,294.9786982138982,AUTHORITY["EPSG","7008"]],TOWGS84[8.853,-52.644,180.304,-0.393,-2.323,2.96,-24.081],AUTHORITY["EPSG","6726"]],PRIMEM["Greenwich",0,AUTHORITY["EPSG","8901"]],UNIT["degree",0.0174532925199433,AUTHORITY["EPSG","9122"]],AUTHORITY["EPSG","4726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3357"]]</t>
  </si>
  <si>
    <t xml:space="preserve">+proj=utm +zone=17 +ellps=clrk66 +towgs84=8.853,-52.644,180.304,-0.393,-2.323,2.96,-24.081 +units=m +no_defs </t>
  </si>
  <si>
    <t>PROJCS["NAD83(HARN) / North Carolina",GEOGCS["NAD83(HARN)",DATUM["NAD83_High_Accuracy_Reference_Network",SPHEROID["GRS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36.16666666666666],PARAMETER["standard_parallel_2",34.33333333333334],PARAMETER["latitude_of_origin",33.75],PARAMETER["central_meridian",-79],PARAMETER["false_easting",609601.22],PARAMETER["false_northing",0],UNIT["metre",1,AUTHORITY["EPSG","9001"]],AXIS["X",EAST],AXIS["Y",NORTH],AUTHORITY["EPSG","3358"]]</t>
  </si>
  <si>
    <t xml:space="preserve">+proj=lcc +lat_1=36.16666666666666 +lat_2=34.33333333333334 +lat_0=33.75 +lon_0=-79 +x_0=609601.22 +y_0=0 +ellps=GRS80 +towgs84=0,0,0,0,0,0,0 +units=m +no_defs </t>
  </si>
  <si>
    <t>PROJCS["NAD83(HARN) / North Carolina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36.16666666666666],PARAMETER["standard_parallel_2",34.33333333333334],PARAMETER["latitude_of_origin",33.75],PARAMETER["central_meridian",-79],PARAMETER["false_easting",2000004.000008],PARAMETER["false_northing",0],UNIT["foot",0.3048,AUTHORITY["EPSG","9002"]],AXIS["X",EAST],AXIS["Y",NORTH],AUTHORITY["EPSG","3359"]]</t>
  </si>
  <si>
    <t xml:space="preserve">+proj=lcc +lat_1=36.16666666666666 +lat_2=34.33333333333334 +lat_0=33.75 +lon_0=-79 +x_0=609601.2192024385 +y_0=0 +ellps=GRS80 +towgs84=0,0,0,0,0,0,0 +units=ft +no_defs </t>
  </si>
  <si>
    <t>PROJCS["NAD83(HARN) / South Carolina",GEOGCS["NAD83(HARN)",DATUM["NAD83_High_Accuracy_Reference_Network",SPHEROID["GRS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34.83333333333334],PARAMETER["standard_parallel_2",32.5],PARAMETER["latitude_of_origin",31.83333333333333],PARAMETER["central_meridian",-81],PARAMETER["false_easting",609600],PARAMETER["false_northing",0],UNIT["metre",1,AUTHORITY["EPSG","9001"]],AXIS["X",EAST],AXIS["Y",NORTH],AUTHORITY["EPSG","3360"]]</t>
  </si>
  <si>
    <t xml:space="preserve">+proj=lcc +lat_1=34.83333333333334 +lat_2=32.5 +lat_0=31.83333333333333 +lon_0=-81 +x_0=609600 +y_0=0 +ellps=GRS80 +towgs84=0,0,0,0,0,0,0 +units=m +no_defs </t>
  </si>
  <si>
    <t>PROJCS["NAD83(HARN) / South Carolina (ft)",GEOGCS["NAD83(HARN)",DATUM["NAD83_High_Accuracy_Reference_Network",SPHEROID["GRS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34.83333333333334],PARAMETER["standard_parallel_2",32.5],PARAMETER["latitude_of_origin",31.83333333333333],PARAMETER["central_meridian",-81],PARAMETER["false_easting",2000000],PARAMETER["false_northing",0],UNIT["foot",0.3048,AUTHORITY["EPSG","9002"]],AXIS["X",EAST],AXIS["Y",NORTH],AUTHORITY["EPSG","3361"]]</t>
  </si>
  <si>
    <t xml:space="preserve">+proj=lcc +lat_1=34.83333333333334 +lat_2=32.5 +lat_0=31.83333333333333 +lon_0=-81 +x_0=609600 +y_0=0 +ellps=GRS80 +towgs84=0,0,0,0,0,0,0 +units=ft +no_defs </t>
  </si>
  <si>
    <t>PROJCS["NAD83(HARN) / Pennsylvania North",GEOGCS["NAD83(HARN)",DATUM["NAD83_High_Accuracy_Reference_Network",SPHEROID["GRS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41.95],PARAMETER["standard_parallel_2",40.88333333333333],PARAMETER["latitude_of_origin",40.16666666666666],PARAMETER["central_meridian",-77.75],PARAMETER["false_easting",600000],PARAMETER["false_northing",0],UNIT["metre",1,AUTHORITY["EPSG","9001"]],AXIS["X",EAST],AXIS["Y",NORTH],AUTHORITY["EPSG","3362"]]</t>
  </si>
  <si>
    <t xml:space="preserve">+proj=lcc +lat_1=41.95 +lat_2=40.88333333333333 +lat_0=40.16666666666666 +lon_0=-77.75 +x_0=600000 +y_0=0 +ellps=GRS80 +towgs84=0,0,0,0,0,0,0 +units=m +no_defs </t>
  </si>
  <si>
    <t>PROJCS["NAD83(HARN) / Pennsylvania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41.95],PARAMETER["standard_parallel_2",40.88333333333333],PARAMETER["latitude_of_origin",40.16666666666666],PARAMETER["central_meridian",-77.75],PARAMETER["false_easting",1968500],PARAMETER["false_northing",0],UNIT["US survey foot",0.3048006096012192,AUTHORITY["EPSG","9003"]],AXIS["X",EAST],AXIS["Y",NORTH],AUTHORITY["EPSG","3363"]]</t>
  </si>
  <si>
    <t xml:space="preserve">+proj=lcc +lat_1=41.95 +lat_2=40.88333333333333 +lat_0=40.16666666666666 +lon_0=-77.75 +x_0=600000 +y_0=0 +ellps=GRS80 +towgs84=0,0,0,0,0,0,0 +units=us-ft +no_defs </t>
  </si>
  <si>
    <t>GEOCCS["ITRF2000 (geocentric)",DATUM["International_Terrestrial_Reference_Frame_2000",SPHEROID["GRS 1980",6378137,298.257222101,AUTHORITY["EPSG","7019"]],AUTHORITY["EPSG","6656"]],PRIMEM["Greenwich",0,AUTHORITY["EPSG","8901"]],UNIT["metre",1,AUTHORITY["EPSG","9001"]],AXIS["Geocentric X",OTHER],AXIS["Geocentric Y",OTHER],AXIS["Geocentric Z",NORTH],AUTHORITY["EPSG","4385"]]</t>
  </si>
  <si>
    <t>PROJCS["NAD83(HARN) / Pennsylvania South",GEOGCS["NAD83(HARN)",DATUM["NAD83_High_Accuracy_Reference_Network",SPHEROID["GRS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40.96666666666667],PARAMETER["standard_parallel_2",39.93333333333333],PARAMETER["latitude_of_origin",39.33333333333334],PARAMETER["central_meridian",-77.75],PARAMETER["false_easting",600000],PARAMETER["false_northing",0],UNIT["metre",1,AUTHORITY["EPSG","9001"]],AXIS["X",EAST],AXIS["Y",NORTH],AUTHORITY["EPSG","3364"]]</t>
  </si>
  <si>
    <t xml:space="preserve">+proj=lcc +lat_1=40.96666666666667 +lat_2=39.93333333333333 +lat_0=39.33333333333334 +lon_0=-77.75 +x_0=600000 +y_0=0 +ellps=GRS80 +towgs84=0,0,0,0,0,0,0 +units=m +no_defs </t>
  </si>
  <si>
    <t>PROJCS["NAD83(HARN) / Pennsylvania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40.96666666666667],PARAMETER["standard_parallel_2",39.93333333333333],PARAMETER["latitude_of_origin",39.33333333333334],PARAMETER["central_meridian",-77.75],PARAMETER["false_easting",1968500],PARAMETER["false_northing",0],UNIT["US survey foot",0.3048006096012192,AUTHORITY["EPSG","9003"]],AXIS["X",EAST],AXIS["Y",NORTH],AUTHORITY["EPSG","3365"]]</t>
  </si>
  <si>
    <t xml:space="preserve">+proj=lcc +lat_1=40.96666666666667 +lat_2=39.93333333333333 +lat_0=39.33333333333334 +lon_0=-77.75 +x_0=600000 +y_0=0 +ellps=GRS80 +towgs84=0,0,0,0,0,0,0 +units=us-ft +no_defs </t>
  </si>
  <si>
    <t>PROJCS["Hong Kong 1963 Grid System (deprecated)",GEOGCS["Hong Kong 1963",DATUM["Hong_Kong_1963",SPHEROID["Clarke 1858",6378293.645208759,294.2606763692606,AUTHORITY["EPSG","7007"]],AUTHORITY["EPSG","6738"]],PRIMEM["Greenwich",0,AUTHORITY["EPSG","8901"]],UNIT["degree",0.0174532925199433,AUTHORITY["EPSG","9122"]],AUTHORITY["EPSG","4738"]],PROJECTION["Cassini_Soldner"],PARAMETER["latitude_of_origin",22.31213333333334],PARAMETER["central_meridian",114.1785555555556],PARAMETER["false_easting",40243.57775604237],PARAMETER["false_northing",19069.93351512578],UNIT["metre",1,AUTHORITY["EPSG","9001"]],AUTHORITY["EPSG","3366"]]</t>
  </si>
  <si>
    <t>PROJCS["IGN Astro 1960 / UTM zone 28N",GEOGCS["IGN Astro 1960",DATUM["IGN_Astro_1960",SPHEROID["Clarke 1880 (RGS)",6378249.145,293.465,AUTHORITY["EPSG","7012"]],AUTHORITY["EPSG","6700"]],PRIMEM["Greenwich",0,AUTHORITY["EPSG","8901"]],UNIT["degree",0.0174532925199433,AUTHORITY["EPSG","9122"]],AUTHORITY["EPSG","4700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3367"]]</t>
  </si>
  <si>
    <t>PROJCS["IGN Astro 1960 / UTM zone 29N",GEOGCS["IGN Astro 1960",DATUM["IGN_Astro_1960",SPHEROID["Clarke 1880 (RGS)",6378249.145,293.465,AUTHORITY["EPSG","7012"]],AUTHORITY["EPSG","6700"]],PRIMEM["Greenwich",0,AUTHORITY["EPSG","8901"]],UNIT["degree",0.0174532925199433,AUTHORITY["EPSG","9122"]],AUTHORITY["EPSG","4700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3368"]]</t>
  </si>
  <si>
    <t>PROJCS["IGN Astro 1960 / UTM zone 30N",GEOGCS["IGN Astro 1960",DATUM["IGN_Astro_1960",SPHEROID["Clarke 1880 (RGS)",6378249.145,293.465,AUTHORITY["EPSG","7012"]],AUTHORITY["EPSG","6700"]],PRIMEM["Greenwich",0,AUTHORITY["EPSG","8901"]],UNIT["degree",0.0174532925199433,AUTHORITY["EPSG","9122"]],AUTHORITY["EPSG","4700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3369"]]</t>
  </si>
  <si>
    <t>PROJCS["NAD27 / UTM zone 59N",GEOGCS["NAD27",DATUM["North_American_Datum_1927",SPHEROID["Clarke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3370"]]</t>
  </si>
  <si>
    <t>PROJCS["NAD27 / UTM zone 60N",GEOGCS["NAD27",DATUM["North_American_Datum_1927",SPHEROID["Clarke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3371"]]</t>
  </si>
  <si>
    <t>PROJCS["NAD83 / UTM zone 59N",GEOGCS["NAD83",DATUM["North_American_Datum_1983",SPHEROID["GRS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3372"]]</t>
  </si>
  <si>
    <t>PROJCS["NAD83 / UTM zone 60N",GEOGCS["NAD83",DATUM["North_American_Datum_1983",SPHEROID["GRS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3373"]]</t>
  </si>
  <si>
    <t>PROJCS["GDM2000 / Peninsula RSO",GEOGCS["GDM2000",DATUM["Geodetic_Datum_of_Malaysia_2000",SPHEROID["GRS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Hotine_Oblique_Mercator"],PARAMETER["latitude_of_center",4],PARAMETER["longitude_of_center",102.25],PARAMETER["azimuth",323.0257964666666],PARAMETER["rectified_grid_angle",323.1301023611111],PARAMETER["scale_factor",0.99984],PARAMETER["false_easting",804671],PARAMETER["false_northing",0],UNIT["metre",1,AUTHORITY["EPSG","9001"]],AXIS["Easting",EAST],AXIS["Northing",NORTH],AUTHORITY["EPSG","3375"]]</t>
  </si>
  <si>
    <t>PROJCS["GDM2000 / East Malaysia BRSO",GEOGCS["GDM2000",DATUM["Geodetic_Datum_of_Malaysia_2000",SPHEROID["GRS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Hotine_Oblique_Mercator"],PARAMETER["latitude_of_center",4],PARAMETER["longitude_of_center",115],PARAMETER["azimuth",53.31580995],PARAMETER["rectified_grid_angle",53.13010236111111],PARAMETER["scale_factor",0.99984],PARAMETER["false_easting",0],PARAMETER["false_northing",0],UNIT["metre",1,AUTHORITY["EPSG","9001"]],AXIS["Easting",EAST],AXIS["Northing",NORTH],AUTHORITY["EPSG","3376"]]</t>
  </si>
  <si>
    <t>PROJCS["GDM2000 / Johor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2.121679744444445],PARAMETER["central_meridian",103.4279362361111],PARAMETER["false_easting",-14810.562],PARAMETER["false_northing",8758.32],UNIT["metre",1,AUTHORITY["EPSG","9001"]],AXIS["Easting",EAST],AXIS["Northing",NORTH],AUTHORITY["EPSG","3377"]]</t>
  </si>
  <si>
    <t>PROJCS["GDM2000 / Sembilan and Melaka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2.682347636111111],PARAMETER["central_meridian",101.9749050416667],PARAMETER["false_easting",3673.785],PARAMETER["false_northing",-4240.573],UNIT["metre",1,AUTHORITY["EPSG","9001"]],AXIS["Easting",EAST],AXIS["Northing",NORTH],AUTHORITY["EPSG","3378"]]</t>
  </si>
  <si>
    <t>PROJCS["GDM2000 / Pahang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3.769388088888889],PARAMETER["central_meridian",102.3682989833333],PARAMETER["false_easting",-7368.228],PARAMETER["false_northing",6485.858],UNIT["metre",1,AUTHORITY["EPSG","9001"]],AXIS["Easting",EAST],AXIS["Northing",NORTH],AUTHORITY["EPSG","3379"]]</t>
  </si>
  <si>
    <t>PROJCS["GDM2000 / Selangor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3.68464905],PARAMETER["central_meridian",101.3891079138889],PARAMETER["false_easting",-34836.161],PARAMETER["false_northing",56464.049],UNIT["metre",1,AUTHORITY["EPSG","9001"]],AXIS["Easting",EAST],AXIS["Northing",NORTH],AUTHORITY["EPSG","3380"]]</t>
  </si>
  <si>
    <t>PROJCS["GDM2000 / Terengganu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4.9762852],PARAMETER["central_meridian",103.070275625],PARAMETER["false_easting",19594.245],PARAMETER["false_northing",3371.895],UNIT["metre",1,AUTHORITY["EPSG","9001"]],AXIS["Easting",EAST],AXIS["Northing",NORTH],AUTHORITY["EPSG","3381"]]</t>
  </si>
  <si>
    <t>PROJCS["GDM2000 / Pinang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5.421517541666667],PARAMETER["central_meridian",100.3443769638889],PARAMETER["false_easting",-23.414],PARAMETER["false_northing",62.283],UNIT["metre",1,AUTHORITY["EPSG","9001"]],AXIS["Easting",EAST],AXIS["Northing",NORTH],AUTHORITY["EPSG","3382"]]</t>
  </si>
  <si>
    <t>PROJCS["GDM2000 / Kedah and Perlis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5.964672713888889],PARAMETER["central_meridian",100.6363711111111],PARAMETER["false_easting",0],PARAMETER["false_northing",0],UNIT["metre",1,AUTHORITY["EPSG","9001"]],AXIS["Easting",EAST],AXIS["Northing",NORTH],AUTHORITY["EPSG","3383"]]</t>
  </si>
  <si>
    <t>PROJCS["WGS 84 / NSIDC Sea Ice Polar Stereographic North",GEOGCS["WGS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70],PARAMETER["central_meridian",-45],PARAMETER["scale_factor",1],PARAMETER["false_easting",0],PARAMETER["false_northing",0],UNIT["metre",1,AUTHORITY["EPSG","9001"]],AXIS["X",EAST],AXIS["Y",NORTH],AUTHORITY["EPSG","3413"]]</t>
  </si>
  <si>
    <t>PROJCS["GDM2000 / Perak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4.859063022222222],PARAMETER["central_meridian",100.8154105861111],PARAMETER["false_easting",-1.769],PARAMETER["false_northing",133454.779],UNIT["metre",1,AUTHORITY["EPSG","9001"]],AXIS["Easting",EAST],AXIS["Northing",NORTH],AUTHORITY["EPSG","3384"]]</t>
  </si>
  <si>
    <t>PROJCS["GDM2000 / Kelantan Grid",GEOGCS["GDM2000",DATUM["Geodetic_Datum_of_Malaysia_2000",SPHEROID["GRS 1980",6378137,298.257222101,AUTHORITY["EPSG","7019"]],AUTHORITY["EPSG","6742"]],PRIMEM["Greenwich",0,AUTHORITY["EPSG","8901"]],UNIT["degree",0.0174532925199433,AUTHORITY["EPSG","9122"]],AUTHORITY["EPSG","4742"]],PROJECTION["Cassini_Soldner"],PARAMETER["latitude_of_origin",5.972543658333334],PARAMETER["central_meridian",102.2952416694444],PARAMETER["false_easting",13227.851],PARAMETER["false_northing",8739.894],UNIT["metre",1,AUTHORITY["EPSG","9001"]],AXIS["Easting",EAST],AXIS["Northing",NORTH],AUTHORITY["EPSG","3385"]]</t>
  </si>
  <si>
    <t>PROJCS["KKJ / Finland zone 0",GEOGCS["KKJ",DATUM["Kartastokoordinaattijarjestelma_1966",SPHEROID["International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18],PARAMETER["scale_factor",1],PARAMETER["false_easting",500000],PARAMETER["false_northing",0],UNIT["metre",1,AUTHORITY["EPSG","9001"]],AUTHORITY["EPSG","3386"]]</t>
  </si>
  <si>
    <t xml:space="preserve">+proj=tmerc +lat_0=0 +lon_0=18 +k=1 +x_0=500000 +y_0=0 +ellps=intl +towgs84=-96.062,-82.428,-121.753,4.801,0.345,-1.376,1.496 +units=m +no_defs </t>
  </si>
  <si>
    <t>PROJCS["KKJ / Finland zone 5",GEOGCS["KKJ",DATUM["Kartastokoordinaattijarjestelma_1966",SPHEROID["International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33],PARAMETER["scale_factor",1],PARAMETER["false_easting",5500000],PARAMETER["false_northing",0],UNIT["metre",1,AUTHORITY["EPSG","9001"]],AUTHORITY["EPSG","3387"]]</t>
  </si>
  <si>
    <t xml:space="preserve">+proj=tmerc +lat_0=0 +lon_0=33 +k=1 +x_0=5500000 +y_0=0 +ellps=intl +towgs84=-96.062,-82.428,-121.753,4.801,0.345,-1.376,1.496 +units=m +no_defs </t>
  </si>
  <si>
    <t>PROJCS["Pulkovo 1942 / Caspian Sea Mercator",GEOGCS["Pulkovo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Mercator_2SP"],PARAMETER["standard_parallel_1",42],PARAMETER["central_meridian",51],PARAMETER["false_easting",0],PARAMETER["false_northing",0],UNIT["metre",1,AUTHORITY["EPSG","9001"]],AUTHORITY["EPSG","3388"]]</t>
  </si>
  <si>
    <t xml:space="preserve">+proj=merc +lon_0=51 +lat_ts=42 +x_0=0 +y_0=0 +ellps=krass +towgs84=23.92,-141.27,-80.9,0,0.35,0.82,-0.12 +units=m +no_defs </t>
  </si>
  <si>
    <t>PROJCS["Pulkovo 1942 / 3-degree Gauss-Kruger zone 60",GEOGCS["Pulkovo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180],PARAMETER["scale_factor",1],PARAMETER["false_easting",60500000],PARAMETER["false_northing",0],UNIT["metre",1,AUTHORITY["EPSG","9001"]],AUTHORITY["EPSG","3389"]]</t>
  </si>
  <si>
    <t xml:space="preserve">+proj=tmerc +lat_0=0 +lon_0=180 +k=1 +x_0=60500000 +y_0=0 +ellps=krass +towgs84=23.92,-141.27,-80.9,0,0.35,0.82,-0.12 +units=m +no_defs </t>
  </si>
  <si>
    <t>PROJCS["Pulkovo 1995 / 3-degree Gauss-Kruger zone 60",GEOGCS["Pulkovo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180],PARAMETER["scale_factor",1],PARAMETER["false_easting",60500000],PARAMETER["false_northing",0],UNIT["metre",1,AUTHORITY["EPSG","9001"]],AUTHORITY["EPSG","3390"]]</t>
  </si>
  <si>
    <t xml:space="preserve">+proj=tmerc +lat_0=0 +lon_0=180 +k=1 +x_0=60500000 +y_0=0 +ellps=krass +towgs84=24.47,-130.89,-81.56,0,0,0.13,-0.22 +units=m +no_defs </t>
  </si>
  <si>
    <t>PROJCS["Karbala 1979 / UTM zone 37N",GEOGCS["Karbala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3391"]]</t>
  </si>
  <si>
    <t xml:space="preserve">+proj=utm +zone=37 +ellps=clrk80 +towgs84=70.995,-335.916,262.898,0,0,0,0 +units=m +no_defs </t>
  </si>
  <si>
    <t>PROJCS["Karbala 1979 / UTM zone 38N",GEOGCS["Karbala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3392"]]</t>
  </si>
  <si>
    <t xml:space="preserve">+proj=utm +zone=38 +ellps=clrk80 +towgs84=70.995,-335.916,262.898,0,0,0,0 +units=m +no_defs </t>
  </si>
  <si>
    <t>PROJCS["Karbala 1979 / UTM zone 39N",GEOGCS["Karbala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3393"]]</t>
  </si>
  <si>
    <t xml:space="preserve">+proj=utm +zone=39 +ellps=clrk80 +towgs84=70.995,-335.916,262.898,0,0,0,0 +units=m +no_defs </t>
  </si>
  <si>
    <t>PROJCS["Nahrwan 1934 / Iraq zone",GEOGCS["Nahrwan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,PROJECTION["Lambert_Conformal_Conic_1SP"],PARAMETER["latitude_of_origin",32.5],PARAMETER["central_meridian",45],PARAMETER["scale_factor",0.9987864078],PARAMETER["false_easting",1500000],PARAMETER["false_northing",1166200],UNIT["metre",1,AUTHORITY["EPSG","9001"]],AXIS["Easting",EAST],AXIS["Northing",NORTH],AUTHORITY["EPSG","3394"]]</t>
  </si>
  <si>
    <t xml:space="preserve">+proj=lcc +lat_1=32.5 +lat_0=32.5 +lon_0=45 +k_0=0.9987864078000001 +x_0=1500000 +y_0=1166200 +ellps=clrk80 +towgs84=-242.2,-144.9,370.3,0,0,0,0 +units=m +no_defs </t>
  </si>
  <si>
    <t>PROJCS["WGS 84 / World Mercator",GEOGCS["WGS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0],PARAMETER["scale_factor",1],PARAMETER["false_easting",0],PARAMETER["false_northing",0],UNIT["metre",1,AUTHORITY["EPSG","9001"]],AXIS["Easting",EAST],AXIS["Northing",NORTH],AUTHORITY["EPSG","3395"]]</t>
  </si>
  <si>
    <t>PROJCS["PD/83 / 3-degree Gauss-Kruger zone 3",GEOGCS["PD/83",DATUM["Potsdam_Datum_83",SPHEROID["Bessel 1841",6377397.155,299.1528128,AUTHORITY["EPSG","7004"]],AUTHORITY["EPSG","6746"]],PRIMEM["Greenwich",0,AUTHORITY["EPSG","8901"]],UNIT["degree",0.0174532925199433,AUTHORITY["EPSG","9122"]],AUTHORITY["EPSG","4746"]],PROJECTION["Transverse_Mercator"],PARAMETER["latitude_of_origin",0],PARAMETER["central_meridian",9],PARAMETER["scale_factor",1],PARAMETER["false_easting",3500000],PARAMETER["false_northing",0],UNIT["metre",1,AUTHORITY["EPSG","9001"]],AUTHORITY["EPSG","3396"]]</t>
  </si>
  <si>
    <t>PROJCS["PD/83 / 3-degree Gauss-Kruger zone 4",GEOGCS["PD/83",DATUM["Potsdam_Datum_83",SPHEROID["Bessel 1841",6377397.155,299.1528128,AUTHORITY["EPSG","7004"]],AUTHORITY["EPSG","6746"]],PRIMEM["Greenwich",0,AUTHORITY["EPSG","8901"]],UNIT["degree",0.0174532925199433,AUTHORITY["EPSG","9122"]],AUTHORITY["EPSG","4746"]],PROJECTION["Transverse_Mercator"],PARAMETER["latitude_of_origin",0],PARAMETER["central_meridian",12],PARAMETER["scale_factor",1],PARAMETER["false_easting",4500000],PARAMETER["false_northing",0],UNIT["metre",1,AUTHORITY["EPSG","9001"]],AUTHORITY["EPSG","3397"]]</t>
  </si>
  <si>
    <t>PROJCS["RD/83 / 3-degree Gauss-Kruger zone 4",GEOGCS["RD/83",DATUM["Rauenberg_Datum_83",SPHEROID["Bessel 1841",6377397.155,299.1528128,AUTHORITY["EPSG","7004"]],AUTHORITY["EPSG","6745"]],PRIMEM["Greenwich",0,AUTHORITY["EPSG","8901"]],UNIT["degree",0.0174532925199433,AUTHORITY["EPSG","9122"]],AUTHORITY["EPSG","4745"]],PROJECTION["Transverse_Mercator"],PARAMETER["latitude_of_origin",0],PARAMETER["central_meridian",12],PARAMETER["scale_factor",1],PARAMETER["false_easting",4500000],PARAMETER["false_northing",0],UNIT["metre",1,AUTHORITY["EPSG","9001"]],AUTHORITY["EPSG","3398"]]</t>
  </si>
  <si>
    <t>PROJCS["RD/83 / 3-degree Gauss-Kruger zone 5",GEOGCS["RD/83",DATUM["Rauenberg_Datum_83",SPHEROID["Bessel 1841",6377397.155,299.1528128,AUTHORITY["EPSG","7004"]],AUTHORITY["EPSG","6745"]],PRIMEM["Greenwich",0,AUTHORITY["EPSG","8901"]],UNIT["degree",0.0174532925199433,AUTHORITY["EPSG","9122"]],AUTHORITY["EPSG","4745"]],PROJECTION["Transverse_Mercator"],PARAMETER["latitude_of_origin",0],PARAMETER["central_meridian",15],PARAMETER["scale_factor",1],PARAMETER["false_easting",5500000],PARAMETER["false_northing",0],UNIT["metre",1,AUTHORITY["EPSG","9001"]],AUTHORITY["EPSG","3399"]]</t>
  </si>
  <si>
    <t>PROJCS["NAD83 / Alberta 10-TM (Forest)",GEOGCS["NAD83",DATUM["North_American_Datum_1983",SPHEROID["GRS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-115],PARAMETER["scale_factor",0.9992],PARAMETER["false_easting",500000],PARAMETER["false_northing",0],UNIT["metre",1,AUTHORITY["EPSG","9001"]],AXIS["Easting",EAST],AXIS["Northing",NORTH],AUTHORITY["EPSG","3400"]]</t>
  </si>
  <si>
    <t>PROJCS["NAD83 / Alberta 10-TM (Resource)",GEOGCS["NAD83",DATUM["North_American_Datum_1983",SPHEROID["GRS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-115],PARAMETER["scale_factor",0.9992],PARAMETER["false_easting",0],PARAMETER["false_northing",0],UNIT["metre",1,AUTHORITY["EPSG","9001"]],AXIS["Easting",EAST],AXIS["Northing",NORTH],AUTHORITY["EPSG","3401"]]</t>
  </si>
  <si>
    <t>PROJCS["NAD83(CSRS) / Alberta 10-TM (Forest)",GEOGCS["NAD83(CSRS)",DATUM["NAD83_Canadian_Spatial_Reference_System",SPHEROID["GRS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-115],PARAMETER["scale_factor",0.9992],PARAMETER["false_easting",500000],PARAMETER["false_northing",0],UNIT["metre",1,AUTHORITY["EPSG","9001"]],AXIS["Easting",EAST],AXIS["Northing",NORTH],AUTHORITY["EPSG","3402"]]</t>
  </si>
  <si>
    <t xml:space="preserve">+proj=tmerc +lat_0=0 +lon_0=-115 +k=0.9992 +x_0=500000 +y_0=0 +ellps=GRS80 +towgs84=0,0,0,0,0,0,0 +units=m +no_defs </t>
  </si>
  <si>
    <t>PROJCS["NAD83(CSRS) / Alberta 10-TM (Resource)",GEOGCS["NAD83(CSRS)",DATUM["NAD83_Canadian_Spatial_Reference_System",SPHEROID["GRS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-115],PARAMETER["scale_factor",0.9992],PARAMETER["false_easting",0],PARAMETER["false_northing",0],UNIT["metre",1,AUTHORITY["EPSG","9001"]],AXIS["Easting",EAST],AXIS["Northing",NORTH],AUTHORITY["EPSG","3403"]]</t>
  </si>
  <si>
    <t xml:space="preserve">+proj=tmerc +lat_0=0 +lon_0=-115 +k=0.9992 +x_0=0 +y_0=0 +ellps=GRS80 +towgs84=0,0,0,0,0,0,0 +units=m +no_defs </t>
  </si>
  <si>
    <t>GEOCCS["ISN93 (geocentric)",DATUM["Islands_Net_1993",SPHEROID["GRS 1980",6378137,298.257222101,AUTHORITY["EPSG","7019"]],AUTHORITY["EPSG","6659"]],PRIMEM["Greenwich",0,AUTHORITY["EPSG","8901"]],UNIT["metre",1,AUTHORITY["EPSG","9001"]],AXIS["Geocentric X",OTHER],AXIS["Geocentric Y",OTHER],AXIS["Geocentric Z",NORTH],AUTHORITY["EPSG","4387"]]</t>
  </si>
  <si>
    <t>PROJCS["NAD83(HARN) / North Carolina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36.16666666666666],PARAMETER["standard_parallel_2",34.33333333333334],PARAMETER["latitude_of_origin",33.75],PARAMETER["central_meridian",-79],PARAMETER["false_easting",2000000],PARAMETER["false_northing",0],UNIT["US survey foot",0.3048006096012192,AUTHORITY["EPSG","9003"]],AXIS["X",EAST],AXIS["Y",NORTH],AUTHORITY["EPSG","3404"]]</t>
  </si>
  <si>
    <t xml:space="preserve">+proj=lcc +lat_1=36.16666666666666 +lat_2=34.33333333333334 +lat_0=33.75 +lon_0=-79 +x_0=609601.2192024384 +y_0=0 +ellps=GRS80 +towgs84=0,0,0,0,0,0,0 +units=us-ft +no_defs </t>
  </si>
  <si>
    <t>PROJCS["VN-2000 / UTM zone 48N",GEOGCS["VN-2000",DATUM["Vietnam_2000",SPHEROID["WGS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3405"]]</t>
  </si>
  <si>
    <t xml:space="preserve">+proj=utm +zone=48 +ellps=WGS84 +towgs84=-191.90441429,-39.30318279,-111.45032835,0.00928836,-0.01975479,0.00427372,0.252906278 +units=m +no_defs </t>
  </si>
  <si>
    <t>PROJCS["VN-2000 / UTM zone 49N",GEOGCS["VN-2000",DATUM["Vietnam_2000",SPHEROID["WGS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3406"]]</t>
  </si>
  <si>
    <t xml:space="preserve">+proj=utm +zone=49 +ellps=WGS84 +towgs84=-191.90441429,-39.30318279,-111.45032835,0.00928836,-0.01975479,0.00427372,0.252906278 +units=m +no_defs </t>
  </si>
  <si>
    <t>PROJCS["Hong Kong 1963 Grid System",GEOGCS["Hong Kong 1963",DATUM["Hong_Kong_1963",SPHEROID["Clarke 1858",6378293.645208759,294.2606763692606,AUTHORITY["EPSG","7007"]],AUTHORITY["EPSG","6738"]],PRIMEM["Greenwich",0,AUTHORITY["EPSG","8901"]],UNIT["degree",0.0174532925199433,AUTHORITY["EPSG","9122"]],AUTHORITY["EPSG","4738"]],PROJECTION["Cassini_Soldner"],PARAMETER["latitude_of_origin",22.31213333333334],PARAMETER["central_meridian",114.1785555555556],PARAMETER["false_easting",132033.92],PARAMETER["false_northing",62565.96],UNIT["Clarke's foot",0.3047972654,AUTHORITY["EPSG","9005"]],AUTHORITY["EPSG","3407"]]</t>
  </si>
  <si>
    <t>PROJCS["NSIDC EASE-Grid North",GEOGCS["Unspecified datum based upon the International 1924 Authalic Sphere",DATUM["Not_specified_based_on_International_1924_Authalic_Sphere",SPHEROID["International 1924 Authalic Sphere",6371228,0,AUTHORITY["EPSG","7057"]],AUTHORITY["EPSG","6053"]],PRIMEM["Greenwich",0,AUTHORITY["EPSG","8901"]],UNIT["degree",0.0174532925199433,AUTHORITY["EPSG","9122"]],AUTHORITY["EPSG","4053"]],PROJECTION["Lambert_Azimuthal_Equal_Area"],PARAMETER["latitude_of_center",90],PARAMETER["longitude_of_center",0],PARAMETER["false_easting",0],PARAMETER["false_northing",0],UNIT["metre",1,AUTHORITY["EPSG","9001"]],AXIS["X",EAST],AXIS["Y",NORTH],AUTHORITY["EPSG","3408"]]</t>
  </si>
  <si>
    <t>PROJCS["NSIDC EASE-Grid South",GEOGCS["Unspecified datum based upon the International 1924 Authalic Sphere",DATUM["Not_specified_based_on_International_1924_Authalic_Sphere",SPHEROID["International 1924 Authalic Sphere",6371228,0,AUTHORITY["EPSG","7057"]],AUTHORITY["EPSG","6053"]],PRIMEM["Greenwich",0,AUTHORITY["EPSG","8901"]],UNIT["degree",0.0174532925199433,AUTHORITY["EPSG","9122"]],AUTHORITY["EPSG","4053"]],PROJECTION["Lambert_Azimuthal_Equal_Area"],PARAMETER["latitude_of_center",-90],PARAMETER["longitude_of_center",0],PARAMETER["false_easting",0],PARAMETER["false_northing",0],UNIT["metre",1,AUTHORITY["EPSG","9001"]],AXIS["X",EAST],AXIS["Y",NORTH],AUTHORITY["EPSG","3409"]]</t>
  </si>
  <si>
    <t>PROJCS["NSIDC EASE-Grid Global",GEOGCS["Unspecified datum based upon the International 1924 Authalic Sphere",DATUM["Not_specified_based_on_International_1924_Authalic_Sphere",SPHEROID["International 1924 Authalic Sphere",6371228,0,AUTHORITY["EPSG","7057"]],AUTHORITY["EPSG","6053"]],PRIMEM["Greenwich",0,AUTHORITY["EPSG","8901"]],UNIT["degree",0.0174532925199433,AUTHORITY["EPSG","9122"]],AUTHORITY["EPSG","4053"]],PROJECTION["Cylindrical_Equal_Area"],PARAMETER["standard_parallel_1",30],PARAMETER["central_meridian",0],PARAMETER["false_easting",0],PARAMETER["false_northing",0],UNIT["metre",1,AUTHORITY["EPSG","9001"]],AXIS["X",EAST],AXIS["Y",NORTH],AUTHORITY["EPSG","3410"]]</t>
  </si>
  <si>
    <t>PROJCS["NSIDC Sea Ice Polar Stereographic North",GEOGCS["Unspecified datum based upon the Hughes 1980 ellipsoid",DATUM["Not_specified_based_on_Hughes_1980_ellipsoid",SPHEROID["Hughes 1980",6378273,298.279411123064,AUTHORITY["EPSG","7058"]],AUTHORITY["EPSG","6054"]],PRIMEM["Greenwich",0,AUTHORITY["EPSG","8901"]],UNIT["degree",0.0174532925199433,AUTHORITY["EPSG","9122"]],AUTHORITY["EPSG","4054"]],PROJECTION["Polar_Stereographic"],PARAMETER["latitude_of_origin",70],PARAMETER["central_meridian",-45],PARAMETER["scale_factor",1],PARAMETER["false_easting",0],PARAMETER["false_northing",0],UNIT["metre",1,AUTHORITY["EPSG","9001"]],AXIS["X",EAST],AXIS["Y",NORTH],AUTHORITY["EPSG","3411"]]</t>
  </si>
  <si>
    <t>PROJCS["NSIDC Sea Ice Polar Stereographic South",GEOGCS["Unspecified datum based upon the Hughes 1980 ellipsoid",DATUM["Not_specified_based_on_Hughes_1980_ellipsoid",SPHEROID["Hughes 1980",6378273,298.279411123064,AUTHORITY["EPSG","7058"]],AUTHORITY["EPSG","6054"]],PRIMEM["Greenwich",0,AUTHORITY["EPSG","8901"]],UNIT["degree",0.0174532925199433,AUTHORITY["EPSG","9122"]],AUTHORITY["EPSG","4054"]],PROJECTION["Polar_Stereographic"],PARAMETER["latitude_of_origin",-70],PARAMETER["central_meridian",0],PARAMETER["scale_factor",1],PARAMETER["false_easting",0],PARAMETER["false_northing",0],UNIT["metre",1,AUTHORITY["EPSG","9001"]],AXIS["X",EAST],AXIS["Y",NORTH],AUTHORITY["EPSG","3412"]]</t>
  </si>
  <si>
    <t>PROJCS["SVY21 / Singapore TM",GEOGCS["SVY21",DATUM["SVY21",SPHEROID["WGS 84",6378137,298.257223563,AUTHORITY["EPSG","7030"]],AUTHORITY["EPSG","6757"]],PRIMEM["Greenwich",0,AUTHORITY["EPSG","8901"]],UNIT["degree",0.0174532925199433,AUTHORITY["EPSG","9122"]],AUTHORITY["EPSG","4757"]],PROJECTION["Transverse_Mercator"],PARAMETER["latitude_of_origin",1.366666666666667],PARAMETER["central_meridian",103.8333333333333],PARAMETER["scale_factor",1],PARAMETER["false_easting",28001.642],PARAMETER["false_northing",38744.572],UNIT["metre",1,AUTHORITY["EPSG","9001"]],AUTHORITY["EPSG","3414"]]</t>
  </si>
  <si>
    <t>PROJCS["WGS 72BE / South China Sea Lambert",GEOGCS["WGS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Lambert_Conformal_Conic_2SP"],PARAMETER["standard_parallel_1",18],PARAMETER["standard_parallel_2",24],PARAMETER["latitude_of_origin",21],PARAMETER["central_meridian",114],PARAMETER["false_easting",500000],PARAMETER["false_northing",500000],UNIT["metre",1,AUTHORITY["EPSG","9001"]],AXIS["Easting",EAST],AXIS["Northing",NORTH],AUTHORITY["EPSG","3415"]]</t>
  </si>
  <si>
    <t xml:space="preserve">+proj=lcc +lat_1=18 +lat_2=24 +lat_0=21 +lon_0=114 +x_0=500000 +y_0=500000 +ellps=WGS72 +towgs84=0,0,1.9,0,0,0.814,-0.38 +units=m +no_defs </t>
  </si>
  <si>
    <t>PROJCS["ETRS89 / Austria Lambert",GEOGCS["ETRS89",DATUM["European_Terrestrial_Reference_System_1989",SPHEROID["GRS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49],PARAMETER["standard_parallel_2",46],PARAMETER["latitude_of_origin",47.5],PARAMETER["central_meridian",13.33333333333333],PARAMETER["false_easting",400000],PARAMETER["false_northing",400000],UNIT["metre",1,AUTHORITY["EPSG","9001"]],AUTHORITY["EPSG","3416"]]</t>
  </si>
  <si>
    <t xml:space="preserve">+proj=lcc +lat_1=49 +lat_2=46 +lat_0=47.5 +lon_0=13.33333333333333 +x_0=400000 +y_0=400000 +ellps=GRS80 +towgs84=0,0,0,0,0,0,0 +units=m +no_defs </t>
  </si>
  <si>
    <t>PROJCS["NAD83 / Iowa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43.26666666666667],PARAMETER["standard_parallel_2",42.06666666666667],PARAMETER["latitude_of_origin",41.5],PARAMETER["central_meridian",-93.5],PARAMETER["false_easting",4921250],PARAMETER["false_northing",3280833.333300001],UNIT["US survey foot",0.3048006096012192,AUTHORITY["EPSG","9003"]],AXIS["X",EAST],AXIS["Y",NORTH],AUTHORITY["EPSG","3417"]]</t>
  </si>
  <si>
    <t>PROJCS["NAD83 / Iowa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40.61666666666667],PARAMETER["latitude_of_origin",40],PARAMETER["central_meridian",-93.5],PARAMETER["false_easting",1640416.6667],PARAMETER["false_northing",0],UNIT["US survey foot",0.3048006096012192,AUTHORITY["EPSG","9003"]],AXIS["X",EAST],AXIS["Y",NORTH],AUTHORITY["EPSG","3418"]]</t>
  </si>
  <si>
    <t>PROJCS["NAD83 / Kansas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39.78333333333333],PARAMETER["standard_parallel_2",38.71666666666667],PARAMETER["latitude_of_origin",38.33333333333334],PARAMETER["central_meridian",-98],PARAMETER["false_easting",1312333.3333],PARAMETER["false_northing",0],UNIT["US survey foot",0.3048006096012192,AUTHORITY["EPSG","9003"]],AXIS["X",EAST],AXIS["Y",NORTH],AUTHORITY["EPSG","3419"]]</t>
  </si>
  <si>
    <t>PROJCS["NAD83 / Kansas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38.56666666666667],PARAMETER["standard_parallel_2",37.26666666666667],PARAMETER["latitude_of_origin",36.66666666666666],PARAMETER["central_meridian",-98.5],PARAMETER["false_easting",1312333.3333],PARAMETER["false_northing",1312333.3333],UNIT["US survey foot",0.3048006096012192,AUTHORITY["EPSG","9003"]],AXIS["X",EAST],AXIS["Y",NORTH],AUTHORITY["EPSG","3420"]]</t>
  </si>
  <si>
    <t>PROJCS["NAD83 / Nevada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-115.5833333333333],PARAMETER["scale_factor",0.9999],PARAMETER["false_easting",656166.6667],PARAMETER["false_northing",26246666.66670001],UNIT["US survey foot",0.3048006096012192,AUTHORITY["EPSG","9003"]],AXIS["X",EAST],AXIS["Y",NORTH],AUTHORITY["EPSG","3421"]]</t>
  </si>
  <si>
    <t>PROJCS["NAD83 / Maine CS2000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43.5],PARAMETER["central_meridian",-69.125],PARAMETER["scale_factor",0.99998],PARAMETER["false_easting",500000],PARAMETER["false_northing",0],UNIT["metre",1,AUTHORITY["EPSG","9001"]],AXIS["X",EAST],AXIS["Y",NORTH],AUTHORITY["EPSG","3463"]]</t>
  </si>
  <si>
    <t>PROJCS["NAD83 / Nevada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-116.6666666666667],PARAMETER["scale_factor",0.9999],PARAMETER["false_easting",1640416.6667],PARAMETER["false_northing",19685000],UNIT["US survey foot",0.3048006096012192,AUTHORITY["EPSG","9003"]],AXIS["X",EAST],AXIS["Y",NORTH],AUTHORITY["EPSG","3422"]]</t>
  </si>
  <si>
    <t>PROJCS["NAD83 / Nevada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-118.5833333333333],PARAMETER["scale_factor",0.9999],PARAMETER["false_easting",2624666.6667],PARAMETER["false_northing",13123333.3333],UNIT["US survey foot",0.3048006096012192,AUTHORITY["EPSG","9003"]],AXIS["X",EAST],AXIS["Y",NORTH],AUTHORITY["EPSG","3423"]]</t>
  </si>
  <si>
    <t>PROJCS["NAD83 / New Jersey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foot",0.3048006096012192,AUTHORITY["EPSG","9003"]],AXIS["X",EAST],AXIS["Y",NORTH],AUTHORITY["EPSG","3424"]]</t>
  </si>
  <si>
    <t>PROJCS["NAD83(HARN) / Iowa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43.26666666666667],PARAMETER["standard_parallel_2",42.06666666666667],PARAMETER["latitude_of_origin",41.5],PARAMETER["central_meridian",-93.5],PARAMETER["false_easting",4921250],PARAMETER["false_northing",3280833.333300001],UNIT["US survey foot",0.3048006096012192,AUTHORITY["EPSG","9003"]],AXIS["X",EAST],AXIS["Y",NORTH],AUTHORITY["EPSG","3425"]]</t>
  </si>
  <si>
    <t xml:space="preserve">+proj=lcc +lat_1=43.26666666666667 +lat_2=42.06666666666667 +lat_0=41.5 +lon_0=-93.5 +x_0=1500000 +y_0=999999.9999898402 +ellps=GRS80 +towgs84=0,0,0,0,0,0,0 +units=us-ft +no_defs </t>
  </si>
  <si>
    <t>PROJCS["NAD83(HARN) / Iowa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40.61666666666667],PARAMETER["latitude_of_origin",40],PARAMETER["central_meridian",-93.5],PARAMETER["false_easting",1640416.6667],PARAMETER["false_northing",0],UNIT["US survey foot",0.3048006096012192,AUTHORITY["EPSG","9003"]],AXIS["X",EAST],AXIS["Y",NORTH],AUTHORITY["EPSG","3426"]]</t>
  </si>
  <si>
    <t xml:space="preserve">+proj=lcc +lat_1=41.78333333333333 +lat_2=40.61666666666667 +lat_0=40 +lon_0=-93.5 +x_0=500000.00001016 +y_0=0 +ellps=GRS80 +towgs84=0,0,0,0,0,0,0 +units=us-ft +no_defs </t>
  </si>
  <si>
    <t>PROJCS["NAD83(HARN) / Kansas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39.78333333333333],PARAMETER["standard_parallel_2",38.71666666666667],PARAMETER["latitude_of_origin",38.33333333333334],PARAMETER["central_meridian",-98],PARAMETER["false_easting",1312333.3333],PARAMETER["false_northing",0],UNIT["US survey foot",0.3048006096012192,AUTHORITY["EPSG","9003"]],AXIS["X",EAST],AXIS["Y",NORTH],AUTHORITY["EPSG","3427"]]</t>
  </si>
  <si>
    <t xml:space="preserve">+proj=lcc +lat_1=39.78333333333333 +lat_2=38.71666666666667 +lat_0=38.33333333333334 +lon_0=-98 +x_0=399999.99998984 +y_0=0 +ellps=GRS80 +towgs84=0,0,0,0,0,0,0 +units=us-ft +no_defs </t>
  </si>
  <si>
    <t>PROJCS["NAD83(HARN) / Kansas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38.56666666666667],PARAMETER["standard_parallel_2",37.26666666666667],PARAMETER["latitude_of_origin",36.66666666666666],PARAMETER["central_meridian",-98.5],PARAMETER["false_easting",1312333.3333],PARAMETER["false_northing",1312333.3333],UNIT["US survey foot",0.3048006096012192,AUTHORITY["EPSG","9003"]],AXIS["X",EAST],AXIS["Y",NORTH],AUTHORITY["EPSG","3428"]]</t>
  </si>
  <si>
    <t xml:space="preserve">+proj=lcc +lat_1=38.56666666666667 +lat_2=37.26666666666667 +lat_0=36.66666666666666 +lon_0=-98.5 +x_0=399999.99998984 +y_0=399999.99998984 +ellps=GRS80 +towgs84=0,0,0,0,0,0,0 +units=us-ft +no_defs </t>
  </si>
  <si>
    <t>PROJCS["NAD83(HARN) / Nevada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-115.5833333333333],PARAMETER["scale_factor",0.9999],PARAMETER["false_easting",656166.6667],PARAMETER["false_northing",26246666.66670001],UNIT["US survey foot",0.3048006096012192,AUTHORITY["EPSG","9003"]],AXIS["X",EAST],AXIS["Y",NORTH],AUTHORITY["EPSG","3429"]]</t>
  </si>
  <si>
    <t xml:space="preserve">+proj=tmerc +lat_0=34.75 +lon_0=-115.5833333333333 +k=0.9999 +x_0=200000.00001016 +y_0=8000000.000010163 +ellps=GRS80 +towgs84=0,0,0,0,0,0,0 +units=us-ft +no_defs </t>
  </si>
  <si>
    <t>GEOCCS["LKS92 (geocentric)",DATUM["Latvia_1992",SPHEROID["GRS 1980",6378137,298.257222101,AUTHORITY["EPSG","7019"]],AUTHORITY["EPSG","6661"]],PRIMEM["Greenwich",0,AUTHORITY["EPSG","8901"]],UNIT["metre",1,AUTHORITY["EPSG","9001"]],AXIS["Geocentric X",OTHER],AXIS["Geocentric Y",OTHER],AXIS["Geocentric Z",NORTH],AUTHORITY["EPSG","4389"]]</t>
  </si>
  <si>
    <t>PROJCS["NAD83(HARN) / Nevada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-116.6666666666667],PARAMETER["scale_factor",0.9999],PARAMETER["false_easting",1640416.6667],PARAMETER["false_northing",19685000],UNIT["US survey foot",0.3048006096012192,AUTHORITY["EPSG","9003"]],AXIS["X",EAST],AXIS["Y",NORTH],AUTHORITY["EPSG","3430"]]</t>
  </si>
  <si>
    <t xml:space="preserve">+proj=tmerc +lat_0=34.75 +lon_0=-116.6666666666667 +k=0.9999 +x_0=500000.00001016 +y_0=6000000 +ellps=GRS80 +towgs84=0,0,0,0,0,0,0 +units=us-ft +no_defs </t>
  </si>
  <si>
    <t>PROJCS["NAD83(HARN) / Nevada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34.75],PARAMETER["central_meridian",-118.5833333333333],PARAMETER["scale_factor",0.9999],PARAMETER["false_easting",2624666.6667],PARAMETER["false_northing",13123333.3333],UNIT["US survey foot",0.3048006096012192,AUTHORITY["EPSG","9003"]],AXIS["X",EAST],AXIS["Y",NORTH],AUTHORITY["EPSG","3431"]]</t>
  </si>
  <si>
    <t xml:space="preserve">+proj=tmerc +lat_0=34.75 +lon_0=-118.5833333333333 +k=0.9999 +x_0=800000.0000101599 +y_0=3999999.99998984 +ellps=GRS80 +towgs84=0,0,0,0,0,0,0 +units=us-ft +no_defs </t>
  </si>
  <si>
    <t>PROJCS["NAD83(HARN) / New Jersey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foot",0.3048006096012192,AUTHORITY["EPSG","9003"]],AXIS["X",EAST],AXIS["Y",NORTH],AUTHORITY["EPSG","3432"]]</t>
  </si>
  <si>
    <t>PROJCS["NAD83 / Arkansas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36.23333333333333],PARAMETER["standard_parallel_2",34.93333333333333],PARAMETER["latitude_of_origin",34.33333333333334],PARAMETER["central_meridian",-92],PARAMETER["false_easting",1312333.3333],PARAMETER["false_northing",0],UNIT["US survey foot",0.3048006096012192,AUTHORITY["EPSG","9003"]],AXIS["X",EAST],AXIS["Y",NORTH],AUTHORITY["EPSG","3433"]]</t>
  </si>
  <si>
    <t>PROJCS["NAD83 / Arkansas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34.76666666666667],PARAMETER["standard_parallel_2",33.3],PARAMETER["latitude_of_origin",32.66666666666666],PARAMETER["central_meridian",-92],PARAMETER["false_easting",1312333.3333],PARAMETER["false_northing",1312333.3333],UNIT["US survey foot",0.3048006096012192,AUTHORITY["EPSG","9003"]],AXIS["X",EAST],AXIS["Y",NORTH],AUTHORITY["EPSG","3434"]]</t>
  </si>
  <si>
    <t>PROJCS["NAD83 / Illinois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36.66666666666666],PARAMETER["central_meridian",-88.33333333333333],PARAMETER["scale_factor",0.999975],PARAMETER["false_easting",984250.0000000002],PARAMETER["false_northing",0],UNIT["US survey foot",0.3048006096012192,AUTHORITY["EPSG","9003"]],AXIS["X",EAST],AXIS["Y",NORTH],AUTHORITY["EPSG","3435"]]</t>
  </si>
  <si>
    <t>PROJCS["NAD83 / Illinois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36.66666666666666],PARAMETER["central_meridian",-90.16666666666667],PARAMETER["scale_factor",0.999941177],PARAMETER["false_easting",2296583.333300001],PARAMETER["false_northing",0],UNIT["US survey foot",0.3048006096012192,AUTHORITY["EPSG","9003"]],AXIS["X",EAST],AXIS["Y",NORTH],AUTHORITY["EPSG","3436"]]</t>
  </si>
  <si>
    <t>PROJCS["NAD83 / New Hampshire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42.5],PARAMETER["central_meridian",-71.66666666666667],PARAMETER["scale_factor",0.999966667],PARAMETER["false_easting",984250.0000000002],PARAMETER["false_northing",0],UNIT["US survey foot",0.3048006096012192,AUTHORITY["EPSG","9003"]],AXIS["X",EAST],AXIS["Y",NORTH],AUTHORITY["EPSG","3437"]]</t>
  </si>
  <si>
    <t>PROJCS["ETRS89 / GK27FIN",GEOGCS["ETRS89",DATUM["European_Terrestrial_Reference_System_1989",SPHEROID["GRS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1],PARAMETER["false_easting",27500000],PARAMETER["false_northing",0],UNIT["metre",1,AUTHORITY["EPSG","9001"]],AUTHORITY["EPSG","3881"]]</t>
  </si>
  <si>
    <t xml:space="preserve">+proj=tmerc +lat_0=0 +lon_0=27 +k=1 +x_0=27500000 +y_0=0 +ellps=GRS80 +towgs84=0,0,0,0,0,0,0 +units=m +no_defs </t>
  </si>
  <si>
    <t>PROJCS["NAD83 / Rhode Island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41.08333333333334],PARAMETER["central_meridian",-71.5],PARAMETER["scale_factor",0.99999375],PARAMETER["false_easting",328083.3333],PARAMETER["false_northing",0],UNIT["US survey foot",0.3048006096012192,AUTHORITY["EPSG","9003"]],AXIS["X",EAST],AXIS["Y",NORTH],AUTHORITY["EPSG","3438"]]</t>
  </si>
  <si>
    <t>PROJCS["PSD93 / UTM zone 39N",GEOGCS["PSD93",DATUM["PDO_Survey_Datum_1993",SPHEROID["Clarke 1880 (RGS)",6378249.145,293.465,AUTHORITY["EPSG","7012"]],TOWGS84[-180.624,-225.516,173.919,-0.81,-1.898,8.336,16.71006],AUTHORITY["EPSG","6134"]],PRIMEM["Greenwich",0,AUTHORITY["EPSG","8901"]],UNIT["degree",0.0174532925199433,AUTHORITY["EPSG","9122"]],AUTHORITY["EPSG","4134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3439"]]</t>
  </si>
  <si>
    <t xml:space="preserve">+proj=utm +zone=39 +ellps=clrk80 +towgs84=-180.624,-225.516,173.919,-0.81,-1.898,8.336,16.71006 +units=m +no_defs </t>
  </si>
  <si>
    <t>PROJCS["PSD93 / UTM zone 40N",GEOGCS["PSD93",DATUM["PDO_Survey_Datum_1993",SPHEROID["Clarke 1880 (RGS)",6378249.145,293.465,AUTHORITY["EPSG","7012"]],TOWGS84[-180.624,-225.516,173.919,-0.81,-1.898,8.336,16.71006],AUTHORITY["EPSG","6134"]],PRIMEM["Greenwich",0,AUTHORITY["EPSG","8901"]],UNIT["degree",0.0174532925199433,AUTHORITY["EPSG","9122"]],AUTHORITY["EPSG","4134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3440"]]</t>
  </si>
  <si>
    <t xml:space="preserve">+proj=utm +zone=40 +ellps=clrk80 +towgs84=-180.624,-225.516,173.919,-0.81,-1.898,8.336,16.71006 +units=m +no_defs </t>
  </si>
  <si>
    <t>PROJCS["NAD83(HARN) / Arkansas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36.23333333333333],PARAMETER["standard_parallel_2",34.93333333333333],PARAMETER["latitude_of_origin",34.33333333333334],PARAMETER["central_meridian",-92],PARAMETER["false_easting",1312333.3333],PARAMETER["false_northing",0],UNIT["US survey foot",0.3048006096012192,AUTHORITY["EPSG","9003"]],AXIS["X",EAST],AXIS["Y",NORTH],AUTHORITY["EPSG","3441"]]</t>
  </si>
  <si>
    <t xml:space="preserve">+proj=lcc +lat_1=36.23333333333333 +lat_2=34.93333333333333 +lat_0=34.33333333333334 +lon_0=-92 +x_0=399999.99998984 +y_0=0 +ellps=GRS80 +towgs84=0,0,0,0,0,0,0 +units=us-ft +no_defs </t>
  </si>
  <si>
    <t>PROJCS["NAD83(HARN) / Arkansas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34.76666666666667],PARAMETER["standard_parallel_2",33.3],PARAMETER["latitude_of_origin",32.66666666666666],PARAMETER["central_meridian",-92],PARAMETER["false_easting",1312333.3333],PARAMETER["false_northing",1312333.3333],UNIT["US survey foot",0.3048006096012192,AUTHORITY["EPSG","9003"]],AXIS["X",EAST],AXIS["Y",NORTH],AUTHORITY["EPSG","3442"]]</t>
  </si>
  <si>
    <t xml:space="preserve">+proj=lcc +lat_1=34.76666666666667 +lat_2=33.3 +lat_0=32.66666666666666 +lon_0=-92 +x_0=399999.99998984 +y_0=399999.99998984 +ellps=GRS80 +towgs84=0,0,0,0,0,0,0 +units=us-ft +no_defs </t>
  </si>
  <si>
    <t>PROJCS["NAD83(HARN) / Illinois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36.66666666666666],PARAMETER["central_meridian",-88.33333333333333],PARAMETER["scale_factor",0.999975],PARAMETER["false_easting",984250.0000000002],PARAMETER["false_northing",0],UNIT["US survey foot",0.3048006096012192,AUTHORITY["EPSG","9003"]],AXIS["X",EAST],AXIS["Y",NORTH],AUTHORITY["EPSG","3443"]]</t>
  </si>
  <si>
    <t xml:space="preserve">+proj=tmerc +lat_0=36.66666666666666 +lon_0=-88.33333333333333 +k=0.9999749999999999 +x_0=300000.0000000001 +y_0=0 +ellps=GRS80 +towgs84=0,0,0,0,0,0,0 +units=us-ft +no_defs </t>
  </si>
  <si>
    <t>PROJCS["NAD83(HARN) / Illinois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36.66666666666666],PARAMETER["central_meridian",-90.16666666666667],PARAMETER["scale_factor",0.999941177],PARAMETER["false_easting",2296583.333300001],PARAMETER["false_northing",0],UNIT["US survey foot",0.3048006096012192,AUTHORITY["EPSG","9003"]],AXIS["X",EAST],AXIS["Y",NORTH],AUTHORITY["EPSG","3444"]]</t>
  </si>
  <si>
    <t xml:space="preserve">+proj=tmerc +lat_0=36.66666666666666 +lon_0=-90.16666666666667 +k=0.999941177 +x_0=699999.9999898402 +y_0=0 +ellps=GRS80 +towgs84=0,0,0,0,0,0,0 +units=us-ft +no_defs </t>
  </si>
  <si>
    <t>PROJCS["NAD83(HARN) / New Hampshire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42.5],PARAMETER["central_meridian",-71.66666666666667],PARAMETER["scale_factor",0.999966667],PARAMETER["false_easting",984250.0000000002],PARAMETER["false_northing",0],UNIT["US survey foot",0.3048006096012192,AUTHORITY["EPSG","9003"]],AXIS["X",EAST],AXIS["Y",NORTH],AUTHORITY["EPSG","3445"]]</t>
  </si>
  <si>
    <t xml:space="preserve">+proj=tmerc +lat_0=42.5 +lon_0=-71.66666666666667 +k=0.999966667 +x_0=300000.0000000001 +y_0=0 +ellps=GRS80 +towgs84=0,0,0,0,0,0,0 +units=us-ft +no_defs </t>
  </si>
  <si>
    <t>PROJCS["WGS 84 / NSIDC EASE-Grid South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-90],PARAMETER["longitude_of_center",0],PARAMETER["false_easting",0],PARAMETER["false_northing",0],UNIT["metre",1,AUTHORITY["EPSG","9001"]],AXIS["X",EAST],AXIS["Y",NORTH],AUTHORITY["EPSG","3974"]]</t>
  </si>
  <si>
    <t>PROJCS["NAD83(HARN) / Rhode Island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41.08333333333334],PARAMETER["central_meridian",-71.5],PARAMETER["scale_factor",0.99999375],PARAMETER["false_easting",328083.3333],PARAMETER["false_northing",0],UNIT["US survey foot",0.3048006096012192,AUTHORITY["EPSG","9003"]],AXIS["X",EAST],AXIS["Y",NORTH],AUTHORITY["EPSG","3446"]]</t>
  </si>
  <si>
    <t xml:space="preserve">+proj=tmerc +lat_0=41.08333333333334 +lon_0=-71.5 +k=0.99999375 +x_0=99999.99998983997 +y_0=0 +ellps=GRS80 +towgs84=0,0,0,0,0,0,0 +units=us-ft +no_defs </t>
  </si>
  <si>
    <t>PROJCS["ETRS89 / Belgian Lambert 2005",GEOGCS["ETRS89",DATUM["European_Terrestrial_Reference_System_1989",SPHEROID["GRS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49.83333333333334],PARAMETER["standard_parallel_2",51.16666666666666],PARAMETER["latitude_of_origin",50.797815],PARAMETER["central_meridian",4.359215833333333],PARAMETER["false_easting",150328],PARAMETER["false_northing",166262],UNIT["metre",1,AUTHORITY["EPSG","9001"]],AXIS["X",EAST],AXIS["Y",NORTH],AUTHORITY["EPSG","3447"]]</t>
  </si>
  <si>
    <t xml:space="preserve">+proj=lcc +lat_1=49.83333333333334 +lat_2=51.16666666666666 +lat_0=50.797815 +lon_0=4.359215833333333 +x_0=150328 +y_0=166262 +ellps=GRS80 +towgs84=0,0,0,0,0,0,0 +units=m +no_defs </t>
  </si>
  <si>
    <t>PROJCS["JAD2001 / Jamaica Metric Grid",GEOGCS["JAD2001",DATUM["Jamaica_2001",SPHEROID["WGS 84",6378137,298.257223563,AUTHORITY["EPSG","7030"]],TOWGS84[0,0,0,0,0,0,0],AUTHORITY["EPSG","6758"]],PRIMEM["Greenwich",0,AUTHORITY["EPSG","8901"]],UNIT["degree",0.0174532925199433,AUTHORITY["EPSG","9122"]],AUTHORITY["EPSG","4758"]],PROJECTION["Lambert_Conformal_Conic_1SP"],PARAMETER["latitude_of_origin",18],PARAMETER["central_meridian",-77],PARAMETER["scale_factor",1],PARAMETER["false_easting",750000],PARAMETER["false_northing",650000],UNIT["metre",1,AUTHORITY["EPSG","9001"]],AXIS["Easting",EAST],AXIS["Northing",NORTH],AUTHORITY["EPSG","3448"]]</t>
  </si>
  <si>
    <t xml:space="preserve">+proj=lcc +lat_1=18 +lat_0=18 +lon_0=-77 +k_0=1 +x_0=750000 +y_0=650000 +ellps=WGS84 +towgs84=0,0,0,0,0,0,0 +units=m +no_defs </t>
  </si>
  <si>
    <t>PROJCS["JAD2001 / UTM zone 17N",GEOGCS["JAD2001",DATUM["Jamaica_2001",SPHEROID["WGS 84",6378137,298.257223563,AUTHORITY["EPSG","7030"]],TOWGS84[0,0,0,0,0,0,0],AUTHORITY["EPSG","6758"]],PRIMEM["Greenwich",0,AUTHORITY["EPSG","8901"]],UNIT["degree",0.0174532925199433,AUTHORITY["EPSG","9122"]],AUTHORITY["EPSG","4758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3449"]]</t>
  </si>
  <si>
    <t xml:space="preserve">+proj=utm +zone=17 +ellps=WGS84 +towgs84=0,0,0,0,0,0,0 +units=m +no_defs </t>
  </si>
  <si>
    <t>PROJCS["JAD2001 / UTM zone 18N",GEOGCS["JAD2001",DATUM["Jamaica_2001",SPHEROID["WGS 84",6378137,298.257223563,AUTHORITY["EPSG","7030"]],TOWGS84[0,0,0,0,0,0,0],AUTHORITY["EPSG","6758"]],PRIMEM["Greenwich",0,AUTHORITY["EPSG","8901"]],UNIT["degree",0.0174532925199433,AUTHORITY["EPSG","9122"]],AUTHORITY["EPSG","4758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3450"]]</t>
  </si>
  <si>
    <t xml:space="preserve">+proj=utm +zone=18 +ellps=WGS84 +towgs84=0,0,0,0,0,0,0 +units=m +no_defs </t>
  </si>
  <si>
    <t>PROJCS["NAD83 / Louisiana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32.66666666666666],PARAMETER["standard_parallel_2",31.16666666666667],PARAMETER["latitude_of_origin",30.5],PARAMETER["central_meridian",-92.5],PARAMETER["false_easting",3280833.333300001],PARAMETER["false_northing",0],UNIT["US survey foot",0.3048006096012192,AUTHORITY["EPSG","9003"]],AXIS["X",EAST],AXIS["Y",NORTH],AUTHORITY["EPSG","3451"]]</t>
  </si>
  <si>
    <t>PROJCS["NAD83 / Louisiana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30.7],PARAMETER["standard_parallel_2",29.3],PARAMETER["latitude_of_origin",28.5],PARAMETER["central_meridian",-91.33333333333333],PARAMETER["false_easting",3280833.333300001],PARAMETER["false_northing",0],UNIT["US survey foot",0.3048006096012192,AUTHORITY["EPSG","9003"]],AXIS["X",EAST],AXIS["Y",NORTH],AUTHORITY["EPSG","3452"]]</t>
  </si>
  <si>
    <t>PROJCS["NAD83 / Louisiana Offshore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27.83333333333333],PARAMETER["standard_parallel_2",26.16666666666667],PARAMETER["latitude_of_origin",25.5],PARAMETER["central_meridian",-91.33333333333333],PARAMETER["false_easting",3280833.333300001],PARAMETER["false_northing",0],UNIT["US survey foot",0.3048006096012192,AUTHORITY["EPSG","9003"]],AXIS["X",EAST],AXIS["Y",NORTH],AUTHORITY["EPSG","3453"]]</t>
  </si>
  <si>
    <t>PROJCS["NAD83 / South Dakota North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foot",0.3048006096012192,AUTHORITY["EPSG","9003"]],AXIS["X",EAST],AXIS["Y",NORTH],AUTHORITY["EPSG","3454"]]</t>
  </si>
  <si>
    <t>PROJCS["NAD83 / South Dakota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foot",0.3048006096012192,AUTHORITY["EPSG","9003"]],AXIS["X",EAST],AXIS["Y",NORTH],AUTHORITY["EPSG","3455"]]</t>
  </si>
  <si>
    <t>PROJCS["NAD83(HARN) / Louisiana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32.66666666666666],PARAMETER["standard_parallel_2",31.16666666666667],PARAMETER["latitude_of_origin",30.5],PARAMETER["central_meridian",-92.5],PARAMETER["false_easting",3280833.333300001],PARAMETER["false_northing",0],UNIT["US survey foot",0.3048006096012192,AUTHORITY["EPSG","9003"]],AXIS["X",EAST],AXIS["Y",NORTH],AUTHORITY["EPSG","3456"]]</t>
  </si>
  <si>
    <t xml:space="preserve">+proj=lcc +lat_1=32.66666666666666 +lat_2=31.16666666666667 +lat_0=30.5 +lon_0=-92.5 +x_0=999999.9999898402 +y_0=0 +ellps=GRS80 +towgs84=0,0,0,0,0,0,0 +units=us-ft +no_defs </t>
  </si>
  <si>
    <t>PROJCS["NAD83(HARN) / Louisiana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30.7],PARAMETER["standard_parallel_2",29.3],PARAMETER["latitude_of_origin",28.5],PARAMETER["central_meridian",-91.33333333333333],PARAMETER["false_easting",3280833.333300001],PARAMETER["false_northing",0],UNIT["US survey foot",0.3048006096012192,AUTHORITY["EPSG","9003"]],AXIS["X",EAST],AXIS["Y",NORTH],AUTHORITY["EPSG","3457"]]</t>
  </si>
  <si>
    <t xml:space="preserve">+proj=lcc +lat_1=30.7 +lat_2=29.3 +lat_0=28.5 +lon_0=-91.33333333333333 +x_0=999999.9999898402 +y_0=0 +ellps=GRS80 +towgs84=0,0,0,0,0,0,0 +units=us-ft +no_defs </t>
  </si>
  <si>
    <t>PROJCS["NAD83(HARN) / South Dakota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45.68333333333333],PARAMETER["standard_parallel_2",44.41666666666666],PARAMETER["latitude_of_origin",43.83333333333334],PARAMETER["central_meridian",-100],PARAMETER["false_easting",1968500],PARAMETER["false_northing",0],UNIT["US survey foot",0.3048006096012192,AUTHORITY["EPSG","9003"]],AXIS["X",EAST],AXIS["Y",NORTH],AUTHORITY["EPSG","3458"]]</t>
  </si>
  <si>
    <t xml:space="preserve">+proj=lcc +lat_1=45.68333333333333 +lat_2=44.41666666666666 +lat_0=43.83333333333334 +lon_0=-100 +x_0=600000 +y_0=0 +ellps=GRS80 +towgs84=0,0,0,0,0,0,0 +units=us-ft +no_defs </t>
  </si>
  <si>
    <t>PROJCS["NAD83(HARN) / South Dakota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foot",0.3048006096012192,AUTHORITY["EPSG","9003"]],AXIS["X",EAST],AXIS["Y",NORTH],AUTHORITY["EPSG","3459"]]</t>
  </si>
  <si>
    <t xml:space="preserve">+proj=lcc +lat_1=44.4 +lat_2=42.83333333333334 +lat_0=42.33333333333334 +lon_0=-100.3333333333333 +x_0=600000 +y_0=0 +ellps=GRS80 +towgs84=0,0,0,0,0,0,0 +units=us-ft +no_defs </t>
  </si>
  <si>
    <t>PROJCS["Fiji 1986 / Fiji Map Grid",GEOGCS["Fiji 1986",DATUM["Fiji_Geodetic_Datum_1986",SPHEROID["WGS 72",6378135,298.26,AUTHORITY["EPSG","7043"]],TOWGS84[0,0,4.5,0,0,0.554,0.2263],AUTHORITY["EPSG","6720"]],PRIMEM["Greenwich",0,AUTHORITY["EPSG","8901"]],UNIT["degree",0.0174532925199433,AUTHORITY["EPSG","9122"]],AUTHORITY["EPSG","4720"]],PROJECTION["Transverse_Mercator"],PARAMETER["latitude_of_origin",-17],PARAMETER["central_meridian",178.75],PARAMETER["scale_factor",0.99985],PARAMETER["false_easting",2000000],PARAMETER["false_northing",4000000],UNIT["metre",1,AUTHORITY["EPSG","9001"]],AXIS["Easting",EAST],AXIS["Northing",NORTH],AUTHORITY["EPSG","3460"]]</t>
  </si>
  <si>
    <t>PROJCS["Dabola 1981 / UTM zone 28N",GEOGCS["Dabola 1981",DATUM["Dabola_1981",SPHEROID["Clarke 1880 (IGN)",6378249.2,293.4660212936269,AUTHORITY["EPSG","7011"]],TOWGS84[-83,37,124,0,0,0,0],AUTHORITY["EPSG","6155"]],PRIMEM["Greenwich",0,AUTHORITY["EPSG","8901"]],UNIT["degree",0.0174532925199433,AUTHORITY["EPSG","9122"]],AUTHORITY["EPSG","4155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3461"]]</t>
  </si>
  <si>
    <t xml:space="preserve">+proj=utm +zone=28 +a=6378249.2 +b=6356515 +towgs84=-83,37,124,0,0,0,0 +units=m +no_defs </t>
  </si>
  <si>
    <t>PROJCS["Dabola 1981 / UTM zone 29N",GEOGCS["Dabola 1981",DATUM["Dabola_1981",SPHEROID["Clarke 1880 (IGN)",6378249.2,293.4660212936269,AUTHORITY["EPSG","7011"]],TOWGS84[-83,37,124,0,0,0,0],AUTHORITY["EPSG","6155"]],PRIMEM["Greenwich",0,AUTHORITY["EPSG","8901"]],UNIT["degree",0.0174532925199433,AUTHORITY["EPSG","9122"]],AUTHORITY["EPSG","4155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3462"]]</t>
  </si>
  <si>
    <t xml:space="preserve">+proj=utm +zone=29 +a=6378249.2 +b=6356515 +towgs84=-83,37,124,0,0,0,0 +units=m +no_defs </t>
  </si>
  <si>
    <t>PROJCS["WGS 84 / NSIDC EASE-Grid Global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Cylindrical_Equal_Area"],PARAMETER["standard_parallel_1",30],PARAMETER["central_meridian",0],PARAMETER["false_easting",0],PARAMETER["false_northing",0],UNIT["metre",1,AUTHORITY["EPSG","9001"]],AXIS["X",EAST],AXIS["Y",NORTH],AUTHORITY["EPSG","3975"]]</t>
  </si>
  <si>
    <t>PROJCS["NAD83(HARN) / Maine CS2000 Central",GEOGCS["NAD83(HARN)",DATUM["NAD83_High_Accuracy_Reference_Network",SPHEROID["GRS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43.5],PARAMETER["central_meridian",-69.125],PARAMETER["scale_factor",0.99998],PARAMETER["false_easting",500000],PARAMETER["false_northing",0],UNIT["metre",1,AUTHORITY["EPSG","9001"]],AXIS["X",EAST],AXIS["Y",NORTH],AUTHORITY["EPSG","3464"]]</t>
  </si>
  <si>
    <t xml:space="preserve">+proj=tmerc +lat_0=43.5 +lon_0=-69.125 +k=0.99998 +x_0=500000 +y_0=0 +ellps=GRS80 +towgs84=0,0,0,0,0,0,0 +units=m +no_defs </t>
  </si>
  <si>
    <t>PROJCS["NAD83(NSRS2007) / Alabama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30.5],PARAMETER["central_meridian",-85.83333333333333],PARAMETER["scale_factor",0.99996],PARAMETER["false_easting",200000],PARAMETER["false_northing",0],UNIT["metre",1,AUTHORITY["EPSG","9001"]],AXIS["X",EAST],AXIS["Y",NORTH],AUTHORITY["EPSG","3465"]]</t>
  </si>
  <si>
    <t>PROJCS["NAD83(NSRS2007) / Alabama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-87.5],PARAMETER["scale_factor",0.999933333],PARAMETER["false_easting",600000],PARAMETER["false_northing",0],UNIT["metre",1,AUTHORITY["EPSG","9001"]],AXIS["X",EAST],AXIS["Y",NORTH],AUTHORITY["EPSG","3466"]]</t>
  </si>
  <si>
    <t>PROJCS["NAD83(NSRS2007) / Alaska Albers",GEOGCS["NAD83(NSRS2007)",DATUM["NAD83_National_Spatial_Reference_System_2007",SPHEROID["GRS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55],PARAMETER["standard_parallel_2",65],PARAMETER["latitude_of_center",50],PARAMETER["longitude_of_center",-154],PARAMETER["false_easting",0],PARAMETER["false_northing",0],UNIT["metre",1,AUTHORITY["EPSG","9001"]],AXIS["X",EAST],AXIS["Y",NORTH],AUTHORITY["EPSG","3467"]]</t>
  </si>
  <si>
    <t xml:space="preserve">+proj=aea +lat_1=55 +lat_2=65 +lat_0=50 +lon_0=-154 +x_0=0 +y_0=0 +ellps=GRS80 +towgs84=0,0,0,0,0,0,0 +units=m +no_defs </t>
  </si>
  <si>
    <t>PROJCS["NAD83(NSRS2007) / Alaska zone 1",GEOGCS["NAD83(NSRS2007)",DATUM["NAD83_National_Spatial_Reference_System_2007",SPHEROID["GRS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Hotine_Oblique_Mercator"],PARAMETER["latitude_of_center",57],PARAMETER["longitude_of_center",-133.6666666666667],PARAMETER["azimuth",323.1301023611111],PARAMETER["rectified_grid_angle",323.1301023611111],PARAMETER["scale_factor",0.9999],PARAMETER["false_easting",5000000],PARAMETER["false_northing",-5000000],UNIT["metre",1,AUTHORITY["EPSG","9001"]],AXIS["X",EAST],AXIS["Y",NORTH],AUTHORITY["EPSG","3468"]]</t>
  </si>
  <si>
    <t xml:space="preserve">+proj=omerc +lat_0=57 +lonc=-133.6666666666667 +alpha=323.1301023611111 +k=0.9999 +x_0=5000000 +y_0=-5000000 +no_uoff +gamma=323.1301023611111 +ellps=GRS80 +towgs84=0,0,0,0,0,0,0 +units=m +no_defs </t>
  </si>
  <si>
    <t>PROJCS["NAD83(NSRS2007) / Alaska zone 2",GEOGCS["NAD83(NSRS2007)",DATUM["NAD83_National_Spatial_Reference_System_2007",SPHEROID["GRS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-142],PARAMETER["scale_factor",0.9999],PARAMETER["false_easting",500000],PARAMETER["false_northing",0],UNIT["metre",1,AUTHORITY["EPSG","9001"]],AXIS["X",EAST],AXIS["Y",NORTH],AUTHORITY["EPSG","3469"]]</t>
  </si>
  <si>
    <t xml:space="preserve">+proj=tmerc +lat_0=54 +lon_0=-142 +k=0.9999 +x_0=500000 +y_0=0 +ellps=GRS80 +towgs84=0,0,0,0,0,0,0 +units=m +no_defs </t>
  </si>
  <si>
    <t>PROJCS["NAD83(NSRS2007) / Alaska zone 3",GEOGCS["NAD83(NSRS2007)",DATUM["NAD83_National_Spatial_Reference_System_2007",SPHEROID["GRS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-146],PARAMETER["scale_factor",0.9999],PARAMETER["false_easting",500000],PARAMETER["false_northing",0],UNIT["metre",1,AUTHORITY["EPSG","9001"]],AXIS["X",EAST],AXIS["Y",NORTH],AUTHORITY["EPSG","3470"]]</t>
  </si>
  <si>
    <t xml:space="preserve">+proj=tmerc +lat_0=54 +lon_0=-146 +k=0.9999 +x_0=500000 +y_0=0 +ellps=GRS80 +towgs84=0,0,0,0,0,0,0 +units=m +no_defs </t>
  </si>
  <si>
    <t>PROJCS["NAD83(NSRS2007) / Alaska zone 4",GEOGCS["NAD83(NSRS2007)",DATUM["NAD83_National_Spatial_Reference_System_2007",SPHEROID["GRS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-150],PARAMETER["scale_factor",0.9999],PARAMETER["false_easting",500000],PARAMETER["false_northing",0],UNIT["metre",1,AUTHORITY["EPSG","9001"]],AXIS["X",EAST],AXIS["Y",NORTH],AUTHORITY["EPSG","3471"]]</t>
  </si>
  <si>
    <t xml:space="preserve">+proj=tmerc +lat_0=54 +lon_0=-150 +k=0.9999 +x_0=500000 +y_0=0 +ellps=GRS80 +towgs84=0,0,0,0,0,0,0 +units=m +no_defs </t>
  </si>
  <si>
    <t>PROJCS["NAD83(NSRS2007) / Alaska zone 5",GEOGCS["NAD83(NSRS2007)",DATUM["NAD83_National_Spatial_Reference_System_2007",SPHEROID["GRS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-154],PARAMETER["scale_factor",0.9999],PARAMETER["false_easting",500000],PARAMETER["false_northing",0],UNIT["metre",1,AUTHORITY["EPSG","9001"]],AXIS["X",EAST],AXIS["Y",NORTH],AUTHORITY["EPSG","3472"]]</t>
  </si>
  <si>
    <t xml:space="preserve">+proj=tmerc +lat_0=54 +lon_0=-154 +k=0.9999 +x_0=500000 +y_0=0 +ellps=GRS80 +towgs84=0,0,0,0,0,0,0 +units=m +no_defs </t>
  </si>
  <si>
    <t>PROJCS["NAD83(NSRS2007) / Alaska zone 6",GEOGCS["NAD83(NSRS2007)",DATUM["NAD83_National_Spatial_Reference_System_2007",SPHEROID["GRS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-158],PARAMETER["scale_factor",0.9999],PARAMETER["false_easting",500000],PARAMETER["false_northing",0],UNIT["metre",1,AUTHORITY["EPSG","9001"]],AXIS["X",EAST],AXIS["Y",NORTH],AUTHORITY["EPSG","3473"]]</t>
  </si>
  <si>
    <t xml:space="preserve">+proj=tmerc +lat_0=54 +lon_0=-158 +k=0.9999 +x_0=500000 +y_0=0 +ellps=GRS80 +towgs84=0,0,0,0,0,0,0 +units=m +no_defs </t>
  </si>
  <si>
    <t>PROJCS["NAD83(NSRS2007) / Alaska zone 7",GEOGCS["NAD83(NSRS2007)",DATUM["NAD83_National_Spatial_Reference_System_2007",SPHEROID["GRS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-162],PARAMETER["scale_factor",0.9999],PARAMETER["false_easting",500000],PARAMETER["false_northing",0],UNIT["metre",1,AUTHORITY["EPSG","9001"]],AXIS["X",EAST],AXIS["Y",NORTH],AUTHORITY["EPSG","3474"]]</t>
  </si>
  <si>
    <t xml:space="preserve">+proj=tmerc +lat_0=54 +lon_0=-162 +k=0.9999 +x_0=500000 +y_0=0 +ellps=GRS80 +towgs84=0,0,0,0,0,0,0 +units=m +no_defs </t>
  </si>
  <si>
    <t>PROJCS["NAD83(NSRS2007) / Alaska zone 8",GEOGCS["NAD83(NSRS2007)",DATUM["NAD83_National_Spatial_Reference_System_2007",SPHEROID["GRS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-166],PARAMETER["scale_factor",0.9999],PARAMETER["false_easting",500000],PARAMETER["false_northing",0],UNIT["metre",1,AUTHORITY["EPSG","9001"]],AXIS["X",EAST],AXIS["Y",NORTH],AUTHORITY["EPSG","3475"]]</t>
  </si>
  <si>
    <t xml:space="preserve">+proj=tmerc +lat_0=54 +lon_0=-166 +k=0.9999 +x_0=500000 +y_0=0 +ellps=GRS80 +towgs84=0,0,0,0,0,0,0 +units=m +no_defs </t>
  </si>
  <si>
    <t>PROJCS["NAD83(NSRS2007) / Alaska zone 9",GEOGCS["NAD83(NSRS2007)",DATUM["NAD83_National_Spatial_Reference_System_2007",SPHEROID["GRS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54],PARAMETER["central_meridian",-170],PARAMETER["scale_factor",0.9999],PARAMETER["false_easting",500000],PARAMETER["false_northing",0],UNIT["metre",1,AUTHORITY["EPSG","9001"]],AXIS["X",EAST],AXIS["Y",NORTH],AUTHORITY["EPSG","3476"]]</t>
  </si>
  <si>
    <t xml:space="preserve">+proj=tmerc +lat_0=54 +lon_0=-170 +k=0.9999 +x_0=500000 +y_0=0 +ellps=GRS80 +towgs84=0,0,0,0,0,0,0 +units=m +no_defs </t>
  </si>
  <si>
    <t>PROJCS["NAD83(NSRS2007) / Alaska zone 10",GEOGCS["NAD83(NSRS2007)",DATUM["NAD83_National_Spatial_Reference_System_2007",SPHEROID["GRS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53.83333333333334],PARAMETER["standard_parallel_2",51.83333333333334],PARAMETER["latitude_of_origin",51],PARAMETER["central_meridian",-176],PARAMETER["false_easting",1000000],PARAMETER["false_northing",0],UNIT["metre",1,AUTHORITY["EPSG","9001"]],AXIS["X",EAST],AXIS["Y",NORTH],AUTHORITY["EPSG","3477"]]</t>
  </si>
  <si>
    <t xml:space="preserve">+proj=lcc +lat_1=53.83333333333334 +lat_2=51.83333333333334 +lat_0=51 +lon_0=-176 +x_0=1000000 +y_0=0 +ellps=GRS80 +towgs84=0,0,0,0,0,0,0 +units=m +no_defs </t>
  </si>
  <si>
    <t>PROJCS["NAD83(NSRS2007) / Arizona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-111.9166666666667],PARAMETER["scale_factor",0.9999],PARAMETER["false_easting",213360],PARAMETER["false_northing",0],UNIT["metre",1,AUTHORITY["EPSG","9001"]],AXIS["X",EAST],AXIS["Y",NORTH],AUTHORITY["EPSG","3478"]]</t>
  </si>
  <si>
    <t>PROJCS["NAD83(NSRS2007) / Arizona Central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-111.9166666666667],PARAMETER["scale_factor",0.9999],PARAMETER["false_easting",700000],PARAMETER["false_northing",0],UNIT["foot",0.3048,AUTHORITY["EPSG","9002"]],AXIS["X",EAST],AXIS["Y",NORTH],AUTHORITY["EPSG","3479"]]</t>
  </si>
  <si>
    <t>PROJCS["NAD83(NSRS2007) / Arizona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-110.1666666666667],PARAMETER["scale_factor",0.9999],PARAMETER["false_easting",213360],PARAMETER["false_northing",0],UNIT["metre",1,AUTHORITY["EPSG","9001"]],AXIS["X",EAST],AXIS["Y",NORTH],AUTHORITY["EPSG","3480"]]</t>
  </si>
  <si>
    <t>PROJCS["NAD83(NSRS2007) / Arizona East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-110.1666666666667],PARAMETER["scale_factor",0.9999],PARAMETER["false_easting",700000],PARAMETER["false_northing",0],UNIT["foot",0.3048,AUTHORITY["EPSG","9002"]],AXIS["X",EAST],AXIS["Y",NORTH],AUTHORITY["EPSG","3481"]]</t>
  </si>
  <si>
    <t>PROJCS["NAD83(NSRS2007) / Arizona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-113.75],PARAMETER["scale_factor",0.999933333],PARAMETER["false_easting",213360],PARAMETER["false_northing",0],UNIT["metre",1,AUTHORITY["EPSG","9001"]],AXIS["X",EAST],AXIS["Y",NORTH],AUTHORITY["EPSG","3482"]]</t>
  </si>
  <si>
    <t>PROJCS["NAD83(NSRS2007) / Arizona West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-113.75],PARAMETER["scale_factor",0.999933333],PARAMETER["false_easting",700000],PARAMETER["false_northing",0],UNIT["foot",0.3048,AUTHORITY["EPSG","9002"]],AXIS["X",EAST],AXIS["Y",NORTH],AUTHORITY["EPSG","3483"]]</t>
  </si>
  <si>
    <t>PROJCS["NAD83(NSRS2007) / Arkansas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36.23333333333333],PARAMETER["standard_parallel_2",34.93333333333333],PARAMETER["latitude_of_origin",34.33333333333334],PARAMETER["central_meridian",-92],PARAMETER["false_easting",400000],PARAMETER["false_northing",0],UNIT["metre",1,AUTHORITY["EPSG","9001"]],AXIS["X",EAST],AXIS["Y",NORTH],AUTHORITY["EPSG","3484"]]</t>
  </si>
  <si>
    <t>PROJCS["NAD83(NSRS2007) / Arkansas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36.23333333333333],PARAMETER["standard_parallel_2",34.93333333333333],PARAMETER["latitude_of_origin",34.33333333333334],PARAMETER["central_meridian",-92],PARAMETER["false_easting",1312333.3333],PARAMETER["false_northing",0],UNIT["US survey foot",0.3048006096012192,AUTHORITY["EPSG","9003"]],AXIS["X",EAST],AXIS["Y",NORTH],AUTHORITY["EPSG","3485"]]</t>
  </si>
  <si>
    <t>PROJCS["NAD83(NSRS2007) / Arkansas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34.76666666666667],PARAMETER["standard_parallel_2",33.3],PARAMETER["latitude_of_origin",32.66666666666666],PARAMETER["central_meridian",-92],PARAMETER["false_easting",400000],PARAMETER["false_northing",400000],UNIT["metre",1,AUTHORITY["EPSG","9001"]],AXIS["X",EAST],AXIS["Y",NORTH],AUTHORITY["EPSG","3486"]]</t>
  </si>
  <si>
    <t>PROJCS["NAD83(NSRS2007) / Arkansas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34.76666666666667],PARAMETER["standard_parallel_2",33.3],PARAMETER["latitude_of_origin",32.66666666666666],PARAMETER["central_meridian",-92],PARAMETER["false_easting",1312333.3333],PARAMETER["false_northing",1312333.3333],UNIT["US survey foot",0.3048006096012192,AUTHORITY["EPSG","9003"]],AXIS["X",EAST],AXIS["Y",NORTH],AUTHORITY["EPSG","3487"]]</t>
  </si>
  <si>
    <t>PROJCS["NAD83(NSRS2007) / California Albers",GEOGCS["NAD83(NSRS2007)",DATUM["NAD83_National_Spatial_Reference_System_2007",SPHEROID["GRS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3488"]]</t>
  </si>
  <si>
    <t>PROJCS["NAD83(NSRS2007) / California zone 1",GEOGCS["NAD83(NSRS2007)",DATUM["NAD83_National_Spatial_Reference_System_2007",SPHEROID["GRS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500000],UNIT["metre",1,AUTHORITY["EPSG","9001"]],AXIS["X",EAST],AXIS["Y",NORTH],AUTHORITY["EPSG","3489"]]</t>
  </si>
  <si>
    <t>GEOCCS["RGSPM06",DATUM["Reseau_Geodesique_de_Saint_Pierre_et_Miquelon_2006",SPHEROID["GRS 1980",6378137,298.257222101,AUTHORITY["EPSG","7019"]],AUTHORITY["EPSG","1038"]],PRIMEM["Greenwich",0,AUTHORITY["EPSG","8901"]],UNIT["metre",1,AUTHORITY["EPSG","9001"]],AXIS["Geocentric X",OTHER],AXIS["Geocentric Y",OTHER],AXIS["Geocentric Z",NORTH],AUTHORITY["EPSG","4465"]]</t>
  </si>
  <si>
    <t>PROJCS["NAD83(NSRS2007) / California zone 1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41.66666666666666],PARAMETER["standard_parallel_2",40],PARAMETER["latitude_of_origin",39.33333333333334],PARAMETER["central_meridian",-122],PARAMETER["false_easting",6561666.667],PARAMETER["false_northing",1640416.667],UNIT["US survey foot",0.3048006096012192,AUTHORITY["EPSG","9003"]],AXIS["X",EAST],AXIS["Y",NORTH],AUTHORITY["EPSG","3490"]]</t>
  </si>
  <si>
    <t>PROJCS["NAD83(NSRS2007) / California zone 2",GEOGCS["NAD83(NSRS2007)",DATUM["NAD83_National_Spatial_Reference_System_2007",SPHEROID["GRS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500000],UNIT["metre",1,AUTHORITY["EPSG","9001"]],AXIS["X",EAST],AXIS["Y",NORTH],AUTHORITY["EPSG","3491"]]</t>
  </si>
  <si>
    <t>PROJCS["NAD83(NSRS2007) / California zone 2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39.83333333333334],PARAMETER["standard_parallel_2",38.33333333333334],PARAMETER["latitude_of_origin",37.66666666666666],PARAMETER["central_meridian",-122],PARAMETER["false_easting",6561666.667],PARAMETER["false_northing",1640416.667],UNIT["US survey foot",0.3048006096012192,AUTHORITY["EPSG","9003"]],AXIS["X",EAST],AXIS["Y",NORTH],AUTHORITY["EPSG","3492"]]</t>
  </si>
  <si>
    <t>PROJCS["NAD83(NSRS2007) / California zone 3",GEOGCS["NAD83(NSRS2007)",DATUM["NAD83_National_Spatial_Reference_System_2007",SPHEROID["GRS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500000],UNIT["metre",1,AUTHORITY["EPSG","9001"]],AXIS["X",EAST],AXIS["Y",NORTH],AUTHORITY["EPSG","3493"]]</t>
  </si>
  <si>
    <t>PROJCS["NAD83(NSRS2007) / California zone 3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38.43333333333333],PARAMETER["standard_parallel_2",37.06666666666667],PARAMETER["latitude_of_origin",36.5],PARAMETER["central_meridian",-120.5],PARAMETER["false_easting",6561666.667],PARAMETER["false_northing",1640416.667],UNIT["US survey foot",0.3048006096012192,AUTHORITY["EPSG","9003"]],AXIS["X",EAST],AXIS["Y",NORTH],AUTHORITY["EPSG","3494"]]</t>
  </si>
  <si>
    <t>PROJCS["NAD83(NSRS2007) / California zone 4",GEOGCS["NAD83(NSRS2007)",DATUM["NAD83_National_Spatial_Reference_System_2007",SPHEROID["GRS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37.25],PARAMETER["standard_parallel_2",36],PARAMETER["latitude_of_origin",35.33333333333334],PARAMETER["central_meridian",-119],PARAMETER["false_easting",2000000],PARAMETER["false_northing",500000],UNIT["metre",1,AUTHORITY["EPSG","9001"]],AXIS["X",EAST],AXIS["Y",NORTH],AUTHORITY["EPSG","3495"]]</t>
  </si>
  <si>
    <t>PROJCS["NAD83(NSRS2007) / California zone 4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37.25],PARAMETER["standard_parallel_2",36],PARAMETER["latitude_of_origin",35.33333333333334],PARAMETER["central_meridian",-119],PARAMETER["false_easting",6561666.667],PARAMETER["false_northing",1640416.667],UNIT["US survey foot",0.3048006096012192,AUTHORITY["EPSG","9003"]],AXIS["X",EAST],AXIS["Y",NORTH],AUTHORITY["EPSG","3496"]]</t>
  </si>
  <si>
    <t>PROJCS["NAD83(NSRS2007) / California zone 5",GEOGCS["NAD83(NSRS2007)",DATUM["NAD83_National_Spatial_Reference_System_2007",SPHEROID["GRS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500000],UNIT["metre",1,AUTHORITY["EPSG","9001"]],AXIS["X",EAST],AXIS["Y",NORTH],AUTHORITY["EPSG","3497"]]</t>
  </si>
  <si>
    <t>PROJCS["NAD83(NSRS2007) / California zone 5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35.46666666666667],PARAMETER["standard_parallel_2",34.03333333333333],PARAMETER["latitude_of_origin",33.5],PARAMETER["central_meridian",-118],PARAMETER["false_easting",6561666.667],PARAMETER["false_northing",1640416.667],UNIT["US survey foot",0.3048006096012192,AUTHORITY["EPSG","9003"]],AXIS["X",EAST],AXIS["Y",NORTH],AUTHORITY["EPSG","3498"]]</t>
  </si>
  <si>
    <t>PROJCS["NAD83(NSRS2007) / California zone 6",GEOGCS["NAD83(NSRS2007)",DATUM["NAD83_National_Spatial_Reference_System_2007",SPHEROID["GRS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500000],UNIT["metre",1,AUTHORITY["EPSG","9001"]],AXIS["X",EAST],AXIS["Y",NORTH],AUTHORITY["EPSG","3499"]]</t>
  </si>
  <si>
    <t>PROJCS["NAD83(NSRS2007) / California zone 6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33.88333333333333],PARAMETER["standard_parallel_2",32.78333333333333],PARAMETER["latitude_of_origin",32.16666666666666],PARAMETER["central_meridian",-116.25],PARAMETER["false_easting",6561666.667],PARAMETER["false_northing",1640416.667],UNIT["US survey foot",0.3048006096012192,AUTHORITY["EPSG","9003"]],AXIS["X",EAST],AXIS["Y",NORTH],AUTHORITY["EPSG","3500"]]</t>
  </si>
  <si>
    <t>PROJCS["NAD83(NSRS2007) / Colorado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39.75],PARAMETER["standard_parallel_2",38.45],PARAMETER["latitude_of_origin",37.83333333333334],PARAMETER["central_meridian",-105.5],PARAMETER["false_easting",914401.8289],PARAMETER["false_northing",304800.6096],UNIT["metre",1,AUTHORITY["EPSG","9001"]],AXIS["X",EAST],AXIS["Y",NORTH],AUTHORITY["EPSG","3501"]]</t>
  </si>
  <si>
    <t>PROJCS["NAD83(NSRS2007) / Colorado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39.75],PARAMETER["standard_parallel_2",38.45],PARAMETER["latitude_of_origin",37.83333333333334],PARAMETER["central_meridian",-105.5],PARAMETER["false_easting",3000000],PARAMETER["false_northing",1000000],UNIT["US survey foot",0.3048006096012192,AUTHORITY["EPSG","9003"]],AXIS["X",EAST],AXIS["Y",NORTH],AUTHORITY["EPSG","3502"]]</t>
  </si>
  <si>
    <t>PROJCS["NAD83(NSRS2007) / Colorado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40.78333333333333],PARAMETER["standard_parallel_2",39.71666666666667],PARAMETER["latitude_of_origin",39.33333333333334],PARAMETER["central_meridian",-105.5],PARAMETER["false_easting",914401.8289],PARAMETER["false_northing",304800.6096],UNIT["metre",1,AUTHORITY["EPSG","9001"]],AXIS["X",EAST],AXIS["Y",NORTH],AUTHORITY["EPSG","3503"]]</t>
  </si>
  <si>
    <t>PROJCS["NAD83(NSRS2007) / Colorado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40.78333333333333],PARAMETER["standard_parallel_2",39.71666666666667],PARAMETER["latitude_of_origin",39.33333333333334],PARAMETER["central_meridian",-105.5],PARAMETER["false_easting",3000000],PARAMETER["false_northing",1000000],UNIT["US survey foot",0.3048006096012192,AUTHORITY["EPSG","9003"]],AXIS["X",EAST],AXIS["Y",NORTH],AUTHORITY["EPSG","3504"]]</t>
  </si>
  <si>
    <t>PROJCS["NAD83(NSRS2007) / Florida GDL Albers",GEOGCS["NAD83(NSRS2007)",DATUM["NAD83_National_Spatial_Reference_System_2007",SPHEROID["GRS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24],PARAMETER["standard_parallel_2",31.5],PARAMETER["latitude_of_center",24],PARAMETER["longitude_of_center",-84],PARAMETER["false_easting",400000],PARAMETER["false_northing",0],UNIT["metre",1,AUTHORITY["EPSG","9001"]],AXIS["X",EAST],AXIS["Y",NORTH],AUTHORITY["EPSG","3513"]]</t>
  </si>
  <si>
    <t>PROJCS["NAD83(NSRS2007) / Colorado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38.43333333333333],PARAMETER["standard_parallel_2",37.23333333333333],PARAMETER["latitude_of_origin",36.66666666666666],PARAMETER["central_meridian",-105.5],PARAMETER["false_easting",914401.8289],PARAMETER["false_northing",304800.6096],UNIT["metre",1,AUTHORITY["EPSG","9001"]],AXIS["X",EAST],AXIS["Y",NORTH],AUTHORITY["EPSG","3505"]]</t>
  </si>
  <si>
    <t>PROJCS["NAD83(NSRS2007) / Colorado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38.43333333333333],PARAMETER["standard_parallel_2",37.23333333333333],PARAMETER["latitude_of_origin",36.66666666666666],PARAMETER["central_meridian",-105.5],PARAMETER["false_easting",3000000],PARAMETER["false_northing",1000000],UNIT["US survey foot",0.3048006096012192,AUTHORITY["EPSG","9003"]],AXIS["X",EAST],AXIS["Y",NORTH],AUTHORITY["EPSG","3506"]]</t>
  </si>
  <si>
    <t>PROJCS["NAD83(NSRS2007) / Connecticut",GEOGCS["NAD83(NSRS2007)",DATUM["NAD83_National_Spatial_Reference_System_2007",SPHEROID["GRS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41.86666666666667],PARAMETER["standard_parallel_2",41.2],PARAMETER["latitude_of_origin",40.83333333333334],PARAMETER["central_meridian",-72.75],PARAMETER["false_easting",304800.6096],PARAMETER["false_northing",152400.3048],UNIT["metre",1,AUTHORITY["EPSG","9001"]],AXIS["X",EAST],AXIS["Y",NORTH],AUTHORITY["EPSG","3507"]]</t>
  </si>
  <si>
    <t>PROJCS["NAD83(NSRS2007) / Connecticut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41.86666666666667],PARAMETER["standard_parallel_2",41.2],PARAMETER["latitude_of_origin",40.83333333333334],PARAMETER["central_meridian",-72.75],PARAMETER["false_easting",1000000],PARAMETER["false_northing",500000],UNIT["US survey foot",0.3048006096012192,AUTHORITY["EPSG","9003"]],AXIS["X",EAST],AXIS["Y",NORTH],AUTHORITY["EPSG","3508"]]</t>
  </si>
  <si>
    <t>PROJCS["NAD83(NSRS2007) / Delaware",GEOGCS["NAD83(NSRS2007)",DATUM["NAD83_National_Spatial_Reference_System_2007",SPHEROID["GRS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38],PARAMETER["central_meridian",-75.41666666666667],PARAMETER["scale_factor",0.999995],PARAMETER["false_easting",200000],PARAMETER["false_northing",0],UNIT["metre",1,AUTHORITY["EPSG","9001"]],AXIS["X",EAST],AXIS["Y",NORTH],AUTHORITY["EPSG","3509"]]</t>
  </si>
  <si>
    <t>PROJCS["NAD83(NSRS2007) / Delaware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38],PARAMETER["central_meridian",-75.41666666666667],PARAMETER["scale_factor",0.999995],PARAMETER["false_easting",656166.667],PARAMETER["false_northing",0],UNIT["US survey foot",0.3048006096012192,AUTHORITY["EPSG","9003"]],AXIS["X",EAST],AXIS["Y",NORTH],AUTHORITY["EPSG","3510"]]</t>
  </si>
  <si>
    <t>PROJCS["NAD83(NSRS2007) / Florida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24.33333333333333],PARAMETER["central_meridian",-81],PARAMETER["scale_factor",0.999941177],PARAMETER["false_easting",200000],PARAMETER["false_northing",0],UNIT["metre",1,AUTHORITY["EPSG","9001"]],AXIS["X",EAST],AXIS["Y",NORTH],AUTHORITY["EPSG","3511"]]</t>
  </si>
  <si>
    <t>PROJCS["NAD83(NSRS2007) / Florida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24.33333333333333],PARAMETER["central_meridian",-81],PARAMETER["scale_factor",0.999941177],PARAMETER["false_easting",656166.667],PARAMETER["false_northing",0],UNIT["US survey foot",0.3048006096012192,AUTHORITY["EPSG","9003"]],AXIS["X",EAST],AXIS["Y",NORTH],AUTHORITY["EPSG","3512"]]</t>
  </si>
  <si>
    <t>GEOCCS["RGM04",DATUM["Reseau_Geodesique_de_Mayotte_2004",SPHEROID["GRS 1980",6378137,298.257222101,AUTHORITY["EPSG","7019"]],AUTHORITY["EPSG","1036"]],PRIMEM["Greenwich",0,AUTHORITY["EPSG","8901"]],UNIT["metre",1,AUTHORITY["EPSG","9001"]],AXIS["Geocentric X",OTHER],AXIS["Geocentric Y",OTHER],AXIS["Geocentric Z",NORTH],AUTHORITY["EPSG","4468"]]</t>
  </si>
  <si>
    <t>PROJCS["NAD83(NSRS2007) / Florida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30.75],PARAMETER["standard_parallel_2",29.58333333333333],PARAMETER["latitude_of_origin",29],PARAMETER["central_meridian",-84.5],PARAMETER["false_easting",600000],PARAMETER["false_northing",0],UNIT["metre",1,AUTHORITY["EPSG","9001"]],AXIS["X",EAST],AXIS["Y",NORTH],AUTHORITY["EPSG","3514"]]</t>
  </si>
  <si>
    <t>PROJCS["NAD83(NSRS2007) / Florida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30.75],PARAMETER["standard_parallel_2",29.58333333333333],PARAMETER["latitude_of_origin",29],PARAMETER["central_meridian",-84.5],PARAMETER["false_easting",1968500],PARAMETER["false_northing",0],UNIT["US survey foot",0.3048006096012192,AUTHORITY["EPSG","9003"]],AXIS["X",EAST],AXIS["Y",NORTH],AUTHORITY["EPSG","3515"]]</t>
  </si>
  <si>
    <t>PROJCS["NAD83(NSRS2007) / Florida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24.33333333333333],PARAMETER["central_meridian",-82],PARAMETER["scale_factor",0.999941177],PARAMETER["false_easting",200000],PARAMETER["false_northing",0],UNIT["metre",1,AUTHORITY["EPSG","9001"]],AXIS["X",EAST],AXIS["Y",NORTH],AUTHORITY["EPSG","3516"]]</t>
  </si>
  <si>
    <t>PROJCS["NAD83(NSRS2007) / Florida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24.33333333333333],PARAMETER["central_meridian",-82],PARAMETER["scale_factor",0.999941177],PARAMETER["false_easting",656166.667],PARAMETER["false_northing",0],UNIT["US survey foot",0.3048006096012192,AUTHORITY["EPSG","9003"]],AXIS["X",EAST],AXIS["Y",NORTH],AUTHORITY["EPSG","3517"]]</t>
  </si>
  <si>
    <t>PROJCS["NAD83(NSRS2007) / Georgia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-82.16666666666667],PARAMETER["scale_factor",0.9999],PARAMETER["false_easting",200000],PARAMETER["false_northing",0],UNIT["metre",1,AUTHORITY["EPSG","9001"]],AXIS["X",EAST],AXIS["Y",NORTH],AUTHORITY["EPSG","3518"]]</t>
  </si>
  <si>
    <t>PROJCS["NAD83(NSRS2007) / Georgia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-82.16666666666667],PARAMETER["scale_factor",0.9999],PARAMETER["false_easting",656166.667],PARAMETER["false_northing",0],UNIT["US survey foot",0.3048006096012192,AUTHORITY["EPSG","9003"]],AXIS["X",EAST],AXIS["Y",NORTH],AUTHORITY["EPSG","3519"]]</t>
  </si>
  <si>
    <t>PROJCS["NAD83(NSRS2007) / Georgia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-84.16666666666667],PARAMETER["scale_factor",0.9999],PARAMETER["false_easting",700000],PARAMETER["false_northing",0],UNIT["metre",1,AUTHORITY["EPSG","9001"]],AXIS["X",EAST],AXIS["Y",NORTH],AUTHORITY["EPSG","3520"]]</t>
  </si>
  <si>
    <t>PROJCS["NAD83(NSRS2007) / Georgia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30],PARAMETER["central_meridian",-84.16666666666667],PARAMETER["scale_factor",0.9999],PARAMETER["false_easting",2296583.333],PARAMETER["false_northing",0],UNIT["US survey foot",0.3048006096012192,AUTHORITY["EPSG","9003"]],AXIS["X",EAST],AXIS["Y",NORTH],AUTHORITY["EPSG","3521"]]</t>
  </si>
  <si>
    <t>PROJCS["NAD83(NSRS2007) / Maine CS2000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43.5],PARAMETER["central_meridian",-69.125],PARAMETER["scale_factor",0.99998],PARAMETER["false_easting",500000],PARAMETER["false_northing",0],UNIT["metre",1,AUTHORITY["EPSG","9001"]],AXIS["X",EAST],AXIS["Y",NORTH],AUTHORITY["EPSG","3554"]]</t>
  </si>
  <si>
    <t>PROJCS["NAD83(NSRS2007) / Idaho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-114],PARAMETER["scale_factor",0.999947368],PARAMETER["false_easting",500000],PARAMETER["false_northing",0],UNIT["metre",1,AUTHORITY["EPSG","9001"]],AXIS["X",EAST],AXIS["Y",NORTH],AUTHORITY["EPSG","3522"]]</t>
  </si>
  <si>
    <t>PROJCS["NAD83(NSRS2007) / Idaho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-114],PARAMETER["scale_factor",0.999947368],PARAMETER["false_easting",1640416.667],PARAMETER["false_northing",0],UNIT["US survey foot",0.3048006096012192,AUTHORITY["EPSG","9003"]],AXIS["X",EAST],AXIS["Y",NORTH],AUTHORITY["EPSG","3523"]]</t>
  </si>
  <si>
    <t>PROJCS["NAD83(NSRS2007) / Idaho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-112.1666666666667],PARAMETER["scale_factor",0.999947368],PARAMETER["false_easting",200000],PARAMETER["false_northing",0],UNIT["metre",1,AUTHORITY["EPSG","9001"]],AXIS["X",EAST],AXIS["Y",NORTH],AUTHORITY["EPSG","3524"]]</t>
  </si>
  <si>
    <t>PROJCS["NAD83(NSRS2007) / Idaho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-112.1666666666667],PARAMETER["scale_factor",0.999947368],PARAMETER["false_easting",656166.667],PARAMETER["false_northing",0],UNIT["US survey foot",0.3048006096012192,AUTHORITY["EPSG","9003"]],AXIS["X",EAST],AXIS["Y",NORTH],AUTHORITY["EPSG","3525"]]</t>
  </si>
  <si>
    <t>PROJCS["NAD83(NSRS2007) / Idaho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-115.75],PARAMETER["scale_factor",0.999933333],PARAMETER["false_easting",800000],PARAMETER["false_northing",0],UNIT["metre",1,AUTHORITY["EPSG","9001"]],AXIS["X",EAST],AXIS["Y",NORTH],AUTHORITY["EPSG","3526"]]</t>
  </si>
  <si>
    <t>PROJCS["NAD83(NSRS2007) / Idaho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41.66666666666666],PARAMETER["central_meridian",-115.75],PARAMETER["scale_factor",0.999933333],PARAMETER["false_easting",2624666.667],PARAMETER["false_northing",0],UNIT["US survey foot",0.3048006096012192,AUTHORITY["EPSG","9003"]],AXIS["X",EAST],AXIS["Y",NORTH],AUTHORITY["EPSG","3527"]]</t>
  </si>
  <si>
    <t>PROJCS["NAD83(NSRS2007) / Illinois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36.66666666666666],PARAMETER["central_meridian",-88.33333333333333],PARAMETER["scale_factor",0.999975],PARAMETER["false_easting",300000],PARAMETER["false_northing",0],UNIT["metre",1,AUTHORITY["EPSG","9001"]],AXIS["X",EAST],AXIS["Y",NORTH],AUTHORITY["EPSG","3528"]]</t>
  </si>
  <si>
    <t>PROJCS["NAD83(NSRS2007) / Illinois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36.66666666666666],PARAMETER["central_meridian",-88.33333333333333],PARAMETER["scale_factor",0.999975],PARAMETER["false_easting",984250.0000000002],PARAMETER["false_northing",0],UNIT["US survey foot",0.3048006096012192,AUTHORITY["EPSG","9003"]],AXIS["X",EAST],AXIS["Y",NORTH],AUTHORITY["EPSG","3529"]]</t>
  </si>
  <si>
    <t>PROJCS["WGS 84 / North Pole LAEA Bering Sea",GEOGCS["WGS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180],PARAMETER["false_easting",0],PARAMETER["false_northing",0],UNIT["metre",1,AUTHORITY["EPSG","9001"]],AXIS["X",EAST],AXIS["Y",NORTH],AUTHORITY["EPSG","3571"]]</t>
  </si>
  <si>
    <t>PROJCS["NAD83(NSRS2007) / Illinois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36.66666666666666],PARAMETER["central_meridian",-90.16666666666667],PARAMETER["scale_factor",0.999941177],PARAMETER["false_easting",700000],PARAMETER["false_northing",0],UNIT["metre",1,AUTHORITY["EPSG","9001"]],AXIS["X",EAST],AXIS["Y",NORTH],AUTHORITY["EPSG","3530"]]</t>
  </si>
  <si>
    <t>PROJCS["NAD83(NSRS2007) / Illinois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36.66666666666666],PARAMETER["central_meridian",-90.16666666666667],PARAMETER["scale_factor",0.999941177],PARAMETER["false_easting",2296583.333300001],PARAMETER["false_northing",0],UNIT["US survey foot",0.3048006096012192,AUTHORITY["EPSG","9003"]],AXIS["X",EAST],AXIS["Y",NORTH],AUTHORITY["EPSG","3531"]]</t>
  </si>
  <si>
    <t>PROJCS["NAD83(NSRS2007) / Indiana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37.5],PARAMETER["central_meridian",-85.66666666666667],PARAMETER["scale_factor",0.999966667],PARAMETER["false_easting",100000],PARAMETER["false_northing",250000],UNIT["metre",1,AUTHORITY["EPSG","9001"]],AXIS["X",EAST],AXIS["Y",NORTH],AUTHORITY["EPSG","3532"]]</t>
  </si>
  <si>
    <t>PROJCS["NAD83(NSRS2007) / Indiana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37.5],PARAMETER["central_meridian",-85.66666666666667],PARAMETER["scale_factor",0.999966667],PARAMETER["false_easting",328083.333],PARAMETER["false_northing",820208.3330000002],UNIT["US survey foot",0.3048006096012192,AUTHORITY["EPSG","9003"]],AXIS["X",EAST],AXIS["Y",NORTH],AUTHORITY["EPSG","3533"]]</t>
  </si>
  <si>
    <t>PROJCS["NAD83(NSRS2007) / Indiana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37.5],PARAMETER["central_meridian",-87.08333333333333],PARAMETER["scale_factor",0.999966667],PARAMETER["false_easting",900000],PARAMETER["false_northing",250000],UNIT["metre",1,AUTHORITY["EPSG","9001"]],AXIS["X",EAST],AXIS["Y",NORTH],AUTHORITY["EPSG","3534"]]</t>
  </si>
  <si>
    <t>PROJCS["NAD83(NSRS2007) / Indiana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37.5],PARAMETER["central_meridian",-87.08333333333333],PARAMETER["scale_factor",0.999966667],PARAMETER["false_easting",2952750],PARAMETER["false_northing",820208.3330000002],UNIT["US survey foot",0.3048006096012192,AUTHORITY["EPSG","9003"]],AXIS["X",EAST],AXIS["Y",NORTH],AUTHORITY["EPSG","3535"]]</t>
  </si>
  <si>
    <t>PROJCS["NAD83(NSRS2007) / Iowa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43.26666666666667],PARAMETER["standard_parallel_2",42.06666666666667],PARAMETER["latitude_of_origin",41.5],PARAMETER["central_meridian",-93.5],PARAMETER["false_easting",1500000],PARAMETER["false_northing",1000000],UNIT["metre",1,AUTHORITY["EPSG","9001"]],AXIS["X",EAST],AXIS["Y",NORTH],AUTHORITY["EPSG","3536"]]</t>
  </si>
  <si>
    <t>PROJCS["NAD83(NSRS2007) / Iowa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43.26666666666667],PARAMETER["standard_parallel_2",42.06666666666667],PARAMETER["latitude_of_origin",41.5],PARAMETER["central_meridian",-93.5],PARAMETER["false_easting",4921250],PARAMETER["false_northing",3280833.333300001],UNIT["US survey foot",0.3048006096012192,AUTHORITY["EPSG","9003"]],AXIS["X",EAST],AXIS["Y",NORTH],AUTHORITY["EPSG","3537"]]</t>
  </si>
  <si>
    <t>GEOCCS["Cadastre 1997",DATUM["Cadastre_1997",SPHEROID["International 1924",6378388,297,AUTHORITY["EPSG","7022"]],AUTHORITY["EPSG","1037"]],PRIMEM["Greenwich",0,AUTHORITY["EPSG","8901"]],UNIT["metre",1,AUTHORITY["EPSG","9001"]],AXIS["Geocentric X",OTHER],AXIS["Geocentric Y",OTHER],AXIS["Geocentric Z",NORTH],AUTHORITY["EPSG","4473"]]</t>
  </si>
  <si>
    <t>PROJCS["NAD83(NSRS2007) / Iowa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40.61666666666667],PARAMETER["latitude_of_origin",40],PARAMETER["central_meridian",-93.5],PARAMETER["false_easting",500000],PARAMETER["false_northing",0],UNIT["metre",1,AUTHORITY["EPSG","9001"]],AXIS["X",EAST],AXIS["Y",NORTH],AUTHORITY["EPSG","3538"]]</t>
  </si>
  <si>
    <t>PROJCS["NAD83(NSRS2007) / Iowa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40.61666666666667],PARAMETER["latitude_of_origin",40],PARAMETER["central_meridian",-93.5],PARAMETER["false_easting",1640416.6667],PARAMETER["false_northing",0],UNIT["US survey foot",0.3048006096012192,AUTHORITY["EPSG","9003"]],AXIS["X",EAST],AXIS["Y",NORTH],AUTHORITY["EPSG","3539"]]</t>
  </si>
  <si>
    <t>PROJCS["NAD83(NSRS2007) / Kansas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39.78333333333333],PARAMETER["standard_parallel_2",38.71666666666667],PARAMETER["latitude_of_origin",38.33333333333334],PARAMETER["central_meridian",-98],PARAMETER["false_easting",400000],PARAMETER["false_northing",0],UNIT["metre",1,AUTHORITY["EPSG","9001"]],AXIS["X",EAST],AXIS["Y",NORTH],AUTHORITY["EPSG","3540"]]</t>
  </si>
  <si>
    <t>PROJCS["NAD83(NSRS2007) / Kansas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39.78333333333333],PARAMETER["standard_parallel_2",38.71666666666667],PARAMETER["latitude_of_origin",38.33333333333334],PARAMETER["central_meridian",-98],PARAMETER["false_easting",1312333.3333],PARAMETER["false_northing",0],UNIT["US survey foot",0.3048006096012192,AUTHORITY["EPSG","9003"]],AXIS["X",EAST],AXIS["Y",NORTH],AUTHORITY["EPSG","3541"]]</t>
  </si>
  <si>
    <t>PROJCS["NAD83(NSRS2007) / Kansas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38.56666666666667],PARAMETER["standard_parallel_2",37.26666666666667],PARAMETER["latitude_of_origin",36.66666666666666],PARAMETER["central_meridian",-98.5],PARAMETER["false_easting",400000],PARAMETER["false_northing",400000],UNIT["metre",1,AUTHORITY["EPSG","9001"]],AXIS["X",EAST],AXIS["Y",NORTH],AUTHORITY["EPSG","3542"]]</t>
  </si>
  <si>
    <t>PROJCS["NAD83(NSRS2007) / Kansas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38.56666666666667],PARAMETER["standard_parallel_2",37.26666666666667],PARAMETER["latitude_of_origin",36.66666666666666],PARAMETER["central_meridian",-98.5],PARAMETER["false_easting",1312333.3333],PARAMETER["false_northing",1312333.3333],UNIT["US survey foot",0.3048006096012192,AUTHORITY["EPSG","9003"]],AXIS["X",EAST],AXIS["Y",NORTH],AUTHORITY["EPSG","3543"]]</t>
  </si>
  <si>
    <t>PROJCS["NAD83(NSRS2007) / Kentucky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37.96666666666667],PARAMETER["standard_parallel_2",38.96666666666667],PARAMETER["latitude_of_origin",37.5],PARAMETER["central_meridian",-84.25],PARAMETER["false_easting",500000],PARAMETER["false_northing",0],UNIT["metre",1,AUTHORITY["EPSG","9001"]],AXIS["X",EAST],AXIS["Y",NORTH],AUTHORITY["EPSG","3544"]]</t>
  </si>
  <si>
    <t>PROJCS["NAD83(NSRS2007) / Kentucky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37.96666666666667],PARAMETER["standard_parallel_2",38.96666666666667],PARAMETER["latitude_of_origin",37.5],PARAMETER["central_meridian",-84.25],PARAMETER["false_easting",1640416.667],PARAMETER["false_northing",0],UNIT["US survey foot",0.3048006096012192,AUTHORITY["EPSG","9003"]],AXIS["X",EAST],AXIS["Y",NORTH],AUTHORITY["EPSG","3545"]]</t>
  </si>
  <si>
    <t>PROJCS["NAD83(NSRS2007) / Kentucky Single Zone",GEOGCS["NAD83(NSRS2007)",DATUM["NAD83_National_Spatial_Reference_System_2007",SPHEROID["GRS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37.08333333333334],PARAMETER["standard_parallel_2",38.66666666666666],PARAMETER["latitude_of_origin",36.33333333333334],PARAMETER["central_meridian",-85.75],PARAMETER["false_easting",1500000],PARAMETER["false_northing",1000000],UNIT["metre",1,AUTHORITY["EPSG","9001"]],AXIS["X",EAST],AXIS["Y",NORTH],AUTHORITY["EPSG","3546"]]</t>
  </si>
  <si>
    <t>PROJCS["NAD83(NSRS2007) / Kentucky Single Zone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37.08333333333334],PARAMETER["standard_parallel_2",38.66666666666666],PARAMETER["latitude_of_origin",36.33333333333334],PARAMETER["central_meridian",-85.75],PARAMETER["false_easting",4921250],PARAMETER["false_northing",3280833.333],UNIT["US survey foot",0.3048006096012192,AUTHORITY["EPSG","9003"]],AXIS["X",EAST],AXIS["Y",NORTH],AUTHORITY["EPSG","3547"]]</t>
  </si>
  <si>
    <t>PROJCS["NAD83(NSRS2007) / Kentucky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37.93333333333333],PARAMETER["standard_parallel_2",36.73333333333333],PARAMETER["latitude_of_origin",36.33333333333334],PARAMETER["central_meridian",-85.75],PARAMETER["false_easting",500000],PARAMETER["false_northing",500000],UNIT["metre",1,AUTHORITY["EPSG","9001"]],AXIS["X",EAST],AXIS["Y",NORTH],AUTHORITY["EPSG","3548"]]</t>
  </si>
  <si>
    <t>PROJCS["NAD83(NSRS2007) / Kentucky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37.93333333333333],PARAMETER["standard_parallel_2",36.73333333333333],PARAMETER["latitude_of_origin",36.33333333333334],PARAMETER["central_meridian",-85.75],PARAMETER["false_easting",1640416.667],PARAMETER["false_northing",1640416.667],UNIT["US survey foot",0.3048006096012192,AUTHORITY["EPSG","9003"]],AXIS["X",EAST],AXIS["Y",NORTH],AUTHORITY["EPSG","3549"]]</t>
  </si>
  <si>
    <t>PROJCS["NAD83(NSRS2007) / Louisiana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32.66666666666666],PARAMETER["standard_parallel_2",31.16666666666667],PARAMETER["latitude_of_origin",30.5],PARAMETER["central_meridian",-92.5],PARAMETER["false_easting",1000000],PARAMETER["false_northing",0],UNIT["metre",1,AUTHORITY["EPSG","9001"]],AXIS["X",EAST],AXIS["Y",NORTH],AUTHORITY["EPSG","3550"]]</t>
  </si>
  <si>
    <t>PROJCS["NAD83(NSRS2007) / Louisiana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32.66666666666666],PARAMETER["standard_parallel_2",31.16666666666667],PARAMETER["latitude_of_origin",30.5],PARAMETER["central_meridian",-92.5],PARAMETER["false_easting",3280833.333300001],PARAMETER["false_northing",0],UNIT["US survey foot",0.3048006096012192,AUTHORITY["EPSG","9003"]],AXIS["X",EAST],AXIS["Y",NORTH],AUTHORITY["EPSG","3551"]]</t>
  </si>
  <si>
    <t>PROJCS["NAD83(NSRS2007) / Louisiana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30.7],PARAMETER["standard_parallel_2",29.3],PARAMETER["latitude_of_origin",28.5],PARAMETER["central_meridian",-91.33333333333333],PARAMETER["false_easting",1000000],PARAMETER["false_northing",0],UNIT["metre",1,AUTHORITY["EPSG","9001"]],AXIS["X",EAST],AXIS["Y",NORTH],AUTHORITY["EPSG","3552"]]</t>
  </si>
  <si>
    <t>PROJCS["NAD83(NSRS2007) / Louisiana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30.7],PARAMETER["standard_parallel_2",29.3],PARAMETER["latitude_of_origin",28.5],PARAMETER["central_meridian",-91.33333333333333],PARAMETER["false_easting",3280833.333300001],PARAMETER["false_northing",0],UNIT["US survey foot",0.3048006096012192,AUTHORITY["EPSG","9003"]],AXIS["X",EAST],AXIS["Y",NORTH],AUTHORITY["EPSG","3553"]]</t>
  </si>
  <si>
    <t>PROJCS["NAD83(NSRS2007) / Maine CS2000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43.83333333333334],PARAMETER["central_meridian",-67.875],PARAMETER["scale_factor",0.99998],PARAMETER["false_easting",700000],PARAMETER["false_northing",0],UNIT["metre",1,AUTHORITY["EPSG","9001"]],AXIS["X",EAST],AXIS["Y",NORTH],AUTHORITY["EPSG","3555"]]</t>
  </si>
  <si>
    <t>PROJCS["NAD83(NSRS2007) / Maine CS2000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42.83333333333334],PARAMETER["central_meridian",-70.375],PARAMETER["scale_factor",0.99998],PARAMETER["false_easting",300000],PARAMETER["false_northing",0],UNIT["metre",1,AUTHORITY["EPSG","9001"]],AXIS["X",EAST],AXIS["Y",NORTH],AUTHORITY["EPSG","3556"]]</t>
  </si>
  <si>
    <t>PROJCS["NAD83(NSRS2007) / Maine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3557"]]</t>
  </si>
  <si>
    <t>PROJCS["NAD83(NSRS2007) / Maine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3558"]]</t>
  </si>
  <si>
    <t>PROJCS["NAD83(NSRS2007) / Maryland",GEOGCS["NAD83(NSRS2007)",DATUM["NAD83_National_Spatial_Reference_System_2007",SPHEROID["GRS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39.45],PARAMETER["standard_parallel_2",38.3],PARAMETER["latitude_of_origin",37.66666666666666],PARAMETER["central_meridian",-77],PARAMETER["false_easting",400000],PARAMETER["false_northing",0],UNIT["metre",1,AUTHORITY["EPSG","9001"]],AXIS["X",EAST],AXIS["Y",NORTH],AUTHORITY["EPSG","3559"]]</t>
  </si>
  <si>
    <t>PROJCS["NAD83 / Utah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40.71666666666667],PARAMETER["latitude_of_origin",40.33333333333334],PARAMETER["central_meridian",-111.5],PARAMETER["false_easting",1640416.6667],PARAMETER["false_northing",3280833.333300001],UNIT["US survey foot",0.3048006096012192,AUTHORITY["EPSG","9003"]],AXIS["X",EAST],AXIS["Y",NORTH],AUTHORITY["EPSG","3560"]]</t>
  </si>
  <si>
    <t>PROJCS["Old Hawaiian / Hawaii zone 1",GEOGCS["Old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18.83333333333333],PARAMETER["central_meridian",-155.5],PARAMETER["scale_factor",0.999966667],PARAMETER["false_easting",500000],PARAMETER["false_northing",0],UNIT["US survey foot",0.3048006096012192,AUTHORITY["EPSG","9003"]],AXIS["X",EAST],AXIS["Y",NORTH],AUTHORITY["EPSG","3561"]]</t>
  </si>
  <si>
    <t xml:space="preserve">+proj=tmerc +lat_0=18.83333333333333 +lon_0=-155.5 +k=0.999966667 +x_0=152400.3048006096 +y_0=0 +ellps=clrk66 +towgs84=61,-285,-181,0,0,0,0 +units=us-ft +no_defs </t>
  </si>
  <si>
    <t>PROJCS["Old Hawaiian / Hawaii zone 2",GEOGCS["Old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20.33333333333333],PARAMETER["central_meridian",-156.6666666666667],PARAMETER["scale_factor",0.999966667],PARAMETER["false_easting",500000],PARAMETER["false_northing",0],UNIT["US survey foot",0.3048006096012192,AUTHORITY["EPSG","9003"]],AXIS["X",EAST],AXIS["Y",NORTH],AUTHORITY["EPSG","3562"]]</t>
  </si>
  <si>
    <t xml:space="preserve">+proj=tmerc +lat_0=20.33333333333333 +lon_0=-156.6666666666667 +k=0.999966667 +x_0=152400.3048006096 +y_0=0 +ellps=clrk66 +towgs84=61,-285,-181,0,0,0,0 +units=us-ft +no_defs </t>
  </si>
  <si>
    <t>PROJCS["WGS 84 / North Pole LAEA Alaska",GEOGCS["WGS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-150],PARAMETER["false_easting",0],PARAMETER["false_northing",0],UNIT["metre",1,AUTHORITY["EPSG","9001"]],AXIS["X",EAST],AXIS["Y",NORTH],AUTHORITY["EPSG","3572"]]</t>
  </si>
  <si>
    <t>PROJCS["Old Hawaiian / Hawaii zone 3",GEOGCS["Old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21.16666666666667],PARAMETER["central_meridian",-158],PARAMETER["scale_factor",0.99999],PARAMETER["false_easting",500000],PARAMETER["false_northing",0],UNIT["US survey foot",0.3048006096012192,AUTHORITY["EPSG","9003"]],AXIS["X",EAST],AXIS["Y",NORTH],AUTHORITY["EPSG","3563"]]</t>
  </si>
  <si>
    <t xml:space="preserve">+proj=tmerc +lat_0=21.16666666666667 +lon_0=-158 +k=0.99999 +x_0=152400.3048006096 +y_0=0 +ellps=clrk66 +towgs84=61,-285,-181,0,0,0,0 +units=us-ft +no_defs </t>
  </si>
  <si>
    <t>PROJCS["Old Hawaiian / Hawaii zone 4",GEOGCS["Old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21.83333333333333],PARAMETER["central_meridian",-159.5],PARAMETER["scale_factor",0.99999],PARAMETER["false_easting",500000],PARAMETER["false_northing",0],UNIT["US survey foot",0.3048006096012192,AUTHORITY["EPSG","9003"]],AXIS["X",EAST],AXIS["Y",NORTH],AUTHORITY["EPSG","3564"]]</t>
  </si>
  <si>
    <t xml:space="preserve">+proj=tmerc +lat_0=21.83333333333333 +lon_0=-159.5 +k=0.99999 +x_0=152400.3048006096 +y_0=0 +ellps=clrk66 +towgs84=61,-285,-181,0,0,0,0 +units=us-ft +no_defs </t>
  </si>
  <si>
    <t>PROJCS["Old Hawaiian / Hawaii zone 5",GEOGCS["Old Hawaiian",DATUM["Old_Hawaiian",SPHEROID["Clarke 1866",6378206.4,294.9786982138982,AUTHORITY["EPSG","7008"]],TOWGS84[61,-285,-181,0,0,0,0],AUTHORITY["EPSG","6135"]],PRIMEM["Greenwich",0,AUTHORITY["EPSG","8901"]],UNIT["degree",0.0174532925199433,AUTHORITY["EPSG","9122"]],AUTHORITY["EPSG","4135"]],PROJECTION["Transverse_Mercator"],PARAMETER["latitude_of_origin",21.66666666666667],PARAMETER["central_meridian",-160.1666666666667],PARAMETER["scale_factor",1],PARAMETER["false_easting",500000],PARAMETER["false_northing",0],UNIT["US survey foot",0.3048006096012192,AUTHORITY["EPSG","9003"]],AXIS["X",EAST],AXIS["Y",NORTH],AUTHORITY["EPSG","3565"]]</t>
  </si>
  <si>
    <t xml:space="preserve">+proj=tmerc +lat_0=21.66666666666667 +lon_0=-160.1666666666667 +k=1 +x_0=152400.3048006096 +y_0=0 +ellps=clrk66 +towgs84=61,-285,-181,0,0,0,0 +units=us-ft +no_defs </t>
  </si>
  <si>
    <t>PROJCS["NAD83 / Utah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40.65],PARAMETER["standard_parallel_2",39.01666666666667],PARAMETER["latitude_of_origin",38.33333333333334],PARAMETER["central_meridian",-111.5],PARAMETER["false_easting",1640416.6667],PARAMETER["false_northing",6561666.666700001],UNIT["US survey foot",0.3048006096012192,AUTHORITY["EPSG","9003"]],AXIS["X",EAST],AXIS["Y",NORTH],AUTHORITY["EPSG","3566"]]</t>
  </si>
  <si>
    <t>PROJCS["NAD83 / Utah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38.35],PARAMETER["standard_parallel_2",37.21666666666667],PARAMETER["latitude_of_origin",36.66666666666666],PARAMETER["central_meridian",-111.5],PARAMETER["false_easting",1640416.6667],PARAMETER["false_northing",9842500.000000002],UNIT["US survey foot",0.3048006096012192,AUTHORITY["EPSG","9003"]],AXIS["X",EAST],AXIS["Y",NORTH],AUTHORITY["EPSG","3567"]]</t>
  </si>
  <si>
    <t>PROJCS["NAD83(HARN) / Utah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41.78333333333333],PARAMETER["standard_parallel_2",40.71666666666667],PARAMETER["latitude_of_origin",40.33333333333334],PARAMETER["central_meridian",-111.5],PARAMETER["false_easting",1640416.6667],PARAMETER["false_northing",3280833.333300001],UNIT["US survey foot",0.3048006096012192,AUTHORITY["EPSG","9003"]],AXIS["X",EAST],AXIS["Y",NORTH],AUTHORITY["EPSG","3568"]]</t>
  </si>
  <si>
    <t xml:space="preserve">+proj=lcc +lat_1=41.78333333333333 +lat_2=40.71666666666667 +lat_0=40.33333333333334 +lon_0=-111.5 +x_0=500000.00001016 +y_0=999999.9999898402 +ellps=GRS80 +towgs84=0,0,0,0,0,0,0 +units=us-ft +no_defs </t>
  </si>
  <si>
    <t>PROJCS["NAD83(HARN) / Utah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40.65],PARAMETER["standard_parallel_2",39.01666666666667],PARAMETER["latitude_of_origin",38.33333333333334],PARAMETER["central_meridian",-111.5],PARAMETER["false_easting",1640416.6667],PARAMETER["false_northing",6561666.666700001],UNIT["US survey foot",0.3048006096012192,AUTHORITY["EPSG","9003"]],AXIS["X",EAST],AXIS["Y",NORTH],AUTHORITY["EPSG","3569"]]</t>
  </si>
  <si>
    <t xml:space="preserve">+proj=lcc +lat_1=40.65 +lat_2=39.01666666666667 +lat_0=38.33333333333334 +lon_0=-111.5 +x_0=500000.00001016 +y_0=2000000.00001016 +ellps=GRS80 +towgs84=0,0,0,0,0,0,0 +units=us-ft +no_defs </t>
  </si>
  <si>
    <t>PROJCS["NAD83(HARN) / Utah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38.35],PARAMETER["standard_parallel_2",37.21666666666667],PARAMETER["latitude_of_origin",36.66666666666666],PARAMETER["central_meridian",-111.5],PARAMETER["false_easting",1640416.6667],PARAMETER["false_northing",9842500.000000002],UNIT["US survey foot",0.3048006096012192,AUTHORITY["EPSG","9003"]],AXIS["X",EAST],AXIS["Y",NORTH],AUTHORITY["EPSG","3570"]]</t>
  </si>
  <si>
    <t xml:space="preserve">+proj=lcc +lat_1=38.35 +lat_2=37.21666666666667 +lat_0=36.66666666666666 +lon_0=-111.5 +x_0=500000.00001016 +y_0=3000000 +ellps=GRS80 +towgs84=0,0,0,0,0,0,0 +units=us-ft +no_defs </t>
  </si>
  <si>
    <t>PROJCS["GDA94 / Australian Albers",GEOGCS["GDA94",DATUM["Geocentric_Datum_of_Australia_1994",SPHEROID["GRS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Albers_Conic_Equal_Area"],PARAMETER["standard_parallel_1",-18],PARAMETER["standard_parallel_2",-36],PARAMETER["latitude_of_center",0],PARAMETER["longitude_of_center",132],PARAMETER["false_easting",0],PARAMETER["false_northing",0],UNIT["metre",1,AUTHORITY["EPSG","9001"]],AXIS["Easting",EAST],AXIS["Northing",NORTH],AUTHORITY["EPSG","3577"]]</t>
  </si>
  <si>
    <t xml:space="preserve">+proj=aea +lat_1=-18 +lat_2=-36 +lat_0=0 +lon_0=132 +x_0=0 +y_0=0 +ellps=GRS80 +towgs84=0,0,0,0,0,0,0 +units=m +no_defs </t>
  </si>
  <si>
    <t>PROJCS["NAD83 / Yukon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61.66666666666666],PARAMETER["standard_parallel_2",68],PARAMETER["latitude_of_center",59],PARAMETER["longitude_of_center",-132.5],PARAMETER["false_easting",500000],PARAMETER["false_northing",500000],UNIT["metre",1,AUTHORITY["EPSG","9001"]],AXIS["Easting",EAST],AXIS["Northing",NORTH],AUTHORITY["EPSG","3578"]]</t>
  </si>
  <si>
    <t>PROJCS["NAD83(CSRS) / Yukon Albers",GEOGCS["NAD83(CSRS)",DATUM["NAD83_Canadian_Spatial_Reference_System",SPHEROID["GRS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Albers_Conic_Equal_Area"],PARAMETER["standard_parallel_1",61.66666666666666],PARAMETER["standard_parallel_2",68],PARAMETER["latitude_of_center",59],PARAMETER["longitude_of_center",-132.5],PARAMETER["false_easting",500000],PARAMETER["false_northing",500000],UNIT["metre",1,AUTHORITY["EPSG","9001"]],AXIS["Easting",EAST],AXIS["Northing",NORTH],AUTHORITY["EPSG","3579"]]</t>
  </si>
  <si>
    <t xml:space="preserve">+proj=aea +lat_1=61.66666666666666 +lat_2=68 +lat_0=59 +lon_0=-132.5 +x_0=500000 +y_0=500000 +ellps=GRS80 +towgs84=0,0,0,0,0,0,0 +units=m +no_defs </t>
  </si>
  <si>
    <t>PROJCS["NAD83 / NWT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62],PARAMETER["standard_parallel_2",70],PARAMETER["latitude_of_origin",0],PARAMETER["central_meridian",-112],PARAMETER["false_easting",0],PARAMETER["false_northing",0],UNIT["metre",1,AUTHORITY["EPSG","9001"]],AXIS["Easting",EAST],AXIS["Northing",NORTH],AUTHORITY["EPSG","3580"]]</t>
  </si>
  <si>
    <t>PROJCS["NAD83(CSRS) / NWT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62],PARAMETER["standard_parallel_2",70],PARAMETER["latitude_of_origin",0],PARAMETER["central_meridian",-112],PARAMETER["false_easting",0],PARAMETER["false_northing",0],UNIT["metre",1,AUTHORITY["EPSG","9001"]],AXIS["Easting",EAST],AXIS["Northing",NORTH],AUTHORITY["EPSG","3581"]]</t>
  </si>
  <si>
    <t xml:space="preserve">+proj=lcc +lat_1=62 +lat_2=70 +lat_0=0 +lon_0=-112 +x_0=0 +y_0=0 +ellps=GRS80 +towgs84=0,0,0,0,0,0,0 +units=m +no_defs </t>
  </si>
  <si>
    <t>PROJCS["NAD83(NSRS2007) / Maryland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39.45],PARAMETER["standard_parallel_2",38.3],PARAMETER["latitude_of_origin",37.66666666666666],PARAMETER["central_meridian",-77],PARAMETER["false_easting",1312333.333],PARAMETER["false_northing",0],UNIT["US survey foot",0.3048006096012192,AUTHORITY["EPSG","9003"]],AXIS["X",EAST],AXIS["Y",NORTH],AUTHORITY["EPSG","3582"]]</t>
  </si>
  <si>
    <t>PROJCS["NAD83(NSRS2007) / Massachusetts Island",GEOGCS["NAD83(NSRS2007)",DATUM["NAD83_National_Spatial_Reference_System_2007",SPHEROID["GRS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41.48333333333333],PARAMETER["standard_parallel_2",41.28333333333333],PARAMETER["latitude_of_origin",41],PARAMETER["central_meridian",-70.5],PARAMETER["false_easting",500000],PARAMETER["false_northing",0],UNIT["metre",1,AUTHORITY["EPSG","9001"]],AXIS["X",EAST],AXIS["Y",NORTH],AUTHORITY["EPSG","3583"]]</t>
  </si>
  <si>
    <t>PROJCS["NAD83(NSRS2007) / Massachusetts Island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41.48333333333333],PARAMETER["standard_parallel_2",41.28333333333333],PARAMETER["latitude_of_origin",41],PARAMETER["central_meridian",-70.5],PARAMETER["false_easting",1640416.667],PARAMETER["false_northing",0],UNIT["US survey foot",0.3048006096012192,AUTHORITY["EPSG","9003"]],AXIS["X",EAST],AXIS["Y",NORTH],AUTHORITY["EPSG","3584"]]</t>
  </si>
  <si>
    <t>PROJCS["NAD83(NSRS2007) / UTM zone 2N",GEOGCS["NAD83(NSRS2007)",DATUM["NAD83_National_Spatial_Reference_System_2007",SPHEROID["GRS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3709"]]</t>
  </si>
  <si>
    <t xml:space="preserve">+proj=utm +zone=2 +ellps=GRS80 +towgs84=0,0,0,0,0,0,0 +units=m +no_defs </t>
  </si>
  <si>
    <t>PROJCS["NAD83(NSRS2007) / Massachusetts Mainland",GEOGCS["NAD83(NSRS2007)",DATUM["NAD83_National_Spatial_Reference_System_2007",SPHEROID["GRS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42.68333333333333],PARAMETER["standard_parallel_2",41.71666666666667],PARAMETER["latitude_of_origin",41],PARAMETER["central_meridian",-71.5],PARAMETER["false_easting",200000],PARAMETER["false_northing",750000],UNIT["metre",1,AUTHORITY["EPSG","9001"]],AXIS["X",EAST],AXIS["Y",NORTH],AUTHORITY["EPSG","3585"]]</t>
  </si>
  <si>
    <t>PROJCS["NAD83(NSRS2007) / Massachusetts Mainland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42.68333333333333],PARAMETER["standard_parallel_2",41.71666666666667],PARAMETER["latitude_of_origin",41],PARAMETER["central_meridian",-71.5],PARAMETER["false_easting",656166.667],PARAMETER["false_northing",2460625],UNIT["US survey foot",0.3048006096012192,AUTHORITY["EPSG","9003"]],AXIS["X",EAST],AXIS["Y",NORTH],AUTHORITY["EPSG","3586"]]</t>
  </si>
  <si>
    <t>PROJCS["NAD83(NSRS2007) / Michigan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45.7],PARAMETER["standard_parallel_2",44.18333333333333],PARAMETER["latitude_of_origin",43.31666666666667],PARAMETER["central_meridian",-84.36666666666666],PARAMETER["false_easting",6000000],PARAMETER["false_northing",0],UNIT["metre",1,AUTHORITY["EPSG","9001"]],AXIS["X",EAST],AXIS["Y",NORTH],AUTHORITY["EPSG","3587"]]</t>
  </si>
  <si>
    <t>PROJCS["NAD83(NSRS2007) / Michigan Central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45.7],PARAMETER["standard_parallel_2",44.18333333333333],PARAMETER["latitude_of_origin",43.31666666666667],PARAMETER["central_meridian",-84.36666666666666],PARAMETER["false_easting",19685039.37],PARAMETER["false_northing",0],UNIT["foot",0.3048,AUTHORITY["EPSG","9002"]],AXIS["X",EAST],AXIS["Y",NORTH],AUTHORITY["EPSG","3588"]]</t>
  </si>
  <si>
    <t>PROJCS["NAD83(NSRS2007) / Michigan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47.08333333333334],PARAMETER["standard_parallel_2",45.48333333333333],PARAMETER["latitude_of_origin",44.78333333333333],PARAMETER["central_meridian",-87],PARAMETER["false_easting",8000000],PARAMETER["false_northing",0],UNIT["metre",1,AUTHORITY["EPSG","9001"]],AXIS["X",EAST],AXIS["Y",NORTH],AUTHORITY["EPSG","3589"]]</t>
  </si>
  <si>
    <t>PROJCS["NAD83(NSRS2007) / Michigan North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47.08333333333334],PARAMETER["standard_parallel_2",45.48333333333333],PARAMETER["latitude_of_origin",44.78333333333333],PARAMETER["central_meridian",-87],PARAMETER["false_easting",26246719.16],PARAMETER["false_northing",0],UNIT["foot",0.3048,AUTHORITY["EPSG","9002"]],AXIS["X",EAST],AXIS["Y",NORTH],AUTHORITY["EPSG","3590"]]</t>
  </si>
  <si>
    <t>PROJCS["NAD83(NSRS2007) / Michigan Oblique Mercator",GEOGCS["NAD83(NSRS2007)",DATUM["NAD83_National_Spatial_Reference_System_2007",SPHEROID["GRS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Hotine_Oblique_Mercator"],PARAMETER["latitude_of_center",45.30916666666666],PARAMETER["longitude_of_center",-86],PARAMETER["azimuth",337.25556],PARAMETER["rectified_grid_angle",337.25556],PARAMETER["scale_factor",0.9996],PARAMETER["false_easting",2546731.496],PARAMETER["false_northing",-4354009.816],UNIT["metre",1,AUTHORITY["EPSG","9001"]],AXIS["X",EAST],AXIS["Y",NORTH],AUTHORITY["EPSG","3591"]]</t>
  </si>
  <si>
    <t>PROJCS["NAD83(NSRS2007) / Michigan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43.66666666666666],PARAMETER["standard_parallel_2",42.1],PARAMETER["latitude_of_origin",41.5],PARAMETER["central_meridian",-84.36666666666666],PARAMETER["false_easting",4000000],PARAMETER["false_northing",0],UNIT["metre",1,AUTHORITY["EPSG","9001"]],AXIS["X",EAST],AXIS["Y",NORTH],AUTHORITY["EPSG","3592"]]</t>
  </si>
  <si>
    <t>PROJCS["NAD83(NSRS2007) / Michigan South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43.66666666666666],PARAMETER["standard_parallel_2",42.1],PARAMETER["latitude_of_origin",41.5],PARAMETER["central_meridian",-84.36666666666666],PARAMETER["false_easting",13123359.58],PARAMETER["false_northing",0],UNIT["foot",0.3048,AUTHORITY["EPSG","9002"]],AXIS["X",EAST],AXIS["Y",NORTH],AUTHORITY["EPSG","3593"]]</t>
  </si>
  <si>
    <t>PROJCS["NAD83(NSRS2007) / Minnesota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47.05],PARAMETER["standard_parallel_2",45.61666666666667],PARAMETER["latitude_of_origin",45],PARAMETER["central_meridian",-94.25],PARAMETER["false_easting",800000],PARAMETER["false_northing",100000],UNIT["metre",1,AUTHORITY["EPSG","9001"]],AXIS["X",EAST],AXIS["Y",NORTH],AUTHORITY["EPSG","3594"]]</t>
  </si>
  <si>
    <t>PROJCS["NAD83(NSRS2007) / Minnesota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48.63333333333333],PARAMETER["standard_parallel_2",47.03333333333333],PARAMETER["latitude_of_origin",46.5],PARAMETER["central_meridian",-93.1],PARAMETER["false_easting",800000],PARAMETER["false_northing",100000],UNIT["metre",1,AUTHORITY["EPSG","9001"]],AXIS["X",EAST],AXIS["Y",NORTH],AUTHORITY["EPSG","3595"]]</t>
  </si>
  <si>
    <t>PROJCS["NAD83(NSRS2007) / Minnesota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45.21666666666667],PARAMETER["standard_parallel_2",43.78333333333333],PARAMETER["latitude_of_origin",43],PARAMETER["central_meridian",-94],PARAMETER["false_easting",800000],PARAMETER["false_northing",100000],UNIT["metre",1,AUTHORITY["EPSG","9001"]],AXIS["X",EAST],AXIS["Y",NORTH],AUTHORITY["EPSG","3596"]]</t>
  </si>
  <si>
    <t>PROJCS["NAD83(NSRS2007) / Mississippi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29.5],PARAMETER["central_meridian",-88.83333333333333],PARAMETER["scale_factor",0.99995],PARAMETER["false_easting",300000],PARAMETER["false_northing",0],UNIT["metre",1,AUTHORITY["EPSG","9001"]],AXIS["X",EAST],AXIS["Y",NORTH],AUTHORITY["EPSG","3597"]]</t>
  </si>
  <si>
    <t>PROJCS["NAD83(NSRS2007) / Mississippi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29.5],PARAMETER["central_meridian",-88.83333333333333],PARAMETER["scale_factor",0.99995],PARAMETER["false_easting",984250.0000000002],PARAMETER["false_northing",0],UNIT["US survey foot",0.3048006096012192,AUTHORITY["EPSG","9003"]],AXIS["X",EAST],AXIS["Y",NORTH],AUTHORITY["EPSG","3598"]]</t>
  </si>
  <si>
    <t>PROJCS["NAD83(NSRS2007) / Mississippi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29.5],PARAMETER["central_meridian",-90.33333333333333],PARAMETER["scale_factor",0.99995],PARAMETER["false_easting",700000],PARAMETER["false_northing",0],UNIT["metre",1,AUTHORITY["EPSG","9001"]],AXIS["X",EAST],AXIS["Y",NORTH],AUTHORITY["EPSG","3599"]]</t>
  </si>
  <si>
    <t>PROJCS["NAD83(NSRS2007) / Mississippi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29.5],PARAMETER["central_meridian",-90.33333333333333],PARAMETER["scale_factor",0.99995],PARAMETER["false_easting",2296583.333],PARAMETER["false_northing",0],UNIT["US survey foot",0.3048006096012192,AUTHORITY["EPSG","9003"]],AXIS["X",EAST],AXIS["Y",NORTH],AUTHORITY["EPSG","3600"]]</t>
  </si>
  <si>
    <t>GEOCCS["China Geodetic Coordinate System 2000",DATUM["China_2000",SPHEROID["CGCS2000",6378137,298.257222101,AUTHORITY["EPSG","1024"]],AUTHORITY["EPSG","1043"]],PRIMEM["Greenwich",0,AUTHORITY["EPSG","8901"]],UNIT["metre",1,AUTHORITY["EPSG","9001"]],AXIS["Geocentric X",OTHER],AXIS["Geocentric Y",OTHER],AXIS["Geocentric Z",NORTH],AUTHORITY["EPSG","4479"]]</t>
  </si>
  <si>
    <t>PROJCS["NAD83(NSRS2007) / Missouri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35.83333333333334],PARAMETER["central_meridian",-92.5],PARAMETER["scale_factor",0.999933333],PARAMETER["false_easting",500000],PARAMETER["false_northing",0],UNIT["metre",1,AUTHORITY["EPSG","9001"]],AXIS["X",EAST],AXIS["Y",NORTH],AUTHORITY["EPSG","3601"]]</t>
  </si>
  <si>
    <t>PROJCS["NAD83(NSRS2007) / Missouri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35.83333333333334],PARAMETER["central_meridian",-90.5],PARAMETER["scale_factor",0.999933333],PARAMETER["false_easting",250000],PARAMETER["false_northing",0],UNIT["metre",1,AUTHORITY["EPSG","9001"]],AXIS["X",EAST],AXIS["Y",NORTH],AUTHORITY["EPSG","3602"]]</t>
  </si>
  <si>
    <t>PROJCS["NAD83(NSRS2007) / Missouri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36.16666666666666],PARAMETER["central_meridian",-94.5],PARAMETER["scale_factor",0.999941177],PARAMETER["false_easting",850000],PARAMETER["false_northing",0],UNIT["metre",1,AUTHORITY["EPSG","9001"]],AXIS["X",EAST],AXIS["Y",NORTH],AUTHORITY["EPSG","3603"]]</t>
  </si>
  <si>
    <t>PROJCS["NAD83(NSRS2007) / Montana",GEOGCS["NAD83(NSRS2007)",DATUM["NAD83_National_Spatial_Reference_System_2007",SPHEROID["GRS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49],PARAMETER["standard_parallel_2",45],PARAMETER["latitude_of_origin",44.25],PARAMETER["central_meridian",-109.5],PARAMETER["false_easting",600000],PARAMETER["false_northing",0],UNIT["metre",1,AUTHORITY["EPSG","9001"]],AXIS["X",EAST],AXIS["Y",NORTH],AUTHORITY["EPSG","3604"]]</t>
  </si>
  <si>
    <t>PROJCS["NAD83(NSRS2007) / Montana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49],PARAMETER["standard_parallel_2",45],PARAMETER["latitude_of_origin",44.25],PARAMETER["central_meridian",-109.5],PARAMETER["false_easting",1968503.937],PARAMETER["false_northing",0],UNIT["foot",0.3048,AUTHORITY["EPSG","9002"]],AXIS["X",EAST],AXIS["Y",NORTH],AUTHORITY["EPSG","3605"]]</t>
  </si>
  <si>
    <t>PROJCS["NAD83(NSRS2007) / Nebraska",GEOGCS["NAD83(NSRS2007)",DATUM["NAD83_National_Spatial_Reference_System_2007",SPHEROID["GRS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40],PARAMETER["latitude_of_origin",39.83333333333334],PARAMETER["central_meridian",-100],PARAMETER["false_easting",500000],PARAMETER["false_northing",0],UNIT["metre",1,AUTHORITY["EPSG","9001"]],AXIS["X",EAST],AXIS["Y",NORTH],AUTHORITY["EPSG","3606"]]</t>
  </si>
  <si>
    <t>PROJCS["NAD83(NSRS2007) / Nevada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-116.6666666666667],PARAMETER["scale_factor",0.9999],PARAMETER["false_easting",500000],PARAMETER["false_northing",6000000],UNIT["metre",1,AUTHORITY["EPSG","9001"]],AXIS["X",EAST],AXIS["Y",NORTH],AUTHORITY["EPSG","3607"]]</t>
  </si>
  <si>
    <t>PROJCS["NAD83(NSRS2007) / Nevada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-116.6666666666667],PARAMETER["scale_factor",0.9999],PARAMETER["false_easting",1640416.6667],PARAMETER["false_northing",19685000],UNIT["US survey foot",0.3048006096012192,AUTHORITY["EPSG","9003"]],AXIS["X",EAST],AXIS["Y",NORTH],AUTHORITY["EPSG","3608"]]</t>
  </si>
  <si>
    <t>PROJCS["NAD83(NSRS2007) / Nevada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-115.5833333333333],PARAMETER["scale_factor",0.9999],PARAMETER["false_easting",200000],PARAMETER["false_northing",8000000],UNIT["metre",1,AUTHORITY["EPSG","9001"]],AXIS["X",EAST],AXIS["Y",NORTH],AUTHORITY["EPSG","3609"]]</t>
  </si>
  <si>
    <t>PROJCS["NAD83(NSRS2007) / Nevada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-115.5833333333333],PARAMETER["scale_factor",0.9999],PARAMETER["false_easting",656166.6667],PARAMETER["false_northing",26246666.66670001],UNIT["US survey foot",0.3048006096012192,AUTHORITY["EPSG","9003"]],AXIS["X",EAST],AXIS["Y",NORTH],AUTHORITY["EPSG","3610"]]</t>
  </si>
  <si>
    <t>PROJCS["NAD83(NSRS2007) / Nevada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-118.5833333333333],PARAMETER["scale_factor",0.9999],PARAMETER["false_easting",800000],PARAMETER["false_northing",4000000],UNIT["metre",1,AUTHORITY["EPSG","9001"]],AXIS["X",EAST],AXIS["Y",NORTH],AUTHORITY["EPSG","3611"]]</t>
  </si>
  <si>
    <t>PROJCS["NAD83(NSRS2007) / Nevada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34.75],PARAMETER["central_meridian",-118.5833333333333],PARAMETER["scale_factor",0.9999],PARAMETER["false_easting",2624666.6667],PARAMETER["false_northing",13123333.3333],UNIT["US survey foot",0.3048006096012192,AUTHORITY["EPSG","9003"]],AXIS["X",EAST],AXIS["Y",NORTH],AUTHORITY["EPSG","3612"]]</t>
  </si>
  <si>
    <t>PROJCS["NAD83(NSRS2007) / New Hampshire",GEOGCS["NAD83(NSRS2007)",DATUM["NAD83_National_Spatial_Reference_System_2007",SPHEROID["GRS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42.5],PARAMETER["central_meridian",-71.66666666666667],PARAMETER["scale_factor",0.999966667],PARAMETER["false_easting",300000],PARAMETER["false_northing",0],UNIT["metre",1,AUTHORITY["EPSG","9001"]],AXIS["X",EAST],AXIS["Y",NORTH],AUTHORITY["EPSG","3613"]]</t>
  </si>
  <si>
    <t>PROJCS["NAD83(NSRS2007) / New Hampshire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42.5],PARAMETER["central_meridian",-71.66666666666667],PARAMETER["scale_factor",0.999966667],PARAMETER["false_easting",984250.0000000002],PARAMETER["false_northing",0],UNIT["US survey foot",0.3048006096012192,AUTHORITY["EPSG","9003"]],AXIS["X",EAST],AXIS["Y",NORTH],AUTHORITY["EPSG","3614"]]</t>
  </si>
  <si>
    <t>PROJCS["NAD83(NSRS2007) / New Jersey",GEOGCS["NAD83(NSRS2007)",DATUM["NAD83_National_Spatial_Reference_System_2007",SPHEROID["GRS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3615"]]</t>
  </si>
  <si>
    <t>PROJCS["NAD83(NSRS2007) / New Jersey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foot",0.3048006096012192,AUTHORITY["EPSG","9003"]],AXIS["X",EAST],AXIS["Y",NORTH],AUTHORITY["EPSG","3616"]]</t>
  </si>
  <si>
    <t>PROJCS["NAD83(NSRS2007) / New Mexico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-106.25],PARAMETER["scale_factor",0.9999],PARAMETER["false_easting",500000],PARAMETER["false_northing",0],UNIT["metre",1,AUTHORITY["EPSG","9001"]],AXIS["X",EAST],AXIS["Y",NORTH],AUTHORITY["EPSG","3617"]]</t>
  </si>
  <si>
    <t>PROJCS["NAD83(NSRS2007) / New Mexico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-106.25],PARAMETER["scale_factor",0.9999],PARAMETER["false_easting",1640416.667],PARAMETER["false_northing",0],UNIT["US survey foot",0.3048006096012192,AUTHORITY["EPSG","9003"]],AXIS["X",EAST],AXIS["Y",NORTH],AUTHORITY["EPSG","3618"]]</t>
  </si>
  <si>
    <t>PROJCS["NAD83(NSRS2007) / New Mexico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-104.3333333333333],PARAMETER["scale_factor",0.999909091],PARAMETER["false_easting",165000],PARAMETER["false_northing",0],UNIT["metre",1,AUTHORITY["EPSG","9001"]],AXIS["X",EAST],AXIS["Y",NORTH],AUTHORITY["EPSG","3619"]]</t>
  </si>
  <si>
    <t>PROJCS["NAD83(NSRS2007) / New Mexico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-104.3333333333333],PARAMETER["scale_factor",0.999909091],PARAMETER["false_easting",541337.5],PARAMETER["false_northing",0],UNIT["US survey foot",0.3048006096012192,AUTHORITY["EPSG","9003"]],AXIS["X",EAST],AXIS["Y",NORTH],AUTHORITY["EPSG","3620"]]</t>
  </si>
  <si>
    <t>PROJCS["NAD83(NSRS2007) / New Mexico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-107.8333333333333],PARAMETER["scale_factor",0.999916667],PARAMETER["false_easting",830000],PARAMETER["false_northing",0],UNIT["metre",1,AUTHORITY["EPSG","9001"]],AXIS["X",EAST],AXIS["Y",NORTH],AUTHORITY["EPSG","3621"]]</t>
  </si>
  <si>
    <t>PROJCS["NAD83(NSRS2007) / New Mexico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31],PARAMETER["central_meridian",-107.8333333333333],PARAMETER["scale_factor",0.999916667],PARAMETER["false_easting",2723091.667],PARAMETER["false_northing",0],UNIT["US survey foot",0.3048006096012192,AUTHORITY["EPSG","9003"]],AXIS["X",EAST],AXIS["Y",NORTH],AUTHORITY["EPSG","3622"]]</t>
  </si>
  <si>
    <t>PROJCS["NAD83(NSRS2007) / New York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40],PARAMETER["central_meridian",-76.58333333333333],PARAMETER["scale_factor",0.9999375],PARAMETER["false_easting",250000],PARAMETER["false_northing",0],UNIT["metre",1,AUTHORITY["EPSG","9001"]],AXIS["X",EAST],AXIS["Y",NORTH],AUTHORITY["EPSG","3623"]]</t>
  </si>
  <si>
    <t>PROJCS["NAD83(NSRS2007) / New York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40],PARAMETER["central_meridian",-76.58333333333333],PARAMETER["scale_factor",0.9999375],PARAMETER["false_easting",820208.3330000002],PARAMETER["false_northing",0],UNIT["US survey foot",0.3048006096012192,AUTHORITY["EPSG","9003"]],AXIS["X",EAST],AXIS["Y",NORTH],AUTHORITY["EPSG","3624"]]</t>
  </si>
  <si>
    <t>PROJCS["NAD83(NSRS2007) / New York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3625"]]</t>
  </si>
  <si>
    <t>PROJCS["NAD83(NSRS2007) / New York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foot",0.3048006096012192,AUTHORITY["EPSG","9003"]],AXIS["X",EAST],AXIS["Y",NORTH],AUTHORITY["EPSG","3626"]]</t>
  </si>
  <si>
    <t>PROJCS["NAD83(NSRS2007) / Oregon LCC (m)",GEOGCS["NAD83(NSRS2007)",DATUM["NAD83_National_Spatial_Reference_System_2007",SPHEROID["GRS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3643"]]</t>
  </si>
  <si>
    <t>PROJCS["NAD83(NSRS2007) / New York Long Island",GEOGCS["NAD83(NSRS2007)",DATUM["NAD83_National_Spatial_Reference_System_2007",SPHEROID["GRS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41.03333333333333],PARAMETER["standard_parallel_2",40.66666666666666],PARAMETER["latitude_of_origin",40.16666666666666],PARAMETER["central_meridian",-74],PARAMETER["false_easting",300000],PARAMETER["false_northing",0],UNIT["metre",1,AUTHORITY["EPSG","9001"]],AXIS["X",EAST],AXIS["Y",NORTH],AUTHORITY["EPSG","3627"]]</t>
  </si>
  <si>
    <t>PROJCS["NAD83(NSRS2007) / New York Long Island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41.03333333333333],PARAMETER["standard_parallel_2",40.66666666666666],PARAMETER["latitude_of_origin",40.16666666666666],PARAMETER["central_meridian",-74],PARAMETER["false_easting",984250.0000000002],PARAMETER["false_northing",0],UNIT["US survey foot",0.3048006096012192,AUTHORITY["EPSG","9003"]],AXIS["X",EAST],AXIS["Y",NORTH],AUTHORITY["EPSG","3628"]]</t>
  </si>
  <si>
    <t>PROJCS["NAD83(NSRS2007) / New York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40],PARAMETER["central_meridian",-78.58333333333333],PARAMETER["scale_factor",0.9999375],PARAMETER["false_easting",350000],PARAMETER["false_northing",0],UNIT["metre",1,AUTHORITY["EPSG","9001"]],AXIS["X",EAST],AXIS["Y",NORTH],AUTHORITY["EPSG","3629"]]</t>
  </si>
  <si>
    <t>PROJCS["NAD83(NSRS2007) / New York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40],PARAMETER["central_meridian",-78.58333333333333],PARAMETER["scale_factor",0.9999375],PARAMETER["false_easting",1148291.667],PARAMETER["false_northing",0],UNIT["US survey foot",0.3048006096012192,AUTHORITY["EPSG","9003"]],AXIS["X",EAST],AXIS["Y",NORTH],AUTHORITY["EPSG","3630"]]</t>
  </si>
  <si>
    <t>PROJCS["NAD83(NSRS2007) / North Carolina",GEOGCS["NAD83(NSRS2007)",DATUM["NAD83_National_Spatial_Reference_System_2007",SPHEROID["GRS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36.16666666666666],PARAMETER["standard_parallel_2",34.33333333333334],PARAMETER["latitude_of_origin",33.75],PARAMETER["central_meridian",-79],PARAMETER["false_easting",609601.22],PARAMETER["false_northing",0],UNIT["metre",1,AUTHORITY["EPSG","9001"]],AXIS["X",EAST],AXIS["Y",NORTH],AUTHORITY["EPSG","3631"]]</t>
  </si>
  <si>
    <t>PROJCS["NAD83(NSRS2007) / North Carolina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36.16666666666666],PARAMETER["standard_parallel_2",34.33333333333334],PARAMETER["latitude_of_origin",33.75],PARAMETER["central_meridian",-79],PARAMETER["false_easting",2000000],PARAMETER["false_northing",0],UNIT["US survey foot",0.3048006096012192,AUTHORITY["EPSG","9003"]],AXIS["X",EAST],AXIS["Y",NORTH],AUTHORITY["EPSG","3632"]]</t>
  </si>
  <si>
    <t>PROJCS["NAD83(NSRS2007) / North Dakota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48.73333333333333],PARAMETER["standard_parallel_2",47.43333333333333],PARAMETER["latitude_of_origin",47],PARAMETER["central_meridian",-100.5],PARAMETER["false_easting",600000],PARAMETER["false_northing",0],UNIT["metre",1,AUTHORITY["EPSG","9001"]],AXIS["X",EAST],AXIS["Y",NORTH],AUTHORITY["EPSG","3633"]]</t>
  </si>
  <si>
    <t>PROJCS["NAD83(NSRS2007) / North Dakota North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48.73333333333333],PARAMETER["standard_parallel_2",47.43333333333333],PARAMETER["latitude_of_origin",47],PARAMETER["central_meridian",-100.5],PARAMETER["false_easting",1968503.937],PARAMETER["false_northing",0],UNIT["foot",0.3048,AUTHORITY["EPSG","9002"]],AXIS["X",EAST],AXIS["Y",NORTH],AUTHORITY["EPSG","3634"]]</t>
  </si>
  <si>
    <t>PROJCS["NAD83(NSRS2007) / North Dakota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47.48333333333333],PARAMETER["standard_parallel_2",46.18333333333333],PARAMETER["latitude_of_origin",45.66666666666666],PARAMETER["central_meridian",-100.5],PARAMETER["false_easting",600000],PARAMETER["false_northing",0],UNIT["metre",1,AUTHORITY["EPSG","9001"]],AXIS["X",EAST],AXIS["Y",NORTH],AUTHORITY["EPSG","3635"]]</t>
  </si>
  <si>
    <t>PROJCS["NAD83(NSRS2007) / North Dakota South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47.48333333333333],PARAMETER["standard_parallel_2",46.18333333333333],PARAMETER["latitude_of_origin",45.66666666666666],PARAMETER["central_meridian",-100.5],PARAMETER["false_easting",1968503.937],PARAMETER["false_northing",0],UNIT["foot",0.3048,AUTHORITY["EPSG","9002"]],AXIS["X",EAST],AXIS["Y",NORTH],AUTHORITY["EPSG","3636"]]</t>
  </si>
  <si>
    <t>PROJCS["NAD83(NSRS2007) / Ohio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41.7],PARAMETER["standard_parallel_2",40.43333333333333],PARAMETER["latitude_of_origin",39.66666666666666],PARAMETER["central_meridian",-82.5],PARAMETER["false_easting",600000],PARAMETER["false_northing",0],UNIT["metre",1,AUTHORITY["EPSG","9001"]],AXIS["X",EAST],AXIS["Y",NORTH],AUTHORITY["EPSG","3637"]]</t>
  </si>
  <si>
    <t>PROJCS["NAD83(NSRS2007) / Ohio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40.03333333333333],PARAMETER["standard_parallel_2",38.73333333333333],PARAMETER["latitude_of_origin",38],PARAMETER["central_meridian",-82.5],PARAMETER["false_easting",600000],PARAMETER["false_northing",0],UNIT["metre",1,AUTHORITY["EPSG","9001"]],AXIS["X",EAST],AXIS["Y",NORTH],AUTHORITY["EPSG","3638"]]</t>
  </si>
  <si>
    <t>PROJCS["NAD83(NSRS2007) / Oklahoma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36.76666666666667],PARAMETER["standard_parallel_2",35.56666666666667],PARAMETER["latitude_of_origin",35],PARAMETER["central_meridian",-98],PARAMETER["false_easting",600000],PARAMETER["false_northing",0],UNIT["metre",1,AUTHORITY["EPSG","9001"]],AXIS["X",EAST],AXIS["Y",NORTH],AUTHORITY["EPSG","3639"]]</t>
  </si>
  <si>
    <t>PROJCS["NAD83(NSRS2007) / Oklahoma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36.76666666666667],PARAMETER["standard_parallel_2",35.56666666666667],PARAMETER["latitude_of_origin",35],PARAMETER["central_meridian",-98],PARAMETER["false_easting",1968500],PARAMETER["false_northing",0],UNIT["US survey foot",0.3048006096012192,AUTHORITY["EPSG","9003"]],AXIS["X",EAST],AXIS["Y",NORTH],AUTHORITY["EPSG","3640"]]</t>
  </si>
  <si>
    <t>PROJCS["NAD83(NSRS2007) / Oklahoma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35.23333333333333],PARAMETER["standard_parallel_2",33.93333333333333],PARAMETER["latitude_of_origin",33.33333333333334],PARAMETER["central_meridian",-98],PARAMETER["false_easting",600000],PARAMETER["false_northing",0],UNIT["metre",1,AUTHORITY["EPSG","9001"]],AXIS["X",EAST],AXIS["Y",NORTH],AUTHORITY["EPSG","3641"]]</t>
  </si>
  <si>
    <t>PROJCS["NAD83(NSRS2007) / Oklahoma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35.23333333333333],PARAMETER["standard_parallel_2",33.93333333333333],PARAMETER["latitude_of_origin",33.33333333333334],PARAMETER["central_meridian",-98],PARAMETER["false_easting",1968500],PARAMETER["false_northing",0],UNIT["US survey foot",0.3048006096012192,AUTHORITY["EPSG","9003"]],AXIS["X",EAST],AXIS["Y",NORTH],AUTHORITY["EPSG","3642"]]</t>
  </si>
  <si>
    <t>PROJCS["NAD83(NSRS2007) / Oregon GIC Lambert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3644"]]</t>
  </si>
  <si>
    <t>PROJCS["NAD83(NSRS2007) / Oregon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3645"]]</t>
  </si>
  <si>
    <t>PROJCS["NAD83(NSRS2007) / Oregon North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3646"]]</t>
  </si>
  <si>
    <t>PROJCS["NAD83(NSRS2007) / Oregon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3647"]]</t>
  </si>
  <si>
    <t>PROJCS["NAD83(NSRS2007) / Oregon South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3648"]]</t>
  </si>
  <si>
    <t>PROJCS["NAD83(NSRS2007) / Pennsylvania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41.95],PARAMETER["standard_parallel_2",40.88333333333333],PARAMETER["latitude_of_origin",40.16666666666666],PARAMETER["central_meridian",-77.75],PARAMETER["false_easting",600000],PARAMETER["false_northing",0],UNIT["metre",1,AUTHORITY["EPSG","9001"]],AXIS["X",EAST],AXIS["Y",NORTH],AUTHORITY["EPSG","3649"]]</t>
  </si>
  <si>
    <t>PROJCS["NAD83(NSRS2007) / Pennsylvania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41.95],PARAMETER["standard_parallel_2",40.88333333333333],PARAMETER["latitude_of_origin",40.16666666666666],PARAMETER["central_meridian",-77.75],PARAMETER["false_easting",1968500],PARAMETER["false_northing",0],UNIT["US survey foot",0.3048006096012192,AUTHORITY["EPSG","9003"]],AXIS["X",EAST],AXIS["Y",NORTH],AUTHORITY["EPSG","3650"]]</t>
  </si>
  <si>
    <t>PROJCS["NAD83(NSRS2007) / Pennsylvania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40.96666666666667],PARAMETER["standard_parallel_2",39.93333333333333],PARAMETER["latitude_of_origin",39.33333333333334],PARAMETER["central_meridian",-77.75],PARAMETER["false_easting",600000],PARAMETER["false_northing",0],UNIT["metre",1,AUTHORITY["EPSG","9001"]],AXIS["X",EAST],AXIS["Y",NORTH],AUTHORITY["EPSG","3651"]]</t>
  </si>
  <si>
    <t>PROJCS["NAD83(NSRS2007) / Pennsylvania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40.96666666666667],PARAMETER["standard_parallel_2",39.93333333333333],PARAMETER["latitude_of_origin",39.33333333333334],PARAMETER["central_meridian",-77.75],PARAMETER["false_easting",1968500],PARAMETER["false_northing",0],UNIT["US survey foot",0.3048006096012192,AUTHORITY["EPSG","9003"]],AXIS["X",EAST],AXIS["Y",NORTH],AUTHORITY["EPSG","3652"]]</t>
  </si>
  <si>
    <t>PROJCS["NAD83(NSRS2007) / Rhode Island",GEOGCS["NAD83(NSRS2007)",DATUM["NAD83_National_Spatial_Reference_System_2007",SPHEROID["GRS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41.08333333333334],PARAMETER["central_meridian",-71.5],PARAMETER["scale_factor",0.99999375],PARAMETER["false_easting",100000],PARAMETER["false_northing",0],UNIT["metre",1,AUTHORITY["EPSG","9001"]],AXIS["X",EAST],AXIS["Y",NORTH],AUTHORITY["EPSG","3653"]]</t>
  </si>
  <si>
    <t>PROJCS["NAD83(NSRS2007) / Rhode Island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41.08333333333334],PARAMETER["central_meridian",-71.5],PARAMETER["scale_factor",0.99999375],PARAMETER["false_easting",328083.3333],PARAMETER["false_northing",0],UNIT["US survey foot",0.3048006096012192,AUTHORITY["EPSG","9003"]],AXIS["X",EAST],AXIS["Y",NORTH],AUTHORITY["EPSG","3654"]]</t>
  </si>
  <si>
    <t>PROJCS["NAD83(NSRS2007) / South Carolina",GEOGCS["NAD83(NSRS2007)",DATUM["NAD83_National_Spatial_Reference_System_2007",SPHEROID["GRS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34.83333333333334],PARAMETER["standard_parallel_2",32.5],PARAMETER["latitude_of_origin",31.83333333333333],PARAMETER["central_meridian",-81],PARAMETER["false_easting",609600],PARAMETER["false_northing",0],UNIT["metre",1,AUTHORITY["EPSG","9001"]],AXIS["X",EAST],AXIS["Y",NORTH],AUTHORITY["EPSG","3655"]]</t>
  </si>
  <si>
    <t>PROJCS["NAD83(NSRS2007) / South Carolina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34.83333333333334],PARAMETER["standard_parallel_2",32.5],PARAMETER["latitude_of_origin",31.83333333333333],PARAMETER["central_meridian",-81],PARAMETER["false_easting",2000000],PARAMETER["false_northing",0],UNIT["foot",0.3048,AUTHORITY["EPSG","9002"]],AXIS["X",EAST],AXIS["Y",NORTH],AUTHORITY["EPSG","3656"]]</t>
  </si>
  <si>
    <t>PROJCS["NAD83(NSRS2007) / South Dakota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45.68333333333333],PARAMETER["standard_parallel_2",44.41666666666666],PARAMETER["latitude_of_origin",43.83333333333334],PARAMETER["central_meridian",-100],PARAMETER["false_easting",600000],PARAMETER["false_northing",0],UNIT["metre",1,AUTHORITY["EPSG","9001"]],AXIS["X",EAST],AXIS["Y",NORTH],AUTHORITY["EPSG","3657"]]</t>
  </si>
  <si>
    <t>PROJCS["NAD83(NSRS2007) / South Dakota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45.68333333333333],PARAMETER["standard_parallel_2",44.41666666666666],PARAMETER["latitude_of_origin",43.83333333333334],PARAMETER["central_meridian",-100],PARAMETER["false_easting",1968500],PARAMETER["false_northing",0],UNIT["US survey foot",0.3048006096012192,AUTHORITY["EPSG","9003"]],AXIS["X",EAST],AXIS["Y",NORTH],AUTHORITY["EPSG","3658"]]</t>
  </si>
  <si>
    <t>PROJCS["NAD83(NSRS2007) / South Dakota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44.4],PARAMETER["standard_parallel_2",42.83333333333334],PARAMETER["latitude_of_origin",42.33333333333334],PARAMETER["central_meridian",-100.3333333333333],PARAMETER["false_easting",600000],PARAMETER["false_northing",0],UNIT["metre",1,AUTHORITY["EPSG","9001"]],AXIS["X",EAST],AXIS["Y",NORTH],AUTHORITY["EPSG","3659"]]</t>
  </si>
  <si>
    <t>PROJCS["NAD83(NSRS2007) / South Dakota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foot",0.3048006096012192,AUTHORITY["EPSG","9003"]],AXIS["X",EAST],AXIS["Y",NORTH],AUTHORITY["EPSG","3660"]]</t>
  </si>
  <si>
    <t>PROJCS["NAD83(NSRS2007) / Tennessee",GEOGCS["NAD83(NSRS2007)",DATUM["NAD83_National_Spatial_Reference_System_2007",SPHEROID["GRS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36.41666666666666],PARAMETER["standard_parallel_2",35.25],PARAMETER["latitude_of_origin",34.33333333333334],PARAMETER["central_meridian",-86],PARAMETER["false_easting",600000],PARAMETER["false_northing",0],UNIT["metre",1,AUTHORITY["EPSG","9001"]],AXIS["X",EAST],AXIS["Y",NORTH],AUTHORITY["EPSG","3661"]]</t>
  </si>
  <si>
    <t>PROJCS["NAD83(NSRS2007) / Tennessee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36.41666666666666],PARAMETER["standard_parallel_2",35.25],PARAMETER["latitude_of_origin",34.33333333333334],PARAMETER["central_meridian",-86],PARAMETER["false_easting",1968500],PARAMETER["false_northing",0],UNIT["US survey foot",0.3048006096012192,AUTHORITY["EPSG","9003"]],AXIS["X",EAST],AXIS["Y",NORTH],AUTHORITY["EPSG","3662"]]</t>
  </si>
  <si>
    <t>PROJCS["NAD83(NSRS2007) / Texas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31.88333333333333],PARAMETER["standard_parallel_2",30.11666666666667],PARAMETER["latitude_of_origin",29.66666666666667],PARAMETER["central_meridian",-100.3333333333333],PARAMETER["false_easting",700000],PARAMETER["false_northing",3000000],UNIT["metre",1,AUTHORITY["EPSG","9001"]],AXIS["X",EAST],AXIS["Y",NORTH],AUTHORITY["EPSG","3663"]]</t>
  </si>
  <si>
    <t>PROJCS["NAD83(NSRS2007) / Texas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31.88333333333333],PARAMETER["standard_parallel_2",30.11666666666667],PARAMETER["latitude_of_origin",29.66666666666667],PARAMETER["central_meridian",-100.3333333333333],PARAMETER["false_easting",2296583.333],PARAMETER["false_northing",9842500.000000002],UNIT["US survey foot",0.3048006096012192,AUTHORITY["EPSG","9003"]],AXIS["X",EAST],AXIS["Y",NORTH],AUTHORITY["EPSG","3664"]]</t>
  </si>
  <si>
    <t>PROJCS["NAD83(NSRS2007) / Texas Centric Albers Equal Area",GEOGCS["NAD83(NSRS2007)",DATUM["NAD83_National_Spatial_Reference_System_2007",SPHEROID["GRS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27.5],PARAMETER["standard_parallel_2",35],PARAMETER["latitude_of_center",18],PARAMETER["longitude_of_center",-100],PARAMETER["false_easting",1500000],PARAMETER["false_northing",6000000],UNIT["metre",1,AUTHORITY["EPSG","9001"]],AXIS["X",EAST],AXIS["Y",NORTH],AUTHORITY["EPSG","3665"]]</t>
  </si>
  <si>
    <t>PROJCS["NAD83(NSRS2007) / Texas Centric Lambert Conformal",GEOGCS["NAD83(NSRS2007)",DATUM["NAD83_National_Spatial_Reference_System_2007",SPHEROID["GRS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27.5],PARAMETER["standard_parallel_2",35],PARAMETER["latitude_of_origin",18],PARAMETER["central_meridian",-100],PARAMETER["false_easting",1500000],PARAMETER["false_northing",5000000],UNIT["metre",1,AUTHORITY["EPSG","9001"]],AXIS["X",EAST],AXIS["Y",NORTH],AUTHORITY["EPSG","3666"]]</t>
  </si>
  <si>
    <t>PROJCS["NAD83(NSRS2007) / Texas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36.18333333333333],PARAMETER["standard_parallel_2",34.65],PARAMETER["latitude_of_origin",34],PARAMETER["central_meridian",-101.5],PARAMETER["false_easting",200000],PARAMETER["false_northing",1000000],UNIT["metre",1,AUTHORITY["EPSG","9001"]],AXIS["X",EAST],AXIS["Y",NORTH],AUTHORITY["EPSG","3667"]]</t>
  </si>
  <si>
    <t>PROJCS["NAD83(NSRS2007) / Texas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36.18333333333333],PARAMETER["standard_parallel_2",34.65],PARAMETER["latitude_of_origin",34],PARAMETER["central_meridian",-101.5],PARAMETER["false_easting",656166.667],PARAMETER["false_northing",3280833.333],UNIT["US survey foot",0.3048006096012192,AUTHORITY["EPSG","9003"]],AXIS["X",EAST],AXIS["Y",NORTH],AUTHORITY["EPSG","3668"]]</t>
  </si>
  <si>
    <t>PROJCS["NAD83(NSRS2007) / Texas North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33.96666666666667],PARAMETER["standard_parallel_2",32.13333333333333],PARAMETER["latitude_of_origin",31.66666666666667],PARAMETER["central_meridian",-98.5],PARAMETER["false_easting",600000],PARAMETER["false_northing",2000000],UNIT["metre",1,AUTHORITY["EPSG","9001"]],AXIS["X",EAST],AXIS["Y",NORTH],AUTHORITY["EPSG","3669"]]</t>
  </si>
  <si>
    <t>PROJCS["NAD83(NSRS2007) / Texas North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33.96666666666667],PARAMETER["standard_parallel_2",32.13333333333333],PARAMETER["latitude_of_origin",31.66666666666667],PARAMETER["central_meridian",-98.5],PARAMETER["false_easting",1968500],PARAMETER["false_northing",6561666.667],UNIT["US survey foot",0.3048006096012192,AUTHORITY["EPSG","9003"]],AXIS["X",EAST],AXIS["Y",NORTH],AUTHORITY["EPSG","3670"]]</t>
  </si>
  <si>
    <t>PROJCS["NAD83(NSRS2007) / Texas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27.83333333333333],PARAMETER["standard_parallel_2",26.16666666666667],PARAMETER["latitude_of_origin",25.66666666666667],PARAMETER["central_meridian",-98.5],PARAMETER["false_easting",300000],PARAMETER["false_northing",5000000],UNIT["metre",1,AUTHORITY["EPSG","9001"]],AXIS["X",EAST],AXIS["Y",NORTH],AUTHORITY["EPSG","3671"]]</t>
  </si>
  <si>
    <t>PROJCS["NAD83(NSRS2007) / Texas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27.83333333333333],PARAMETER["standard_parallel_2",26.16666666666667],PARAMETER["latitude_of_origin",25.66666666666667],PARAMETER["central_meridian",-98.5],PARAMETER["false_easting",984250.0000000002],PARAMETER["false_northing",16404166.667],UNIT["US survey foot",0.3048006096012192,AUTHORITY["EPSG","9003"]],AXIS["X",EAST],AXIS["Y",NORTH],AUTHORITY["EPSG","3672"]]</t>
  </si>
  <si>
    <t>PROJCS["NAD83(NSRS2007) / Texas South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30.28333333333333],PARAMETER["standard_parallel_2",28.38333333333333],PARAMETER["latitude_of_origin",27.83333333333333],PARAMETER["central_meridian",-99],PARAMETER["false_easting",600000],PARAMETER["false_northing",4000000],UNIT["metre",1,AUTHORITY["EPSG","9001"]],AXIS["X",EAST],AXIS["Y",NORTH],AUTHORITY["EPSG","3673"]]</t>
  </si>
  <si>
    <t>PROJCS["NAD83(NSRS2007) / Texas South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30.28333333333333],PARAMETER["standard_parallel_2",28.38333333333333],PARAMETER["latitude_of_origin",27.83333333333333],PARAMETER["central_meridian",-99],PARAMETER["false_easting",1968500],PARAMETER["false_northing",13123333.333],UNIT["US survey foot",0.3048006096012192,AUTHORITY["EPSG","9003"]],AXIS["X",EAST],AXIS["Y",NORTH],AUTHORITY["EPSG","3674"]]</t>
  </si>
  <si>
    <t>PROJCS["NAD83(NSRS2007) / Wisconsin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44.06666666666667],PARAMETER["standard_parallel_2",42.73333333333333],PARAMETER["latitude_of_origin",42],PARAMETER["central_meridian",-90],PARAMETER["false_easting",600000],PARAMETER["false_northing",0],UNIT["metre",1,AUTHORITY["EPSG","9001"]],AXIS["X",EAST],AXIS["Y",NORTH],AUTHORITY["EPSG","3699"]]</t>
  </si>
  <si>
    <t>PROJCS["NAD83(NSRS2007) / Utah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40.65],PARAMETER["standard_parallel_2",39.01666666666667],PARAMETER["latitude_of_origin",38.33333333333334],PARAMETER["central_meridian",-111.5],PARAMETER["false_easting",500000],PARAMETER["false_northing",2000000],UNIT["metre",1,AUTHORITY["EPSG","9001"]],AXIS["X",EAST],AXIS["Y",NORTH],AUTHORITY["EPSG","3675"]]</t>
  </si>
  <si>
    <t>PROJCS["NAD83(NSRS2007) / Utah Central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40.65],PARAMETER["standard_parallel_2",39.01666666666667],PARAMETER["latitude_of_origin",38.33333333333334],PARAMETER["central_meridian",-111.5],PARAMETER["false_easting",1640419.948],PARAMETER["false_northing",6561679.79],UNIT["foot",0.3048,AUTHORITY["EPSG","9002"]],AXIS["X",EAST],AXIS["Y",NORTH],AUTHORITY["EPSG","3676"]]</t>
  </si>
  <si>
    <t>PROJCS["NAD83(NSRS2007) / Utah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40.65],PARAMETER["standard_parallel_2",39.01666666666667],PARAMETER["latitude_of_origin",38.33333333333334],PARAMETER["central_meridian",-111.5],PARAMETER["false_easting",1640416.6667],PARAMETER["false_northing",6561666.666700001],UNIT["US survey foot",0.3048006096012192,AUTHORITY["EPSG","9003"]],AXIS["X",EAST],AXIS["Y",NORTH],AUTHORITY["EPSG","3677"]]</t>
  </si>
  <si>
    <t>PROJCS["NAD83(NSRS2007) / Utah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40.71666666666667],PARAMETER["latitude_of_origin",40.33333333333334],PARAMETER["central_meridian",-111.5],PARAMETER["false_easting",500000],PARAMETER["false_northing",1000000],UNIT["metre",1,AUTHORITY["EPSG","9001"]],AXIS["X",EAST],AXIS["Y",NORTH],AUTHORITY["EPSG","3678"]]</t>
  </si>
  <si>
    <t>PROJCS["NAD83(NSRS2007) / Utah North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40.71666666666667],PARAMETER["latitude_of_origin",40.33333333333334],PARAMETER["central_meridian",-111.5],PARAMETER["false_easting",1640419.948],PARAMETER["false_northing",3280839.895],UNIT["foot",0.3048,AUTHORITY["EPSG","9002"]],AXIS["X",EAST],AXIS["Y",NORTH],AUTHORITY["EPSG","3679"]]</t>
  </si>
  <si>
    <t>PROJCS["NAD83(NSRS2007) / Utah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41.78333333333333],PARAMETER["standard_parallel_2",40.71666666666667],PARAMETER["latitude_of_origin",40.33333333333334],PARAMETER["central_meridian",-111.5],PARAMETER["false_easting",1640416.6667],PARAMETER["false_northing",3280833.333300001],UNIT["US survey foot",0.3048006096012192,AUTHORITY["EPSG","9003"]],AXIS["X",EAST],AXIS["Y",NORTH],AUTHORITY["EPSG","3680"]]</t>
  </si>
  <si>
    <t>PROJCS["NAD83(NSRS2007) / Utah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38.35],PARAMETER["standard_parallel_2",37.21666666666667],PARAMETER["latitude_of_origin",36.66666666666666],PARAMETER["central_meridian",-111.5],PARAMETER["false_easting",500000],PARAMETER["false_northing",3000000],UNIT["metre",1,AUTHORITY["EPSG","9001"]],AXIS["X",EAST],AXIS["Y",NORTH],AUTHORITY["EPSG","3681"]]</t>
  </si>
  <si>
    <t>PROJCS["NAD83(NSRS2007) / Utah South (ft)",GEOGCS["NAD83(NSRS2007)",DATUM["NAD83_National_Spatial_Reference_System_2007",SPHEROID["GRS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38.35],PARAMETER["standard_parallel_2",37.21666666666667],PARAMETER["latitude_of_origin",36.66666666666666],PARAMETER["central_meridian",-111.5],PARAMETER["false_easting",1640419.948],PARAMETER["false_northing",9842519.685],UNIT["foot",0.3048,AUTHORITY["EPSG","9002"]],AXIS["X",EAST],AXIS["Y",NORTH],AUTHORITY["EPSG","3682"]]</t>
  </si>
  <si>
    <t>PROJCS["NAD83(NSRS2007) / Utah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38.35],PARAMETER["standard_parallel_2",37.21666666666667],PARAMETER["latitude_of_origin",36.66666666666666],PARAMETER["central_meridian",-111.5],PARAMETER["false_easting",1640416.6667],PARAMETER["false_northing",9842500.000000002],UNIT["US survey foot",0.3048006096012192,AUTHORITY["EPSG","9003"]],AXIS["X",EAST],AXIS["Y",NORTH],AUTHORITY["EPSG","3683"]]</t>
  </si>
  <si>
    <t>PROJCS["NAD83(NSRS2007) / Vermont",GEOGCS["NAD83(NSRS2007)",DATUM["NAD83_National_Spatial_Reference_System_2007",SPHEROID["GRS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42.5],PARAMETER["central_meridian",-72.5],PARAMETER["scale_factor",0.999964286],PARAMETER["false_easting",500000],PARAMETER["false_northing",0],UNIT["metre",1,AUTHORITY["EPSG","9001"]],AXIS["X",EAST],AXIS["Y",NORTH],AUTHORITY["EPSG","3684"]]</t>
  </si>
  <si>
    <t>PROJCS["NAD83(NSRS2007) / Virginia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39.2],PARAMETER["standard_parallel_2",38.03333333333333],PARAMETER["latitude_of_origin",37.66666666666666],PARAMETER["central_meridian",-78.5],PARAMETER["false_easting",3500000],PARAMETER["false_northing",2000000],UNIT["metre",1,AUTHORITY["EPSG","9001"]],AXIS["X",EAST],AXIS["Y",NORTH],AUTHORITY["EPSG","3685"]]</t>
  </si>
  <si>
    <t>PROJCS["NAD83(NSRS2007) / Virginia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39.2],PARAMETER["standard_parallel_2",38.03333333333333],PARAMETER["latitude_of_origin",37.66666666666666],PARAMETER["central_meridian",-78.5],PARAMETER["false_easting",11482916.667],PARAMETER["false_northing",6561666.667],UNIT["US survey foot",0.3048006096012192,AUTHORITY["EPSG","9003"]],AXIS["X",EAST],AXIS["Y",NORTH],AUTHORITY["EPSG","3686"]]</t>
  </si>
  <si>
    <t>PROJCS["NAD83(NSRS2007) / Virginia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37.96666666666667],PARAMETER["standard_parallel_2",36.76666666666667],PARAMETER["latitude_of_origin",36.33333333333334],PARAMETER["central_meridian",-78.5],PARAMETER["false_easting",3500000],PARAMETER["false_northing",1000000],UNIT["metre",1,AUTHORITY["EPSG","9001"]],AXIS["X",EAST],AXIS["Y",NORTH],AUTHORITY["EPSG","3687"]]</t>
  </si>
  <si>
    <t>PROJCS["NAD83(NSRS2007) / Virginia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37.96666666666667],PARAMETER["standard_parallel_2",36.76666666666667],PARAMETER["latitude_of_origin",36.33333333333334],PARAMETER["central_meridian",-78.5],PARAMETER["false_easting",11482916.667],PARAMETER["false_northing",3280833.333],UNIT["US survey foot",0.3048006096012192,AUTHORITY["EPSG","9003"]],AXIS["X",EAST],AXIS["Y",NORTH],AUTHORITY["EPSG","3688"]]</t>
  </si>
  <si>
    <t>PROJCS["NAD83(NSRS2007) / Washington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48.73333333333333],PARAMETER["standard_parallel_2",47.5],PARAMETER["latitude_of_origin",47],PARAMETER["central_meridian",-120.8333333333333],PARAMETER["false_easting",500000],PARAMETER["false_northing",0],UNIT["metre",1,AUTHORITY["EPSG","9001"]],AXIS["X",EAST],AXIS["Y",NORTH],AUTHORITY["EPSG","3689"]]</t>
  </si>
  <si>
    <t>PROJCS["NAD83(NSRS2007) / Washington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48.73333333333333],PARAMETER["standard_parallel_2",47.5],PARAMETER["latitude_of_origin",47],PARAMETER["central_meridian",-120.8333333333333],PARAMETER["false_easting",1640416.667],PARAMETER["false_northing",0],UNIT["US survey foot",0.3048006096012192,AUTHORITY["EPSG","9003"]],AXIS["X",EAST],AXIS["Y",NORTH],AUTHORITY["EPSG","3690"]]</t>
  </si>
  <si>
    <t>PROJCS["NAD83(NSRS2007) / Washington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47.33333333333334],PARAMETER["standard_parallel_2",45.83333333333334],PARAMETER["latitude_of_origin",45.33333333333334],PARAMETER["central_meridian",-120.5],PARAMETER["false_easting",500000],PARAMETER["false_northing",0],UNIT["metre",1,AUTHORITY["EPSG","9001"]],AXIS["X",EAST],AXIS["Y",NORTH],AUTHORITY["EPSG","3691"]]</t>
  </si>
  <si>
    <t>PROJCS["NAD83(NSRS2007) / Washington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47.33333333333334],PARAMETER["standard_parallel_2",45.83333333333334],PARAMETER["latitude_of_origin",45.33333333333334],PARAMETER["central_meridian",-120.5],PARAMETER["false_easting",1640416.667],PARAMETER["false_northing",0],UNIT["US survey foot",0.3048006096012192,AUTHORITY["EPSG","9003"]],AXIS["X",EAST],AXIS["Y",NORTH],AUTHORITY["EPSG","3692"]]</t>
  </si>
  <si>
    <t>PROJCS["NAD83(NSRS2007) / West Virginia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40.25],PARAMETER["standard_parallel_2",39],PARAMETER["latitude_of_origin",38.5],PARAMETER["central_meridian",-79.5],PARAMETER["false_easting",600000],PARAMETER["false_northing",0],UNIT["metre",1,AUTHORITY["EPSG","9001"]],AXIS["X",EAST],AXIS["Y",NORTH],AUTHORITY["EPSG","3693"]]</t>
  </si>
  <si>
    <t>PROJCS["NAD83(NSRS2007) / West Virginia South",GEOGCS["NAD83(NSRS2007)",DATUM["NAD83_National_Spatial_Reference_System_2007",SPHEROID["GRS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38.88333333333333],PARAMETER["standard_parallel_2",37.48333333333333],PARAMETER["latitude_of_origin",37],PARAMETER["central_meridian",-81],PARAMETER["false_easting",600000],PARAMETER["false_northing",0],UNIT["metre",1,AUTHORITY["EPSG","9001"]],AXIS["X",EAST],AXIS["Y",NORTH],AUTHORITY["EPSG","3694"]]</t>
  </si>
  <si>
    <t>PROJCS["NAD83(NSRS2007) / Wisconsin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3695"]]</t>
  </si>
  <si>
    <t>PROJCS["NAD83(NSRS2007) / Wisconsin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45.5],PARAMETER["standard_parallel_2",44.25],PARAMETER["latitude_of_origin",43.83333333333334],PARAMETER["central_meridian",-90],PARAMETER["false_easting",1968500],PARAMETER["false_northing",0],UNIT["US survey foot",0.3048006096012192,AUTHORITY["EPSG","9003"]],AXIS["X",EAST],AXIS["Y",NORTH],AUTHORITY["EPSG","3696"]]</t>
  </si>
  <si>
    <t>PROJCS["NAD83(NSRS2007) / Wisconsin North",GEOGCS["NAD83(NSRS2007)",DATUM["NAD83_National_Spatial_Reference_System_2007",SPHEROID["GRS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46.76666666666667],PARAMETER["standard_parallel_2",45.56666666666667],PARAMETER["latitude_of_origin",45.16666666666666],PARAMETER["central_meridian",-90],PARAMETER["false_easting",600000],PARAMETER["false_northing",0],UNIT["metre",1,AUTHORITY["EPSG","9001"]],AXIS["X",EAST],AXIS["Y",NORTH],AUTHORITY["EPSG","3697"]]</t>
  </si>
  <si>
    <t>PROJCS["NAD83(NSRS2007) / Wisconsin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46.76666666666667],PARAMETER["standard_parallel_2",45.56666666666667],PARAMETER["latitude_of_origin",45.16666666666666],PARAMETER["central_meridian",-90],PARAMETER["false_easting",1968500],PARAMETER["false_northing",0],UNIT["US survey foot",0.3048006096012192,AUTHORITY["EPSG","9003"]],AXIS["X",EAST],AXIS["Y",NORTH],AUTHORITY["EPSG","3698"]]</t>
  </si>
  <si>
    <t>PROJCS["NAD83(NSRS2007) / Wisconsin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44.06666666666667],PARAMETER["standard_parallel_2",42.73333333333333],PARAMETER["latitude_of_origin",42],PARAMETER["central_meridian",-90],PARAMETER["false_easting",1968500],PARAMETER["false_northing",0],UNIT["US survey foot",0.3048006096012192,AUTHORITY["EPSG","9003"]],AXIS["X",EAST],AXIS["Y",NORTH],AUTHORITY["EPSG","3700"]]</t>
  </si>
  <si>
    <t>PROJCS["NAD83(NSRS2007) / Wisconsin Transverse Mercator",GEOGCS["NAD83(NSRS2007)",DATUM["NAD83_National_Spatial_Reference_System_2007",SPHEROID["GRS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-90],PARAMETER["scale_factor",0.9996],PARAMETER["false_easting",520000],PARAMETER["false_northing",-4480000],UNIT["metre",1,AUTHORITY["EPSG","9001"]],AXIS["X",EAST],AXIS["Y",NORTH],AUTHORITY["EPSG","3701"]]</t>
  </si>
  <si>
    <t>PROJCS["NAD83(NSRS2007) / Wyoming East",GEOGCS["NAD83(NSRS2007)",DATUM["NAD83_National_Spatial_Reference_System_2007",SPHEROID["GRS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-105.1666666666667],PARAMETER["scale_factor",0.9999375],PARAMETER["false_easting",200000],PARAMETER["false_northing",0],UNIT["metre",1,AUTHORITY["EPSG","9001"]],AXIS["X",EAST],AXIS["Y",NORTH],AUTHORITY["EPSG","3702"]]</t>
  </si>
  <si>
    <t>PROJCS["NAD83(NSRS2007) / Wyoming East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-107.3333333333333],PARAMETER["scale_factor",0.9999375],PARAMETER["false_easting",400000],PARAMETER["false_northing",100000],UNIT["metre",1,AUTHORITY["EPSG","9001"]],AXIS["X",EAST],AXIS["Y",NORTH],AUTHORITY["EPSG","3703"]]</t>
  </si>
  <si>
    <t>PROJCS["NAD83(NSRS2007) / Wyoming West Central",GEOGCS["NAD83(NSRS2007)",DATUM["NAD83_National_Spatial_Reference_System_2007",SPHEROID["GRS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-108.75],PARAMETER["scale_factor",0.9999375],PARAMETER["false_easting",600000],PARAMETER["false_northing",0],UNIT["metre",1,AUTHORITY["EPSG","9001"]],AXIS["X",EAST],AXIS["Y",NORTH],AUTHORITY["EPSG","3704"]]</t>
  </si>
  <si>
    <t>PROJCS["NAD83(NSRS2007) / Wyoming West",GEOGCS["NAD83(NSRS2007)",DATUM["NAD83_National_Spatial_Reference_System_2007",SPHEROID["GRS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-110.0833333333333],PARAMETER["scale_factor",0.9999375],PARAMETER["false_easting",800000],PARAMETER["false_northing",100000],UNIT["metre",1,AUTHORITY["EPSG","9001"]],AXIS["X",EAST],AXIS["Y",NORTH],AUTHORITY["EPSG","3705"]]</t>
  </si>
  <si>
    <t>PROJCS["NAD83(NSRS2007) / UTM zone 59N",GEOGCS["NAD83(NSRS2007)",DATUM["NAD83_National_Spatial_Reference_System_2007",SPHEROID["GRS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3706"]]</t>
  </si>
  <si>
    <t xml:space="preserve">+proj=utm +zone=59 +ellps=GRS80 +towgs84=0,0,0,0,0,0,0 +units=m +no_defs </t>
  </si>
  <si>
    <t>PROJCS["NAD83(NSRS2007) / UTM zone 60N",GEOGCS["NAD83(NSRS2007)",DATUM["NAD83_National_Spatial_Reference_System_2007",SPHEROID["GRS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3707"]]</t>
  </si>
  <si>
    <t xml:space="preserve">+proj=utm +zone=60 +ellps=GRS80 +towgs84=0,0,0,0,0,0,0 +units=m +no_defs </t>
  </si>
  <si>
    <t>PROJCS["NAD83(NSRS2007) / UTM zone 1N",GEOGCS["NAD83(NSRS2007)",DATUM["NAD83_National_Spatial_Reference_System_2007",SPHEROID["GRS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3708"]]</t>
  </si>
  <si>
    <t xml:space="preserve">+proj=utm +zone=1 +ellps=GRS80 +towgs84=0,0,0,0,0,0,0 +units=m +no_defs </t>
  </si>
  <si>
    <t>PROJCS["NAD83(NSRS2007) / UTM zone 3N",GEOGCS["NAD83(NSRS2007)",DATUM["NAD83_National_Spatial_Reference_System_2007",SPHEROID["GRS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3710"]]</t>
  </si>
  <si>
    <t xml:space="preserve">+proj=utm +zone=3 +ellps=GRS80 +towgs84=0,0,0,0,0,0,0 +units=m +no_defs </t>
  </si>
  <si>
    <t>PROJCS["NAD83(NSRS2007) / UTM zone 4N",GEOGCS["NAD83(NSRS2007)",DATUM["NAD83_National_Spatial_Reference_System_2007",SPHEROID["GRS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3711"]]</t>
  </si>
  <si>
    <t xml:space="preserve">+proj=utm +zone=4 +ellps=GRS80 +towgs84=0,0,0,0,0,0,0 +units=m +no_defs </t>
  </si>
  <si>
    <t>PROJCS["NAD83(NSRS2007) / UTM zone 5N",GEOGCS["NAD83(NSRS2007)",DATUM["NAD83_National_Spatial_Reference_System_2007",SPHEROID["GRS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3712"]]</t>
  </si>
  <si>
    <t xml:space="preserve">+proj=utm +zone=5 +ellps=GRS80 +towgs84=0,0,0,0,0,0,0 +units=m +no_defs </t>
  </si>
  <si>
    <t>PROJCS["NAD83(NSRS2007) / UTM zone 6N",GEOGCS["NAD83(NSRS2007)",DATUM["NAD83_National_Spatial_Reference_System_2007",SPHEROID["GRS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3713"]]</t>
  </si>
  <si>
    <t xml:space="preserve">+proj=utm +zone=6 +ellps=GRS80 +towgs84=0,0,0,0,0,0,0 +units=m +no_defs </t>
  </si>
  <si>
    <t>PROJCS["NAD83(NSRS2007) / UTM zone 7N",GEOGCS["NAD83(NSRS2007)",DATUM["NAD83_National_Spatial_Reference_System_2007",SPHEROID["GRS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3714"]]</t>
  </si>
  <si>
    <t>PROJCS["NAD83(NSRS2007) / UTM zone 8N",GEOGCS["NAD83(NSRS2007)",DATUM["NAD83_National_Spatial_Reference_System_2007",SPHEROID["GRS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3715"]]</t>
  </si>
  <si>
    <t>PROJCS["NAD83(NSRS2007) / UTM zone 9N",GEOGCS["NAD83(NSRS2007)",DATUM["NAD83_National_Spatial_Reference_System_2007",SPHEROID["GRS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3716"]]</t>
  </si>
  <si>
    <t>PROJCS["NAD83(NSRS2007) / UTM zone 10N",GEOGCS["NAD83(NSRS2007)",DATUM["NAD83_National_Spatial_Reference_System_2007",SPHEROID["GRS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3717"]]</t>
  </si>
  <si>
    <t>PROJCS["NAD83(NSRS2007) / UTM zone 11N",GEOGCS["NAD83(NSRS2007)",DATUM["NAD83_National_Spatial_Reference_System_2007",SPHEROID["GRS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3718"]]</t>
  </si>
  <si>
    <t>PROJCS["NAD83(NSRS2007) / UTM zone 12N",GEOGCS["NAD83(NSRS2007)",DATUM["NAD83_National_Spatial_Reference_System_2007",SPHEROID["GRS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3719"]]</t>
  </si>
  <si>
    <t>PROJCS["NAD83(NSRS2007) / UTM zone 13N",GEOGCS["NAD83(NSRS2007)",DATUM["NAD83_National_Spatial_Reference_System_2007",SPHEROID["GRS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3720"]]</t>
  </si>
  <si>
    <t>PROJCS["NAD83(NSRS2007) / UTM zone 14N",GEOGCS["NAD83(NSRS2007)",DATUM["NAD83_National_Spatial_Reference_System_2007",SPHEROID["GRS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3721"]]</t>
  </si>
  <si>
    <t>PROJCS["NAD83(NSRS2007) / UTM zone 15N",GEOGCS["NAD83(NSRS2007)",DATUM["NAD83_National_Spatial_Reference_System_2007",SPHEROID["GRS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3722"]]</t>
  </si>
  <si>
    <t>PROJCS["NAD83(NSRS2007) / UTM zone 16N",GEOGCS["NAD83(NSRS2007)",DATUM["NAD83_National_Spatial_Reference_System_2007",SPHEROID["GRS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3723"]]</t>
  </si>
  <si>
    <t>PROJCS["NAD83(NSRS2007) / UTM zone 17N",GEOGCS["NAD83(NSRS2007)",DATUM["NAD83_National_Spatial_Reference_System_2007",SPHEROID["GRS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3724"]]</t>
  </si>
  <si>
    <t>PROJCS["NAD83(NSRS2007) / UTM zone 18N",GEOGCS["NAD83(NSRS2007)",DATUM["NAD83_National_Spatial_Reference_System_2007",SPHEROID["GRS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3725"]]</t>
  </si>
  <si>
    <t>PROJCS["NAD83(NSRS2007) / UTM zone 19N",GEOGCS["NAD83(NSRS2007)",DATUM["NAD83_National_Spatial_Reference_System_2007",SPHEROID["GRS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3726"]]</t>
  </si>
  <si>
    <t>PROJCS["Reunion 1947 / TM Reunion",GEOGCS["Reunion 1947",DATUM["Reunion_1947",SPHEROID["International 1924",6378388,297,AUTHORITY["EPSG","7022"]],TOWGS84[94,-948,-1262,0,0,0,0],AUTHORITY["EPSG","6626"]],PRIMEM["Greenwich",0,AUTHORITY["EPSG","8901"]],UNIT["degree",0.0174532925199433,AUTHORITY["EPSG","9122"]],AUTHORITY["EPSG","4626"]],PROJECTION["Transverse_Mercator"],PARAMETER["latitude_of_origin",-21.11666666666667],PARAMETER["central_meridian",55.53333333333333],PARAMETER["scale_factor",1],PARAMETER["false_easting",160000],PARAMETER["false_northing",50000],UNIT["metre",1,AUTHORITY["EPSG","9001"]],AXIS["X",EAST],AXIS["Y",NORTH],AUTHORITY["EPSG","3727"]]</t>
  </si>
  <si>
    <t xml:space="preserve">+proj=tmerc +lat_0=-21.11666666666667 +lon_0=55.53333333333333 +k=1 +x_0=160000 +y_0=50000 +ellps=intl +towgs84=94,-948,-1262,0,0,0,0 +units=m +no_defs </t>
  </si>
  <si>
    <t>PROJCS["NAD83(NSRS2007) / Ohio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41.7],PARAMETER["standard_parallel_2",40.43333333333333],PARAMETER["latitude_of_origin",39.66666666666666],PARAMETER["central_meridian",-82.5],PARAMETER["false_easting",1968500],PARAMETER["false_northing",0],UNIT["US survey foot",0.3048006096012192,AUTHORITY["EPSG","9003"]],AXIS["X",EAST],AXIS["Y",NORTH],AUTHORITY["EPSG","3728"]]</t>
  </si>
  <si>
    <t xml:space="preserve">+proj=lcc +lat_1=41.7 +lat_2=40.43333333333333 +lat_0=39.66666666666666 +lon_0=-82.5 +x_0=600000 +y_0=0 +ellps=GRS80 +towgs84=0,0,0,0,0,0,0 +units=us-ft +no_defs </t>
  </si>
  <si>
    <t>GEOCCS["Mexico ITRF92",DATUM["Mexico_ITRF92",SPHEROID["GRS 1980",6378137,298.257222101,AUTHORITY["EPSG","7019"]],AUTHORITY["EPSG","1042"]],PRIMEM["Greenwich",0,AUTHORITY["EPSG","8901"]],UNIT["metre",1,AUTHORITY["EPSG","9001"]],AXIS["Geocentric X",OTHER],AXIS["Geocentric Y",OTHER],AXIS["Geocentric Z",NORTH],AUTHORITY["EPSG","4481"]]</t>
  </si>
  <si>
    <t>PROJCS["NAD83(NSRS2007) / Ohio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40.03333333333333],PARAMETER["standard_parallel_2",38.73333333333333],PARAMETER["latitude_of_origin",38],PARAMETER["central_meridian",-82.5],PARAMETER["false_easting",1968500],PARAMETER["false_northing",0],UNIT["US survey foot",0.3048006096012192,AUTHORITY["EPSG","9003"]],AXIS["X",EAST],AXIS["Y",NORTH],AUTHORITY["EPSG","3729"]]</t>
  </si>
  <si>
    <t xml:space="preserve">+proj=lcc +lat_1=40.03333333333333 +lat_2=38.73333333333333 +lat_0=38 +lon_0=-82.5 +x_0=600000 +y_0=0 +ellps=GRS80 +towgs84=0,0,0,0,0,0,0 +units=us-ft +no_defs </t>
  </si>
  <si>
    <t>PROJCS["NAD83(NSRS2007) / Wyoming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-105.1666666666667],PARAMETER["scale_factor",0.9999375],PARAMETER["false_easting",656166.6667],PARAMETER["false_northing",0],UNIT["US survey foot",0.3048006096012192,AUTHORITY["EPSG","9003"]],AXIS["X",EAST],AXIS["Y",NORTH],AUTHORITY["EPSG","3730"]]</t>
  </si>
  <si>
    <t xml:space="preserve">+proj=tmerc +lat_0=40.5 +lon_0=-105.1666666666667 +k=0.9999375 +x_0=200000.00001016 +y_0=0 +ellps=GRS80 +towgs84=0,0,0,0,0,0,0 +units=us-ft +no_defs </t>
  </si>
  <si>
    <t>PROJCS["NAD83(NSRS2007) / Wyoming East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-107.3333333333333],PARAMETER["scale_factor",0.9999375],PARAMETER["false_easting",1312333.3333],PARAMETER["false_northing",328083.3333],UNIT["US survey foot",0.3048006096012192,AUTHORITY["EPSG","9003"]],AXIS["X",EAST],AXIS["Y",NORTH],AUTHORITY["EPSG","3731"]]</t>
  </si>
  <si>
    <t xml:space="preserve">+proj=tmerc +lat_0=40.5 +lon_0=-107.3333333333333 +k=0.9999375 +x_0=399999.99998984 +y_0=99999.99998983997 +ellps=GRS80 +towgs84=0,0,0,0,0,0,0 +units=us-ft +no_defs </t>
  </si>
  <si>
    <t>PROJCS["NAD83(NSRS2007) / Wyoming West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-108.75],PARAMETER["scale_factor",0.9999375],PARAMETER["false_easting",1968500],PARAMETER["false_northing",0],UNIT["US survey foot",0.3048006096012192,AUTHORITY["EPSG","9003"]],AXIS["X",EAST],AXIS["Y",NORTH],AUTHORITY["EPSG","3732"]]</t>
  </si>
  <si>
    <t xml:space="preserve">+proj=tmerc +lat_0=40.5 +lon_0=-108.75 +k=0.9999375 +x_0=600000 +y_0=0 +ellps=GRS80 +towgs84=0,0,0,0,0,0,0 +units=us-ft +no_defs </t>
  </si>
  <si>
    <t>PROJCS["NAD83(NSRS2007) / Wyoming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40.5],PARAMETER["central_meridian",-110.0833333333333],PARAMETER["scale_factor",0.9999375],PARAMETER["false_easting",2624666.6667],PARAMETER["false_northing",328083.3333],UNIT["US survey foot",0.3048006096012192,AUTHORITY["EPSG","9003"]],AXIS["X",EAST],AXIS["Y",NORTH],AUTHORITY["EPSG","3733"]]</t>
  </si>
  <si>
    <t xml:space="preserve">+proj=tmerc +lat_0=40.5 +lon_0=-110.0833333333333 +k=0.9999375 +x_0=800000.0000101599 +y_0=99999.99998983997 +ellps=GRS80 +towgs84=0,0,0,0,0,0,0 +units=us-ft +no_defs </t>
  </si>
  <si>
    <t>PROJCS["NAD83 / Ohio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41.7],PARAMETER["standard_parallel_2",40.43333333333333],PARAMETER["latitude_of_origin",39.66666666666666],PARAMETER["central_meridian",-82.5],PARAMETER["false_easting",1968500],PARAMETER["false_northing",0],UNIT["US survey foot",0.3048006096012192,AUTHORITY["EPSG","9003"]],AXIS["X",EAST],AXIS["Y",NORTH],AUTHORITY["EPSG","3734"]]</t>
  </si>
  <si>
    <t>PROJCS["NAD83 / Ohio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40.03333333333333],PARAMETER["standard_parallel_2",38.73333333333333],PARAMETER["latitude_of_origin",38],PARAMETER["central_meridian",-82.5],PARAMETER["false_easting",1968500],PARAMETER["false_northing",0],UNIT["US survey foot",0.3048006096012192,AUTHORITY["EPSG","9003"]],AXIS["X",EAST],AXIS["Y",NORTH],AUTHORITY["EPSG","3735"]]</t>
  </si>
  <si>
    <t>PROJCS["NAD83 / Wyoming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-105.1666666666667],PARAMETER["scale_factor",0.9999375],PARAMETER["false_easting",656166.6667],PARAMETER["false_northing",0],UNIT["US survey foot",0.3048006096012192,AUTHORITY["EPSG","9003"]],AXIS["X",EAST],AXIS["Y",NORTH],AUTHORITY["EPSG","3736"]]</t>
  </si>
  <si>
    <t>GEOCCS["RRAF 1991",DATUM["Reseau_de_Reference_des_Antilles_Francaises_1991",SPHEROID["GRS 1980",6378137,298.257222101,AUTHORITY["EPSG","7019"]],AUTHORITY["EPSG","1047"]],PRIMEM["Greenwich",0,AUTHORITY["EPSG","8901"]],UNIT["metre",1,AUTHORITY["EPSG","9001"]],AXIS["Geocentric X",OTHER],AXIS["Geocentric Y",OTHER],AXIS["Geocentric Z",NORTH],AUTHORITY["EPSG","4556"]]</t>
  </si>
  <si>
    <t>PROJCS["NAD83 / Wyoming East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-107.3333333333333],PARAMETER["scale_factor",0.9999375],PARAMETER["false_easting",1312333.3333],PARAMETER["false_northing",328083.3333],UNIT["US survey foot",0.3048006096012192,AUTHORITY["EPSG","9003"]],AXIS["X",EAST],AXIS["Y",NORTH],AUTHORITY["EPSG","3737"]]</t>
  </si>
  <si>
    <t>PROJCS["NAD83 / Wyoming West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-108.75],PARAMETER["scale_factor",0.9999375],PARAMETER["false_easting",1968500],PARAMETER["false_northing",0],UNIT["US survey foot",0.3048006096012192,AUTHORITY["EPSG","9003"]],AXIS["X",EAST],AXIS["Y",NORTH],AUTHORITY["EPSG","3738"]]</t>
  </si>
  <si>
    <t>PROJCS["NAD83 / Wyoming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-110.0833333333333],PARAMETER["scale_factor",0.9999375],PARAMETER["false_easting",2624666.6667],PARAMETER["false_northing",328083.3333],UNIT["US survey foot",0.3048006096012192,AUTHORITY["EPSG","9003"]],AXIS["X",EAST],AXIS["Y",NORTH],AUTHORITY["EPSG","3739"]]</t>
  </si>
  <si>
    <t>PROJCS["NAD83(HARN) / UTM zone 10N",GEOGCS["NAD83(HARN)",DATUM["NAD83_High_Accuracy_Reference_Network",SPHEROID["GRS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3740"]]</t>
  </si>
  <si>
    <t>PROJCS["NAD83(HARN) / UTM zone 11N",GEOGCS["NAD83(HARN)",DATUM["NAD83_High_Accuracy_Reference_Network",SPHEROID["GRS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3741"]]</t>
  </si>
  <si>
    <t>PROJCS["NAD83(HARN) / UTM zone 12N",GEOGCS["NAD83(HARN)",DATUM["NAD83_High_Accuracy_Reference_Network",SPHEROID["GRS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3742"]]</t>
  </si>
  <si>
    <t>PROJCS["NAD83(HARN) / UTM zone 13N",GEOGCS["NAD83(HARN)",DATUM["NAD83_High_Accuracy_Reference_Network",SPHEROID["GRS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3743"]]</t>
  </si>
  <si>
    <t>PROJCS["NAD83(HARN) / UTM zone 14N",GEOGCS["NAD83(HARN)",DATUM["NAD83_High_Accuracy_Reference_Network",SPHEROID["GRS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3744"]]</t>
  </si>
  <si>
    <t>PROJCS["NAD83(HARN) / UTM zone 15N",GEOGCS["NAD83(HARN)",DATUM["NAD83_High_Accuracy_Reference_Network",SPHEROID["GRS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3745"]]</t>
  </si>
  <si>
    <t>PROJCS["NAD83(HARN) / UTM zone 16N",GEOGCS["NAD83(HARN)",DATUM["NAD83_High_Accuracy_Reference_Network",SPHEROID["GRS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3746"]]</t>
  </si>
  <si>
    <t>PROJCS["NAD83(HARN) / UTM zone 17N",GEOGCS["NAD83(HARN)",DATUM["NAD83_High_Accuracy_Reference_Network",SPHEROID["GRS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3747"]]</t>
  </si>
  <si>
    <t>PROJCS["NAD83(HARN) / UTM zone 18N",GEOGCS["NAD83(HARN)",DATUM["NAD83_High_Accuracy_Reference_Network",SPHEROID["GRS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3748"]]</t>
  </si>
  <si>
    <t>PROJCS["NAD83(HARN) / UTM zone 19N",GEOGCS["NAD83(HARN)",DATUM["NAD83_High_Accuracy_Reference_Network",SPHEROID["GRS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3749"]]</t>
  </si>
  <si>
    <t>PROJCS["NAD83(HARN) / UTM zone 4N",GEOGCS["NAD83(HARN)",DATUM["NAD83_High_Accuracy_Reference_Network",SPHEROID["GRS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3750"]]</t>
  </si>
  <si>
    <t>PROJCS["NAD83(HARN) / UTM zone 5N",GEOGCS["NAD83(HARN)",DATUM["NAD83_High_Accuracy_Reference_Network",SPHEROID["GRS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3751"]]</t>
  </si>
  <si>
    <t>PROJCS["WGS 84 / Mercator 41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latitude_of_origin",-41],PARAMETER["central_meridian",100],PARAMETER["scale_factor",1],PARAMETER["false_easting",0],PARAMETER["false_northing",0],UNIT["metre",1,AUTHORITY["EPSG","9001"]],AXIS["X",EAST],AXIS["Y",NORTH],AUTHORITY["EPSG","3752"]]</t>
  </si>
  <si>
    <t>PROJCS["NAD83(HARN) / Ohio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41.7],PARAMETER["standard_parallel_2",40.43333333333333],PARAMETER["latitude_of_origin",39.66666666666666],PARAMETER["central_meridian",-82.5],PARAMETER["false_easting",1968500],PARAMETER["false_northing",0],UNIT["US survey foot",0.3048006096012192,AUTHORITY["EPSG","9003"]],AXIS["X",EAST],AXIS["Y",NORTH],AUTHORITY["EPSG","3753"]]</t>
  </si>
  <si>
    <t>PROJCS["NAD83(HARN) / Ohio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40.03333333333333],PARAMETER["standard_parallel_2",38.73333333333333],PARAMETER["latitude_of_origin",38],PARAMETER["central_meridian",-82.5],PARAMETER["false_easting",1968500],PARAMETER["false_northing",0],UNIT["US survey foot",0.3048006096012192,AUTHORITY["EPSG","9003"]],AXIS["X",EAST],AXIS["Y",NORTH],AUTHORITY["EPSG","3754"]]</t>
  </si>
  <si>
    <t>PROJCS["NAD83(HARN) / Wyoming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-105.1666666666667],PARAMETER["scale_factor",0.9999375],PARAMETER["false_easting",656166.6667],PARAMETER["false_northing",0],UNIT["US survey foot",0.3048006096012192,AUTHORITY["EPSG","9003"]],AXIS["X",EAST],AXIS["Y",NORTH],AUTHORITY["EPSG","3755"]]</t>
  </si>
  <si>
    <t>GEOCCS["Slovenia 1996",DATUM["Slovenia_Geodetic_Datum_1996",SPHEROID["GRS 1980",6378137,298.257222101,AUTHORITY["EPSG","7019"]],AUTHORITY["EPSG","6765"]],PRIMEM["Greenwich",0,AUTHORITY["EPSG","8901"]],UNIT["metre",1,AUTHORITY["EPSG","9001"]],AXIS["Geocentric X",OTHER],AXIS["Geocentric Y",OTHER],AXIS["Geocentric Z",NORTH],AUTHORITY["EPSG","4882"]]</t>
  </si>
  <si>
    <t>PROJCS["NAD83(HARN) / Wyoming East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-107.3333333333333],PARAMETER["scale_factor",0.9999375],PARAMETER["false_easting",1312333.3333],PARAMETER["false_northing",328083.3333],UNIT["US survey foot",0.3048006096012192,AUTHORITY["EPSG","9003"]],AXIS["X",EAST],AXIS["Y",NORTH],AUTHORITY["EPSG","3756"]]</t>
  </si>
  <si>
    <t>PROJCS["NAD83(HARN) / Wyoming West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-108.75],PARAMETER["scale_factor",0.9999375],PARAMETER["false_easting",1968500],PARAMETER["false_northing",0],UNIT["US survey foot",0.3048006096012192,AUTHORITY["EPSG","9003"]],AXIS["X",EAST],AXIS["Y",NORTH],AUTHORITY["EPSG","3757"]]</t>
  </si>
  <si>
    <t>PROJCS["NAD83(HARN) / Wyoming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40.5],PARAMETER["central_meridian",-110.0833333333333],PARAMETER["scale_factor",0.9999375],PARAMETER["false_easting",2624666.6667],PARAMETER["false_northing",328083.3333],UNIT["US survey foot",0.3048006096012192,AUTHORITY["EPSG","9003"]],AXIS["X",EAST],AXIS["Y",NORTH],AUTHORITY["EPSG","3758"]]</t>
  </si>
  <si>
    <t>PROJCS["NAD83 / Hawaii zone 3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21.16666666666667],PARAMETER["central_meridian",-158],PARAMETER["scale_factor",0.99999],PARAMETER["false_easting",1640416.6667],PARAMETER["false_northing",0],UNIT["US survey foot",0.3048006096012192,AUTHORITY["EPSG","9003"]],AXIS["X",EAST],AXIS["Y",NORTH],AUTHORITY["EPSG","3759"]]</t>
  </si>
  <si>
    <t>PROJCS["NAD83(HARN) / Hawaii zone 3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21.16666666666667],PARAMETER["central_meridian",-158],PARAMETER["scale_factor",0.99999],PARAMETER["false_easting",1640416.6667],PARAMETER["false_northing",0],UNIT["US survey foot",0.3048006096012192,AUTHORITY["EPSG","9003"]],AXIS["X",EAST],AXIS["Y",NORTH],AUTHORITY["EPSG","3760"]]</t>
  </si>
  <si>
    <t xml:space="preserve">+proj=tmerc +lat_0=21.16666666666667 +lon_0=-158 +k=0.99999 +x_0=500000.00001016 +y_0=0 +ellps=GRS80 +towgs84=0,0,0,0,0,0,0 +units=us-ft +no_defs </t>
  </si>
  <si>
    <t>PROJCS["NAD83(CSRS) / UTM zone 22N",GEOGCS["NAD83(CSRS)",DATUM["NAD83_Canadian_Spatial_Reference_System",SPHEROID["GRS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3761"]]</t>
  </si>
  <si>
    <t>PROJCS["WGS 84 / South Georgia Lambert",GEOGCS["WGS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-54],PARAMETER["standard_parallel_2",-54.75],PARAMETER["latitude_of_origin",-55],PARAMETER["central_meridian",-37],PARAMETER["false_easting",0],PARAMETER["false_northing",0],UNIT["metre",1,AUTHORITY["EPSG","9001"]],AXIS["Easting",EAST],AXIS["Northing",NORTH],AUTHORITY["EPSG","3762"]]</t>
  </si>
  <si>
    <t>PROJCS["ETRS89 / Portugal TM06",GEOGCS["ETRS89",DATUM["European_Terrestrial_Reference_System_1989",SPHEROID["GRS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39.66825833333333],PARAMETER["central_meridian",-8.133108333333334],PARAMETER["scale_factor",1],PARAMETER["false_easting",0],PARAMETER["false_northing",0],UNIT["metre",1,AUTHORITY["EPSG","9001"]],AXIS["X",EAST],AXIS["Y",NORTH],AUTHORITY["EPSG","3763"]]</t>
  </si>
  <si>
    <t xml:space="preserve">+proj=tmerc +lat_0=39.66825833333333 +lon_0=-8.133108333333334 +k=1 +x_0=0 +y_0=0 +ellps=GRS80 +towgs84=0,0,0,0,0,0,0 +units=m +no_defs </t>
  </si>
  <si>
    <t>PROJCS["NZGD2000 / Chatham Island Circuit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-44],PARAMETER["central_meridian",-176.5],PARAMETER["scale_factor",1],PARAMETER["false_easting",400000],PARAMETER["false_northing",800000],UNIT["metre",1,AUTHORITY["EPSG","9001"]],AUTHORITY["EPSG","3764"]]</t>
  </si>
  <si>
    <t xml:space="preserve">+proj=tmerc +lat_0=-44 +lon_0=-176.5 +k=1 +x_0=400000 +y_0=800000 +ellps=GRS80 +towgs84=0,0,0,0,0,0,0 +units=m +no_defs </t>
  </si>
  <si>
    <t>PROJCS["HTRS96 / Croatia TM",GEOGCS["HTRS96",DATUM["Croatian_Terrestrial_Reference_System",SPHEROID["GRS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,PROJECTION["Transverse_Mercator"],PARAMETER["latitude_of_origin",0],PARAMETER["central_meridian",16.5],PARAMETER["scale_factor",0.9999],PARAMETER["false_easting",500000],PARAMETER["false_northing",0],UNIT["metre",1,AUTHORITY["EPSG","9001"]],AXIS["Easting",EAST],AXIS["Northing",NORTH],AUTHORITY["EPSG","3765"]]</t>
  </si>
  <si>
    <t xml:space="preserve">+proj=tmerc +lat_0=0 +lon_0=16.5 +k=0.9999 +x_0=500000 +y_0=0 +ellps=GRS80 +towgs84=0,0,0,0,0,0,0 +units=m +no_defs </t>
  </si>
  <si>
    <t>PROJCS["HTRS96 / Croatia LCC",GEOGCS["HTRS96",DATUM["Croatian_Terrestrial_Reference_System",SPHEROID["GRS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,PROJECTION["Lambert_Conformal_Conic_2SP"],PARAMETER["standard_parallel_1",45.91666666666666],PARAMETER["standard_parallel_2",43.08333333333334],PARAMETER["latitude_of_origin",0],PARAMETER["central_meridian",16.5],PARAMETER["false_easting",0],PARAMETER["false_northing",0],UNIT["metre",1,AUTHORITY["EPSG","9001"]],AXIS["Easting",EAST],AXIS["Northing",NORTH],AUTHORITY["EPSG","3766"]]</t>
  </si>
  <si>
    <t xml:space="preserve">+proj=lcc +lat_1=45.91666666666666 +lat_2=43.08333333333334 +lat_0=0 +lon_0=16.5 +x_0=0 +y_0=0 +ellps=GRS80 +towgs84=0,0,0,0,0,0,0 +units=m +no_defs </t>
  </si>
  <si>
    <t>PROJCS["HTRS96 / UTM zone 33N",GEOGCS["HTRS96",DATUM["Croatian_Terrestrial_Reference_System",SPHEROID["GRS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3767"]]</t>
  </si>
  <si>
    <t>PROJCS["HTRS96 / UTM zone 34N",GEOGCS["HTRS96",DATUM["Croatian_Terrestrial_Reference_System",SPHEROID["GRS 1980",6378137,298.257222101,AUTHORITY["EPSG","7019"]],TOWGS84[0,0,0,0,0,0,0],AUTHORITY["EPSG","6761"]],PRIMEM["Greenwich",0,AUTHORITY["EPSG","8901"]],UNIT["degree",0.0174532925199433,AUTHORITY["EPSG","9122"]],AUTHORITY["EPSG","4761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3768"]]</t>
  </si>
  <si>
    <t>PROJCS["Bermuda 1957 / UTM zone 20N",GEOGCS["Bermuda 1957",DATUM["Bermuda_1957",SPHEROID["Clarke 1866",6378206.4,294.9786982138982,AUTHORITY["EPSG","7008"]],TOWGS84[-73,213,296,0,0,0,0],AUTHORITY["EPSG","6216"]],PRIMEM["Greenwich",0,AUTHORITY["EPSG","8901"]],UNIT["degree",0.0174532925199433,AUTHORITY["EPSG","9122"]],AUTHORITY["EPSG","4216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3769"]]</t>
  </si>
  <si>
    <t xml:space="preserve">+proj=utm +zone=20 +ellps=clrk66 +towgs84=-73,213,296,0,0,0,0 +units=m +no_defs </t>
  </si>
  <si>
    <t>PROJCS["BDA2000 / Bermuda 2000 National Grid",GEOGCS["BDA2000",DATUM["Bermuda_2000",SPHEROID["WGS 84",6378137,298.257223563,AUTHORITY["EPSG","7030"]],TOWGS84[0,0,0,0,0,0,0],AUTHORITY["EPSG","6762"]],PRIMEM["Greenwich",0,AUTHORITY["EPSG","8901"]],UNIT["degree",0.0174532925199433,AUTHORITY["EPSG","9122"]],AUTHORITY["EPSG","4762"]],PROJECTION["Transverse_Mercator"],PARAMETER["latitude_of_origin",32],PARAMETER["central_meridian",-64.75],PARAMETER["scale_factor",1],PARAMETER["false_easting",550000],PARAMETER["false_northing",100000],UNIT["metre",1,AUTHORITY["EPSG","9001"]],AXIS["Easting",EAST],AXIS["Northing",NORTH],AUTHORITY["EPSG","3770"]]</t>
  </si>
  <si>
    <t xml:space="preserve">+proj=tmerc +lat_0=32 +lon_0=-64.75 +k=1 +x_0=550000 +y_0=100000 +ellps=WGS84 +towgs84=0,0,0,0,0,0,0 +units=m +no_defs </t>
  </si>
  <si>
    <t>PROJCS["NAD27 / Alberta 3TM ref merid 111 W",GEOGCS["NAD27",DATUM["North_American_Datum_1927",SPHEROID["Clarke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-111],PARAMETER["scale_factor",0.9999],PARAMETER["false_easting",0],PARAMETER["false_northing",0],UNIT["metre",1,AUTHORITY["EPSG","9001"]],AXIS["Easting",EAST],AXIS["Northing",NORTH],AUTHORITY["EPSG","3771"]]</t>
  </si>
  <si>
    <t>PROJCS["NAD27 / Alberta 3TM ref merid 114 W",GEOGCS["NAD27",DATUM["North_American_Datum_1927",SPHEROID["Clarke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-114],PARAMETER["scale_factor",0.9999],PARAMETER["false_easting",0],PARAMETER["false_northing",0],UNIT["metre",1,AUTHORITY["EPSG","9001"]],AXIS["Easting",EAST],AXIS["Northing",NORTH],AUTHORITY["EPSG","3772"]]</t>
  </si>
  <si>
    <t>PROJCS["NAD27 / Alberta 3TM ref merid 117 W",GEOGCS["NAD27",DATUM["North_American_Datum_1927",SPHEROID["Clarke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-117],PARAMETER["scale_factor",0.9999],PARAMETER["false_easting",0],PARAMETER["false_northing",0],UNIT["metre",1,AUTHORITY["EPSG","9001"]],AXIS["Easting",EAST],AXIS["Northing",NORTH],AUTHORITY["EPSG","3773"]]</t>
  </si>
  <si>
    <t>PROJCS["NAD27 / Alberta 3TM ref merid 120 W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3774"]]</t>
  </si>
  <si>
    <t>PROJCS["NAD83 / Alberta 3TM ref merid 111 W",GEOGCS["NAD83",DATUM["North_American_Datum_1983",SPHEROID["GRS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-111],PARAMETER["scale_factor",0.9999],PARAMETER["false_easting",0],PARAMETER["false_northing",0],UNIT["metre",1,AUTHORITY["EPSG","9001"]],AXIS["Easting",EAST],AXIS["Northing",NORTH],AUTHORITY["EPSG","3775"]]</t>
  </si>
  <si>
    <t>PROJCS["NAD83 / Alberta 3TM ref merid 114 W",GEOGCS["NAD83",DATUM["North_American_Datum_1983",SPHEROID["GRS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-114],PARAMETER["scale_factor",0.9999],PARAMETER["false_easting",0],PARAMETER["false_northing",0],UNIT["metre",1,AUTHORITY["EPSG","9001"]],AXIS["Easting",EAST],AXIS["Northing",NORTH],AUTHORITY["EPSG","3776"]]</t>
  </si>
  <si>
    <t>PROJCS["NAD83 / Alberta 3TM ref merid 117 W",GEOGCS["NAD83",DATUM["North_American_Datum_1983",SPHEROID["GRS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-117],PARAMETER["scale_factor",0.9999],PARAMETER["false_easting",0],PARAMETER["false_northing",0],UNIT["metre",1,AUTHORITY["EPSG","9001"]],AXIS["Easting",EAST],AXIS["Northing",NORTH],AUTHORITY["EPSG","3777"]]</t>
  </si>
  <si>
    <t>PROJCS["NAD83 / Alberta 3TM ref merid 120 W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3778"]]</t>
  </si>
  <si>
    <t>PROJCS["NAD83(CSRS) / Alberta 3TM ref merid 111 W",GEOGCS["NAD83(CSRS)",DATUM["NAD83_Canadian_Spatial_Reference_System",SPHEROID["GRS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-111],PARAMETER["scale_factor",0.9999],PARAMETER["false_easting",0],PARAMETER["false_northing",0],UNIT["metre",1,AUTHORITY["EPSG","9001"]],AXIS["Easting",EAST],AXIS["Northing",NORTH],AUTHORITY["EPSG","3779"]]</t>
  </si>
  <si>
    <t xml:space="preserve">+proj=tmerc +lat_0=0 +lon_0=-111 +k=0.9999 +x_0=0 +y_0=0 +ellps=GRS80 +towgs84=0,0,0,0,0,0,0 +units=m +no_defs </t>
  </si>
  <si>
    <t>PROJCS["NAD83(CSRS) / Alberta 3TM ref merid 114 W",GEOGCS["NAD83(CSRS)",DATUM["NAD83_Canadian_Spatial_Reference_System",SPHEROID["GRS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-114],PARAMETER["scale_factor",0.9999],PARAMETER["false_easting",0],PARAMETER["false_northing",0],UNIT["metre",1,AUTHORITY["EPSG","9001"]],AXIS["Easting",EAST],AXIS["Northing",NORTH],AUTHORITY["EPSG","3780"]]</t>
  </si>
  <si>
    <t xml:space="preserve">+proj=tmerc +lat_0=0 +lon_0=-114 +k=0.9999 +x_0=0 +y_0=0 +ellps=GRS80 +towgs84=0,0,0,0,0,0,0 +units=m +no_defs </t>
  </si>
  <si>
    <t>PROJCS["NAD83(CSRS) / Alberta 3TM ref merid 117 W",GEOGCS["NAD83(CSRS)",DATUM["NAD83_Canadian_Spatial_Reference_System",SPHEROID["GRS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-117],PARAMETER["scale_factor",0.9999],PARAMETER["false_easting",0],PARAMETER["false_northing",0],UNIT["metre",1,AUTHORITY["EPSG","9001"]],AXIS["Easting",EAST],AXIS["Northing",NORTH],AUTHORITY["EPSG","3781"]]</t>
  </si>
  <si>
    <t xml:space="preserve">+proj=tmerc +lat_0=0 +lon_0=-117 +k=0.9999 +x_0=0 +y_0=0 +ellps=GRS80 +towgs84=0,0,0,0,0,0,0 +units=m +no_defs </t>
  </si>
  <si>
    <t>PROJCS["NAD83(CSRS) / Alberta 3TM ref merid 120 W (deprecated)",GEOGCS["NAD83(CSRS)",DATUM["NAD83_Canadian_Spatial_Reference_System",SPHEROID["GRS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3782"]]</t>
  </si>
  <si>
    <t xml:space="preserve">+proj=tmerc +lat_0=0 +lon_0=-120 +k=0.9999 +x_0=0 +y_0=0 +ellps=GRS80 +towgs84=0,0,0,0,0,0,0 +units=m +no_defs </t>
  </si>
  <si>
    <t>PROJCS["Pitcairn 2006 / Pitcairn TM 2006",GEOGCS["Pitcairn 2006",DATUM["Pitcairn_2006",SPHEROID["WGS 84",6378137,298.257223563,AUTHORITY["EPSG","7030"]],TOWGS84[0,0,0,0,0,0,0],AUTHORITY["EPSG","6763"]],PRIMEM["Greenwich",0,AUTHORITY["EPSG","8901"]],UNIT["degree",0.0174532925199433,AUTHORITY["EPSG","9122"]],AUTHORITY["EPSG","4763"]],PROJECTION["Transverse_Mercator"],PARAMETER["latitude_of_origin",-25.06855261111111],PARAMETER["central_meridian",-130.1129671111111],PARAMETER["scale_factor",1],PARAMETER["false_easting",14200],PARAMETER["false_northing",15500],UNIT["metre",1,AUTHORITY["EPSG","9001"]],AXIS["Easting",EAST],AXIS["Northing",NORTH],AUTHORITY["EPSG","3783"]]</t>
  </si>
  <si>
    <t xml:space="preserve">+proj=tmerc +lat_0=-25.06855261111111 +lon_0=-130.1129671111111 +k=1 +x_0=14200 +y_0=15500 +ellps=WGS84 +towgs84=0,0,0,0,0,0,0 +units=m +no_defs </t>
  </si>
  <si>
    <t>PROJCS["CGCS2000 / Gauss-Kruger zone 22",GEOGCS["China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129],PARAMETER["scale_factor",1],PARAMETER["false_easting",22500000],PARAMETER["false_northing",0],UNIT["metre",1,AUTHORITY["EPSG","9001"]],AUTHORITY["EPSG","4500"]]</t>
  </si>
  <si>
    <t>PROJCS["Pitcairn 1967 / UTM zone 9S",GEOGCS["Pitcairn 1967",DATUM["Pitcairn_1967",SPHEROID["International 1924",6378388,297,AUTHORITY["EPSG","7022"]],TOWGS84[185,165,42,0,0,0,0],AUTHORITY["EPSG","6729"]],PRIMEM["Greenwich",0,AUTHORITY["EPSG","8901"]],UNIT["degree",0.0174532925199433,AUTHORITY["EPSG","9122"]],AUTHORITY["EPSG","4729"]],PROJECTION["Transverse_Mercator"],PARAMETER["latitude_of_origin",0],PARAMETER["central_meridian",-129],PARAMETER["scale_factor",0.9996],PARAMETER["false_easting",500000],PARAMETER["false_northing",10000000],UNIT["metre",1,AUTHORITY["EPSG","9001"]],AXIS["Easting",EAST],AXIS["Northing",NORTH],AUTHORITY["EPSG","3784"]]</t>
  </si>
  <si>
    <t xml:space="preserve">+proj=utm +zone=9 +south +ellps=intl +towgs84=185,165,42,0,0,0,0 +units=m +no_defs </t>
  </si>
  <si>
    <t>PROJCS["Popular Visualisation CRS / Mercator (deprecated)",GEOGCS["Popular Visualisation CRS",DATUM["Popular_Visualisation_Datum",SPHEROID["Popular Visualisation Sphere",6378137,0,AUTHORITY["EPSG","7059"]],TOWGS84[0,0,0,0,0,0,0],AUTHORITY["EPSG","6055"]],PRIMEM["Greenwich",0,AUTHORITY["EPSG","8901"]],UNIT["degree",0.0174532925199433,AUTHORITY["EPSG","9122"]],AUTHORITY["EPSG","4055"]],PROJECTION["Mercator_1SP"],PARAMETER["central_meridian",0],PARAMETER["scale_factor",1],PARAMETER["false_easting",0],PARAMETER["false_northing",0],UNIT["metre",1,AUTHORITY["EPSG","9001"]],AXIS["X",EAST],AXIS["Y",NORTH],EXTENSION["PROJ4","+proj=merc +a=6378137 +b=6378137 +lat_ts=0.0 +lon_0=0.0 +x_0=0.0 +y_0=0 +k=1.0 +units=m +nadgrids=@null +wktext +no_defs"],AUTHORITY["EPSG","3785"]]</t>
  </si>
  <si>
    <t>+proj=merc +a=6378137 +b=6378137 +lat_ts=0.0 +lon_0=0.0 +x_0=0.0 +y_0=0 +k=1.0 +units=m +nadgrids=@null +wktext +no_defs</t>
  </si>
  <si>
    <t>PROJCS["World Equidistant Cylindrical (Sphere) (deprecated)",GEOGCS["Unspecified datum based upon the GRS 1980 Authalic Sphere",DATUM["Not_specified_based_on_GRS_1980_Authalic_Sphere",SPHEROID["GRS 1980 Authalic Sphere",6371007,0,AUTHORITY["EPSG","7048"]],AUTHORITY["EPSG","6047"]],PRIMEM["Greenwich",0,AUTHORITY["EPSG","8901"]],UNIT["degree",0.0174532925199433,AUTHORITY["EPSG","9122"]],AUTHORITY["EPSG","4047"]],PROJECTION["Equirectangular"],PARAMETER["latitude_of_origin",0],PARAMETER["central_meridian",0],PARAMETER["false_easting",0],PARAMETER["false_northing",0],UNIT["metre",1,AUTHORITY["EPSG","9001"]],AXIS["X",EAST],AXIS["Y",NORTH],AUTHORITY["EPSG","3786"]]</t>
  </si>
  <si>
    <t>PROJCS["MGI / Slovene National Grid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15],PARAMETER["scale_factor",0.9999],PARAMETER["false_easting",500000],PARAMETER["false_northing",-5000000],UNIT["metre",1,AUTHORITY["EPSG","9001"]],AXIS["Y",EAST],AXIS["X",NORTH],AUTHORITY["EPSG","3787"]]</t>
  </si>
  <si>
    <t>PROJCS["NZGD2000 / Auckland Islands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166],PARAMETER["scale_factor",1],PARAMETER["false_easting",3500000],PARAMETER["false_northing",10000000],UNIT["metre",1,AUTHORITY["EPSG","9001"]],AUTHORITY["EPSG","3788"]]</t>
  </si>
  <si>
    <t xml:space="preserve">+proj=tmerc +lat_0=0 +lon_0=166 +k=1 +x_0=3500000 +y_0=10000000 +ellps=GRS80 +towgs84=0,0,0,0,0,0,0 +units=m +no_defs </t>
  </si>
  <si>
    <t>PROJCS["NZGD2000 / Campbell Island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169],PARAMETER["scale_factor",1],PARAMETER["false_easting",3500000],PARAMETER["false_northing",10000000],UNIT["metre",1,AUTHORITY["EPSG","9001"]],AUTHORITY["EPSG","3789"]]</t>
  </si>
  <si>
    <t xml:space="preserve">+proj=tmerc +lat_0=0 +lon_0=169 +k=1 +x_0=3500000 +y_0=10000000 +ellps=GRS80 +towgs84=0,0,0,0,0,0,0 +units=m +no_defs </t>
  </si>
  <si>
    <t>PROJCS["NZGD2000 / Antipodes Islands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179],PARAMETER["scale_factor",1],PARAMETER["false_easting",3500000],PARAMETER["false_northing",10000000],UNIT["metre",1,AUTHORITY["EPSG","9001"]],AUTHORITY["EPSG","3790"]]</t>
  </si>
  <si>
    <t xml:space="preserve">+proj=tmerc +lat_0=0 +lon_0=179 +k=1 +x_0=3500000 +y_0=10000000 +ellps=GRS80 +towgs84=0,0,0,0,0,0,0 +units=m +no_defs </t>
  </si>
  <si>
    <t>PROJCS["NZGD2000 / Raoul Island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-178],PARAMETER["scale_factor",1],PARAMETER["false_easting",3500000],PARAMETER["false_northing",10000000],UNIT["metre",1,AUTHORITY["EPSG","9001"]],AUTHORITY["EPSG","3791"]]</t>
  </si>
  <si>
    <t xml:space="preserve">+proj=tmerc +lat_0=0 +lon_0=-178 +k=1 +x_0=3500000 +y_0=10000000 +ellps=GRS80 +towgs84=0,0,0,0,0,0,0 +units=m +no_defs </t>
  </si>
  <si>
    <t>PROJCS["NZGD2000 / Chatham Islands TM 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-176.5],PARAMETER["scale_factor",1],PARAMETER["false_easting",3500000],PARAMETER["false_northing",10000000],UNIT["metre",1,AUTHORITY["EPSG","9001"]],AUTHORITY["EPSG","3793"]]</t>
  </si>
  <si>
    <t xml:space="preserve">+proj=tmerc +lat_0=0 +lon_0=-176.5 +k=1 +x_0=3500000 +y_0=10000000 +ellps=GRS80 +towgs84=0,0,0,0,0,0,0 +units=m +no_defs </t>
  </si>
  <si>
    <t>PROJCS["Pulkovo 1942(83) / 3-degree Gauss-Kruger zone 8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18],PARAMETER["scale_factor",1],PARAMETER["false_easting",6500000],PARAMETER["false_northing",0],UNIT["metre",1,AUTHORITY["EPSG","9001"]],AUTHORITY["EPSG","3843"]]</t>
  </si>
  <si>
    <t xml:space="preserve">+proj=tmerc +lat_0=0 +lon_0=18 +k=1 +x_0=6500000 +y_0=0 +ellps=krass +towgs84=26,-121,-78,0,0,0,0 +units=m +no_defs </t>
  </si>
  <si>
    <t>PROJCS["Slovenia 1996 / Slovene National Grid",GEOGCS["Slovenia 1996",DATUM["Slovenia_Geodetic_Datum_1996",SPHEROID["GRS 1980",6378137,298.257222101,AUTHORITY["EPSG","7019"]],TOWGS84[0,0,0,0,0,0,0],AUTHORITY["EPSG","6765"]],PRIMEM["Greenwich",0,AUTHORITY["EPSG","8901"]],UNIT["degree",0.0174532925199433,AUTHORITY["EPSG","9122"]],AUTHORITY["EPSG","4765"]],PROJECTION["Transverse_Mercator"],PARAMETER["latitude_of_origin",0],PARAMETER["central_meridian",15],PARAMETER["scale_factor",0.9999],PARAMETER["false_easting",500000],PARAMETER["false_northing",-5000000],UNIT["metre",1,AUTHORITY["EPSG","9001"]],AXIS["Easting",EAST],AXIS["Northing",NORTH],AUTHORITY["EPSG","3794"]]</t>
  </si>
  <si>
    <t xml:space="preserve">+proj=tmerc +lat_0=0 +lon_0=15 +k=0.9999 +x_0=500000 +y_0=-5000000 +ellps=GRS80 +towgs84=0,0,0,0,0,0,0 +units=m +no_defs </t>
  </si>
  <si>
    <t>PROJCS["NAD27 / Cuba Norte",GEOGCS["NAD27",DATUM["North_American_Datum_1927",SPHEROID["Clarke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23],PARAMETER["standard_parallel_2",21.7],PARAMETER["latitude_of_origin",22.35],PARAMETER["central_meridian",-81],PARAMETER["false_easting",500000],PARAMETER["false_northing",280296.016],UNIT["metre",1,AUTHORITY["EPSG","9001"]],AUTHORITY["EPSG","3795"]]</t>
  </si>
  <si>
    <t>PROJCS["NAD27 / Cuba Sur",GEOGCS["NAD27",DATUM["North_American_Datum_1927",SPHEROID["Clarke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21.3],PARAMETER["standard_parallel_2",20.13333333333333],PARAMETER["latitude_of_origin",20.71666666666667],PARAMETER["central_meridian",-76.83333333333333],PARAMETER["false_easting",500000],PARAMETER["false_northing",229126.939],UNIT["metre",1,AUTHORITY["EPSG","9001"]],AUTHORITY["EPSG","3796"]]</t>
  </si>
  <si>
    <t>PROJCS["NAD27 / MTQ Lambert",GEOGCS["NAD27",DATUM["North_American_Datum_1927",SPHEROID["Clarke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50],PARAMETER["standard_parallel_2",46],PARAMETER["latitude_of_origin",44],PARAMETER["central_meridian",-70],PARAMETER["false_easting",800000],PARAMETER["false_northing",0],UNIT["metre",1,AUTHORITY["EPSG","9001"]],AXIS["X",EAST],AXIS["Y",NORTH],AUTHORITY["EPSG","3797"]]</t>
  </si>
  <si>
    <t>PROJCS["NAD83 / MTQ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50],PARAMETER["standard_parallel_2",46],PARAMETER["latitude_of_origin",44],PARAMETER["central_meridian",-70],PARAMETER["false_easting",800000],PARAMETER["false_northing",0],UNIT["metre",1,AUTHORITY["EPSG","9001"]],AXIS["X",EAST],AXIS["Y",NORTH],AUTHORITY["EPSG","3798"]]</t>
  </si>
  <si>
    <t>PROJCS["NAD83(CSRS) / MTQ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50],PARAMETER["standard_parallel_2",46],PARAMETER["latitude_of_origin",44],PARAMETER["central_meridian",-70],PARAMETER["false_easting",800000],PARAMETER["false_northing",0],UNIT["metre",1,AUTHORITY["EPSG","9001"]],AXIS["X",EAST],AXIS["Y",NORTH],AUTHORITY["EPSG","3799"]]</t>
  </si>
  <si>
    <t xml:space="preserve">+proj=lcc +lat_1=50 +lat_2=46 +lat_0=44 +lon_0=-70 +x_0=800000 +y_0=0 +ellps=GRS80 +towgs84=0,0,0,0,0,0,0 +units=m +no_defs </t>
  </si>
  <si>
    <t>PROJCS["NAD27 / Alberta 3TM ref merid 120 W",GEOGCS["NAD27",DATUM["North_American_Datum_1927",SPHEROID["Clarke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3800"]]</t>
  </si>
  <si>
    <t>PROJCS["NAD83 / Alberta 3TM ref merid 120 W",GEOGCS["NAD83",DATUM["North_American_Datum_1983",SPHEROID["GRS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3801"]]</t>
  </si>
  <si>
    <t>PROJCS["NAD83(CSRS) / Alberta 3TM ref merid 120 W",GEOGCS["NAD83(CSRS)",DATUM["NAD83_Canadian_Spatial_Reference_System",SPHEROID["GRS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-120],PARAMETER["scale_factor",0.9999],PARAMETER["false_easting",0],PARAMETER["false_northing",0],UNIT["metre",1,AUTHORITY["EPSG","9001"]],AXIS["Easting",EAST],AXIS["Northing",NORTH],AUTHORITY["EPSG","3802"]]</t>
  </si>
  <si>
    <t>PROJCS["New Beijing / Gauss-Kruger CM 81E",GEOGCS["New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81],PARAMETER["scale_factor",1],PARAMETER["false_easting",500000],PARAMETER["false_northing",0],UNIT["metre",1,AUTHORITY["EPSG","9001"]],AUTHORITY["EPSG","4580"]]</t>
  </si>
  <si>
    <t>PROJCS["ETRS89 / Belgian Lambert 2008",GEOGCS["ETRS89",DATUM["European_Terrestrial_Reference_System_1989",SPHEROID["GRS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49.83333333333334],PARAMETER["standard_parallel_2",51.16666666666666],PARAMETER["latitude_of_origin",50.797815],PARAMETER["central_meridian",4.359215833333333],PARAMETER["false_easting",649328],PARAMETER["false_northing",665262],UNIT["metre",1,AUTHORITY["EPSG","9001"]],AXIS["X",EAST],AXIS["Y",NORTH],AUTHORITY["EPSG","3812"]]</t>
  </si>
  <si>
    <t xml:space="preserve">+proj=lcc +lat_1=49.83333333333334 +lat_2=51.16666666666666 +lat_0=50.797815 +lon_0=4.359215833333333 +x_0=649328 +y_0=665262 +ellps=GRS80 +towgs84=0,0,0,0,0,0,0 +units=m +no_defs </t>
  </si>
  <si>
    <t>PROJCS["NAD83 / Mississippi TM",GEOGCS["NAD83",DATUM["North_American_Datum_1983",SPHEROID["GRS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32.5],PARAMETER["central_meridian",-89.75],PARAMETER["scale_factor",0.9998335],PARAMETER["false_easting",500000],PARAMETER["false_northing",1300000],UNIT["metre",1,AUTHORITY["EPSG","9001"]],AXIS["X",EAST],AXIS["Y",NORTH],AUTHORITY["EPSG","3814"]]</t>
  </si>
  <si>
    <t>PROJCS["NAD83(HARN) / Mississippi TM",GEOGCS["NAD83(HARN)",DATUM["NAD83_High_Accuracy_Reference_Network",SPHEROID["GRS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32.5],PARAMETER["central_meridian",-89.75],PARAMETER["scale_factor",0.9998335],PARAMETER["false_easting",500000],PARAMETER["false_northing",1300000],UNIT["metre",1,AUTHORITY["EPSG","9001"]],AXIS["X",EAST],AXIS["Y",NORTH],AUTHORITY["EPSG","3815"]]</t>
  </si>
  <si>
    <t xml:space="preserve">+proj=tmerc +lat_0=32.5 +lon_0=-89.75 +k=0.9998335 +x_0=500000 +y_0=1300000 +ellps=GRS80 +towgs84=0,0,0,0,0,0,0 +units=m +no_defs </t>
  </si>
  <si>
    <t>PROJCS["NAD83(NSRS2007) / Mississippi TM",GEOGCS["NAD83(NSRS2007)",DATUM["NAD83_National_Spatial_Reference_System_2007",SPHEROID["GRS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32.5],PARAMETER["central_meridian",-89.75],PARAMETER["scale_factor",0.9998335],PARAMETER["false_easting",500000],PARAMETER["false_northing",1300000],UNIT["metre",1,AUTHORITY["EPSG","9001"]],AXIS["X",EAST],AXIS["Y",NORTH],AUTHORITY["EPSG","3816"]]</t>
  </si>
  <si>
    <t>PROJCS["TWD97 / TM2 zone 119",GEOGCS["TWD97",DATUM["Taiwan_Datum_1997",SPHEROID["GRS 1980",6378137,298.257222101,AUTHORITY["EPSG","7019"]],TOWGS84[0,0,0,0,0,0,0],AUTHORITY["EPSG","1026"]],PRIMEM["Greenwich",0,AUTHORITY["EPSG","8901"]],UNIT["degree",0.0174532925199433,AUTHORITY["EPSG","9122"]],AUTHORITY["EPSG","3824"]],PROJECTION["Transverse_Mercator"],PARAMETER["latitude_of_origin",0],PARAMETER["central_meridian",119],PARAMETER["scale_factor",0.9999],PARAMETER["false_easting",250000],PARAMETER["false_northing",0],UNIT["metre",1,AUTHORITY["EPSG","9001"]],AXIS["X",EAST],AXIS["Y",NORTH],AUTHORITY["EPSG","3825"]]</t>
  </si>
  <si>
    <t xml:space="preserve">+proj=tmerc +lat_0=0 +lon_0=119 +k=0.9999 +x_0=250000 +y_0=0 +ellps=GRS80 +towgs84=0,0,0,0,0,0,0 +units=m +no_defs </t>
  </si>
  <si>
    <t>PROJCS["TWD97 / TM2 zone 121",GEOGCS["TWD97",DATUM["Taiwan_Datum_1997",SPHEROID["GRS 1980",6378137,298.257222101,AUTHORITY["EPSG","7019"]],TOWGS84[0,0,0,0,0,0,0],AUTHORITY["EPSG","1026"]],PRIMEM["Greenwich",0,AUTHORITY["EPSG","8901"]],UNIT["degree",0.0174532925199433,AUTHORITY["EPSG","9122"]],AUTHORITY["EPSG","3824"]],PROJECTION["Transverse_Mercator"],PARAMETER["latitude_of_origin",0],PARAMETER["central_meridian",121],PARAMETER["scale_factor",0.9999],PARAMETER["false_easting",250000],PARAMETER["false_northing",0],UNIT["metre",1,AUTHORITY["EPSG","9001"]],AXIS["X",EAST],AXIS["Y",NORTH],AUTHORITY["EPSG","3826"]]</t>
  </si>
  <si>
    <t xml:space="preserve">+proj=tmerc +lat_0=0 +lon_0=121 +k=0.9999 +x_0=250000 +y_0=0 +ellps=GRS80 +towgs84=0,0,0,0,0,0,0 +units=m +no_defs </t>
  </si>
  <si>
    <t>PROJCS["TWD67 / TM2 zone 119",GEOGCS["TWD67",DATUM["Taiwan_Datum_1967",SPHEROID["GRS 1967 Modified",6378160,298.25,AUTHORITY["EPSG","7050"]],AUTHORITY["EPSG","1025"]],PRIMEM["Greenwich",0,AUTHORITY["EPSG","8901"]],UNIT["degree",0.0174532925199433,AUTHORITY["EPSG","9122"]],AUTHORITY["EPSG","3821"]],PROJECTION["Transverse_Mercator"],PARAMETER["latitude_of_origin",0],PARAMETER["central_meridian",119],PARAMETER["scale_factor",0.9999],PARAMETER["false_easting",250000],PARAMETER["false_northing",0],UNIT["metre",1,AUTHORITY["EPSG","9001"]],AXIS["X",EAST],AXIS["Y",NORTH],AUTHORITY["EPSG","3827"]]</t>
  </si>
  <si>
    <t>PROJCS["TWD67 / TM2 zone 121",GEOGCS["TWD67",DATUM["Taiwan_Datum_1967",SPHEROID["GRS 1967 Modified",6378160,298.25,AUTHORITY["EPSG","7050"]],AUTHORITY["EPSG","1025"]],PRIMEM["Greenwich",0,AUTHORITY["EPSG","8901"]],UNIT["degree",0.0174532925199433,AUTHORITY["EPSG","9122"]],AUTHORITY["EPSG","3821"]],PROJECTION["Transverse_Mercator"],PARAMETER["latitude_of_origin",0],PARAMETER["central_meridian",121],PARAMETER["scale_factor",0.9999],PARAMETER["false_easting",250000],PARAMETER["false_northing",0],UNIT["metre",1,AUTHORITY["EPSG","9001"]],AXIS["X",EAST],AXIS["Y",NORTH],AUTHORITY["EPSG","3828"]]</t>
  </si>
  <si>
    <t>PROJCS["Hu Tzu Shan 1950 / UTM zone 51N",GEOGCS["Hu Tzu Shan 1950",DATUM["Hu_Tzu_Shan_1950",SPHEROID["International 1924",6378388,297,AUTHORITY["EPSG","7022"]],TOWGS84[-637,-549,-203,0,0,0,0],AUTHORITY["EPSG","6236"]],PRIMEM["Greenwich",0,AUTHORITY["EPSG","8901"]],UNIT["degree",0.0174532925199433,AUTHORITY["EPSG","9122"]],AUTHORITY["EPSG","4236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3829"]]</t>
  </si>
  <si>
    <t xml:space="preserve">+proj=utm +zone=51 +ellps=intl +towgs84=-637,-549,-203,0,0,0,0 +units=m +no_defs </t>
  </si>
  <si>
    <t>PROJCS["WGS 84 / PDC Mercator",GEOGCS["WGS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150],PARAMETER["scale_factor",1],PARAMETER["false_easting",0],PARAMETER["false_northing",0],UNIT["metre",1,AUTHORITY["EPSG","9001"]],AXIS["Easting",EAST],AXIS["Northing",NORTH],AUTHORITY["EPSG","3832"]]</t>
  </si>
  <si>
    <t>PROJCS["Pulkovo 1942(58) / Gauss-Kruger zone 2",GEOGCS["Pulkovo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9],PARAMETER["scale_factor",1],PARAMETER["false_easting",2500000],PARAMETER["false_northing",0],UNIT["metre",1,AUTHORITY["EPSG","9001"]],AUTHORITY["EPSG","3833"]]</t>
  </si>
  <si>
    <t xml:space="preserve">+proj=tmerc +lat_0=0 +lon_0=9 +k=1 +x_0=2500000 +y_0=0 +ellps=krass +towgs84=33.4,-146.6,-76.3,-0.359,-0.053,0.844,-0.84 +units=m +no_defs </t>
  </si>
  <si>
    <t>PROJCS["Pulkovo 1942(83) / Gauss-Kruger zone 2",GEOGCS["Pulkovo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2500000],PARAMETER["false_northing",0],UNIT["metre",1,AUTHORITY["EPSG","9001"]],AUTHORITY["EPSG","3834"]]</t>
  </si>
  <si>
    <t xml:space="preserve">+proj=tmerc +lat_0=0 +lon_0=9 +k=1 +x_0=2500000 +y_0=0 +ellps=krass +towgs84=26,-121,-78,0,0,0,0 +units=m +no_defs </t>
  </si>
  <si>
    <t>PROJCS["Pulkovo 1942(83) / Gauss-Kruger zone 3",GEOGCS["Pulkovo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3500000],PARAMETER["false_northing",0],UNIT["metre",1,AUTHORITY["EPSG","9001"]],AUTHORITY["EPSG","3835"]]</t>
  </si>
  <si>
    <t xml:space="preserve">+proj=tmerc +lat_0=0 +lon_0=15 +k=1 +x_0=3500000 +y_0=0 +ellps=krass +towgs84=26,-121,-78,0,0,0,0 +units=m +no_defs </t>
  </si>
  <si>
    <t>PROJCS["Pulkovo 1942(83) / Gauss-Kruger zone 4",GEOGCS["Pulkovo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21],PARAMETER["scale_factor",1],PARAMETER["false_easting",4500000],PARAMETER["false_northing",0],UNIT["metre",1,AUTHORITY["EPSG","9001"]],AUTHORITY["EPSG","3836"]]</t>
  </si>
  <si>
    <t xml:space="preserve">+proj=tmerc +lat_0=0 +lon_0=21 +k=1 +x_0=4500000 +y_0=0 +ellps=krass +towgs84=26,-121,-78,0,0,0,0 +units=m +no_defs </t>
  </si>
  <si>
    <t>PROJCS["Pulkovo 1942(58) / 3-degree Gauss-Kruger zone 3",GEOGCS["Pulkovo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9],PARAMETER["scale_factor",1],PARAMETER["false_easting",3500000],PARAMETER["false_northing",0],UNIT["metre",1,AUTHORITY["EPSG","9001"]],AUTHORITY["EPSG","3837"]]</t>
  </si>
  <si>
    <t xml:space="preserve">+proj=tmerc +lat_0=0 +lon_0=9 +k=1 +x_0=3500000 +y_0=0 +ellps=krass +towgs84=33.4,-146.6,-76.3,-0.359,-0.053,0.844,-0.84 +units=m +no_defs </t>
  </si>
  <si>
    <t>PROJCS["Pulkovo 1942(58) / 3-degree Gauss-Kruger zone 4",GEOGCS["Pulkovo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12],PARAMETER["scale_factor",1],PARAMETER["false_easting",4500000],PARAMETER["false_northing",0],UNIT["metre",1,AUTHORITY["EPSG","9001"]],AUTHORITY["EPSG","3838"]]</t>
  </si>
  <si>
    <t xml:space="preserve">+proj=tmerc +lat_0=0 +lon_0=12 +k=1 +x_0=4500000 +y_0=0 +ellps=krass +towgs84=33.4,-146.6,-76.3,-0.359,-0.053,0.844,-0.84 +units=m +no_defs </t>
  </si>
  <si>
    <t>PROJCS["Pulkovo 1942(58) / 3-degree Gauss-Kruger zone 9",GEOGCS["Pulkovo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27],PARAMETER["scale_factor",1],PARAMETER["false_easting",9500000],PARAMETER["false_northing",0],UNIT["metre",1,AUTHORITY["EPSG","9001"]],AUTHORITY["EPSG","3839"]]</t>
  </si>
  <si>
    <t xml:space="preserve">+proj=tmerc +lat_0=0 +lon_0=27 +k=1 +x_0=9500000 +y_0=0 +ellps=krass +towgs84=33.4,-146.6,-76.3,-0.359,-0.053,0.844,-0.84 +units=m +no_defs </t>
  </si>
  <si>
    <t>PROJCS["Pulkovo 1942(58) / 3-degree Gauss-Kruger zone 10",GEOGCS["Pulkovo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30],PARAMETER["scale_factor",1],PARAMETER["false_easting",10500000],PARAMETER["false_northing",0],UNIT["metre",1,AUTHORITY["EPSG","9001"]],AUTHORITY["EPSG","3840"]]</t>
  </si>
  <si>
    <t xml:space="preserve">+proj=tmerc +lat_0=0 +lon_0=30 +k=1 +x_0=10500000 +y_0=0 +ellps=krass +towgs84=33.4,-146.6,-76.3,-0.359,-0.053,0.844,-0.84 +units=m +no_defs </t>
  </si>
  <si>
    <t>PROJCS["Pulkovo 1942(83) / 3-degree Gauss-Kruger zone 6",GEOGCS["Pulkovo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18],PARAMETER["scale_factor",1],PARAMETER["false_easting",6500000],PARAMETER["false_northing",0],UNIT["metre",1,AUTHORITY["EPSG","9001"]],AUTHORITY["EPSG","3841"]]</t>
  </si>
  <si>
    <t>PROJCS["Pulkovo 1942(83) / 3-degree Gauss-Kruger zone 7 (deprecated)",GEOGCS["Pulkovo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18],PARAMETER["scale_factor",1],PARAMETER["false_easting",6500000],PARAMETER["false_northing",0],UNIT["metre",1,AUTHORITY["EPSG","9001"]],AUTHORITY["EPSG","3842"]]</t>
  </si>
  <si>
    <t>PROJCS["Pulkovo 1942(58) / Stereo70",GEOGCS["Pulkovo 1942(58)",DATUM["Pulkovo_1942_58",SPHEROID["Krassowsky 1940",6378245,298.3,AUTHORITY["EPSG","7024"]],TOWGS84[2.329,-147.042,-92.08,0.309,-0.325,-0.497,5.69],AUTHORITY["EPSG","6179"]],PRIMEM["Greenwich",0,AUTHORITY["EPSG","8901"]],UNIT["degree",0.0174532925199433,AUTHORITY["EPSG","9122"]],AUTHORITY["EPSG","4179"]],PROJECTION["Oblique_Stereographic"],PARAMETER["latitude_of_origin",46],PARAMETER["central_meridian",25],PARAMETER["scale_factor",0.99975],PARAMETER["false_easting",500000],PARAMETER["false_northing",500000],UNIT["metre",1,AUTHORITY["EPSG","9001"]],AUTHORITY["EPSG","3844"]]</t>
  </si>
  <si>
    <t xml:space="preserve">+proj=sterea +lat_0=46 +lon_0=25 +k=0.99975 +x_0=500000 +y_0=500000 +ellps=krass +towgs84=2.329,-147.042,-92.08,0.309,-0.325,-0.497,5.69 +units=m +no_defs </t>
  </si>
  <si>
    <t>PROJCS["SWEREF99 / RT90 7.5 gon V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11.30625],PARAMETER["scale_factor",1.000006],PARAMETER["false_easting",1500025.141],PARAMETER["false_northing",-667.282],UNIT["metre",1,AUTHORITY["EPSG","9001"]],AUTHORITY["EPSG","3845"]]</t>
  </si>
  <si>
    <t xml:space="preserve">+proj=tmerc +lat_0=0 +lon_0=11.30625 +k=1.000006 +x_0=1500025.141 +y_0=-667.282 +ellps=GRS80 +towgs84=0,0,0,0,0,0,0 +units=m +no_defs </t>
  </si>
  <si>
    <t>PROJCS["SWEREF99 / RT90 5 gon V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13.55626666666667],PARAMETER["scale_factor",1.0000058],PARAMETER["false_easting",1500044.695],PARAMETER["false_northing",-667.13],UNIT["metre",1,AUTHORITY["EPSG","9001"]],AUTHORITY["EPSG","3846"]]</t>
  </si>
  <si>
    <t xml:space="preserve">+proj=tmerc +lat_0=0 +lon_0=13.55626666666667 +k=1.0000058 +x_0=1500044.695 +y_0=-667.13 +ellps=GRS80 +towgs84=0,0,0,0,0,0,0 +units=m +no_defs </t>
  </si>
  <si>
    <t>PROJCS["SWEREF99 / RT90 2.5 gon V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15.80628452944445],PARAMETER["scale_factor",1.00000561024],PARAMETER["false_easting",1500064.274],PARAMETER["false_northing",-667.711],UNIT["metre",1,AUTHORITY["EPSG","9001"]],AUTHORITY["EPSG","3847"]]</t>
  </si>
  <si>
    <t xml:space="preserve">+proj=tmerc +lat_0=0 +lon_0=15.80628452944445 +k=1.00000561024 +x_0=1500064.274 +y_0=-667.711 +ellps=GRS80 +towgs84=0,0,0,0,0,0,0 +units=m +no_defs </t>
  </si>
  <si>
    <t>PROJCS["SWEREF99 / RT90 0 gon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18.0563],PARAMETER["scale_factor",1.0000054],PARAMETER["false_easting",1500083.521],PARAMETER["false_northing",-668.844],UNIT["metre",1,AUTHORITY["EPSG","9001"]],AUTHORITY["EPSG","3848"]]</t>
  </si>
  <si>
    <t xml:space="preserve">+proj=tmerc +lat_0=0 +lon_0=18.0563 +k=1.0000054 +x_0=1500083.521 +y_0=-668.8440000000001 +ellps=GRS80 +towgs84=0,0,0,0,0,0,0 +units=m +no_defs </t>
  </si>
  <si>
    <t>PROJCS["SWEREF99 / RT90 2.5 gon O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20.30631666666667],PARAMETER["scale_factor",1.0000052],PARAMETER["false_easting",1500102.765],PARAMETER["false_northing",-670.706],UNIT["metre",1,AUTHORITY["EPSG","9001"]],AUTHORITY["EPSG","3849"]]</t>
  </si>
  <si>
    <t xml:space="preserve">+proj=tmerc +lat_0=0 +lon_0=20.30631666666667 +k=1.0000052 +x_0=1500102.765 +y_0=-670.706 +ellps=GRS80 +towgs84=0,0,0,0,0,0,0 +units=m +no_defs </t>
  </si>
  <si>
    <t>PROJCS["SWEREF99 / RT90 5 gon O emulation",GEOGCS["SWEREF99",DATUM["SWEREF99",SPHEROID["GRS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22.55633333333333],PARAMETER["scale_factor",1.0000049],PARAMETER["false_easting",1500121.846],PARAMETER["false_northing",-672.557],UNIT["metre",1,AUTHORITY["EPSG","9001"]],AUTHORITY["EPSG","3850"]]</t>
  </si>
  <si>
    <t xml:space="preserve">+proj=tmerc +lat_0=0 +lon_0=22.55633333333333 +k=1.0000049 +x_0=1500121.846 +y_0=-672.557 +ellps=GRS80 +towgs84=0,0,0,0,0,0,0 +units=m +no_defs </t>
  </si>
  <si>
    <t>PROJCS["NZGD2000 / NZCS2000",GEOGCS["NZGD2000",DATUM["New_Zealand_Geodetic_Datum_2000",SPHEROID["GRS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Lambert_Conformal_Conic_2SP"],PARAMETER["standard_parallel_1",-37.5],PARAMETER["standard_parallel_2",-44.5],PARAMETER["latitude_of_origin",-41],PARAMETER["central_meridian",173],PARAMETER["false_easting",3000000],PARAMETER["false_northing",7000000],UNIT["metre",1,AUTHORITY["EPSG","9001"]],AUTHORITY["EPSG","3851"]]</t>
  </si>
  <si>
    <t xml:space="preserve">+proj=lcc +lat_1=-37.5 +lat_2=-44.5 +lat_0=-41 +lon_0=173 +x_0=3000000 +y_0=7000000 +ellps=GRS80 +towgs84=0,0,0,0,0,0,0 +units=m +no_defs </t>
  </si>
  <si>
    <t>PROJCS["RSRGD2000 / DGLC2000",GEOGCS["RSRGD2000",DATUM["Ross_Sea_Region_Geodetic_Datum_2000",SPHEROID["GRS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Lambert_Conformal_Conic_2SP"],PARAMETER["standard_parallel_1",-76.66666666666667],PARAMETER["standard_parallel_2",-79.33333333333333],PARAMETER["latitude_of_origin",-90],PARAMETER["central_meridian",157],PARAMETER["false_easting",500000],PARAMETER["false_northing",0],UNIT["metre",1,AUTHORITY["EPSG","9001"]],AUTHORITY["EPSG","3852"]]</t>
  </si>
  <si>
    <t xml:space="preserve">+proj=lcc +lat_1=-76.66666666666667 +lat_2=-79.33333333333333 +lat_0=-90 +lon_0=157 +x_0=500000 +y_0=0 +ellps=GRS80 +towgs84=0,0,0,0,0,0,0 +units=m +no_defs </t>
  </si>
  <si>
    <t>GEOCCS["RSRGD2000",DATUM["Ross_Sea_Region_Geodetic_Datum_2000",SPHEROID["GRS 1980",6378137,298.257222101,AUTHORITY["EPSG","7019"]],AUTHORITY["EPSG","6764"]],PRIMEM["Greenwich",0,AUTHORITY["EPSG","8901"]],UNIT["metre",1,AUTHORITY["EPSG","9001"]],AXIS["Geocentric X",OTHER],AXIS["Geocentric Y",OTHER],AXIS["Geocentric Z",NORTH],AUTHORITY["EPSG","4884"]]</t>
  </si>
  <si>
    <t>PROJCS["County ST74",GEOGCS["SWEREF99",DATUM["SWEREF99",SPHEROID["GRS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18.05787],PARAMETER["scale_factor",0.99999506],PARAMETER["false_easting",100182.7406],PARAMETER["false_northing",-6500620.1207],UNIT["metre",1,AUTHORITY["EPSG","9001"]],AUTHORITY["EPSG","3854"]]</t>
  </si>
  <si>
    <t xml:space="preserve">+proj=tmerc +lat_0=0 +lon_0=18.05787 +k=0.99999506 +x_0=100182.7406 +y_0=-6500620.1207 +ellps=GRS80 +towgs84=0,0,0,0,0,0,0 +units=m +no_defs </t>
  </si>
  <si>
    <t>PROJCS["WGS 84 / Pseudo-Mercator",GEOGCS["WGS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0],PARAMETER["scale_factor",1],PARAMETER["false_easting",0],PARAMETER["false_northing",0],UNIT["metre",1,AUTHORITY["EPSG","9001"]],AXIS["X",EAST],AXIS["Y",NORTH],EXTENSION["PROJ4","+proj=merc +a=6378137 +b=6378137 +lat_ts=0.0 +lon_0=0.0 +x_0=0.0 +y_0=0 +k=1.0 +units=m +nadgrids=@null +wktext +no_defs"],AUTHORITY["EPSG","3857"]]</t>
  </si>
  <si>
    <t>PROJCS["ETRS89 / GK19FIN",GEOGCS["ETRS89",DATUM["European_Terrestrial_Reference_System_1989",SPHEROID["GRS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19],PARAMETER["scale_factor",1],PARAMETER["false_easting",19500000],PARAMETER["false_northing",0],UNIT["metre",1,AUTHORITY["EPSG","9001"]],AUTHORITY["EPSG","3873"]]</t>
  </si>
  <si>
    <t xml:space="preserve">+proj=tmerc +lat_0=0 +lon_0=19 +k=1 +x_0=19500000 +y_0=0 +ellps=GRS80 +towgs84=0,0,0,0,0,0,0 +units=m +no_defs </t>
  </si>
  <si>
    <t>PROJCS["ETRS89 / GK20FIN",GEOGCS["ETRS89",DATUM["European_Terrestrial_Reference_System_1989",SPHEROID["GRS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20],PARAMETER["scale_factor",1],PARAMETER["false_easting",20500000],PARAMETER["false_northing",0],UNIT["metre",1,AUTHORITY["EPSG","9001"]],AUTHORITY["EPSG","3874"]]</t>
  </si>
  <si>
    <t xml:space="preserve">+proj=tmerc +lat_0=0 +lon_0=20 +k=1 +x_0=20500000 +y_0=0 +ellps=GRS80 +towgs84=0,0,0,0,0,0,0 +units=m +no_defs </t>
  </si>
  <si>
    <t>PROJCS["ETRS89 / GK21FIN",GEOGCS["ETRS89",DATUM["European_Terrestrial_Reference_System_1989",SPHEROID["GRS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1],PARAMETER["false_easting",21500000],PARAMETER["false_northing",0],UNIT["metre",1,AUTHORITY["EPSG","9001"]],AUTHORITY["EPSG","3875"]]</t>
  </si>
  <si>
    <t xml:space="preserve">+proj=tmerc +lat_0=0 +lon_0=21 +k=1 +x_0=21500000 +y_0=0 +ellps=GRS80 +towgs84=0,0,0,0,0,0,0 +units=m +no_defs </t>
  </si>
  <si>
    <t>PROJCS["ETRS89 / GK22FIN",GEOGCS["ETRS89",DATUM["European_Terrestrial_Reference_System_1989",SPHEROID["GRS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22],PARAMETER["scale_factor",1],PARAMETER["false_easting",22500000],PARAMETER["false_northing",0],UNIT["metre",1,AUTHORITY["EPSG","9001"]],AUTHORITY["EPSG","3876"]]</t>
  </si>
  <si>
    <t xml:space="preserve">+proj=tmerc +lat_0=0 +lon_0=22 +k=1 +x_0=22500000 +y_0=0 +ellps=GRS80 +towgs84=0,0,0,0,0,0,0 +units=m +no_defs </t>
  </si>
  <si>
    <t>PROJCS["ETRS89 / GK23FIN",GEOGCS["ETRS89",DATUM["European_Terrestrial_Reference_System_1989",SPHEROID["GRS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23],PARAMETER["scale_factor",1],PARAMETER["false_easting",23500000],PARAMETER["false_northing",0],UNIT["metre",1,AUTHORITY["EPSG","9001"]],AUTHORITY["EPSG","3877"]]</t>
  </si>
  <si>
    <t xml:space="preserve">+proj=tmerc +lat_0=0 +lon_0=23 +k=1 +x_0=23500000 +y_0=0 +ellps=GRS80 +towgs84=0,0,0,0,0,0,0 +units=m +no_defs </t>
  </si>
  <si>
    <t>PROJCS["ETRS89 / GK24FIN",GEOGCS["ETRS89",DATUM["European_Terrestrial_Reference_System_1989",SPHEROID["GRS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24],PARAMETER["scale_factor",1],PARAMETER["false_easting",24500000],PARAMETER["false_northing",0],UNIT["metre",1,AUTHORITY["EPSG","9001"]],AUTHORITY["EPSG","3878"]]</t>
  </si>
  <si>
    <t xml:space="preserve">+proj=tmerc +lat_0=0 +lon_0=24 +k=1 +x_0=24500000 +y_0=0 +ellps=GRS80 +towgs84=0,0,0,0,0,0,0 +units=m +no_defs </t>
  </si>
  <si>
    <t>PROJCS["ETRS89 / GK25FIN",GEOGCS["ETRS89",DATUM["European_Terrestrial_Reference_System_1989",SPHEROID["GRS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25],PARAMETER["scale_factor",1],PARAMETER["false_easting",25500000],PARAMETER["false_northing",0],UNIT["metre",1,AUTHORITY["EPSG","9001"]],AUTHORITY["EPSG","3879"]]</t>
  </si>
  <si>
    <t xml:space="preserve">+proj=tmerc +lat_0=0 +lon_0=25 +k=1 +x_0=25500000 +y_0=0 +ellps=GRS80 +towgs84=0,0,0,0,0,0,0 +units=m +no_defs </t>
  </si>
  <si>
    <t>PROJCS["ETRS89 / GK26FIN",GEOGCS["ETRS89",DATUM["European_Terrestrial_Reference_System_1989",SPHEROID["GRS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26],PARAMETER["scale_factor",1],PARAMETER["false_easting",26500000],PARAMETER["false_northing",0],UNIT["metre",1,AUTHORITY["EPSG","9001"]],AUTHORITY["EPSG","3880"]]</t>
  </si>
  <si>
    <t xml:space="preserve">+proj=tmerc +lat_0=0 +lon_0=26 +k=1 +x_0=26500000 +y_0=0 +ellps=GRS80 +towgs84=0,0,0,0,0,0,0 +units=m +no_defs </t>
  </si>
  <si>
    <t>PROJCS["ETRS89 / GK28FIN",GEOGCS["ETRS89",DATUM["European_Terrestrial_Reference_System_1989",SPHEROID["GRS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28],PARAMETER["scale_factor",1],PARAMETER["false_easting",28500000],PARAMETER["false_northing",0],UNIT["metre",1,AUTHORITY["EPSG","9001"]],AUTHORITY["EPSG","3882"]]</t>
  </si>
  <si>
    <t xml:space="preserve">+proj=tmerc +lat_0=0 +lon_0=28 +k=1 +x_0=28500000 +y_0=0 +ellps=GRS80 +towgs84=0,0,0,0,0,0,0 +units=m +no_defs </t>
  </si>
  <si>
    <t>PROJCS["ETRS89 / GK29FIN",GEOGCS["ETRS89",DATUM["European_Terrestrial_Reference_System_1989",SPHEROID["GRS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29],PARAMETER["scale_factor",1],PARAMETER["false_easting",29500000],PARAMETER["false_northing",0],UNIT["metre",1,AUTHORITY["EPSG","9001"]],AUTHORITY["EPSG","3883"]]</t>
  </si>
  <si>
    <t xml:space="preserve">+proj=tmerc +lat_0=0 +lon_0=29 +k=1 +x_0=29500000 +y_0=0 +ellps=GRS80 +towgs84=0,0,0,0,0,0,0 +units=m +no_defs </t>
  </si>
  <si>
    <t>PROJCS["ETRS89 / GK30FIN",GEOGCS["ETRS89",DATUM["European_Terrestrial_Reference_System_1989",SPHEROID["GRS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30],PARAMETER["scale_factor",1],PARAMETER["false_easting",30500000],PARAMETER["false_northing",0],UNIT["metre",1,AUTHORITY["EPSG","9001"]],AUTHORITY["EPSG","3884"]]</t>
  </si>
  <si>
    <t xml:space="preserve">+proj=tmerc +lat_0=0 +lon_0=30 +k=1 +x_0=30500000 +y_0=0 +ellps=GRS80 +towgs84=0,0,0,0,0,0,0 +units=m +no_defs </t>
  </si>
  <si>
    <t>PROJCS["ETRS89 / GK31FIN",GEOGCS["ETRS89",DATUM["European_Terrestrial_Reference_System_1989",SPHEROID["GRS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31],PARAMETER["scale_factor",1],PARAMETER["false_easting",31500000],PARAMETER["false_northing",0],UNIT["metre",1,AUTHORITY["EPSG","9001"]],AUTHORITY["EPSG","3885"]]</t>
  </si>
  <si>
    <t xml:space="preserve">+proj=tmerc +lat_0=0 +lon_0=31 +k=1 +x_0=31500000 +y_0=0 +ellps=GRS80 +towgs84=0,0,0,0,0,0,0 +units=m +no_defs </t>
  </si>
  <si>
    <t>PROJCS["IGRS / UTM zone 37N",GEOGCS["IGRS",DATUM["Iraqi_Geospatial_Reference_System",SPHEROID["GRS 1980",6378137,298.257222101,AUTHORITY["EPSG","7019"]],TOWGS84[0,0,0,0,0,0,0],AUTHORITY["EPSG","1029"]],PRIMEM["Greenwich",0,AUTHORITY["EPSG","8901"]],UNIT["degree",0.0174532925199433,AUTHORITY["EPSG","9122"]],AUTHORITY["EPSG","3889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3890"]]</t>
  </si>
  <si>
    <t>PROJCS["IGRS / UTM zone 38N",GEOGCS["IGRS",DATUM["Iraqi_Geospatial_Reference_System",SPHEROID["GRS 1980",6378137,298.257222101,AUTHORITY["EPSG","7019"]],TOWGS84[0,0,0,0,0,0,0],AUTHORITY["EPSG","1029"]],PRIMEM["Greenwich",0,AUTHORITY["EPSG","8901"]],UNIT["degree",0.0174532925199433,AUTHORITY["EPSG","9122"]],AUTHORITY["EPSG","3889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3891"]]</t>
  </si>
  <si>
    <t>PROJCS["IGRS / UTM zone 39N",GEOGCS["IGRS",DATUM["Iraqi_Geospatial_Reference_System",SPHEROID["GRS 1980",6378137,298.257222101,AUTHORITY["EPSG","7019"]],TOWGS84[0,0,0,0,0,0,0],AUTHORITY["EPSG","1029"]],PRIMEM["Greenwich",0,AUTHORITY["EPSG","8901"]],UNIT["degree",0.0174532925199433,AUTHORITY["EPSG","9122"]],AUTHORITY["EPSG","3889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3892"]]</t>
  </si>
  <si>
    <t>PROJCS["ED50 / Iraq National Grid",GEOGCS["ED50",DATUM["European_Datum_1950",SPHEROID["International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29.02626833333333],PARAMETER["central_meridian",46.5],PARAMETER["scale_factor",0.9994],PARAMETER["false_easting",800000],PARAMETER["false_northing",0],UNIT["metre",1,AUTHORITY["EPSG","9001"]],AXIS["Easting",EAST],AXIS["Northing",NORTH],AUTHORITY["EPSG","3893"]]</t>
  </si>
  <si>
    <t xml:space="preserve">+proj=tmerc +lat_0=29.02626833333333 +lon_0=46.5 +k=0.9994 +x_0=800000 +y_0=0 +ellps=intl +towgs84=-87,-98,-121,0,0,0,0 +units=m +no_defs </t>
  </si>
  <si>
    <t>PROJCS["MGI 1901 / Balkans zone 5",GEOGCS["MGI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15],PARAMETER["scale_factor",0.9999],PARAMETER["false_easting",5500000],PARAMETER["false_northing",0],UNIT["metre",1,AUTHORITY["EPSG","9001"]],AUTHORITY["EPSG","3907"]]</t>
  </si>
  <si>
    <t xml:space="preserve">+proj=tmerc +lat_0=0 +lon_0=15 +k=0.9999 +x_0=5500000 +y_0=0 +ellps=bessel +towgs84=682,-203,480,0,0,0,0 +units=m +no_defs </t>
  </si>
  <si>
    <t>PROJCS["MGI 1901 / Balkans zone 6",GEOGCS["MGI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18],PARAMETER["scale_factor",0.9999],PARAMETER["false_easting",6500000],PARAMETER["false_northing",0],UNIT["metre",1,AUTHORITY["EPSG","9001"]],AUTHORITY["EPSG","3908"]]</t>
  </si>
  <si>
    <t xml:space="preserve">+proj=tmerc +lat_0=0 +lon_0=18 +k=0.9999 +x_0=6500000 +y_0=0 +ellps=bessel +towgs84=682,-203,480,0,0,0,0 +units=m +no_defs </t>
  </si>
  <si>
    <t>GEOCCS["BDA2000",DATUM["Bermuda_2000",SPHEROID["WGS 84",6378137,298.257223563,AUTHORITY["EPSG","7030"]],AUTHORITY["EPSG","6762"]],PRIMEM["Greenwich",0,AUTHORITY["EPSG","8901"]],UNIT["metre",1,AUTHORITY["EPSG","9001"]],AXIS["Geocentric X",OTHER],AXIS["Geocentric Y",OTHER],AXIS["Geocentric Z",NORTH],AUTHORITY["EPSG","4886"]]</t>
  </si>
  <si>
    <t>PROJCS["MGI 1901 / Balkans zone 7",GEOGCS["MGI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21],PARAMETER["scale_factor",0.9999],PARAMETER["false_easting",7500000],PARAMETER["false_northing",0],UNIT["metre",1,AUTHORITY["EPSG","9001"]],AUTHORITY["EPSG","3909"]]</t>
  </si>
  <si>
    <t xml:space="preserve">+proj=tmerc +lat_0=0 +lon_0=21 +k=0.9999 +x_0=7500000 +y_0=0 +ellps=bessel +towgs84=682,-203,480,0,0,0,0 +units=m +no_defs </t>
  </si>
  <si>
    <t>PROJCS["MGI 1901 / Balkans zone 8",GEOGCS["MGI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24],PARAMETER["scale_factor",0.9999],PARAMETER["false_easting",8500000],PARAMETER["false_northing",0],UNIT["metre",1,AUTHORITY["EPSG","9001"]],AUTHORITY["EPSG","3910"]]</t>
  </si>
  <si>
    <t xml:space="preserve">+proj=tmerc +lat_0=0 +lon_0=24 +k=0.9999 +x_0=8500000 +y_0=0 +ellps=bessel +towgs84=682,-203,480,0,0,0,0 +units=m +no_defs </t>
  </si>
  <si>
    <t>PROJCS["MGI 1901 / Slovenia Grid",GEOGCS["MGI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15],PARAMETER["scale_factor",0.9999],PARAMETER["false_easting",500000],PARAMETER["false_northing",0],UNIT["metre",1,AUTHORITY["EPSG","9001"]],AUTHORITY["EPSG","3911"]]</t>
  </si>
  <si>
    <t xml:space="preserve">+proj=tmerc +lat_0=0 +lon_0=15 +k=0.9999 +x_0=500000 +y_0=0 +ellps=bessel +towgs84=682,-203,480,0,0,0,0 +units=m +no_defs </t>
  </si>
  <si>
    <t>PROJCS["MGI 1901 / Slovene National Grid",GEOGCS["MGI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15],PARAMETER["scale_factor",0.9999],PARAMETER["false_easting",500000],PARAMETER["false_northing",-5000000],UNIT["metre",1,AUTHORITY["EPSG","9001"]],AXIS["Y",EAST],AXIS["X",NORTH],AUTHORITY["EPSG","3912"]]</t>
  </si>
  <si>
    <t xml:space="preserve">+proj=tmerc +lat_0=0 +lon_0=15 +k=0.9999 +x_0=500000 +y_0=-5000000 +ellps=bessel +towgs84=682,-203,480,0,0,0,0 +units=m +no_defs </t>
  </si>
  <si>
    <t>PROJCS["Puerto Rico / UTM zone 20N",GEOGCS["Puerto Rico",DATUM["Puerto_Rico",SPHEROID["Clarke 1866",6378206.4,294.9786982138982,AUTHORITY["EPSG","7008"]],TOWGS84[11,72,-101,0,0,0,0],AUTHORITY["EPSG","6139"]],PRIMEM["Greenwich",0,AUTHORITY["EPSG","8901"]],UNIT["degree",0.0174532925199433,AUTHORITY["EPSG","9122"]],AUTHORITY["EPSG","4139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3920"]]</t>
  </si>
  <si>
    <t xml:space="preserve">+proj=utm +zone=20 +ellps=clrk66 +towgs84=11,72,-101,0,0,0,0 +units=m +no_defs </t>
  </si>
  <si>
    <t>PROJCS["RGF93 / CC42",GEOGCS["RGF93",DATUM["Reseau_Geodesique_Francais_1993",SPHEROID["GRS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41.25],PARAMETER["standard_parallel_2",42.75],PARAMETER["latitude_of_origin",42],PARAMETER["central_meridian",3],PARAMETER["false_easting",1700000],PARAMETER["false_northing",1200000],UNIT["metre",1,AUTHORITY["EPSG","9001"]],AXIS["X",EAST],AXIS["Y",NORTH],AUTHORITY["EPSG","3942"]]</t>
  </si>
  <si>
    <t xml:space="preserve">+proj=lcc +lat_1=41.25 +lat_2=42.75 +lat_0=42 +lon_0=3 +x_0=1700000 +y_0=1200000 +ellps=GRS80 +towgs84=0,0,0,0,0,0,0 +units=m +no_defs </t>
  </si>
  <si>
    <t>PROJCS["RGF93 / CC43",GEOGCS["RGF93",DATUM["Reseau_Geodesique_Francais_1993",SPHEROID["GRS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42.25],PARAMETER["standard_parallel_2",43.75],PARAMETER["latitude_of_origin",43],PARAMETER["central_meridian",3],PARAMETER["false_easting",1700000],PARAMETER["false_northing",2200000],UNIT["metre",1,AUTHORITY["EPSG","9001"]],AXIS["X",EAST],AXIS["Y",NORTH],AUTHORITY["EPSG","3943"]]</t>
  </si>
  <si>
    <t xml:space="preserve">+proj=lcc +lat_1=42.25 +lat_2=43.75 +lat_0=43 +lon_0=3 +x_0=1700000 +y_0=2200000 +ellps=GRS80 +towgs84=0,0,0,0,0,0,0 +units=m +no_defs </t>
  </si>
  <si>
    <t>PROJCS["RGF93 / CC44",GEOGCS["RGF93",DATUM["Reseau_Geodesique_Francais_1993",SPHEROID["GRS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43.25],PARAMETER["standard_parallel_2",44.75],PARAMETER["latitude_of_origin",44],PARAMETER["central_meridian",3],PARAMETER["false_easting",1700000],PARAMETER["false_northing",3200000],UNIT["metre",1,AUTHORITY["EPSG","9001"]],AXIS["X",EAST],AXIS["Y",NORTH],AUTHORITY["EPSG","3944"]]</t>
  </si>
  <si>
    <t xml:space="preserve">+proj=lcc +lat_1=43.25 +lat_2=44.75 +lat_0=44 +lon_0=3 +x_0=1700000 +y_0=3200000 +ellps=GRS80 +towgs84=0,0,0,0,0,0,0 +units=m +no_defs </t>
  </si>
  <si>
    <t>PROJCS["RGF93 / CC45",GEOGCS["RGF93",DATUM["Reseau_Geodesique_Francais_1993",SPHEROID["GRS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44.25],PARAMETER["standard_parallel_2",45.75],PARAMETER["latitude_of_origin",45],PARAMETER["central_meridian",3],PARAMETER["false_easting",1700000],PARAMETER["false_northing",4200000],UNIT["metre",1,AUTHORITY["EPSG","9001"]],AXIS["X",EAST],AXIS["Y",NORTH],AUTHORITY["EPSG","3945"]]</t>
  </si>
  <si>
    <t xml:space="preserve">+proj=lcc +lat_1=44.25 +lat_2=45.75 +lat_0=45 +lon_0=3 +x_0=1700000 +y_0=4200000 +ellps=GRS80 +towgs84=0,0,0,0,0,0,0 +units=m +no_defs </t>
  </si>
  <si>
    <t>PROJCS["CGCS2000 / Gauss-Kruger zone 23",GEOGCS["China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135],PARAMETER["scale_factor",1],PARAMETER["false_easting",23500000],PARAMETER["false_northing",0],UNIT["metre",1,AUTHORITY["EPSG","9001"]],AUTHORITY["EPSG","4501"]]</t>
  </si>
  <si>
    <t>PROJCS["RGF93 / CC46",GEOGCS["RGF93",DATUM["Reseau_Geodesique_Francais_1993",SPHEROID["GRS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45.25],PARAMETER["standard_parallel_2",46.75],PARAMETER["latitude_of_origin",46],PARAMETER["central_meridian",3],PARAMETER["false_easting",1700000],PARAMETER["false_northing",5200000],UNIT["metre",1,AUTHORITY["EPSG","9001"]],AXIS["X",EAST],AXIS["Y",NORTH],AUTHORITY["EPSG","3946"]]</t>
  </si>
  <si>
    <t xml:space="preserve">+proj=lcc +lat_1=45.25 +lat_2=46.75 +lat_0=46 +lon_0=3 +x_0=1700000 +y_0=5200000 +ellps=GRS80 +towgs84=0,0,0,0,0,0,0 +units=m +no_defs </t>
  </si>
  <si>
    <t>PROJCS["RGF93 / CC47",GEOGCS["RGF93",DATUM["Reseau_Geodesique_Francais_1993",SPHEROID["GRS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46.25],PARAMETER["standard_parallel_2",47.75],PARAMETER["latitude_of_origin",47],PARAMETER["central_meridian",3],PARAMETER["false_easting",1700000],PARAMETER["false_northing",6200000],UNIT["metre",1,AUTHORITY["EPSG","9001"]],AXIS["X",EAST],AXIS["Y",NORTH],AUTHORITY["EPSG","3947"]]</t>
  </si>
  <si>
    <t xml:space="preserve">+proj=lcc +lat_1=46.25 +lat_2=47.75 +lat_0=47 +lon_0=3 +x_0=1700000 +y_0=6200000 +ellps=GRS80 +towgs84=0,0,0,0,0,0,0 +units=m +no_defs </t>
  </si>
  <si>
    <t>PROJCS["RGF93 / CC48",GEOGCS["RGF93",DATUM["Reseau_Geodesique_Francais_1993",SPHEROID["GRS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47.25],PARAMETER["standard_parallel_2",48.75],PARAMETER["latitude_of_origin",48],PARAMETER["central_meridian",3],PARAMETER["false_easting",1700000],PARAMETER["false_northing",7200000],UNIT["metre",1,AUTHORITY["EPSG","9001"]],AXIS["X",EAST],AXIS["Y",NORTH],AUTHORITY["EPSG","3948"]]</t>
  </si>
  <si>
    <t xml:space="preserve">+proj=lcc +lat_1=47.25 +lat_2=48.75 +lat_0=48 +lon_0=3 +x_0=1700000 +y_0=7200000 +ellps=GRS80 +towgs84=0,0,0,0,0,0,0 +units=m +no_defs </t>
  </si>
  <si>
    <t>PROJCS["RGF93 / CC49",GEOGCS["RGF93",DATUM["Reseau_Geodesique_Francais_1993",SPHEROID["GRS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48.25],PARAMETER["standard_parallel_2",49.75],PARAMETER["latitude_of_origin",49],PARAMETER["central_meridian",3],PARAMETER["false_easting",1700000],PARAMETER["false_northing",8200000],UNIT["metre",1,AUTHORITY["EPSG","9001"]],AXIS["X",EAST],AXIS["Y",NORTH],AUTHORITY["EPSG","3949"]]</t>
  </si>
  <si>
    <t xml:space="preserve">+proj=lcc +lat_1=48.25 +lat_2=49.75 +lat_0=49 +lon_0=3 +x_0=1700000 +y_0=8200000 +ellps=GRS80 +towgs84=0,0,0,0,0,0,0 +units=m +no_defs </t>
  </si>
  <si>
    <t>PROJCS["RGF93 / CC50",GEOGCS["RGF93",DATUM["Reseau_Geodesique_Francais_1993",SPHEROID["GRS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49.25],PARAMETER["standard_parallel_2",50.75],PARAMETER["latitude_of_origin",50],PARAMETER["central_meridian",3],PARAMETER["false_easting",1700000],PARAMETER["false_northing",9200000],UNIT["metre",1,AUTHORITY["EPSG","9001"]],AXIS["X",EAST],AXIS["Y",NORTH],AUTHORITY["EPSG","3950"]]</t>
  </si>
  <si>
    <t xml:space="preserve">+proj=lcc +lat_1=49.25 +lat_2=50.75 +lat_0=50 +lon_0=3 +x_0=1700000 +y_0=9200000 +ellps=GRS80 +towgs84=0,0,0,0,0,0,0 +units=m +no_defs </t>
  </si>
  <si>
    <t>PROJCS["NAD83 / Virginia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37],PARAMETER["standard_parallel_2",39.5],PARAMETER["latitude_of_origin",36],PARAMETER["central_meridian",-79.5],PARAMETER["false_easting",0],PARAMETER["false_northing",0],UNIT["metre",1,AUTHORITY["EPSG","9001"]],AXIS["X",EAST],AXIS["Y",NORTH],AUTHORITY["EPSG","3968"]]</t>
  </si>
  <si>
    <t>PROJCS["NAD83(HARN) / Virginia Lambert",GEOGCS["NAD83(HARN)",DATUM["NAD83_High_Accuracy_Reference_Network",SPHEROID["GRS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37],PARAMETER["standard_parallel_2",39.5],PARAMETER["latitude_of_origin",36],PARAMETER["central_meridian",-79.5],PARAMETER["false_easting",0],PARAMETER["false_northing",0],UNIT["metre",1,AUTHORITY["EPSG","9001"]],AXIS["X",EAST],AXIS["Y",NORTH],AUTHORITY["EPSG","3969"]]</t>
  </si>
  <si>
    <t xml:space="preserve">+proj=lcc +lat_1=37 +lat_2=39.5 +lat_0=36 +lon_0=-79.5 +x_0=0 +y_0=0 +ellps=GRS80 +towgs84=0,0,0,0,0,0,0 +units=m +no_defs </t>
  </si>
  <si>
    <t>PROJCS["NAD83(NSRS2007) / Virginia Lambert",GEOGCS["NAD83(NSRS2007)",DATUM["NAD83_National_Spatial_Reference_System_2007",SPHEROID["GRS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37],PARAMETER["standard_parallel_2",39.5],PARAMETER["latitude_of_origin",36],PARAMETER["central_meridian",-79.5],PARAMETER["false_easting",0],PARAMETER["false_northing",0],UNIT["metre",1,AUTHORITY["EPSG","9001"]],AXIS["X",EAST],AXIS["Y",NORTH],AUTHORITY["EPSG","3970"]]</t>
  </si>
  <si>
    <t>PROJCS["WGS 84 / NSIDC EASE-Grid North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0],PARAMETER["false_easting",0],PARAMETER["false_northing",0],UNIT["metre",1,AUTHORITY["EPSG","9001"]],AXIS["X",EAST],AXIS["Y",NORTH],AUTHORITY["EPSG","3973"]]</t>
  </si>
  <si>
    <t>GEOCCS["HTRS96",DATUM["Croatian_Terrestrial_Reference_System",SPHEROID["GRS 1980",6378137,298.257222101,AUTHORITY["EPSG","7019"]],AUTHORITY["EPSG","6761"]],PRIMEM["Greenwich",0,AUTHORITY["EPSG","8901"]],UNIT["metre",1,AUTHORITY["EPSG","9001"]],AXIS["Geocentric X",OTHER],AXIS["Geocentric Y",OTHER],AXIS["Geocentric Z",NORTH],AUTHORITY["EPSG","4888"]]</t>
  </si>
  <si>
    <t>PROJCS["WGS 84 / NSIDC Sea Ice Polar Stereographic South",GEOGCS["WGS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-70],PARAMETER["central_meridian",0],PARAMETER["scale_factor",1],PARAMETER["false_easting",0],PARAMETER["false_northing",0],UNIT["metre",1,AUTHORITY["EPSG","9001"]],AXIS["X",EAST],AXIS["Y",NORTH],AUTHORITY["EPSG","3976"]]</t>
  </si>
  <si>
    <t>PROJCS["NAD83 / Canada Atlas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49],PARAMETER["standard_parallel_2",77],PARAMETER["latitude_of_origin",49],PARAMETER["central_meridian",-95],PARAMETER["false_easting",0],PARAMETER["false_northing",0],UNIT["metre",1,AUTHORITY["EPSG","9001"]],AXIS["Easting",EAST],AXIS["Northing",NORTH],AUTHORITY["EPSG","3978"]]</t>
  </si>
  <si>
    <t>PROJCS["NAD83(CSRS) / Canada Atlas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49],PARAMETER["standard_parallel_2",77],PARAMETER["latitude_of_origin",49],PARAMETER["central_meridian",-95],PARAMETER["false_easting",0],PARAMETER["false_northing",0],UNIT["metre",1,AUTHORITY["EPSG","9001"]],AXIS["Easting",EAST],AXIS["Northing",NORTH],AUTHORITY["EPSG","3979"]]</t>
  </si>
  <si>
    <t xml:space="preserve">+proj=lcc +lat_1=49 +lat_2=77 +lat_0=49 +lon_0=-95 +x_0=0 +y_0=0 +ellps=GRS80 +towgs84=0,0,0,0,0,0,0 +units=m +no_defs </t>
  </si>
  <si>
    <t>PROJCS["Katanga 1955 / Katanga Lambert (deprecated)",GEOGCS["Katanga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Lambert_Conformal_Conic_2SP"],PARAMETER["standard_parallel_1",-6.5],PARAMETER["standard_parallel_2",-11.5],PARAMETER["latitude_of_origin",9],PARAMETER["central_meridian",26],PARAMETER["false_easting",500000],PARAMETER["false_northing",500000],UNIT["metre",1,AUTHORITY["EPSG","9001"]],AXIS["X",EAST],AXIS["Y",NORTH],AUTHORITY["EPSG","3985"]]</t>
  </si>
  <si>
    <t xml:space="preserve">+proj=lcc +lat_1=-6.5 +lat_2=-11.5 +lat_0=9 +lon_0=26 +x_0=500000 +y_0=500000 +ellps=clrk66 +towgs84=-103.746,-9.614,-255.95,0,0,0,0 +units=m +no_defs </t>
  </si>
  <si>
    <t>PROJCS["Katanga 1955 / Katanga Gauss zone A",GEOGCS["Katanga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30],PARAMETER["scale_factor",1],PARAMETER["false_easting",200000],PARAMETER["false_northing",500000],UNIT["metre",1,AUTHORITY["EPSG","9001"]],AXIS["X",EAST],AXIS["Y",NORTH],AUTHORITY["EPSG","3986"]]</t>
  </si>
  <si>
    <t xml:space="preserve">+proj=tmerc +lat_0=-9 +lon_0=30 +k=1 +x_0=200000 +y_0=500000 +ellps=clrk66 +towgs84=-103.746,-9.614,-255.95,0,0,0,0 +units=m +no_defs </t>
  </si>
  <si>
    <t>PROJCS["Katanga 1955 / Katanga Gauss zone B",GEOGCS["Katanga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28],PARAMETER["scale_factor",1],PARAMETER["false_easting",200000],PARAMETER["false_northing",500000],UNIT["metre",1,AUTHORITY["EPSG","9001"]],AXIS["X",EAST],AXIS["Y",NORTH],AUTHORITY["EPSG","3987"]]</t>
  </si>
  <si>
    <t xml:space="preserve">+proj=tmerc +lat_0=-9 +lon_0=28 +k=1 +x_0=200000 +y_0=500000 +ellps=clrk66 +towgs84=-103.746,-9.614,-255.95,0,0,0,0 +units=m +no_defs </t>
  </si>
  <si>
    <t>PROJCS["Katanga 1955 / Katanga Gauss zone C",GEOGCS["Katanga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26],PARAMETER["scale_factor",1],PARAMETER["false_easting",200000],PARAMETER["false_northing",500000],UNIT["metre",1,AUTHORITY["EPSG","9001"]],AXIS["X",EAST],AXIS["Y",NORTH],AUTHORITY["EPSG","3988"]]</t>
  </si>
  <si>
    <t xml:space="preserve">+proj=tmerc +lat_0=-9 +lon_0=26 +k=1 +x_0=200000 +y_0=500000 +ellps=clrk66 +towgs84=-103.746,-9.614,-255.95,0,0,0,0 +units=m +no_defs </t>
  </si>
  <si>
    <t>PROJCS["Katanga 1955 / Katanga Gauss zone D",GEOGCS["Katanga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Transverse_Mercator"],PARAMETER["latitude_of_origin",-9],PARAMETER["central_meridian",24],PARAMETER["scale_factor",1],PARAMETER["false_easting",200000],PARAMETER["false_northing",500000],UNIT["metre",1,AUTHORITY["EPSG","9001"]],AXIS["X",EAST],AXIS["Y",NORTH],AUTHORITY["EPSG","3989"]]</t>
  </si>
  <si>
    <t xml:space="preserve">+proj=tmerc +lat_0=-9 +lon_0=24 +k=1 +x_0=200000 +y_0=500000 +ellps=clrk66 +towgs84=-103.746,-9.614,-255.95,0,0,0,0 +units=m +no_defs </t>
  </si>
  <si>
    <t>PROJCS["Puerto Rico State Plane CS of 1927",GEOGCS["Puerto Rico",DATUM["Puerto_Rico",SPHEROID["Clarke 1866",6378206.4,294.9786982138982,AUTHORITY["EPSG","7008"]],TOWGS84[11,72,-101,0,0,0,0],AUTHORITY["EPSG","6139"]],PRIMEM["Greenwich",0,AUTHORITY["EPSG","8901"]],UNIT["degree",0.0174532925199433,AUTHORITY["EPSG","9122"]],AUTHORITY["EPSG","4139"]],PROJECTION["Lambert_Conformal_Conic_2SP"],PARAMETER["standard_parallel_1",18.43333333333333],PARAMETER["standard_parallel_2",18.03333333333333],PARAMETER["latitude_of_origin",17.83333333333333],PARAMETER["central_meridian",-66.43333333333334],PARAMETER["false_easting",500000],PARAMETER["false_northing",0],UNIT["US survey foot",0.3048006096012192,AUTHORITY["EPSG","9003"]],AXIS["X",EAST],AXIS["Y",NORTH],AUTHORITY["EPSG","3991"]]</t>
  </si>
  <si>
    <t xml:space="preserve">+proj=lcc +lat_1=18.43333333333333 +lat_2=18.03333333333333 +lat_0=17.83333333333333 +lon_0=-66.43333333333334 +x_0=152400.3048006096 +y_0=0 +ellps=clrk66 +towgs84=11,72,-101,0,0,0,0 +units=us-ft +no_defs </t>
  </si>
  <si>
    <t>PROJCS["Puerto Rico / St. Croix",GEOGCS["Puerto Rico",DATUM["Puerto_Rico",SPHEROID["Clarke 1866",6378206.4,294.9786982138982,AUTHORITY["EPSG","7008"]],TOWGS84[11,72,-101,0,0,0,0],AUTHORITY["EPSG","6139"]],PRIMEM["Greenwich",0,AUTHORITY["EPSG","8901"]],UNIT["degree",0.0174532925199433,AUTHORITY["EPSG","9122"]],AUTHORITY["EPSG","4139"]],PROJECTION["Lambert_Conformal_Conic_2SP"],PARAMETER["standard_parallel_1",18.43333333333333],PARAMETER["standard_parallel_2",18.03333333333333],PARAMETER["latitude_of_origin",17.83333333333333],PARAMETER["central_meridian",-66.43333333333334],PARAMETER["false_easting",500000],PARAMETER["false_northing",100000],UNIT["US survey foot",0.3048006096012192,AUTHORITY["EPSG","9003"]],AXIS["X",EAST],AXIS["Y",NORTH],AUTHORITY["EPSG","3992"]]</t>
  </si>
  <si>
    <t xml:space="preserve">+proj=lcc +lat_1=18.43333333333333 +lat_2=18.03333333333333 +lat_0=17.83333333333333 +lon_0=-66.43333333333334 +x_0=152400.3048006096 +y_0=30480.06096012192 +ellps=clrk66 +towgs84=11,72,-101,0,0,0,0 +units=us-ft +no_defs </t>
  </si>
  <si>
    <t>PROJCS["WGS 84 / Mercator 41",GEOGCS["WGS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2SP"],PARAMETER["standard_parallel_1",-41],PARAMETER["central_meridian",100],PARAMETER["false_easting",0],PARAMETER["false_northing",0],UNIT["metre",1,AUTHORITY["EPSG","9001"]],AXIS["X",EAST],AXIS["Y",NORTH],AUTHORITY["EPSG","3994"]]</t>
  </si>
  <si>
    <t>PROJCS["WGS 84 / Arctic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71],PARAMETER["central_meridian",0],PARAMETER["scale_factor",1],PARAMETER["false_easting",0],PARAMETER["false_northing",0],UNIT["metre",1,AUTHORITY["EPSG","9001"]],AXIS["X",EAST],AXIS["Y",NORTH],AUTHORITY["EPSG","3995"]]</t>
  </si>
  <si>
    <t>PROJCS["WGS 84 / IBCAO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75],PARAMETER["central_meridian",0],PARAMETER["scale_factor",1],PARAMETER["false_easting",0],PARAMETER["false_northing",0],UNIT["metre",1,AUTHORITY["EPSG","9001"]],AXIS["X",EAST],AXIS["Y",NORTH],AUTHORITY["EPSG","3996"]]</t>
  </si>
  <si>
    <t>PROJCS["WGS 84 / Dubai Local TM",GEOGCS["WGS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55.33333333333334],PARAMETER["scale_factor",1],PARAMETER["false_easting",500000],PARAMETER["false_northing",0],UNIT["metre",1,AUTHORITY["EPSG","9001"]],AXIS["Easting",EAST],AXIS["Northing",NORTH],AUTHORITY["EPSG","3997"]]</t>
  </si>
  <si>
    <t>PROJCS["MOLDREF99 / Moldova TM",GEOGCS["MOLDREF99",DATUM["MOLDREF99",SPHEROID["GRS 1980",6378137,298.257222101,AUTHORITY["EPSG","7019"]],TOWGS84[0,0,0,0,0,0,0],AUTHORITY["EPSG","1032"]],PRIMEM["Greenwich",0,AUTHORITY["EPSG","8901"]],UNIT["degree",0.0174532925199433,AUTHORITY["EPSG","9122"]],AUTHORITY["EPSG","4023"]],PROJECTION["Transverse_Mercator"],PARAMETER["latitude_of_origin",0],PARAMETER["central_meridian",28.4],PARAMETER["scale_factor",0.99994],PARAMETER["false_easting",200000],PARAMETER["false_northing",-5000000],UNIT["metre",1,AUTHORITY["EPSG","9001"]],AUTHORITY["EPSG","4026"]]</t>
  </si>
  <si>
    <t xml:space="preserve">+proj=tmerc +lat_0=0 +lon_0=28.4 +k=0.9999400000000001 +x_0=200000 +y_0=-5000000 +ellps=GRS80 +towgs84=0,0,0,0,0,0,0 +units=m +no_defs </t>
  </si>
  <si>
    <t>PROJCS["WGS 84 / TMzn35N",GEOGCS["WGS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27],PARAMETER["scale_factor",0.9996],PARAMETER["false_easting",500000],PARAMETER["false_northing",0],UNIT["metre",1,AUTHORITY["EPSG","9001"]],AUTHORITY["EPSG","4037"]]</t>
  </si>
  <si>
    <t>PROJCS["WGS 84 / TMzn36N",GEOGCS["WGS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33],PARAMETER["scale_factor",0.9996],PARAMETER["false_easting",500000],PARAMETER["false_northing",0],UNIT["metre",1,AUTHORITY["EPSG","9001"]],AUTHORITY["EPSG","4038"]]</t>
  </si>
  <si>
    <t>PROJCS["RGRDC 2005 / Congo TM zone 12",GEOGCS["RGRDC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12],PARAMETER["scale_factor",0.9999],PARAMETER["false_easting",500000],PARAMETER["false_northing",10000000],UNIT["metre",1,AUTHORITY["EPSG","9001"]],AXIS["X",EAST],AXIS["Y",NORTH],AUTHORITY["EPSG","4048"]]</t>
  </si>
  <si>
    <t xml:space="preserve">+proj=tmerc +lat_0=0 +lon_0=12 +k=0.9999 +x_0=500000 +y_0=10000000 +ellps=GRS80 +towgs84=0,0,0,0,0,0,0 +units=m +no_defs </t>
  </si>
  <si>
    <t>PROJCS["RGRDC 2005 / Congo TM zone 14",GEOGCS["RGRDC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14],PARAMETER["scale_factor",0.9999],PARAMETER["false_easting",500000],PARAMETER["false_northing",10000000],UNIT["metre",1,AUTHORITY["EPSG","9001"]],AXIS["X",EAST],AXIS["Y",NORTH],AUTHORITY["EPSG","4049"]]</t>
  </si>
  <si>
    <t xml:space="preserve">+proj=tmerc +lat_0=0 +lon_0=14 +k=0.9999 +x_0=500000 +y_0=10000000 +ellps=GRS80 +towgs84=0,0,0,0,0,0,0 +units=m +no_defs </t>
  </si>
  <si>
    <t>GEOCCS["WGS 66",DATUM["World_Geodetic_System_1966",SPHEROID["NWL 9D",6378145,298.25,AUTHORITY["EPSG","7025"]],AUTHORITY["EPSG","6760"]],PRIMEM["Greenwich",0,AUTHORITY["EPSG","8901"]],UNIT["metre",1,AUTHORITY["EPSG","9001"]],AXIS["Geocentric X",OTHER],AXIS["Geocentric Y",OTHER],AXIS["Geocentric Z",NORTH],AUTHORITY["EPSG","4890"]]</t>
  </si>
  <si>
    <t>PROJCS["RGRDC 2005 / Congo TM zone 16",GEOGCS["RGRDC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16],PARAMETER["scale_factor",0.9999],PARAMETER["false_easting",500000],PARAMETER["false_northing",10000000],UNIT["metre",1,AUTHORITY["EPSG","9001"]],AXIS["X",EAST],AXIS["Y",NORTH],AUTHORITY["EPSG","4050"]]</t>
  </si>
  <si>
    <t xml:space="preserve">+proj=tmerc +lat_0=0 +lon_0=16 +k=0.9999 +x_0=500000 +y_0=10000000 +ellps=GRS80 +towgs84=0,0,0,0,0,0,0 +units=m +no_defs </t>
  </si>
  <si>
    <t>PROJCS["RGRDC 2005 / Congo TM zone 18",GEOGCS["RGRDC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18],PARAMETER["scale_factor",0.9999],PARAMETER["false_easting",500000],PARAMETER["false_northing",10000000],UNIT["metre",1,AUTHORITY["EPSG","9001"]],AXIS["X",EAST],AXIS["Y",NORTH],AUTHORITY["EPSG","4051"]]</t>
  </si>
  <si>
    <t xml:space="preserve">+proj=tmerc +lat_0=0 +lon_0=18 +k=0.9999 +x_0=500000 +y_0=10000000 +ellps=GRS80 +towgs84=0,0,0,0,0,0,0 +units=m +no_defs </t>
  </si>
  <si>
    <t>PROJCS["RGRDC 2005 / Congo TM zone 20",GEOGCS["RGRDC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20],PARAMETER["scale_factor",0.9999],PARAMETER["false_easting",500000],PARAMETER["false_northing",10000000],UNIT["metre",1,AUTHORITY["EPSG","9001"]],AXIS["X",EAST],AXIS["Y",NORTH],AUTHORITY["EPSG","4056"]]</t>
  </si>
  <si>
    <t xml:space="preserve">+proj=tmerc +lat_0=0 +lon_0=20 +k=0.9999 +x_0=500000 +y_0=10000000 +ellps=GRS80 +towgs84=0,0,0,0,0,0,0 +units=m +no_defs </t>
  </si>
  <si>
    <t>PROJCS["RGRDC 2005 / Congo TM zone 22",GEOGCS["RGRDC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22],PARAMETER["scale_factor",0.9999],PARAMETER["false_easting",500000],PARAMETER["false_northing",10000000],UNIT["metre",1,AUTHORITY["EPSG","9001"]],AXIS["X",EAST],AXIS["Y",NORTH],AUTHORITY["EPSG","4057"]]</t>
  </si>
  <si>
    <t xml:space="preserve">+proj=tmerc +lat_0=0 +lon_0=22 +k=0.9999 +x_0=500000 +y_0=10000000 +ellps=GRS80 +towgs84=0,0,0,0,0,0,0 +units=m +no_defs </t>
  </si>
  <si>
    <t>PROJCS["RGRDC 2005 / Congo TM zone 24",GEOGCS["RGRDC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24],PARAMETER["scale_factor",0.9999],PARAMETER["false_easting",500000],PARAMETER["false_northing",10000000],UNIT["metre",1,AUTHORITY["EPSG","9001"]],AXIS["X",EAST],AXIS["Y",NORTH],AUTHORITY["EPSG","4058"]]</t>
  </si>
  <si>
    <t xml:space="preserve">+proj=tmerc +lat_0=0 +lon_0=24 +k=0.9999 +x_0=500000 +y_0=10000000 +ellps=GRS80 +towgs84=0,0,0,0,0,0,0 +units=m +no_defs </t>
  </si>
  <si>
    <t>PROJCS["RGRDC 2005 / Congo TM zone 26",GEOGCS["RGRDC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26],PARAMETER["scale_factor",0.9999],PARAMETER["false_easting",500000],PARAMETER["false_northing",10000000],UNIT["metre",1,AUTHORITY["EPSG","9001"]],AXIS["X",EAST],AXIS["Y",NORTH],AUTHORITY["EPSG","4059"]]</t>
  </si>
  <si>
    <t xml:space="preserve">+proj=tmerc +lat_0=0 +lon_0=26 +k=0.9999 +x_0=500000 +y_0=10000000 +ellps=GRS80 +towgs84=0,0,0,0,0,0,0 +units=m +no_defs </t>
  </si>
  <si>
    <t>PROJCS["RGRDC 2005 / Congo TM zone 28",GEOGCS["RGRDC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28],PARAMETER["scale_factor",0.9999],PARAMETER["false_easting",500000],PARAMETER["false_northing",10000000],UNIT["metre",1,AUTHORITY["EPSG","9001"]],AXIS["X",EAST],AXIS["Y",NORTH],AUTHORITY["EPSG","4060"]]</t>
  </si>
  <si>
    <t xml:space="preserve">+proj=tmerc +lat_0=0 +lon_0=28 +k=0.9999 +x_0=500000 +y_0=10000000 +ellps=GRS80 +towgs84=0,0,0,0,0,0,0 +units=m +no_defs </t>
  </si>
  <si>
    <t>PROJCS["RGRDC 2005 / UTM zone 33S",GEOGCS["RGRDC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15],PARAMETER["scale_factor",0.9996],PARAMETER["false_easting",500000],PARAMETER["false_northing",10000000],UNIT["metre",1,AUTHORITY["EPSG","9001"]],AXIS["X",EAST],AXIS["Y",NORTH],AUTHORITY["EPSG","4061"]]</t>
  </si>
  <si>
    <t xml:space="preserve">+proj=utm +zone=33 +south +ellps=GRS80 +towgs84=0,0,0,0,0,0,0 +units=m +no_defs </t>
  </si>
  <si>
    <t>PROJCS["RGRDC 2005 / UTM zone 34S",GEOGCS["RGRDC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21],PARAMETER["scale_factor",0.9996],PARAMETER["false_easting",500000],PARAMETER["false_northing",10000000],UNIT["metre",1,AUTHORITY["EPSG","9001"]],AXIS["X",EAST],AXIS["Y",NORTH],AUTHORITY["EPSG","4062"]]</t>
  </si>
  <si>
    <t xml:space="preserve">+proj=utm +zone=34 +south +ellps=GRS80 +towgs84=0,0,0,0,0,0,0 +units=m +no_defs </t>
  </si>
  <si>
    <t>PROJCS["RGRDC 2005 / UTM zone 35S",GEOGCS["RGRDC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27],PARAMETER["scale_factor",0.9996],PARAMETER["false_easting",500000],PARAMETER["false_northing",10000000],UNIT["metre",1,AUTHORITY["EPSG","9001"]],AXIS["X",EAST],AXIS["Y",NORTH],AUTHORITY["EPSG","4063"]]</t>
  </si>
  <si>
    <t xml:space="preserve">+proj=utm +zone=35 +south +ellps=GRS80 +towgs84=0,0,0,0,0,0,0 +units=m +no_defs </t>
  </si>
  <si>
    <t>PROJCS["Chua / UTM zone 23S",GEOGCS["Chua",DATUM["Chua",SPHEROID["International 1924",6378388,297,AUTHORITY["EPSG","7022"]],TOWGS84[-143.87,243.37,-33.52,0,0,0,0],AUTHORITY["EPSG","6224"]],PRIMEM["Greenwich",0,AUTHORITY["EPSG","8901"]],UNIT["degree",0.0174532925199433,AUTHORITY["EPSG","9122"]],AUTHORITY["EPSG","4224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4071"]]</t>
  </si>
  <si>
    <t xml:space="preserve">+proj=utm +zone=23 +south +ellps=intl +towgs84=-143.87,243.37,-33.52,0,0,0,0 +units=m +no_defs </t>
  </si>
  <si>
    <t>PROJCS["REGCAN95 / UTM zone 27N",GEOGCS["REGCAN95",DATUM["Red_Geodesica_de_Canarias_1995",SPHEROID["GRS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4082"]]</t>
  </si>
  <si>
    <t>PROJCS["REGCAN95 / UTM zone 28N",GEOGCS["REGCAN95",DATUM["Red_Geodesica_de_Canarias_1995",SPHEROID["GRS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4083"]]</t>
  </si>
  <si>
    <t>PROJCS["WGS 84 / World Equidistant Cylindrical",GEOGCS["WGS 84",DATUM["WGS_1984",SPHEROID["WGS 84",6378137,298.257223563,AUTHORITY["EPSG","7030"]],AUTHORITY["EPSG","6326"]],PRIMEM["Greenwich",0,AUTHORITY["EPSG","8901"]],UNIT["degree",0.0174532925199433,AUTHORITY["EPSG","9122"]],AUTHORITY["EPSG","4326"]],PROJECTION["Equirectangular"],PARAMETER["latitude_of_origin",0],PARAMETER["central_meridian",0],PARAMETER["false_easting",0],PARAMETER["false_northing",0],UNIT["metre",1,AUTHORITY["EPSG","9001"]],AXIS["X",EAST],AXIS["Y",NORTH],AUTHORITY["EPSG","4087"]]</t>
  </si>
  <si>
    <t>PROJCS["World Equidistant Cylindrical (Sphere)",GEOGCS["Unspecified datum based upon the GRS 1980 Authalic Sphere",DATUM["Not_specified_based_on_GRS_1980_Authalic_Sphere",SPHEROID["GRS 1980 Authalic Sphere",6371007,0,AUTHORITY["EPSG","7048"]],AUTHORITY["EPSG","6047"]],PRIMEM["Greenwich",0,AUTHORITY["EPSG","8901"]],UNIT["degree",0.0174532925199433,AUTHORITY["EPSG","9122"]],AUTHORITY["EPSG","4047"]],PROJECTION["Equirectangular"],PARAMETER["latitude_of_origin",0],PARAMETER["central_meridian",0],PARAMETER["false_easting",0],PARAMETER["false_northing",0],UNIT["metre",1,AUTHORITY["EPSG","9001"]],AXIS["X",EAST],AXIS["Y",NORTH],AUTHORITY["EPSG","4088"]]</t>
  </si>
  <si>
    <t>PROJCS["ETRS89 / DKTM1",GEOGCS["ETRS89",DATUM["European_Terrestrial_Reference_System_1989",SPHEROID["GRS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0.99998],PARAMETER["false_easting",200000],PARAMETER["false_northing",-5000000],UNIT["metre",1,AUTHORITY["EPSG","9001"]],AXIS["Easting",EAST],AXIS["Northing",NORTH],AUTHORITY["EPSG","4093"]]</t>
  </si>
  <si>
    <t xml:space="preserve">+proj=tmerc +lat_0=0 +lon_0=9 +k=0.99998 +x_0=200000 +y_0=-5000000 +ellps=GRS80 +towgs84=0,0,0,0,0,0,0 +units=m +no_defs </t>
  </si>
  <si>
    <t>PROJCS["ETRS89 / DKTM2",GEOGCS["ETRS89",DATUM["European_Terrestrial_Reference_System_1989",SPHEROID["GRS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10],PARAMETER["scale_factor",0.99998],PARAMETER["false_easting",400000],PARAMETER["false_northing",-5000000],UNIT["metre",1,AUTHORITY["EPSG","9001"]],AXIS["Easting",EAST],AXIS["Northing",NORTH],AUTHORITY["EPSG","4094"]]</t>
  </si>
  <si>
    <t xml:space="preserve">+proj=tmerc +lat_0=0 +lon_0=10 +k=0.99998 +x_0=400000 +y_0=-5000000 +ellps=GRS80 +towgs84=0,0,0,0,0,0,0 +units=m +no_defs </t>
  </si>
  <si>
    <t>PROJCS["ETRS89 / DKTM3",GEOGCS["ETRS89",DATUM["European_Terrestrial_Reference_System_1989",SPHEROID["GRS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11.75],PARAMETER["scale_factor",0.99998],PARAMETER["false_easting",600000],PARAMETER["false_northing",-5000000],UNIT["metre",1,AUTHORITY["EPSG","9001"]],AXIS["Easting",EAST],AXIS["Northing",NORTH],AUTHORITY["EPSG","4095"]]</t>
  </si>
  <si>
    <t xml:space="preserve">+proj=tmerc +lat_0=0 +lon_0=11.75 +k=0.99998 +x_0=600000 +y_0=-5000000 +ellps=GRS80 +towgs84=0,0,0,0,0,0,0 +units=m +no_defs </t>
  </si>
  <si>
    <t>PROJCS["ETRS89 / DKTM4",GEOGCS["ETRS89",DATUM["European_Terrestrial_Reference_System_1989",SPHEROID["GRS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1],PARAMETER["false_easting",800000],PARAMETER["false_northing",-5000000],UNIT["metre",1,AUTHORITY["EPSG","9001"]],AXIS["Easting",EAST],AXIS["Northing",NORTH],AUTHORITY["EPSG","4096"]]</t>
  </si>
  <si>
    <t xml:space="preserve">+proj=tmerc +lat_0=0 +lon_0=15 +k=1 +x_0=800000 +y_0=-5000000 +ellps=GRS80 +towgs84=0,0,0,0,0,0,0 +units=m +no_defs </t>
  </si>
  <si>
    <t>PROJCS["NAD83 / BLM 59N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171],PARAMETER["scale_factor",0.9996],PARAMETER["false_easting",1640416.67],PARAMETER["false_northing",0],UNIT["US survey foot",0.3048006096012192,AUTHORITY["EPSG","9003"]],AXIS["X",EAST],AXIS["Y",NORTH],AUTHORITY["EPSG","4217"]]</t>
  </si>
  <si>
    <t>PROJCS["Kertau 1968 / Johor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2.042583333333333],PARAMETER["central_meridian",103.5627583333333],PARAMETER["false_easting",0],PARAMETER["false_northing",0],UNIT["metre",1,AUTHORITY["EPSG","9001"]],AXIS["Easting",EAST],AXIS["Northing",NORTH],AUTHORITY["EPSG","4390"]]</t>
  </si>
  <si>
    <t xml:space="preserve">+proj=cass +lat_0=2.042583333333333 +lon_0=103.5627583333333 +x_0=0 +y_0=0 +a=6377304.063 +b=6356103.038993155 +towgs84=-11,851,5,0,0,0,0 +units=m +no_defs </t>
  </si>
  <si>
    <t>PROJCS["Kertau 1968 / Sembilan and Melaka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2.712283333333334],PARAMETER["central_meridian",101.9411666666667],PARAMETER["false_easting",-242.005],PARAMETER["false_northing",-948.547],UNIT["metre",1,AUTHORITY["EPSG","9001"]],AXIS["Easting",EAST],AXIS["Northing",NORTH],AUTHORITY["EPSG","4391"]]</t>
  </si>
  <si>
    <t xml:space="preserve">+proj=cass +lat_0=2.712283333333334 +lon_0=101.9411666666667 +x_0=-242.005 +y_0=-948.547 +a=6377304.063 +b=6356103.038993155 +towgs84=-11,851,5,0,0,0,0 +units=m +no_defs </t>
  </si>
  <si>
    <t>PROJCS["Kertau 1968 / Pahang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3.710972222222222],PARAMETER["central_meridian",102.4361777777778],PARAMETER["false_easting",0],PARAMETER["false_northing",0],UNIT["metre",1,AUTHORITY["EPSG","9001"]],AXIS["Easting",EAST],AXIS["Northing",NORTH],AUTHORITY["EPSG","4392"]]</t>
  </si>
  <si>
    <t xml:space="preserve">+proj=cass +lat_0=3.710972222222222 +lon_0=102.4361777777778 +x_0=0 +y_0=0 +a=6377304.063 +b=6356103.038993155 +towgs84=-11,851,5,0,0,0,0 +units=m +no_defs </t>
  </si>
  <si>
    <t>PROJCS["Kertau 1968 / Selangor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3.680344444444444],PARAMETER["central_meridian",101.5082444444444],PARAMETER["false_easting",-21759.438],PARAMETER["false_northing",55960.906],UNIT["metre",1,AUTHORITY["EPSG","9001"]],AXIS["Easting",EAST],AXIS["Northing",NORTH],AUTHORITY["EPSG","4393"]]</t>
  </si>
  <si>
    <t xml:space="preserve">+proj=cass +lat_0=3.680344444444444 +lon_0=101.5082444444444 +x_0=-21759.438 +y_0=55960.906 +a=6377304.063 +b=6356103.038993155 +towgs84=-11,851,5,0,0,0,0 +units=m +no_defs </t>
  </si>
  <si>
    <t>PROJCS["Kertau 1968 / Terengganu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4.946141666666667],PARAMETER["central_meridian",102.8952083333333],PARAMETER["false_easting",0],PARAMETER["false_northing",0],UNIT["metre",1,AUTHORITY["EPSG","9001"]],AXIS["Easting",EAST],AXIS["Northing",NORTH],AUTHORITY["EPSG","4394"]]</t>
  </si>
  <si>
    <t xml:space="preserve">+proj=cass +lat_0=4.946141666666667 +lon_0=102.8952083333333 +x_0=0 +y_0=0 +a=6377304.063 +b=6356103.038993155 +towgs84=-11,851,5,0,0,0,0 +units=m +no_defs </t>
  </si>
  <si>
    <t>PROJCS["Kertau 1968 / Pinang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5.421325],PARAMETER["central_meridian",100.3458694444444],PARAMETER["false_easting",0],PARAMETER["false_northing",0],UNIT["metre",1,AUTHORITY["EPSG","9001"]],AXIS["Easting",EAST],AXIS["Northing",NORTH],AUTHORITY["EPSG","4395"]]</t>
  </si>
  <si>
    <t xml:space="preserve">+proj=cass +lat_0=5.421325 +lon_0=100.3458694444444 +x_0=0 +y_0=0 +a=6377304.063 +b=6356103.038993155 +towgs84=-11,851,5,0,0,0,0 +units=m +no_defs </t>
  </si>
  <si>
    <t>PROJCS["Kertau 1968 / Kedah and Perlis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5.965147222222223],PARAMETER["central_meridian",100.6375944444444],PARAMETER["false_easting",0],PARAMETER["false_northing",0],UNIT["metre",1,AUTHORITY["EPSG","9001"]],AXIS["Easting",EAST],AXIS["Northing",NORTH],AUTHORITY["EPSG","4396"]]</t>
  </si>
  <si>
    <t xml:space="preserve">+proj=cass +lat_0=5.965147222222223 +lon_0=100.6375944444444 +x_0=0 +y_0=0 +a=6377304.063 +b=6356103.038993155 +towgs84=-11,851,5,0,0,0,0 +units=m +no_defs </t>
  </si>
  <si>
    <t>PROJCS["Kertau 1968 / Perak Revised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4.859380555555555],PARAMETER["central_meridian",100.8167666666667],PARAMETER["false_easting",0],PARAMETER["false_northing",133453.669],UNIT["metre",1,AUTHORITY["EPSG","9001"]],AXIS["Easting",EAST],AXIS["Northing",NORTH],AUTHORITY["EPSG","4397"]]</t>
  </si>
  <si>
    <t xml:space="preserve">+proj=cass +lat_0=4.859380555555555 +lon_0=100.8167666666667 +x_0=0 +y_0=133453.669 +a=6377304.063 +b=6356103.038993155 +towgs84=-11,851,5,0,0,0,0 +units=m +no_defs </t>
  </si>
  <si>
    <t>PROJCS["Kertau 1968 / Kelantan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5.893922222222222],PARAMETER["central_meridian",102.1772916666667],PARAMETER["false_easting",0],PARAMETER["false_northing",0],UNIT["metre",1,AUTHORITY["EPSG","9001"]],AXIS["Easting",EAST],AXIS["Northing",NORTH],AUTHORITY["EPSG","4398"]]</t>
  </si>
  <si>
    <t xml:space="preserve">+proj=cass +lat_0=5.893922222222222 +lon_0=102.1772916666667 +x_0=0 +y_0=0 +a=6377304.063 +b=6356103.038993155 +towgs84=-11,851,5,0,0,0,0 +units=m +no_defs </t>
  </si>
  <si>
    <t>PROJCS["NAD27 / BLM 59N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171],PARAMETER["scale_factor",0.9996],PARAMETER["false_easting",1640416.67],PARAMETER["false_northing",0],UNIT["US survey foot",0.3048006096012192,AUTHORITY["EPSG","9003"]],AXIS["X",EAST],AXIS["Y",NORTH],AUTHORITY["EPSG","4399"]]</t>
  </si>
  <si>
    <t>PROJCS["NAD27 / BLM 60N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177],PARAMETER["scale_factor",0.9996],PARAMETER["false_easting",1640416.67],PARAMETER["false_northing",0],UNIT["US survey foot",0.3048006096012192,AUTHORITY["EPSG","9003"]],AXIS["X",EAST],AXIS["Y",NORTH],AUTHORITY["EPSG","4400"]]</t>
  </si>
  <si>
    <t>PROJCS["NAD27 / BLM 1N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-177],PARAMETER["scale_factor",0.9996],PARAMETER["false_easting",1640416.67],PARAMETER["false_northing",0],UNIT["US survey foot",0.3048006096012192,AUTHORITY["EPSG","9003"]],AXIS["X",EAST],AXIS["Y",NORTH],AUTHORITY["EPSG","4401"]]</t>
  </si>
  <si>
    <t>PROJCS["NAD27 / BLM 2N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-171],PARAMETER["scale_factor",0.9996],PARAMETER["false_easting",1640416.67],PARAMETER["false_northing",0],UNIT["US survey foot",0.3048006096012192,AUTHORITY["EPSG","9003"]],AXIS["X",EAST],AXIS["Y",NORTH],AUTHORITY["EPSG","4402"]]</t>
  </si>
  <si>
    <t>PROJCS["NAD27 / BLM 3N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-165],PARAMETER["scale_factor",0.9996],PARAMETER["false_easting",1640416.67],PARAMETER["false_northing",0],UNIT["US survey foot",0.3048006096012192,AUTHORITY["EPSG","9003"]],AXIS["X",EAST],AXIS["Y",NORTH],AUTHORITY["EPSG","4403"]]</t>
  </si>
  <si>
    <t>PROJCS["NAD27 / BLM 4N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-159],PARAMETER["scale_factor",0.9996],PARAMETER["false_easting",1640416.67],PARAMETER["false_northing",0],UNIT["US survey foot",0.3048006096012192,AUTHORITY["EPSG","9003"]],AXIS["X",EAST],AXIS["Y",NORTH],AUTHORITY["EPSG","4404"]]</t>
  </si>
  <si>
    <t>PROJCS["NAD27 / BLM 5N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-153],PARAMETER["scale_factor",0.9996],PARAMETER["false_easting",1640416.67],PARAMETER["false_northing",0],UNIT["US survey foot",0.3048006096012192,AUTHORITY["EPSG","9003"]],AXIS["X",EAST],AXIS["Y",NORTH],AUTHORITY["EPSG","4405"]]</t>
  </si>
  <si>
    <t>PROJCS["NAD27 / BLM 6N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-147],PARAMETER["scale_factor",0.9996],PARAMETER["false_easting",1640416.67],PARAMETER["false_northing",0],UNIT["US survey foot",0.3048006096012192,AUTHORITY["EPSG","9003"]],AXIS["X",EAST],AXIS["Y",NORTH],AUTHORITY["EPSG","4406"]]</t>
  </si>
  <si>
    <t>PROJCS["NAD27 / BLM 7N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-141],PARAMETER["scale_factor",0.9996],PARAMETER["false_easting",1640416.67],PARAMETER["false_northing",0],UNIT["US survey foot",0.3048006096012192,AUTHORITY["EPSG","9003"]],AXIS["X",EAST],AXIS["Y",NORTH],AUTHORITY["EPSG","4407"]]</t>
  </si>
  <si>
    <t>PROJCS["NAD27 / BLM 8N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-135],PARAMETER["scale_factor",0.9996],PARAMETER["false_easting",1640416.67],PARAMETER["false_northing",0],UNIT["US survey foot",0.3048006096012192,AUTHORITY["EPSG","9003"]],AXIS["X",EAST],AXIS["Y",NORTH],AUTHORITY["EPSG","4408"]]</t>
  </si>
  <si>
    <t>PROJCS["NAD27 / BLM 9N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-129],PARAMETER["scale_factor",0.9996],PARAMETER["false_easting",1640416.67],PARAMETER["false_northing",0],UNIT["US survey foot",0.3048006096012192,AUTHORITY["EPSG","9003"]],AXIS["X",EAST],AXIS["Y",NORTH],AUTHORITY["EPSG","4409"]]</t>
  </si>
  <si>
    <t>PROJCS["NAD27 / BLM 10N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-123],PARAMETER["scale_factor",0.9996],PARAMETER["false_easting",1640416.67],PARAMETER["false_northing",0],UNIT["US survey foot",0.3048006096012192,AUTHORITY["EPSG","9003"]],AXIS["X",EAST],AXIS["Y",NORTH],AUTHORITY["EPSG","4410"]]</t>
  </si>
  <si>
    <t>PROJCS["NAD27 / BLM 11N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-117],PARAMETER["scale_factor",0.9996],PARAMETER["false_easting",1640416.67],PARAMETER["false_northing",0],UNIT["US survey foot",0.3048006096012192,AUTHORITY["EPSG","9003"]],AXIS["X",EAST],AXIS["Y",NORTH],AUTHORITY["EPSG","4411"]]</t>
  </si>
  <si>
    <t>PROJCS["NAD27 / BLM 12N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-111],PARAMETER["scale_factor",0.9996],PARAMETER["false_easting",1640416.67],PARAMETER["false_northing",0],UNIT["US survey foot",0.3048006096012192,AUTHORITY["EPSG","9003"]],AXIS["X",EAST],AXIS["Y",NORTH],AUTHORITY["EPSG","4412"]]</t>
  </si>
  <si>
    <t>PROJCS["NAD27 / BLM 13N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-105],PARAMETER["scale_factor",0.9996],PARAMETER["false_easting",1640416.67],PARAMETER["false_northing",0],UNIT["US survey foot",0.3048006096012192,AUTHORITY["EPSG","9003"]],AXIS["X",EAST],AXIS["Y",NORTH],AUTHORITY["EPSG","4413"]]</t>
  </si>
  <si>
    <t>PROJCS["NAD83(HARN) / Guam Map Grid",GEOGCS["NAD83(HARN)",DATUM["NAD83_High_Accuracy_Reference_Network",SPHEROID["GRS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13.5],PARAMETER["central_meridian",144.75],PARAMETER["scale_factor",1],PARAMETER["false_easting",100000],PARAMETER["false_northing",200000],UNIT["metre",1,AUTHORITY["EPSG","9001"]],AXIS["X",EAST],AXIS["Y",NORTH],AUTHORITY["EPSG","4414"]]</t>
  </si>
  <si>
    <t xml:space="preserve">+proj=tmerc +lat_0=13.5 +lon_0=144.75 +k=1 +x_0=100000 +y_0=200000 +ellps=GRS80 +towgs84=0,0,0,0,0,0,0 +units=m +no_defs </t>
  </si>
  <si>
    <t>PROJCS["Katanga 1955 / Katanga Lambert",GEOGCS["Katanga 1955",DATUM["Katanga_1955",SPHEROID["Clarke 1866",6378206.4,294.9786982138982,AUTHORITY["EPSG","7008"]],TOWGS84[-103.746,-9.614,-255.95,0,0,0,0],AUTHORITY["EPSG","6695"]],PRIMEM["Greenwich",0,AUTHORITY["EPSG","8901"]],UNIT["degree",0.0174532925199433,AUTHORITY["EPSG","9122"]],AUTHORITY["EPSG","4695"]],PROJECTION["Lambert_Conformal_Conic_2SP"],PARAMETER["standard_parallel_1",-6.5],PARAMETER["standard_parallel_2",-11.5],PARAMETER["latitude_of_origin",-9],PARAMETER["central_meridian",26],PARAMETER["false_easting",500000],PARAMETER["false_northing",500000],UNIT["metre",1,AUTHORITY["EPSG","9001"]],AXIS["X",EAST],AXIS["Y",NORTH],AUTHORITY["EPSG","4415"]]</t>
  </si>
  <si>
    <t xml:space="preserve">+proj=lcc +lat_1=-6.5 +lat_2=-11.5 +lat_0=-9 +lon_0=26 +x_0=500000 +y_0=500000 +ellps=clrk66 +towgs84=-103.746,-9.614,-255.95,0,0,0,0 +units=m +no_defs </t>
  </si>
  <si>
    <t>PROJCS["Pulkovo 1942(83) / 3-degree Gauss-Kruger zone 7",GEOGCS["Pulkovo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21],PARAMETER["scale_factor",1],PARAMETER["false_easting",7500000],PARAMETER["false_northing",0],UNIT["metre",1,AUTHORITY["EPSG","9001"]],AUTHORITY["EPSG","4417"]]</t>
  </si>
  <si>
    <t xml:space="preserve">+proj=tmerc +lat_0=0 +lon_0=21 +k=1 +x_0=7500000 +y_0=0 +ellps=krass +towgs84=26,-121,-78,0,0,0,0 +units=m +no_defs </t>
  </si>
  <si>
    <t>PROJCS["NAD27 / BLM 18N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-75],PARAMETER["scale_factor",0.9996],PARAMETER["false_easting",1640416.67],PARAMETER["false_northing",0],UNIT["US survey foot",0.3048006096012192,AUTHORITY["EPSG","9003"]],AXIS["X",EAST],AXIS["Y",NORTH],AUTHORITY["EPSG","4418"]]</t>
  </si>
  <si>
    <t>PROJCS["NAD27 / BLM 19N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-69],PARAMETER["scale_factor",0.9996],PARAMETER["false_easting",1640416.67],PARAMETER["false_northing",0],UNIT["US survey foot",0.3048006096012192,AUTHORITY["EPSG","9003"]],AXIS["X",EAST],AXIS["Y",NORTH],AUTHORITY["EPSG","4419"]]</t>
  </si>
  <si>
    <t>PROJCS["NAD83 / BLM 60N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177],PARAMETER["scale_factor",0.9996],PARAMETER["false_easting",1640416.67],PARAMETER["false_northing",0],UNIT["US survey foot",0.3048006096012192,AUTHORITY["EPSG","9003"]],AXIS["X",EAST],AXIS["Y",NORTH],AUTHORITY["EPSG","4420"]]</t>
  </si>
  <si>
    <t>PROJCS["NAD83 / BLM 1N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-177],PARAMETER["scale_factor",0.9996],PARAMETER["false_easting",1640416.67],PARAMETER["false_northing",0],UNIT["US survey foot",0.3048006096012192,AUTHORITY["EPSG","9003"]],AXIS["X",EAST],AXIS["Y",NORTH],AUTHORITY["EPSG","4421"]]</t>
  </si>
  <si>
    <t>PROJCS["NAD83 / BLM 2N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-171],PARAMETER["scale_factor",0.9996],PARAMETER["false_easting",1640416.67],PARAMETER["false_northing",0],UNIT["US survey foot",0.3048006096012192,AUTHORITY["EPSG","9003"]],AXIS["X",EAST],AXIS["Y",NORTH],AUTHORITY["EPSG","4422"]]</t>
  </si>
  <si>
    <t>PROJCS["NAD83 / BLM 3N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-165],PARAMETER["scale_factor",0.9996],PARAMETER["false_easting",1640416.67],PARAMETER["false_northing",0],UNIT["US survey foot",0.3048006096012192,AUTHORITY["EPSG","9003"]],AXIS["X",EAST],AXIS["Y",NORTH],AUTHORITY["EPSG","4423"]]</t>
  </si>
  <si>
    <t>PROJCS["NAD83 / BLM 4N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-159],PARAMETER["scale_factor",0.9996],PARAMETER["false_easting",1640416.67],PARAMETER["false_northing",0],UNIT["US survey foot",0.3048006096012192,AUTHORITY["EPSG","9003"]],AXIS["X",EAST],AXIS["Y",NORTH],AUTHORITY["EPSG","4424"]]</t>
  </si>
  <si>
    <t>PROJCS["NAD83 / BLM 5N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-153],PARAMETER["scale_factor",0.9996],PARAMETER["false_easting",1640416.67],PARAMETER["false_northing",0],UNIT["US survey foot",0.3048006096012192,AUTHORITY["EPSG","9003"]],AXIS["X",EAST],AXIS["Y",NORTH],AUTHORITY["EPSG","4425"]]</t>
  </si>
  <si>
    <t>PROJCS["NAD83 / BLM 6N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-147],PARAMETER["scale_factor",0.9996],PARAMETER["false_easting",1640416.67],PARAMETER["false_northing",0],UNIT["US survey foot",0.3048006096012192,AUTHORITY["EPSG","9003"]],AXIS["X",EAST],AXIS["Y",NORTH],AUTHORITY["EPSG","4426"]]</t>
  </si>
  <si>
    <t>PROJCS["NAD83 / BLM 7N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-141],PARAMETER["scale_factor",0.9996],PARAMETER["false_easting",1640416.67],PARAMETER["false_northing",0],UNIT["US survey foot",0.3048006096012192,AUTHORITY["EPSG","9003"]],AXIS["X",EAST],AXIS["Y",NORTH],AUTHORITY["EPSG","4427"]]</t>
  </si>
  <si>
    <t>PROJCS["NAD83 / BLM 8N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-135],PARAMETER["scale_factor",0.9996],PARAMETER["false_easting",1640416.67],PARAMETER["false_northing",0],UNIT["US survey foot",0.3048006096012192,AUTHORITY["EPSG","9003"]],AXIS["X",EAST],AXIS["Y",NORTH],AUTHORITY["EPSG","4428"]]</t>
  </si>
  <si>
    <t>PROJCS["NAD83 / BLM 9N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-129],PARAMETER["scale_factor",0.9996],PARAMETER["false_easting",1640416.67],PARAMETER["false_northing",0],UNIT["US survey foot",0.3048006096012192,AUTHORITY["EPSG","9003"]],AXIS["X",EAST],AXIS["Y",NORTH],AUTHORITY["EPSG","4429"]]</t>
  </si>
  <si>
    <t>PROJCS["NAD83 / BLM 10N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-123],PARAMETER["scale_factor",0.9996],PARAMETER["false_easting",1640416.67],PARAMETER["false_northing",0],UNIT["US survey foot",0.3048006096012192,AUTHORITY["EPSG","9003"]],AXIS["X",EAST],AXIS["Y",NORTH],AUTHORITY["EPSG","4430"]]</t>
  </si>
  <si>
    <t>PROJCS["NAD83 / BLM 11N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-117],PARAMETER["scale_factor",0.9996],PARAMETER["false_easting",1640416.67],PARAMETER["false_northing",0],UNIT["US survey foot",0.3048006096012192,AUTHORITY["EPSG","9003"]],AXIS["X",EAST],AXIS["Y",NORTH],AUTHORITY["EPSG","4431"]]</t>
  </si>
  <si>
    <t>PROJCS["NAD83 / BLM 12N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-111],PARAMETER["scale_factor",0.9996],PARAMETER["false_easting",1640416.67],PARAMETER["false_northing",0],UNIT["US survey foot",0.3048006096012192,AUTHORITY["EPSG","9003"]],AXIS["X",EAST],AXIS["Y",NORTH],AUTHORITY["EPSG","4432"]]</t>
  </si>
  <si>
    <t>PROJCS["NAD83 / BLM 13N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-105],PARAMETER["scale_factor",0.9996],PARAMETER["false_easting",1640416.67],PARAMETER["false_northing",0],UNIT["US survey foot",0.3048006096012192,AUTHORITY["EPSG","9003"]],AXIS["X",EAST],AXIS["Y",NORTH],AUTHORITY["EPSG","4433"]]</t>
  </si>
  <si>
    <t>PROJCS["Pulkovo 1942(83) / 3-degree Gauss-Kruger zone 8",GEOGCS["Pulkovo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24],PARAMETER["scale_factor",1],PARAMETER["false_easting",8500000],PARAMETER["false_northing",0],UNIT["metre",1,AUTHORITY["EPSG","9001"]],AUTHORITY["EPSG","4434"]]</t>
  </si>
  <si>
    <t xml:space="preserve">+proj=tmerc +lat_0=0 +lon_0=24 +k=1 +x_0=8500000 +y_0=0 +ellps=krass +towgs84=26,-121,-78,0,0,0,0 +units=m +no_defs </t>
  </si>
  <si>
    <t>PROJCS["NAD83(NSRS2007) / Puerto Rico and Virgin Is.",GEOGCS["NAD83(NSRS2007)",DATUM["NAD83_National_Spatial_Reference_System_2007",SPHEROID["GRS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4437"]]</t>
  </si>
  <si>
    <t>PROJCS["NAD83 / BLM 18N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-75],PARAMETER["scale_factor",0.9996],PARAMETER["false_easting",1640416.67],PARAMETER["false_northing",0],UNIT["US survey foot",0.3048006096012192,AUTHORITY["EPSG","9003"]],AXIS["X",EAST],AXIS["Y",NORTH],AUTHORITY["EPSG","4438"]]</t>
  </si>
  <si>
    <t>PROJCS["NAD83 / BLM 19N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-69],PARAMETER["scale_factor",0.9996],PARAMETER["false_easting",1640416.67],PARAMETER["false_northing",0],UNIT["US survey foot",0.3048006096012192,AUTHORITY["EPSG","9003"]],AXIS["X",EAST],AXIS["Y",NORTH],AUTHORITY["EPSG","4439"]]</t>
  </si>
  <si>
    <t>PROJCS["NAD27 / Pennsylvania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40.96666666666667],PARAMETER["standard_parallel_2",39.93333333333333],PARAMETER["latitude_of_origin",39.33333333333334],PARAMETER["central_meridian",-77.75],PARAMETER["false_easting",2000000],PARAMETER["false_northing",0],UNIT["US survey foot",0.3048006096012192,AUTHORITY["EPSG","9003"]],AXIS["X",EAST],AXIS["Y",NORTH],AUTHORITY["EPSG","4455"]]</t>
  </si>
  <si>
    <t>GEOCCS["NAD83(NSRS2007)",DATUM["NAD83_National_Spatial_Reference_System_2007",SPHEROID["GRS 1980",6378137,298.257222101,AUTHORITY["EPSG","7019"]],AUTHORITY["EPSG","6759"]],PRIMEM["Greenwich",0,AUTHORITY["EPSG","8901"]],UNIT["metre",1,AUTHORITY["EPSG","9001"]],AXIS["Geocentric X",OTHER],AXIS["Geocentric Y",OTHER],AXIS["Geocentric Z",NORTH],AUTHORITY["EPSG","4892"]]</t>
  </si>
  <si>
    <t>PROJCS["NAD27 / New York Long Island",GEOGCS["NAD27",DATUM["North_American_Datum_1927",SPHEROID["Clarke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41.03333333333333],PARAMETER["standard_parallel_2",40.66666666666666],PARAMETER["latitude_of_origin",40.5],PARAMETER["central_meridian",-74],PARAMETER["false_easting",2000000],PARAMETER["false_northing",100000],UNIT["US survey foot",0.3048006096012192,AUTHORITY["EPSG","9003"]],AXIS["X",EAST],AXIS["Y",NORTH],AUTHORITY["EPSG","4456"]]</t>
  </si>
  <si>
    <t>PROJCS["NAD83 / South Dakota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45.68333333333333],PARAMETER["standard_parallel_2",44.41666666666666],PARAMETER["latitude_of_origin",43.83333333333334],PARAMETER["central_meridian",-100],PARAMETER["false_easting",1968500],PARAMETER["false_northing",0],UNIT["US survey foot",0.3048006096012192,AUTHORITY["EPSG","9003"]],AXIS["X",EAST],AXIS["Y",NORTH],AUTHORITY["EPSG","4457"]]</t>
  </si>
  <si>
    <t>PROJCS["WGS 84 / Australian Centre for Remote Sensing Lambert",GEOGCS["WGS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-18],PARAMETER["standard_parallel_2",-36],PARAMETER["latitude_of_origin",-27],PARAMETER["central_meridian",132],PARAMETER["false_easting",0],PARAMETER["false_northing",0],UNIT["metre",1,AUTHORITY["EPSG","9001"]],AXIS["Easting",EAST],AXIS["Northing",NORTH],AUTHORITY["EPSG","4462"]]</t>
  </si>
  <si>
    <t>PROJCS["RGSPM06 / UTM zone 21N",GEOGCS["RGSPM06",DATUM["Reseau_Geodesique_de_Saint_Pierre_et_Miquelon_2006",SPHEROID["GRS 1980",6378137,298.257222101,AUTHORITY["EPSG","7019"]],TOWGS84[0,0,0,0,0,0,0],AUTHORITY["EPSG","1038"]],PRIMEM["Greenwich",0,AUTHORITY["EPSG","8901"]],UNIT["degree",0.0174532925199433,AUTHORITY["EPSG","9122"]],AUTHORITY["EPSG","4463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4467"]]</t>
  </si>
  <si>
    <t>PROJCS["RGM04 / UTM zone 38S",GEOGCS["RGM04",DATUM["Reseau_Geodesique_de_Mayotte_2004",SPHEROID["GRS 1980",6378137,298.257222101,AUTHORITY["EPSG","7019"]],TOWGS84[0,0,0,0,0,0,0],AUTHORITY["EPSG","1036"]],PRIMEM["Greenwich",0,AUTHORITY["EPSG","8901"]],UNIT["degree",0.0174532925199433,AUTHORITY["EPSG","9122"]],AUTHORITY["EPSG","4470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4471"]]</t>
  </si>
  <si>
    <t xml:space="preserve">+proj=utm +zone=38 +south +ellps=GRS80 +towgs84=0,0,0,0,0,0,0 +units=m +no_defs </t>
  </si>
  <si>
    <t>PROJCS["Cadastre 1997 / UTM zone 38S (deprecated)",GEOGCS["Combani 1950",DATUM["Combani_1950",SPHEROID["International 1924",6378388,297,AUTHORITY["EPSG","7022"]],TOWGS84[-382,-59,-262,0,0,0,0],AUTHORITY["EPSG","6632"]],PRIMEM["Greenwich",0,AUTHORITY["EPSG","8901"]],UNIT["degree",0.0174532925199433,AUTHORITY["EPSG","9122"]],AUTHORITY["EPSG","4632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4474"]]</t>
  </si>
  <si>
    <t>PROJCS["Mexico ITRF92 / UTM zone 11N",GEOGCS["Mexico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4484"]]</t>
  </si>
  <si>
    <t>PROJCS["Mexico ITRF92 / UTM zone 12N",GEOGCS["Mexico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4485"]]</t>
  </si>
  <si>
    <t>PROJCS["Mexico ITRF92 / UTM zone 13N",GEOGCS["Mexico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4486"]]</t>
  </si>
  <si>
    <t>PROJCS["Mexico ITRF92 / UTM zone 14N",GEOGCS["Mexico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4487"]]</t>
  </si>
  <si>
    <t>PROJCS["Mexico ITRF92 / UTM zone 15N",GEOGCS["Mexico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4488"]]</t>
  </si>
  <si>
    <t>PROJCS["Mexico ITRF92 / UTM zone 16N",GEOGCS["Mexico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4489"]]</t>
  </si>
  <si>
    <t>PROJCS["CGCS2000 / Gauss-Kruger zone 13",GEOGCS["China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75],PARAMETER["scale_factor",1],PARAMETER["false_easting",13500000],PARAMETER["false_northing",0],UNIT["metre",1,AUTHORITY["EPSG","9001"]],AUTHORITY["EPSG","4491"]]</t>
  </si>
  <si>
    <t>PROJCS["CGCS2000 / Gauss-Kruger zone 14",GEOGCS["China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81],PARAMETER["scale_factor",1],PARAMETER["false_easting",14500000],PARAMETER["false_northing",0],UNIT["metre",1,AUTHORITY["EPSG","9001"]],AUTHORITY["EPSG","4492"]]</t>
  </si>
  <si>
    <t>PROJCS["CGCS2000 / Gauss-Kruger zone 15",GEOGCS["China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87],PARAMETER["scale_factor",1],PARAMETER["false_easting",15500000],PARAMETER["false_northing",0],UNIT["metre",1,AUTHORITY["EPSG","9001"]],AUTHORITY["EPSG","4493"]]</t>
  </si>
  <si>
    <t>PROJCS["CGCS2000 / Gauss-Kruger zone 16",GEOGCS["China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93],PARAMETER["scale_factor",1],PARAMETER["false_easting",16500000],PARAMETER["false_northing",0],UNIT["metre",1,AUTHORITY["EPSG","9001"]],AUTHORITY["EPSG","4494"]]</t>
  </si>
  <si>
    <t>PROJCS["CGCS2000 / Gauss-Kruger zone 17",GEOGCS["China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99],PARAMETER["scale_factor",1],PARAMETER["false_easting",17500000],PARAMETER["false_northing",0],UNIT["metre",1,AUTHORITY["EPSG","9001"]],AUTHORITY["EPSG","4495"]]</t>
  </si>
  <si>
    <t>PROJCS["CGCS2000 / Gauss-Kruger zone 18",GEOGCS["China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105],PARAMETER["scale_factor",1],PARAMETER["false_easting",18500000],PARAMETER["false_northing",0],UNIT["metre",1,AUTHORITY["EPSG","9001"]],AUTHORITY["EPSG","4496"]]</t>
  </si>
  <si>
    <t>PROJCS["CGCS2000 / Gauss-Kruger zone 19",GEOGCS["China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111],PARAMETER["scale_factor",1],PARAMETER["false_easting",19500000],PARAMETER["false_northing",0],UNIT["metre",1,AUTHORITY["EPSG","9001"]],AUTHORITY["EPSG","4497"]]</t>
  </si>
  <si>
    <t>PROJCS["CGCS2000 / Gauss-Kruger zone 20",GEOGCS["China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117],PARAMETER["scale_factor",1],PARAMETER["false_easting",20500000],PARAMETER["false_northing",0],UNIT["metre",1,AUTHORITY["EPSG","9001"]],AUTHORITY["EPSG","4498"]]</t>
  </si>
  <si>
    <t>PROJCS["CGCS2000 / Gauss-Kruger zone 21",GEOGCS["China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123],PARAMETER["scale_factor",1],PARAMETER["false_easting",21500000],PARAMETER["false_northing",0],UNIT["metre",1,AUTHORITY["EPSG","9001"]],AUTHORITY["EPSG","4499"]]</t>
  </si>
  <si>
    <t>PROJCS["CGCS2000 / Gauss-Kruger CM 75E",GEOGCS["China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75],PARAMETER["scale_factor",1],PARAMETER["false_easting",500000],PARAMETER["false_northing",0],UNIT["metre",1,AUTHORITY["EPSG","9001"]],AUTHORITY["EPSG","4502"]]</t>
  </si>
  <si>
    <t>PROJCS["CGCS2000 / Gauss-Kruger CM 81E",GEOGCS["China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81],PARAMETER["scale_factor",1],PARAMETER["false_easting",500000],PARAMETER["false_northing",0],UNIT["metre",1,AUTHORITY["EPSG","9001"]],AUTHORITY["EPSG","4503"]]</t>
  </si>
  <si>
    <t>PROJCS["CGCS2000 / Gauss-Kruger CM 87E",GEOGCS["China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87],PARAMETER["scale_factor",1],PARAMETER["false_easting",500000],PARAMETER["false_northing",0],UNIT["metre",1,AUTHORITY["EPSG","9001"]],AUTHORITY["EPSG","4504"]]</t>
  </si>
  <si>
    <t>PROJCS["CGCS2000 / Gauss-Kruger CM 93E",GEOGCS["China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93],PARAMETER["scale_factor",1],PARAMETER["false_easting",500000],PARAMETER["false_northing",0],UNIT["metre",1,AUTHORITY["EPSG","9001"]],AUTHORITY["EPSG","4505"]]</t>
  </si>
  <si>
    <t>PROJCS["CGCS2000 / Gauss-Kruger CM 99E",GEOGCS["China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99],PARAMETER["scale_factor",1],PARAMETER["false_easting",500000],PARAMETER["false_northing",0],UNIT["metre",1,AUTHORITY["EPSG","9001"]],AUTHORITY["EPSG","4506"]]</t>
  </si>
  <si>
    <t>PROJCS["CGCS2000 / Gauss-Kruger CM 105E",GEOGCS["China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105],PARAMETER["scale_factor",1],PARAMETER["false_easting",500000],PARAMETER["false_northing",0],UNIT["metre",1,AUTHORITY["EPSG","9001"]],AUTHORITY["EPSG","4507"]]</t>
  </si>
  <si>
    <t>PROJCS["CGCS2000 / Gauss-Kruger CM 111E",GEOGCS["China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111],PARAMETER["scale_factor",1],PARAMETER["false_easting",500000],PARAMETER["false_northing",0],UNIT["metre",1,AUTHORITY["EPSG","9001"]],AUTHORITY["EPSG","4508"]]</t>
  </si>
  <si>
    <t>PROJCS["CGCS2000 / Gauss-Kruger CM 117E",GEOGCS["China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117],PARAMETER["scale_factor",1],PARAMETER["false_easting",500000],PARAMETER["false_northing",0],UNIT["metre",1,AUTHORITY["EPSG","9001"]],AUTHORITY["EPSG","4509"]]</t>
  </si>
  <si>
    <t>PROJCS["CGCS2000 / Gauss-Kruger CM 123E",GEOGCS["China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123],PARAMETER["scale_factor",1],PARAMETER["false_easting",500000],PARAMETER["false_northing",0],UNIT["metre",1,AUTHORITY["EPSG","9001"]],AUTHORITY["EPSG","4510"]]</t>
  </si>
  <si>
    <t>PROJCS["CGCS2000 / Gauss-Kruger CM 129E",GEOGCS["China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129],PARAMETER["scale_factor",1],PARAMETER["false_easting",500000],PARAMETER["false_northing",0],UNIT["metre",1,AUTHORITY["EPSG","9001"]],AUTHORITY["EPSG","4511"]]</t>
  </si>
  <si>
    <t>PROJCS["CGCS2000 / Gauss-Kruger CM 135E",GEOGCS["China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135],PARAMETER["scale_factor",1],PARAMETER["false_easting",500000],PARAMETER["false_northing",0],UNIT["metre",1,AUTHORITY["EPSG","9001"]],AUTHORITY["EPSG","4512"]]</t>
  </si>
  <si>
    <t>PROJCS["CGCS2000 / 3-degree Gauss-Kruger zone 25",GEOGCS["China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75],PARAMETER["scale_factor",1],PARAMETER["false_easting",25500000],PARAMETER["false_northing",0],UNIT["metre",1,AUTHORITY["EPSG","9001"]],AUTHORITY["EPSG","4513"]]</t>
  </si>
  <si>
    <t>PROJCS["CGCS2000 / 3-degree Gauss-Kruger zone 26",GEOGCS["China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78],PARAMETER["scale_factor",1],PARAMETER["false_easting",26500000],PARAMETER["false_northing",0],UNIT["metre",1,AUTHORITY["EPSG","9001"]],AUTHORITY["EPSG","4514"]]</t>
  </si>
  <si>
    <t>PROJCS["CGCS2000 / 3-degree Gauss-Kruger zone 27",GEOGCS["China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81],PARAMETER["scale_factor",1],PARAMETER["false_easting",27500000],PARAMETER["false_northing",0],UNIT["metre",1,AUTHORITY["EPSG","9001"]],AUTHORITY["EPSG","4515"]]</t>
  </si>
  <si>
    <t>PROJCS["CGCS2000 / 3-degree Gauss-Kruger zone 28",GEOGCS["China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84],PARAMETER["scale_factor",1],PARAMETER["false_easting",28500000],PARAMETER["false_northing",0],UNIT["metre",1,AUTHORITY["EPSG","9001"]],AUTHORITY["EPSG","4516"]]</t>
  </si>
  <si>
    <t>PROJCS["CGCS2000 / 3-degree Gauss-Kruger zone 29",GEOGCS["China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87],PARAMETER["scale_factor",1],PARAMETER["false_easting",29500000],PARAMETER["false_northing",0],UNIT["metre",1,AUTHORITY["EPSG","9001"]],AUTHORITY["EPSG","4517"]]</t>
  </si>
  <si>
    <t>PROJCS["CGCS2000 / 3-degree Gauss-Kruger zone 30",GEOGCS["China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90],PARAMETER["scale_factor",1],PARAMETER["false_easting",30500000],PARAMETER["false_northing",0],UNIT["metre",1,AUTHORITY["EPSG","9001"]],AUTHORITY["EPSG","4518"]]</t>
  </si>
  <si>
    <t>PROJCS["CGCS2000 / 3-degree Gauss-Kruger zone 31",GEOGCS["China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93],PARAMETER["scale_factor",1],PARAMETER["false_easting",31500000],PARAMETER["false_northing",0],UNIT["metre",1,AUTHORITY["EPSG","9001"]],AUTHORITY["EPSG","4519"]]</t>
  </si>
  <si>
    <t>PROJCS["CGCS2000 / 3-degree Gauss-Kruger zone 32",GEOGCS["China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96],PARAMETER["scale_factor",1],PARAMETER["false_easting",32500000],PARAMETER["false_northing",0],UNIT["metre",1,AUTHORITY["EPSG","9001"]],AUTHORITY["EPSG","4520"]]</t>
  </si>
  <si>
    <t>PROJCS["CGCS2000 / 3-degree Gauss-Kruger zone 33",GEOGCS["China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99],PARAMETER["scale_factor",1],PARAMETER["false_easting",33500000],PARAMETER["false_northing",0],UNIT["metre",1,AUTHORITY["EPSG","9001"]],AUTHORITY["EPSG","4521"]]</t>
  </si>
  <si>
    <t>PROJCS["CGCS2000 / 3-degree Gauss-Kruger zone 34",GEOGCS["China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102],PARAMETER["scale_factor",1],PARAMETER["false_easting",34500000],PARAMETER["false_northing",0],UNIT["metre",1,AUTHORITY["EPSG","9001"]],AUTHORITY["EPSG","4522"]]</t>
  </si>
  <si>
    <t>PROJCS["CGCS2000 / 3-degree Gauss-Kruger zone 35",GEOGCS["China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105],PARAMETER["scale_factor",1],PARAMETER["false_easting",35500000],PARAMETER["false_northing",0],UNIT["metre",1,AUTHORITY["EPSG","9001"]],AUTHORITY["EPSG","4523"]]</t>
  </si>
  <si>
    <t>PROJCS["CGCS2000 / 3-degree Gauss-Kruger zone 36",GEOGCS["China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108],PARAMETER["scale_factor",1],PARAMETER["false_easting",36500000],PARAMETER["false_northing",0],UNIT["metre",1,AUTHORITY["EPSG","9001"]],AUTHORITY["EPSG","4524"]]</t>
  </si>
  <si>
    <t>PROJCS["CGCS2000 / 3-degree Gauss-Kruger zone 37",GEOGCS["China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111],PARAMETER["scale_factor",1],PARAMETER["false_easting",37500000],PARAMETER["false_northing",0],UNIT["metre",1,AUTHORITY["EPSG","9001"]],AUTHORITY["EPSG","4525"]]</t>
  </si>
  <si>
    <t>PROJCS["CGCS2000 / 3-degree Gauss-Kruger zone 38",GEOGCS["China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114],PARAMETER["scale_factor",1],PARAMETER["false_easting",38500000],PARAMETER["false_northing",0],UNIT["metre",1,AUTHORITY["EPSG","9001"]],AUTHORITY["EPSG","4526"]]</t>
  </si>
  <si>
    <t>PROJCS["CGCS2000 / 3-degree Gauss-Kruger zone 39",GEOGCS["China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117],PARAMETER["scale_factor",1],PARAMETER["false_easting",39500000],PARAMETER["false_northing",0],UNIT["metre",1,AUTHORITY["EPSG","9001"]],AUTHORITY["EPSG","4527"]]</t>
  </si>
  <si>
    <t>PROJCS["CGCS2000 / 3-degree Gauss-Kruger zone 40",GEOGCS["China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120],PARAMETER["scale_factor",1],PARAMETER["false_easting",40500000],PARAMETER["false_northing",0],UNIT["metre",1,AUTHORITY["EPSG","9001"]],AUTHORITY["EPSG","4528"]]</t>
  </si>
  <si>
    <t>PROJCS["CGCS2000 / 3-degree Gauss-Kruger zone 41",GEOGCS["China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123],PARAMETER["scale_factor",1],PARAMETER["false_easting",41500000],PARAMETER["false_northing",0],UNIT["metre",1,AUTHORITY["EPSG","9001"]],AUTHORITY["EPSG","4529"]]</t>
  </si>
  <si>
    <t>PROJCS["CGCS2000 / 3-degree Gauss-Kruger zone 42",GEOGCS["China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126],PARAMETER["scale_factor",1],PARAMETER["false_easting",42500000],PARAMETER["false_northing",0],UNIT["metre",1,AUTHORITY["EPSG","9001"]],AUTHORITY["EPSG","4530"]]</t>
  </si>
  <si>
    <t>PROJCS["CGCS2000 / 3-degree Gauss-Kruger zone 43",GEOGCS["China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129],PARAMETER["scale_factor",1],PARAMETER["false_easting",43500000],PARAMETER["false_northing",0],UNIT["metre",1,AUTHORITY["EPSG","9001"]],AUTHORITY["EPSG","4531"]]</t>
  </si>
  <si>
    <t>PROJCS["CGCS2000 / 3-degree Gauss-Kruger zone 44",GEOGCS["China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132],PARAMETER["scale_factor",1],PARAMETER["false_easting",44500000],PARAMETER["false_northing",0],UNIT["metre",1,AUTHORITY["EPSG","9001"]],AUTHORITY["EPSG","4532"]]</t>
  </si>
  <si>
    <t>PROJCS["CGCS2000 / 3-degree Gauss-Kruger zone 45",GEOGCS["China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135],PARAMETER["scale_factor",1],PARAMETER["false_easting",45500000],PARAMETER["false_northing",0],UNIT["metre",1,AUTHORITY["EPSG","9001"]],AUTHORITY["EPSG","4533"]]</t>
  </si>
  <si>
    <t>GEOCCS["JAD2001",DATUM["Jamaica_2001",SPHEROID["WGS 84",6378137,298.257223563,AUTHORITY["EPSG","7030"]],AUTHORITY["EPSG","6758"]],PRIMEM["Greenwich",0,AUTHORITY["EPSG","8901"]],UNIT["metre",1,AUTHORITY["EPSG","9001"]],AXIS["Geocentric X",OTHER],AXIS["Geocentric Y",OTHER],AXIS["Geocentric Z",NORTH],AUTHORITY["EPSG","4894"]]</t>
  </si>
  <si>
    <t>PROJCS["CGCS2000 / 3-degree Gauss-Kruger CM 75E",GEOGCS["China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75],PARAMETER["scale_factor",1],PARAMETER["false_easting",500000],PARAMETER["false_northing",0],UNIT["metre",1,AUTHORITY["EPSG","9001"]],AUTHORITY["EPSG","4534"]]</t>
  </si>
  <si>
    <t>PROJCS["CGCS2000 / 3-degree Gauss-Kruger CM 78E",GEOGCS["China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78],PARAMETER["scale_factor",1],PARAMETER["false_easting",500000],PARAMETER["false_northing",0],UNIT["metre",1,AUTHORITY["EPSG","9001"]],AUTHORITY["EPSG","4535"]]</t>
  </si>
  <si>
    <t>PROJCS["CGCS2000 / 3-degree Gauss-Kruger CM 81E",GEOGCS["China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81],PARAMETER["scale_factor",1],PARAMETER["false_easting",500000],PARAMETER["false_northing",0],UNIT["metre",1,AUTHORITY["EPSG","9001"]],AUTHORITY["EPSG","4536"]]</t>
  </si>
  <si>
    <t>PROJCS["CGCS2000 / 3-degree Gauss-Kruger CM 84E",GEOGCS["China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84],PARAMETER["scale_factor",1],PARAMETER["false_easting",500000],PARAMETER["false_northing",0],UNIT["metre",1,AUTHORITY["EPSG","9001"]],AUTHORITY["EPSG","4537"]]</t>
  </si>
  <si>
    <t>PROJCS["CGCS2000 / 3-degree Gauss-Kruger CM 87E",GEOGCS["China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87],PARAMETER["scale_factor",1],PARAMETER["false_easting",500000],PARAMETER["false_northing",0],UNIT["metre",1,AUTHORITY["EPSG","9001"]],AUTHORITY["EPSG","4538"]]</t>
  </si>
  <si>
    <t>PROJCS["CGCS2000 / 3-degree Gauss-Kruger CM 90E",GEOGCS["China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90],PARAMETER["scale_factor",1],PARAMETER["false_easting",500000],PARAMETER["false_northing",0],UNIT["metre",1,AUTHORITY["EPSG","9001"]],AUTHORITY["EPSG","4539"]]</t>
  </si>
  <si>
    <t>PROJCS["CGCS2000 / 3-degree Gauss-Kruger CM 93E",GEOGCS["China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93],PARAMETER["scale_factor",1],PARAMETER["false_easting",500000],PARAMETER["false_northing",0],UNIT["metre",1,AUTHORITY["EPSG","9001"]],AUTHORITY["EPSG","4540"]]</t>
  </si>
  <si>
    <t>PROJCS["CGCS2000 / 3-degree Gauss-Kruger CM 96E",GEOGCS["China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96],PARAMETER["scale_factor",1],PARAMETER["false_easting",500000],PARAMETER["false_northing",0],UNIT["metre",1,AUTHORITY["EPSG","9001"]],AUTHORITY["EPSG","4541"]]</t>
  </si>
  <si>
    <t>PROJCS["CGCS2000 / 3-degree Gauss-Kruger CM 99E",GEOGCS["China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99],PARAMETER["scale_factor",1],PARAMETER["false_easting",500000],PARAMETER["false_northing",0],UNIT["metre",1,AUTHORITY["EPSG","9001"]],AUTHORITY["EPSG","4542"]]</t>
  </si>
  <si>
    <t>PROJCS["CGCS2000 / 3-degree Gauss-Kruger CM 102E",GEOGCS["China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102],PARAMETER["scale_factor",1],PARAMETER["false_easting",500000],PARAMETER["false_northing",0],UNIT["metre",1,AUTHORITY["EPSG","9001"]],AUTHORITY["EPSG","4543"]]</t>
  </si>
  <si>
    <t>PROJCS["CGCS2000 / 3-degree Gauss-Kruger CM 105E",GEOGCS["China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105],PARAMETER["scale_factor",1],PARAMETER["false_easting",500000],PARAMETER["false_northing",0],UNIT["metre",1,AUTHORITY["EPSG","9001"]],AUTHORITY["EPSG","4544"]]</t>
  </si>
  <si>
    <t>PROJCS["CGCS2000 / 3-degree Gauss-Kruger CM 108E",GEOGCS["China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108],PARAMETER["scale_factor",1],PARAMETER["false_easting",500000],PARAMETER["false_northing",0],UNIT["metre",1,AUTHORITY["EPSG","9001"]],AUTHORITY["EPSG","4545"]]</t>
  </si>
  <si>
    <t>PROJCS["CGCS2000 / 3-degree Gauss-Kruger CM 111E",GEOGCS["China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111],PARAMETER["scale_factor",1],PARAMETER["false_easting",500000],PARAMETER["false_northing",0],UNIT["metre",1,AUTHORITY["EPSG","9001"]],AUTHORITY["EPSG","4546"]]</t>
  </si>
  <si>
    <t>PROJCS["CGCS2000 / 3-degree Gauss-Kruger CM 114E",GEOGCS["China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114],PARAMETER["scale_factor",1],PARAMETER["false_easting",500000],PARAMETER["false_northing",0],UNIT["metre",1,AUTHORITY["EPSG","9001"]],AUTHORITY["EPSG","4547"]]</t>
  </si>
  <si>
    <t>PROJCS["CGCS2000 / 3-degree Gauss-Kruger CM 117E",GEOGCS["China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117],PARAMETER["scale_factor",1],PARAMETER["false_easting",500000],PARAMETER["false_northing",0],UNIT["metre",1,AUTHORITY["EPSG","9001"]],AUTHORITY["EPSG","4548"]]</t>
  </si>
  <si>
    <t>PROJCS["CGCS2000 / 3-degree Gauss-Kruger CM 120E",GEOGCS["China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120],PARAMETER["scale_factor",1],PARAMETER["false_easting",500000],PARAMETER["false_northing",0],UNIT["metre",1,AUTHORITY["EPSG","9001"]],AUTHORITY["EPSG","4549"]]</t>
  </si>
  <si>
    <t>PROJCS["CGCS2000 / 3-degree Gauss-Kruger CM 123E",GEOGCS["China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123],PARAMETER["scale_factor",1],PARAMETER["false_easting",500000],PARAMETER["false_northing",0],UNIT["metre",1,AUTHORITY["EPSG","9001"]],AUTHORITY["EPSG","4550"]]</t>
  </si>
  <si>
    <t>PROJCS["CGCS2000 / 3-degree Gauss-Kruger CM 126E",GEOGCS["China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126],PARAMETER["scale_factor",1],PARAMETER["false_easting",500000],PARAMETER["false_northing",0],UNIT["metre",1,AUTHORITY["EPSG","9001"]],AUTHORITY["EPSG","4551"]]</t>
  </si>
  <si>
    <t>PROJCS["CGCS2000 / 3-degree Gauss-Kruger CM 129E",GEOGCS["China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129],PARAMETER["scale_factor",1],PARAMETER["false_easting",500000],PARAMETER["false_northing",0],UNIT["metre",1,AUTHORITY["EPSG","9001"]],AUTHORITY["EPSG","4552"]]</t>
  </si>
  <si>
    <t>PROJCS["CGCS2000 / 3-degree Gauss-Kruger CM 132E",GEOGCS["China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132],PARAMETER["scale_factor",1],PARAMETER["false_easting",500000],PARAMETER["false_northing",0],UNIT["metre",1,AUTHORITY["EPSG","9001"]],AUTHORITY["EPSG","4553"]]</t>
  </si>
  <si>
    <t>PROJCS["CGCS2000 / 3-degree Gauss-Kruger CM 135E",GEOGCS["China Geodetic Coordinate System 2000",DATUM["China_2000",SPHEROID["CGCS2000",6378137,298.257222101,AUTHORITY["EPSG","1024"]],AUTHORITY["EPSG","1043"]],PRIMEM["Greenwich",0,AUTHORITY["EPSG","8901"]],UNIT["degree",0.0174532925199433,AUTHORITY["EPSG","9122"]],AUTHORITY["EPSG","4490"]],PROJECTION["Transverse_Mercator"],PARAMETER["latitude_of_origin",0],PARAMETER["central_meridian",135],PARAMETER["scale_factor",1],PARAMETER["false_easting",500000],PARAMETER["false_northing",0],UNIT["metre",1,AUTHORITY["EPSG","9001"]],AUTHORITY["EPSG","4554"]]</t>
  </si>
  <si>
    <t>PROJCS["New Beijing / Gauss-Kruger zone 23",GEOGCS["New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135],PARAMETER["scale_factor",1],PARAMETER["false_easting",23500000],PARAMETER["false_northing",0],UNIT["metre",1,AUTHORITY["EPSG","9001"]],AUTHORITY["EPSG","4578"]]</t>
  </si>
  <si>
    <t>PROJCS["RRAF 1991 / UTM zone 20N",GEOGCS["RRAF 1991",DATUM["Reseau_de_Reference_des_Antilles_Francaises_1991",SPHEROID["GRS 1980",6378137,298.257222101,AUTHORITY["EPSG","7019"]],TOWGS84[0,0,0,0,0,0,0],AUTHORITY["EPSG","1047"]],PRIMEM["Greenwich",0,AUTHORITY["EPSG","8901"]],UNIT["degree",0.0174532925199433,AUTHORITY["EPSG","9122"]],AUTHORITY["EPSG","4558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4559"]]</t>
  </si>
  <si>
    <t>PROJCS["New Beijing / Gauss-Kruger zone 13",GEOGCS["New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75],PARAMETER["scale_factor",1],PARAMETER["false_easting",13500000],PARAMETER["false_northing",0],UNIT["metre",1,AUTHORITY["EPSG","9001"]],AUTHORITY["EPSG","4568"]]</t>
  </si>
  <si>
    <t>PROJCS["New Beijing / Gauss-Kruger zone 14",GEOGCS["New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81],PARAMETER["scale_factor",1],PARAMETER["false_easting",14500000],PARAMETER["false_northing",0],UNIT["metre",1,AUTHORITY["EPSG","9001"]],AUTHORITY["EPSG","4569"]]</t>
  </si>
  <si>
    <t>PROJCS["New Beijing / Gauss-Kruger zone 15",GEOGCS["New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87],PARAMETER["scale_factor",1],PARAMETER["false_easting",15500000],PARAMETER["false_northing",0],UNIT["metre",1,AUTHORITY["EPSG","9001"]],AUTHORITY["EPSG","4570"]]</t>
  </si>
  <si>
    <t>PROJCS["New Beijing / Gauss-Kruger zone 16",GEOGCS["New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93],PARAMETER["scale_factor",1],PARAMETER["false_easting",16500000],PARAMETER["false_northing",0],UNIT["metre",1,AUTHORITY["EPSG","9001"]],AUTHORITY["EPSG","4571"]]</t>
  </si>
  <si>
    <t>PROJCS["New Beijing / Gauss-Kruger zone 17",GEOGCS["New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99],PARAMETER["scale_factor",1],PARAMETER["false_easting",17500000],PARAMETER["false_northing",0],UNIT["metre",1,AUTHORITY["EPSG","9001"]],AUTHORITY["EPSG","4572"]]</t>
  </si>
  <si>
    <t>PROJCS["New Beijing / Gauss-Kruger zone 18",GEOGCS["New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105],PARAMETER["scale_factor",1],PARAMETER["false_easting",18500000],PARAMETER["false_northing",0],UNIT["metre",1,AUTHORITY["EPSG","9001"]],AUTHORITY["EPSG","4573"]]</t>
  </si>
  <si>
    <t>PROJCS["New Beijing / Gauss-Kruger zone 19",GEOGCS["New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111],PARAMETER["scale_factor",1],PARAMETER["false_easting",19500000],PARAMETER["false_northing",0],UNIT["metre",1,AUTHORITY["EPSG","9001"]],AUTHORITY["EPSG","4574"]]</t>
  </si>
  <si>
    <t>PROJCS["New Beijing / Gauss-Kruger zone 20",GEOGCS["New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117],PARAMETER["scale_factor",1],PARAMETER["false_easting",20500000],PARAMETER["false_northing",0],UNIT["metre",1,AUTHORITY["EPSG","9001"]],AUTHORITY["EPSG","4575"]]</t>
  </si>
  <si>
    <t>PROJCS["New Beijing / Gauss-Kruger zone 21",GEOGCS["New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123],PARAMETER["scale_factor",1],PARAMETER["false_easting",21500000],PARAMETER["false_northing",0],UNIT["metre",1,AUTHORITY["EPSG","9001"]],AUTHORITY["EPSG","4576"]]</t>
  </si>
  <si>
    <t>PROJCS["New Beijing / Gauss-Kruger zone 22",GEOGCS["New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129],PARAMETER["scale_factor",1],PARAMETER["false_easting",22500000],PARAMETER["false_northing",0],UNIT["metre",1,AUTHORITY["EPSG","9001"]],AUTHORITY["EPSG","4577"]]</t>
  </si>
  <si>
    <t>PROJCS["New Beijing / Gauss-Kruger CM 87E",GEOGCS["New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87],PARAMETER["scale_factor",1],PARAMETER["false_easting",500000],PARAMETER["false_northing",0],UNIT["metre",1,AUTHORITY["EPSG","9001"]],AUTHORITY["EPSG","4581"]]</t>
  </si>
  <si>
    <t>PROJCS["New Beijing / Gauss-Kruger CM 93E",GEOGCS["New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93],PARAMETER["scale_factor",1],PARAMETER["false_easting",500000],PARAMETER["false_northing",0],UNIT["metre",1,AUTHORITY["EPSG","9001"]],AUTHORITY["EPSG","4582"]]</t>
  </si>
  <si>
    <t>PROJCS["New Beijing / Gauss-Kruger CM 99E",GEOGCS["New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99],PARAMETER["scale_factor",1],PARAMETER["false_easting",500000],PARAMETER["false_northing",0],UNIT["metre",1,AUTHORITY["EPSG","9001"]],AUTHORITY["EPSG","4583"]]</t>
  </si>
  <si>
    <t>PROJCS["New Beijing / Gauss-Kruger CM 105E",GEOGCS["New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105],PARAMETER["scale_factor",1],PARAMETER["false_easting",500000],PARAMETER["false_northing",0],UNIT["metre",1,AUTHORITY["EPSG","9001"]],AUTHORITY["EPSG","4584"]]</t>
  </si>
  <si>
    <t>PROJCS["New Beijing / Gauss-Kruger CM 111E",GEOGCS["New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111],PARAMETER["scale_factor",1],PARAMETER["false_easting",500000],PARAMETER["false_northing",0],UNIT["metre",1,AUTHORITY["EPSG","9001"]],AUTHORITY["EPSG","4585"]]</t>
  </si>
  <si>
    <t>PROJCS["New Beijing / Gauss-Kruger CM 117E",GEOGCS["New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117],PARAMETER["scale_factor",1],PARAMETER["false_easting",500000],PARAMETER["false_northing",0],UNIT["metre",1,AUTHORITY["EPSG","9001"]],AUTHORITY["EPSG","4586"]]</t>
  </si>
  <si>
    <t>PROJCS["New Beijing / Gauss-Kruger CM 123E",GEOGCS["New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123],PARAMETER["scale_factor",1],PARAMETER["false_easting",500000],PARAMETER["false_northing",0],UNIT["metre",1,AUTHORITY["EPSG","9001"]],AUTHORITY["EPSG","4587"]]</t>
  </si>
  <si>
    <t>PROJCS["New Beijing / Gauss-Kruger CM 129E",GEOGCS["New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129],PARAMETER["scale_factor",1],PARAMETER["false_easting",500000],PARAMETER["false_northing",0],UNIT["metre",1,AUTHORITY["EPSG","9001"]],AUTHORITY["EPSG","4588"]]</t>
  </si>
  <si>
    <t>PROJCS["New Beijing / Gauss-Kruger CM 135E",GEOGCS["New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135],PARAMETER["scale_factor",1],PARAMETER["false_easting",500000],PARAMETER["false_northing",0],UNIT["metre",1,AUTHORITY["EPSG","9001"]],AUTHORITY["EPSG","4589"]]</t>
  </si>
  <si>
    <t>PROJCS["ETRS89 / UTM zone 32N (zE-N)",GEOGCS["ETRS89",DATUM["European_Terrestrial_Reference_System_1989",SPHEROID["GRS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32500000],PARAMETER["false_northing",0],UNIT["metre",1,AUTHORITY["EPSG","9001"]],AXIS["Easting",EAST],AXIS["Northing",NORTH],AUTHORITY["EPSG","4647"]]</t>
  </si>
  <si>
    <t xml:space="preserve">+proj=tmerc +lat_0=0 +lon_0=9 +k=0.9996 +x_0=32500000 +y_0=0 +ellps=GRS80 +towgs84=0,0,0,0,0,0,0 +units=m +no_defs </t>
  </si>
  <si>
    <t>PROJCS["New Beijing / 3-degree Gauss-Kruger zone 25",GEOGCS["New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75],PARAMETER["scale_factor",1],PARAMETER["false_easting",25500000],PARAMETER["false_northing",0],UNIT["metre",1,AUTHORITY["EPSG","9001"]],AUTHORITY["EPSG","4652"]]</t>
  </si>
  <si>
    <t>PROJCS["New Beijing / 3-degree Gauss-Kruger zone 26",GEOGCS["New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78],PARAMETER["scale_factor",1],PARAMETER["false_easting",26500000],PARAMETER["false_northing",0],UNIT["metre",1,AUTHORITY["EPSG","9001"]],AUTHORITY["EPSG","4653"]]</t>
  </si>
  <si>
    <t>PROJCS["New Beijing / 3-degree Gauss-Kruger zone 27",GEOGCS["New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81],PARAMETER["scale_factor",1],PARAMETER["false_easting",27500000],PARAMETER["false_northing",0],UNIT["metre",1,AUTHORITY["EPSG","9001"]],AUTHORITY["EPSG","4654"]]</t>
  </si>
  <si>
    <t>PROJCS["New Beijing / 3-degree Gauss-Kruger zone 28",GEOGCS["New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84],PARAMETER["scale_factor",1],PARAMETER["false_easting",28500000],PARAMETER["false_northing",0],UNIT["metre",1,AUTHORITY["EPSG","9001"]],AUTHORITY["EPSG","4655"]]</t>
  </si>
  <si>
    <t>PROJCS["New Beijing / 3-degree Gauss-Kruger zone 29",GEOGCS["New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87],PARAMETER["scale_factor",1],PARAMETER["false_easting",29500000],PARAMETER["false_northing",0],UNIT["metre",1,AUTHORITY["EPSG","9001"]],AUTHORITY["EPSG","4656"]]</t>
  </si>
  <si>
    <t>PROJCS["New Beijing / 3-degree Gauss-Kruger zone 30",GEOGCS["New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90],PARAMETER["scale_factor",1],PARAMETER["false_easting",30500000],PARAMETER["false_northing",0],UNIT["metre",1,AUTHORITY["EPSG","9001"]],AUTHORITY["EPSG","4766"]]</t>
  </si>
  <si>
    <t>PROJCS["New Beijing / 3-degree Gauss-Kruger zone 31",GEOGCS["New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93],PARAMETER["scale_factor",1],PARAMETER["false_easting",31500000],PARAMETER["false_northing",0],UNIT["metre",1,AUTHORITY["EPSG","9001"]],AUTHORITY["EPSG","4767"]]</t>
  </si>
  <si>
    <t>PROJCS["New Beijing / 3-degree Gauss-Kruger zone 32",GEOGCS["New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96],PARAMETER["scale_factor",1],PARAMETER["false_easting",32500000],PARAMETER["false_northing",0],UNIT["metre",1,AUTHORITY["EPSG","9001"]],AUTHORITY["EPSG","4768"]]</t>
  </si>
  <si>
    <t>PROJCS["New Beijing / 3-degree Gauss-Kruger zone 33",GEOGCS["New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99],PARAMETER["scale_factor",1],PARAMETER["false_easting",33500000],PARAMETER["false_northing",0],UNIT["metre",1,AUTHORITY["EPSG","9001"]],AUTHORITY["EPSG","4769"]]</t>
  </si>
  <si>
    <t>PROJCS["New Beijing / 3-degree Gauss-Kruger zone 34",GEOGCS["New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102],PARAMETER["scale_factor",1],PARAMETER["false_easting",34500000],PARAMETER["false_northing",0],UNIT["metre",1,AUTHORITY["EPSG","9001"]],AUTHORITY["EPSG","4770"]]</t>
  </si>
  <si>
    <t>PROJCS["New Beijing / 3-degree Gauss-Kruger zone 35",GEOGCS["New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105],PARAMETER["scale_factor",1],PARAMETER["false_easting",35500000],PARAMETER["false_northing",0],UNIT["metre",1,AUTHORITY["EPSG","9001"]],AUTHORITY["EPSG","4771"]]</t>
  </si>
  <si>
    <t>PROJCS["New Beijing / 3-degree Gauss-Kruger zone 36",GEOGCS["New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108],PARAMETER["scale_factor",1],PARAMETER["false_easting",36500000],PARAMETER["false_northing",0],UNIT["metre",1,AUTHORITY["EPSG","9001"]],AUTHORITY["EPSG","4772"]]</t>
  </si>
  <si>
    <t>PROJCS["New Beijing / 3-degree Gauss-Kruger zone 37",GEOGCS["New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111],PARAMETER["scale_factor",1],PARAMETER["false_easting",37500000],PARAMETER["false_northing",0],UNIT["metre",1,AUTHORITY["EPSG","9001"]],AUTHORITY["EPSG","4773"]]</t>
  </si>
  <si>
    <t>PROJCS["New Beijing / 3-degree Gauss-Kruger zone 38",GEOGCS["New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114],PARAMETER["scale_factor",1],PARAMETER["false_easting",38500000],PARAMETER["false_northing",0],UNIT["metre",1,AUTHORITY["EPSG","9001"]],AUTHORITY["EPSG","4774"]]</t>
  </si>
  <si>
    <t>PROJCS["New Beijing / 3-degree Gauss-Kruger zone 39",GEOGCS["New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117],PARAMETER["scale_factor",1],PARAMETER["false_easting",39500000],PARAMETER["false_northing",0],UNIT["metre",1,AUTHORITY["EPSG","9001"]],AUTHORITY["EPSG","4775"]]</t>
  </si>
  <si>
    <t>PROJCS["New Beijing / 3-degree Gauss-Kruger zone 40",GEOGCS["New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120],PARAMETER["scale_factor",1],PARAMETER["false_easting",40500000],PARAMETER["false_northing",0],UNIT["metre",1,AUTHORITY["EPSG","9001"]],AUTHORITY["EPSG","4776"]]</t>
  </si>
  <si>
    <t>PROJCS["New Beijing / 3-degree Gauss-Kruger zone 41",GEOGCS["New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123],PARAMETER["scale_factor",1],PARAMETER["false_easting",41500000],PARAMETER["false_northing",0],UNIT["metre",1,AUTHORITY["EPSG","9001"]],AUTHORITY["EPSG","4777"]]</t>
  </si>
  <si>
    <t>PROJCS["New Beijing / 3-degree Gauss-Kruger zone 42",GEOGCS["New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126],PARAMETER["scale_factor",1],PARAMETER["false_easting",42500000],PARAMETER["false_northing",0],UNIT["metre",1,AUTHORITY["EPSG","9001"]],AUTHORITY["EPSG","4778"]]</t>
  </si>
  <si>
    <t>PROJCS["New Beijing / 3-degree Gauss-Kruger zone 43",GEOGCS["New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129],PARAMETER["scale_factor",1],PARAMETER["false_easting",43500000],PARAMETER["false_northing",0],UNIT["metre",1,AUTHORITY["EPSG","9001"]],AUTHORITY["EPSG","4779"]]</t>
  </si>
  <si>
    <t>PROJCS["New Beijing / 3-degree Gauss-Kruger zone 44",GEOGCS["New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132],PARAMETER["scale_factor",1],PARAMETER["false_easting",44500000],PARAMETER["false_northing",0],UNIT["metre",1,AUTHORITY["EPSG","9001"]],AUTHORITY["EPSG","4780"]]</t>
  </si>
  <si>
    <t>PROJCS["New Beijing / 3-degree Gauss-Kruger zone 45",GEOGCS["New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135],PARAMETER["scale_factor",1],PARAMETER["false_easting",45500000],PARAMETER["false_northing",0],UNIT["metre",1,AUTHORITY["EPSG","9001"]],AUTHORITY["EPSG","4781"]]</t>
  </si>
  <si>
    <t>PROJCS["New Beijing / 3-degree Gauss-Kruger CM 75E",GEOGCS["New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75],PARAMETER["scale_factor",1],PARAMETER["false_easting",500000],PARAMETER["false_northing",0],UNIT["metre",1,AUTHORITY["EPSG","9001"]],AUTHORITY["EPSG","4782"]]</t>
  </si>
  <si>
    <t>PROJCS["New Beijing / 3-degree Gauss-Kruger CM 78E",GEOGCS["New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78],PARAMETER["scale_factor",1],PARAMETER["false_easting",500000],PARAMETER["false_northing",0],UNIT["metre",1,AUTHORITY["EPSG","9001"]],AUTHORITY["EPSG","4783"]]</t>
  </si>
  <si>
    <t>PROJCS["New Beijing / 3-degree Gauss-Kruger CM 81E",GEOGCS["New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81],PARAMETER["scale_factor",1],PARAMETER["false_easting",500000],PARAMETER["false_northing",0],UNIT["metre",1,AUTHORITY["EPSG","9001"]],AUTHORITY["EPSG","4784"]]</t>
  </si>
  <si>
    <t>PROJCS["New Beijing / 3-degree Gauss-Kruger CM 84E",GEOGCS["New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84],PARAMETER["scale_factor",1],PARAMETER["false_easting",500000],PARAMETER["false_northing",0],UNIT["metre",1,AUTHORITY["EPSG","9001"]],AUTHORITY["EPSG","4785"]]</t>
  </si>
  <si>
    <t>PROJCS["New Beijing / 3-degree Gauss-Kruger CM 87E",GEOGCS["New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87],PARAMETER["scale_factor",1],PARAMETER["false_easting",500000],PARAMETER["false_northing",0],UNIT["metre",1,AUTHORITY["EPSG","9001"]],AUTHORITY["EPSG","4786"]]</t>
  </si>
  <si>
    <t>PROJCS["New Beijing / 3-degree Gauss-Kruger CM 90E",GEOGCS["New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90],PARAMETER["scale_factor",1],PARAMETER["false_easting",500000],PARAMETER["false_northing",0],UNIT["metre",1,AUTHORITY["EPSG","9001"]],AUTHORITY["EPSG","4787"]]</t>
  </si>
  <si>
    <t>PROJCS["New Beijing / 3-degree Gauss-Kruger CM 93E",GEOGCS["New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93],PARAMETER["scale_factor",1],PARAMETER["false_easting",500000],PARAMETER["false_northing",0],UNIT["metre",1,AUTHORITY["EPSG","9001"]],AUTHORITY["EPSG","4788"]]</t>
  </si>
  <si>
    <t>PROJCS["New Beijing / 3-degree Gauss-Kruger CM 96E",GEOGCS["New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96],PARAMETER["scale_factor",1],PARAMETER["false_easting",500000],PARAMETER["false_northing",0],UNIT["metre",1,AUTHORITY["EPSG","9001"]],AUTHORITY["EPSG","4789"]]</t>
  </si>
  <si>
    <t>PROJCS["New Beijing / 3-degree Gauss-Kruger CM 99E",GEOGCS["New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99],PARAMETER["scale_factor",1],PARAMETER["false_easting",500000],PARAMETER["false_northing",0],UNIT["metre",1,AUTHORITY["EPSG","9001"]],AUTHORITY["EPSG","4790"]]</t>
  </si>
  <si>
    <t>PROJCS["New Beijing / 3-degree Gauss-Kruger CM 102E",GEOGCS["New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102],PARAMETER["scale_factor",1],PARAMETER["false_easting",500000],PARAMETER["false_northing",0],UNIT["metre",1,AUTHORITY["EPSG","9001"]],AUTHORITY["EPSG","4791"]]</t>
  </si>
  <si>
    <t>PROJCS["New Beijing / 3-degree Gauss-Kruger CM 105E",GEOGCS["New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105],PARAMETER["scale_factor",1],PARAMETER["false_easting",500000],PARAMETER["false_northing",0],UNIT["metre",1,AUTHORITY["EPSG","9001"]],AUTHORITY["EPSG","4792"]]</t>
  </si>
  <si>
    <t>PROJCS["New Beijing / 3-degree Gauss-Kruger CM 108E",GEOGCS["New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108],PARAMETER["scale_factor",1],PARAMETER["false_easting",500000],PARAMETER["false_northing",0],UNIT["metre",1,AUTHORITY["EPSG","9001"]],AUTHORITY["EPSG","4793"]]</t>
  </si>
  <si>
    <t>PROJCS["New Beijing / 3-degree Gauss-Kruger CM 111E",GEOGCS["New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111],PARAMETER["scale_factor",1],PARAMETER["false_easting",500000],PARAMETER["false_northing",0],UNIT["metre",1,AUTHORITY["EPSG","9001"]],AUTHORITY["EPSG","4794"]]</t>
  </si>
  <si>
    <t>PROJCS["New Beijing / 3-degree Gauss-Kruger CM 114E",GEOGCS["New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114],PARAMETER["scale_factor",1],PARAMETER["false_easting",500000],PARAMETER["false_northing",0],UNIT["metre",1,AUTHORITY["EPSG","9001"]],AUTHORITY["EPSG","4795"]]</t>
  </si>
  <si>
    <t>PROJCS["New Beijing / 3-degree Gauss-Kruger CM 117E",GEOGCS["New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117],PARAMETER["scale_factor",1],PARAMETER["false_easting",500000],PARAMETER["false_northing",0],UNIT["metre",1,AUTHORITY["EPSG","9001"]],AUTHORITY["EPSG","4796"]]</t>
  </si>
  <si>
    <t>PROJCS["New Beijing / 3-degree Gauss-Kruger CM 120E",GEOGCS["New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120],PARAMETER["scale_factor",1],PARAMETER["false_easting",500000],PARAMETER["false_northing",0],UNIT["metre",1,AUTHORITY["EPSG","9001"]],AUTHORITY["EPSG","4797"]]</t>
  </si>
  <si>
    <t>PROJCS["New Beijing / 3-degree Gauss-Kruger CM 123E",GEOGCS["New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123],PARAMETER["scale_factor",1],PARAMETER["false_easting",500000],PARAMETER["false_northing",0],UNIT["metre",1,AUTHORITY["EPSG","9001"]],AUTHORITY["EPSG","4798"]]</t>
  </si>
  <si>
    <t>PROJCS["New Beijing / 3-degree Gauss-Kruger CM 126E",GEOGCS["New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126],PARAMETER["scale_factor",1],PARAMETER["false_easting",500000],PARAMETER["false_northing",0],UNIT["metre",1,AUTHORITY["EPSG","9001"]],AUTHORITY["EPSG","4799"]]</t>
  </si>
  <si>
    <t>PROJCS["New Beijing / 3-degree Gauss-Kruger CM 129E",GEOGCS["New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129],PARAMETER["scale_factor",1],PARAMETER["false_easting",500000],PARAMETER["false_northing",0],UNIT["metre",1,AUTHORITY["EPSG","9001"]],AUTHORITY["EPSG","4800"]]</t>
  </si>
  <si>
    <t>PROJCS["New Beijing / 3-degree Gauss-Kruger CM 132E",GEOGCS["New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132],PARAMETER["scale_factor",1],PARAMETER["false_easting",500000],PARAMETER["false_northing",0],UNIT["metre",1,AUTHORITY["EPSG","9001"]],AUTHORITY["EPSG","4812"]]</t>
  </si>
  <si>
    <t>PROJCS["New Beijing / 3-degree Gauss-Kruger CM 135E",GEOGCS["New Beijing",DATUM["New_Beijing",SPHEROID["Krassowsky 1940",6378245,298.3,AUTHORITY["EPSG","7024"]],AUTHORITY["EPSG","1045"]],PRIMEM["Greenwich",0,AUTHORITY["EPSG","8901"]],UNIT["degree",0.0174532925199433,AUTHORITY["EPSG","9122"]],AUTHORITY["EPSG","4555"]],PROJECTION["Transverse_Mercator"],PARAMETER["latitude_of_origin",0],PARAMETER["central_meridian",135],PARAMETER["scale_factor",1],PARAMETER["false_easting",500000],PARAMETER["false_northing",0],UNIT["metre",1,AUTHORITY["EPSG","9001"]],AUTHORITY["EPSG","4822"]]</t>
  </si>
  <si>
    <t>PROJCS["WGS 84 / Cape Verde National",GEOGCS["WGS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15],PARAMETER["standard_parallel_2",16.66666666666667],PARAMETER["latitude_of_origin",15.83333333333333],PARAMETER["central_meridian",-24],PARAMETER["false_easting",161587.83],PARAMETER["false_northing",128511.202],UNIT["metre",1,AUTHORITY["EPSG","9001"]],AXIS["M",EAST],AXIS["P",NORTH],AUTHORITY["EPSG","4826"]]</t>
  </si>
  <si>
    <t>PROJCS["ETRS89 / LCC Germany (N-E)",GEOGCS["ETRS89",DATUM["European_Terrestrial_Reference_System_1989",SPHEROID["GRS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48.66666666666666],PARAMETER["standard_parallel_2",53.66666666666666],PARAMETER["latitude_of_origin",51],PARAMETER["central_meridian",10.5],PARAMETER["false_easting",0],PARAMETER["false_northing",0],UNIT["metre",1,AUTHORITY["EPSG","9001"]],AUTHORITY["EPSG","4839"]]</t>
  </si>
  <si>
    <t xml:space="preserve">+proj=lcc +lat_1=48.66666666666666 +lat_2=53.66666666666666 +lat_0=51 +lon_0=10.5 +x_0=0 +y_0=0 +ellps=GRS80 +towgs84=0,0,0,0,0,0,0 +units=m +no_defs </t>
  </si>
  <si>
    <t>GEOCCS["ITRF2005",DATUM["International_Terrestrial_Reference_Frame_2005",SPHEROID["GRS 1980",6378137,298.257222101,AUTHORITY["EPSG","7019"]],AUTHORITY["EPSG","6896"]],PRIMEM["Greenwich",0,AUTHORITY["EPSG","8901"]],UNIT["metre",1,AUTHORITY["EPSG","9001"]],AXIS["Geocentric X",OTHER],AXIS["Geocentric Y",OTHER],AXIS["Geocentric Z",NORTH],AUTHORITY["EPSG","4896"]]</t>
  </si>
  <si>
    <t>PROJCS["ETRS89 / NTM zone 5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5.5],PARAMETER["scale_factor",1],PARAMETER["false_easting",100000],PARAMETER["false_northing",1000000],UNIT["metre",1,AUTHORITY["EPSG","9001"]],AUTHORITY["EPSG","4855"]]</t>
  </si>
  <si>
    <t xml:space="preserve">+proj=tmerc +lat_0=0 +lon_0=5.5 +k=1 +x_0=100000 +y_0=1000000 +ellps=GRS80 +towgs84=0,0,0,0,0,0,0 +units=m +no_defs </t>
  </si>
  <si>
    <t>PROJCS["ETRS89 / NTM zone 6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6.5],PARAMETER["scale_factor",1],PARAMETER["false_easting",100000],PARAMETER["false_northing",1000000],UNIT["metre",1,AUTHORITY["EPSG","9001"]],AUTHORITY["EPSG","4856"]]</t>
  </si>
  <si>
    <t xml:space="preserve">+proj=tmerc +lat_0=0 +lon_0=6.5 +k=1 +x_0=100000 +y_0=1000000 +ellps=GRS80 +towgs84=0,0,0,0,0,0,0 +units=m +no_defs </t>
  </si>
  <si>
    <t>PROJCS["ETRS89 / NTM zone 7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7.5],PARAMETER["scale_factor",1],PARAMETER["false_easting",100000],PARAMETER["false_northing",1000000],UNIT["metre",1,AUTHORITY["EPSG","9001"]],AUTHORITY["EPSG","4857"]]</t>
  </si>
  <si>
    <t xml:space="preserve">+proj=tmerc +lat_0=0 +lon_0=7.5 +k=1 +x_0=100000 +y_0=1000000 +ellps=GRS80 +towgs84=0,0,0,0,0,0,0 +units=m +no_defs </t>
  </si>
  <si>
    <t>PROJCS["ETRS89 / NTM zone 8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8.5],PARAMETER["scale_factor",1],PARAMETER["false_easting",100000],PARAMETER["false_northing",1000000],UNIT["metre",1,AUTHORITY["EPSG","9001"]],AUTHORITY["EPSG","4858"]]</t>
  </si>
  <si>
    <t xml:space="preserve">+proj=tmerc +lat_0=0 +lon_0=8.5 +k=1 +x_0=100000 +y_0=1000000 +ellps=GRS80 +towgs84=0,0,0,0,0,0,0 +units=m +no_defs </t>
  </si>
  <si>
    <t>PROJCS["ETRS89 / NTM zone 9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9.5],PARAMETER["scale_factor",1],PARAMETER["false_easting",100000],PARAMETER["false_northing",1000000],UNIT["metre",1,AUTHORITY["EPSG","9001"]],AUTHORITY["EPSG","4859"]]</t>
  </si>
  <si>
    <t xml:space="preserve">+proj=tmerc +lat_0=0 +lon_0=9.5 +k=1 +x_0=100000 +y_0=1000000 +ellps=GRS80 +towgs84=0,0,0,0,0,0,0 +units=m +no_defs </t>
  </si>
  <si>
    <t>PROJCS["ETRS89 / NTM zone 10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10.5],PARAMETER["scale_factor",1],PARAMETER["false_easting",100000],PARAMETER["false_northing",1000000],UNIT["metre",1,AUTHORITY["EPSG","9001"]],AUTHORITY["EPSG","4860"]]</t>
  </si>
  <si>
    <t xml:space="preserve">+proj=tmerc +lat_0=0 +lon_0=10.5 +k=1 +x_0=100000 +y_0=1000000 +ellps=GRS80 +towgs84=0,0,0,0,0,0,0 +units=m +no_defs </t>
  </si>
  <si>
    <t>PROJCS["ETRS89 / NTM zone 11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11.5],PARAMETER["scale_factor",1],PARAMETER["false_easting",100000],PARAMETER["false_northing",1000000],UNIT["metre",1,AUTHORITY["EPSG","9001"]],AUTHORITY["EPSG","4861"]]</t>
  </si>
  <si>
    <t xml:space="preserve">+proj=tmerc +lat_0=0 +lon_0=11.5 +k=1 +x_0=100000 +y_0=1000000 +ellps=GRS80 +towgs84=0,0,0,0,0,0,0 +units=m +no_defs </t>
  </si>
  <si>
    <t>PROJCS["ETRS89 / NTM zone 12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12.5],PARAMETER["scale_factor",1],PARAMETER["false_easting",100000],PARAMETER["false_northing",1000000],UNIT["metre",1,AUTHORITY["EPSG","9001"]],AUTHORITY["EPSG","4862"]]</t>
  </si>
  <si>
    <t xml:space="preserve">+proj=tmerc +lat_0=0 +lon_0=12.5 +k=1 +x_0=100000 +y_0=1000000 +ellps=GRS80 +towgs84=0,0,0,0,0,0,0 +units=m +no_defs </t>
  </si>
  <si>
    <t>PROJCS["ETRS89 / NTM zone 13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13.5],PARAMETER["scale_factor",1],PARAMETER["false_easting",100000],PARAMETER["false_northing",1000000],UNIT["metre",1,AUTHORITY["EPSG","9001"]],AUTHORITY["EPSG","4863"]]</t>
  </si>
  <si>
    <t xml:space="preserve">+proj=tmerc +lat_0=0 +lon_0=13.5 +k=1 +x_0=100000 +y_0=1000000 +ellps=GRS80 +towgs84=0,0,0,0,0,0,0 +units=m +no_defs </t>
  </si>
  <si>
    <t>PROJCS["ETRS89 / NTM zone 14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14.5],PARAMETER["scale_factor",1],PARAMETER["false_easting",100000],PARAMETER["false_northing",1000000],UNIT["metre",1,AUTHORITY["EPSG","9001"]],AUTHORITY["EPSG","4864"]]</t>
  </si>
  <si>
    <t xml:space="preserve">+proj=tmerc +lat_0=0 +lon_0=14.5 +k=1 +x_0=100000 +y_0=1000000 +ellps=GRS80 +towgs84=0,0,0,0,0,0,0 +units=m +no_defs </t>
  </si>
  <si>
    <t>PROJCS["ETRS89 / NTM zone 15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15.5],PARAMETER["scale_factor",1],PARAMETER["false_easting",100000],PARAMETER["false_northing",1000000],UNIT["metre",1,AUTHORITY["EPSG","9001"]],AUTHORITY["EPSG","4865"]]</t>
  </si>
  <si>
    <t xml:space="preserve">+proj=tmerc +lat_0=0 +lon_0=15.5 +k=1 +x_0=100000 +y_0=1000000 +ellps=GRS80 +towgs84=0,0,0,0,0,0,0 +units=m +no_defs </t>
  </si>
  <si>
    <t>PROJCS["ETRS89 / NTM zone 16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16.5],PARAMETER["scale_factor",1],PARAMETER["false_easting",100000],PARAMETER["false_northing",1000000],UNIT["metre",1,AUTHORITY["EPSG","9001"]],AUTHORITY["EPSG","4866"]]</t>
  </si>
  <si>
    <t xml:space="preserve">+proj=tmerc +lat_0=0 +lon_0=16.5 +k=1 +x_0=100000 +y_0=1000000 +ellps=GRS80 +towgs84=0,0,0,0,0,0,0 +units=m +no_defs </t>
  </si>
  <si>
    <t>PROJCS["ETRS89 / NTM zone 17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17.5],PARAMETER["scale_factor",1],PARAMETER["false_easting",100000],PARAMETER["false_northing",1000000],UNIT["metre",1,AUTHORITY["EPSG","9001"]],AUTHORITY["EPSG","4867"]]</t>
  </si>
  <si>
    <t xml:space="preserve">+proj=tmerc +lat_0=0 +lon_0=17.5 +k=1 +x_0=100000 +y_0=1000000 +ellps=GRS80 +towgs84=0,0,0,0,0,0,0 +units=m +no_defs </t>
  </si>
  <si>
    <t>PROJCS["ETRS89 / NTM zone 18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18.5],PARAMETER["scale_factor",1],PARAMETER["false_easting",100000],PARAMETER["false_northing",1000000],UNIT["metre",1,AUTHORITY["EPSG","9001"]],AUTHORITY["EPSG","4868"]]</t>
  </si>
  <si>
    <t xml:space="preserve">+proj=tmerc +lat_0=0 +lon_0=18.5 +k=1 +x_0=100000 +y_0=1000000 +ellps=GRS80 +towgs84=0,0,0,0,0,0,0 +units=m +no_defs </t>
  </si>
  <si>
    <t>PROJCS["ETRS89 / NTM zone 19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19.5],PARAMETER["scale_factor",1],PARAMETER["false_easting",100000],PARAMETER["false_northing",1000000],UNIT["metre",1,AUTHORITY["EPSG","9001"]],AUTHORITY["EPSG","4869"]]</t>
  </si>
  <si>
    <t xml:space="preserve">+proj=tmerc +lat_0=0 +lon_0=19.5 +k=1 +x_0=100000 +y_0=1000000 +ellps=GRS80 +towgs84=0,0,0,0,0,0,0 +units=m +no_defs </t>
  </si>
  <si>
    <t>PROJCS["ETRS89 / NTM zone 20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20.5],PARAMETER["scale_factor",1],PARAMETER["false_easting",100000],PARAMETER["false_northing",1000000],UNIT["metre",1,AUTHORITY["EPSG","9001"]],AUTHORITY["EPSG","4870"]]</t>
  </si>
  <si>
    <t xml:space="preserve">+proj=tmerc +lat_0=0 +lon_0=20.5 +k=1 +x_0=100000 +y_0=1000000 +ellps=GRS80 +towgs84=0,0,0,0,0,0,0 +units=m +no_defs </t>
  </si>
  <si>
    <t>PROJCS["ETRS89 / NTM zone 21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21.5],PARAMETER["scale_factor",1],PARAMETER["false_easting",100000],PARAMETER["false_northing",1000000],UNIT["metre",1,AUTHORITY["EPSG","9001"]],AUTHORITY["EPSG","4871"]]</t>
  </si>
  <si>
    <t xml:space="preserve">+proj=tmerc +lat_0=0 +lon_0=21.5 +k=1 +x_0=100000 +y_0=1000000 +ellps=GRS80 +towgs84=0,0,0,0,0,0,0 +units=m +no_defs </t>
  </si>
  <si>
    <t>PROJCS["ETRS89 / NTM zone 22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22.5],PARAMETER["scale_factor",1],PARAMETER["false_easting",100000],PARAMETER["false_northing",1000000],UNIT["metre",1,AUTHORITY["EPSG","9001"]],AUTHORITY["EPSG","4872"]]</t>
  </si>
  <si>
    <t xml:space="preserve">+proj=tmerc +lat_0=0 +lon_0=22.5 +k=1 +x_0=100000 +y_0=1000000 +ellps=GRS80 +towgs84=0,0,0,0,0,0,0 +units=m +no_defs </t>
  </si>
  <si>
    <t>PROJCS["ETRS89 / NTM zone 23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23.5],PARAMETER["scale_factor",1],PARAMETER["false_easting",100000],PARAMETER["false_northing",1000000],UNIT["metre",1,AUTHORITY["EPSG","9001"]],AUTHORITY["EPSG","4873"]]</t>
  </si>
  <si>
    <t xml:space="preserve">+proj=tmerc +lat_0=0 +lon_0=23.5 +k=1 +x_0=100000 +y_0=1000000 +ellps=GRS80 +towgs84=0,0,0,0,0,0,0 +units=m +no_defs </t>
  </si>
  <si>
    <t>PROJCS["ETRS89 / NTM zone 24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24.5],PARAMETER["scale_factor",1],PARAMETER["false_easting",100000],PARAMETER["false_northing",1000000],UNIT["metre",1,AUTHORITY["EPSG","9001"]],AUTHORITY["EPSG","4874"]]</t>
  </si>
  <si>
    <t xml:space="preserve">+proj=tmerc +lat_0=0 +lon_0=24.5 +k=1 +x_0=100000 +y_0=1000000 +ellps=GRS80 +towgs84=0,0,0,0,0,0,0 +units=m +no_defs </t>
  </si>
  <si>
    <t>PROJCS["ETRS89 / NTM zone 25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25.5],PARAMETER["scale_factor",1],PARAMETER["false_easting",100000],PARAMETER["false_northing",1000000],UNIT["metre",1,AUTHORITY["EPSG","9001"]],AUTHORITY["EPSG","4875"]]</t>
  </si>
  <si>
    <t xml:space="preserve">+proj=tmerc +lat_0=0 +lon_0=25.5 +k=1 +x_0=100000 +y_0=1000000 +ellps=GRS80 +towgs84=0,0,0,0,0,0,0 +units=m +no_defs </t>
  </si>
  <si>
    <t>PROJCS["ETRS89 / NTM zone 26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26.5],PARAMETER["scale_factor",1],PARAMETER["false_easting",100000],PARAMETER["false_northing",1000000],UNIT["metre",1,AUTHORITY["EPSG","9001"]],AUTHORITY["EPSG","4876"]]</t>
  </si>
  <si>
    <t xml:space="preserve">+proj=tmerc +lat_0=0 +lon_0=26.5 +k=1 +x_0=100000 +y_0=1000000 +ellps=GRS80 +towgs84=0,0,0,0,0,0,0 +units=m +no_defs </t>
  </si>
  <si>
    <t>PROJCS["ETRS89 / NTM zone 27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27.5],PARAMETER["scale_factor",1],PARAMETER["false_easting",100000],PARAMETER["false_northing",1000000],UNIT["metre",1,AUTHORITY["EPSG","9001"]],AUTHORITY["EPSG","4877"]]</t>
  </si>
  <si>
    <t xml:space="preserve">+proj=tmerc +lat_0=0 +lon_0=27.5 +k=1 +x_0=100000 +y_0=1000000 +ellps=GRS80 +towgs84=0,0,0,0,0,0,0 +units=m +no_defs </t>
  </si>
  <si>
    <t>PROJCS["ETRS89 / NTM zone 28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28.5],PARAMETER["scale_factor",1],PARAMETER["false_easting",100000],PARAMETER["false_northing",1000000],UNIT["metre",1,AUTHORITY["EPSG","9001"]],AUTHORITY["EPSG","4878"]]</t>
  </si>
  <si>
    <t xml:space="preserve">+proj=tmerc +lat_0=0 +lon_0=28.5 +k=1 +x_0=100000 +y_0=1000000 +ellps=GRS80 +towgs84=0,0,0,0,0,0,0 +units=m +no_defs </t>
  </si>
  <si>
    <t>PROJCS["ETRS89 / NTM zone 29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29.5],PARAMETER["scale_factor",1],PARAMETER["false_easting",100000],PARAMETER["false_northing",1000000],UNIT["metre",1,AUTHORITY["EPSG","9001"]],AUTHORITY["EPSG","4879"]]</t>
  </si>
  <si>
    <t xml:space="preserve">+proj=tmerc +lat_0=0 +lon_0=29.5 +k=1 +x_0=100000 +y_0=1000000 +ellps=GRS80 +towgs84=0,0,0,0,0,0,0 +units=m +no_defs </t>
  </si>
  <si>
    <t>PROJCS["ETRS89 / NTM zone 30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30.5],PARAMETER["scale_factor",1],PARAMETER["false_easting",100000],PARAMETER["false_northing",1000000],UNIT["metre",1,AUTHORITY["EPSG","9001"]],AUTHORITY["EPSG","4880"]]</t>
  </si>
  <si>
    <t xml:space="preserve">+proj=tmerc +lat_0=0 +lon_0=30.5 +k=1 +x_0=100000 +y_0=1000000 +ellps=GRS80 +towgs84=0,0,0,0,0,0,0 +units=m +no_defs </t>
  </si>
  <si>
    <t>PROJCS["PTRA08 / UTM zone 25N",GEOGCS["PTRA08",DATUM["Autonomous_Regions_of_Portugal_2008",SPHEROID["GRS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5014"]]</t>
  </si>
  <si>
    <t>PROJCS["PTRA08 / UTM zone 26N",GEOGCS["PTRA08",DATUM["Autonomous_Regions_of_Portugal_2008",SPHEROID["GRS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5015"]]</t>
  </si>
  <si>
    <t>PROJCS["PTRA08 / UTM zone 28N",GEOGCS["PTRA08",DATUM["Autonomous_Regions_of_Portugal_2008",SPHEROID["GRS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5016"]]</t>
  </si>
  <si>
    <t>PROJCS["Lisbon / Portuguese Grid New",GEOGCS["Lisbon",DATUM["Lisbon_1937",SPHEROID["International 1924",6378388,297,AUTHORITY["EPSG","7022"]],TOWGS84[-304.046,-60.576,103.64,0,0,0,0],AUTHORITY["EPSG","6207"]],PRIMEM["Greenwich",0,AUTHORITY["EPSG","8901"]],UNIT["degree",0.0174532925199433,AUTHORITY["EPSG","9122"]],AUTHORITY["EPSG","4207"]],PROJECTION["Transverse_Mercator"],PARAMETER["latitude_of_origin",39.66666666666666],PARAMETER["central_meridian",-8.131906111111112],PARAMETER["scale_factor",1],PARAMETER["false_easting",0],PARAMETER["false_northing",0],UNIT["metre",1,AUTHORITY["EPSG","9001"]],AXIS["X",EAST],AXIS["Y",NORTH],AUTHORITY["EPSG","5018"]]</t>
  </si>
  <si>
    <t xml:space="preserve">+proj=tmerc +lat_0=39.66666666666666 +lon_0=-8.131906111111112 +k=1 +x_0=0 +y_0=0 +ellps=intl +towgs84=-304.046,-60.576,103.64,0,0,0,0 +units=m +no_defs </t>
  </si>
  <si>
    <t>PROJCS["WGS 84 / UPS North (E,N)",GEOGCS["WGS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0],PARAMETER["scale_factor",0.994],PARAMETER["false_easting",2000000],PARAMETER["false_northing",2000000],UNIT["metre",1,AUTHORITY["EPSG","9001"]],AXIS["Easting",EAST],AXIS["Northing",NORTH],AUTHORITY["EPSG","5041"]]</t>
  </si>
  <si>
    <t>PROJCS["WGS 84 / UPS South (E,N)",GEOGCS["WGS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-90],PARAMETER["central_meridian",0],PARAMETER["scale_factor",0.994],PARAMETER["false_easting",2000000],PARAMETER["false_northing",2000000],UNIT["metre",1,AUTHORITY["EPSG","9001"]],AXIS["Easting",EAST],AXIS["Northing",NORTH],AUTHORITY["EPSG","5042"]]</t>
  </si>
  <si>
    <t>PROJCS["ETRS89 / TM35FIN(N,E)",GEOGCS["ETRS89",DATUM["European_Terrestrial_Reference_System_1989",SPHEROID["GRS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UTHORITY["EPSG","5048"]]</t>
  </si>
  <si>
    <t>PROJCS["NAD27 / Conus Albers",GEOGCS["NAD27",DATUM["North_American_Datum_1927",SPHEROID["Clarke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5069"]]</t>
  </si>
  <si>
    <t>PROJCS["NAD83 / Conus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5070"]]</t>
  </si>
  <si>
    <t>PROJCS["NAD83(HARN) / Conus Albers",GEOGCS["NAD83(HARN)",DATUM["NAD83_High_Accuracy_Reference_Network",SPHEROID["GRS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5071"]]</t>
  </si>
  <si>
    <t xml:space="preserve">+proj=aea +lat_1=29.5 +lat_2=45.5 +lat_0=23 +lon_0=-96 +x_0=0 +y_0=0 +ellps=GRS80 +towgs84=0,0,0,0,0,0,0 +units=m +no_defs </t>
  </si>
  <si>
    <t>PROJCS["NAD83(NSRS2007) / Conus Albers",GEOGCS["NAD83(NSRS2007)",DATUM["NAD83_National_Spatial_Reference_System_2007",SPHEROID["GRS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5072"]]</t>
  </si>
  <si>
    <t>PROJCS["ETRS89 / NTM zone 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5.5],PARAMETER["scale_factor",1],PARAMETER["false_easting",100000],PARAMETER["false_northing",1000000],UNIT["metre",1,AUTHORITY["EPSG","9001"]],AUTHORITY["EPSG","5105"]]</t>
  </si>
  <si>
    <t xml:space="preserve">+proj=tmerc +lat_0=58 +lon_0=5.5 +k=1 +x_0=100000 +y_0=1000000 +ellps=GRS80 +towgs84=0,0,0,0,0,0,0 +units=m +no_defs </t>
  </si>
  <si>
    <t>PROJCS["ETRS89 / NTM zone 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6.5],PARAMETER["scale_factor",1],PARAMETER["false_easting",100000],PARAMETER["false_northing",1000000],UNIT["metre",1,AUTHORITY["EPSG","9001"]],AUTHORITY["EPSG","5106"]]</t>
  </si>
  <si>
    <t xml:space="preserve">+proj=tmerc +lat_0=58 +lon_0=6.5 +k=1 +x_0=100000 +y_0=1000000 +ellps=GRS80 +towgs84=0,0,0,0,0,0,0 +units=m +no_defs </t>
  </si>
  <si>
    <t>PROJCS["ETRS89 / NTM zone 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7.5],PARAMETER["scale_factor",1],PARAMETER["false_easting",100000],PARAMETER["false_northing",1000000],UNIT["metre",1,AUTHORITY["EPSG","9001"]],AUTHORITY["EPSG","5107"]]</t>
  </si>
  <si>
    <t xml:space="preserve">+proj=tmerc +lat_0=58 +lon_0=7.5 +k=1 +x_0=100000 +y_0=1000000 +ellps=GRS80 +towgs84=0,0,0,0,0,0,0 +units=m +no_defs </t>
  </si>
  <si>
    <t>PROJCS["ETRS89 / NTM zone 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8.5],PARAMETER["scale_factor",1],PARAMETER["false_easting",100000],PARAMETER["false_northing",1000000],UNIT["metre",1,AUTHORITY["EPSG","9001"]],AUTHORITY["EPSG","5108"]]</t>
  </si>
  <si>
    <t xml:space="preserve">+proj=tmerc +lat_0=58 +lon_0=8.5 +k=1 +x_0=100000 +y_0=1000000 +ellps=GRS80 +towgs84=0,0,0,0,0,0,0 +units=m +no_defs </t>
  </si>
  <si>
    <t>PROJCS["ETRS89 / NTM zone 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9.5],PARAMETER["scale_factor",1],PARAMETER["false_easting",100000],PARAMETER["false_northing",1000000],UNIT["metre",1,AUTHORITY["EPSG","9001"]],AUTHORITY["EPSG","5109"]]</t>
  </si>
  <si>
    <t xml:space="preserve">+proj=tmerc +lat_0=58 +lon_0=9.5 +k=1 +x_0=100000 +y_0=1000000 +ellps=GRS80 +towgs84=0,0,0,0,0,0,0 +units=m +no_defs </t>
  </si>
  <si>
    <t>PROJCS["ETRS89 / NTM zone 10",GEOGCS["ETRS89",DATUM["European_Terrestrial_Reference_System_1989",SPHEROID["GRS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10.5],PARAMETER["scale_factor",1],PARAMETER["false_easting",100000],PARAMETER["false_northing",1000000],UNIT["metre",1,AUTHORITY["EPSG","9001"]],AUTHORITY["EPSG","5110"]]</t>
  </si>
  <si>
    <t xml:space="preserve">+proj=tmerc +lat_0=58 +lon_0=10.5 +k=1 +x_0=100000 +y_0=1000000 +ellps=GRS80 +towgs84=0,0,0,0,0,0,0 +units=m +no_defs </t>
  </si>
  <si>
    <t>PROJCS["ETRS89 / NTM zone 11",GEOGCS["ETRS89",DATUM["European_Terrestrial_Reference_System_1989",SPHEROID["GRS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11.5],PARAMETER["scale_factor",1],PARAMETER["false_easting",100000],PARAMETER["false_northing",1000000],UNIT["metre",1,AUTHORITY["EPSG","9001"]],AUTHORITY["EPSG","5111"]]</t>
  </si>
  <si>
    <t xml:space="preserve">+proj=tmerc +lat_0=58 +lon_0=11.5 +k=1 +x_0=100000 +y_0=1000000 +ellps=GRS80 +towgs84=0,0,0,0,0,0,0 +units=m +no_defs </t>
  </si>
  <si>
    <t>PROJCS["ETRS89 / NTM zone 12",GEOGCS["ETRS89",DATUM["European_Terrestrial_Reference_System_1989",SPHEROID["GRS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12.5],PARAMETER["scale_factor",1],PARAMETER["false_easting",100000],PARAMETER["false_northing",1000000],UNIT["metre",1,AUTHORITY["EPSG","9001"]],AUTHORITY["EPSG","5112"]]</t>
  </si>
  <si>
    <t xml:space="preserve">+proj=tmerc +lat_0=58 +lon_0=12.5 +k=1 +x_0=100000 +y_0=1000000 +ellps=GRS80 +towgs84=0,0,0,0,0,0,0 +units=m +no_defs </t>
  </si>
  <si>
    <t>PROJCS["ETRS89 / NTM zone 13",GEOGCS["ETRS89",DATUM["European_Terrestrial_Reference_System_1989",SPHEROID["GRS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13.5],PARAMETER["scale_factor",1],PARAMETER["false_easting",100000],PARAMETER["false_northing",1000000],UNIT["metre",1,AUTHORITY["EPSG","9001"]],AUTHORITY["EPSG","5113"]]</t>
  </si>
  <si>
    <t xml:space="preserve">+proj=tmerc +lat_0=58 +lon_0=13.5 +k=1 +x_0=100000 +y_0=1000000 +ellps=GRS80 +towgs84=0,0,0,0,0,0,0 +units=m +no_defs </t>
  </si>
  <si>
    <t>PROJCS["ETRS89 / NTM zone 14",GEOGCS["ETRS89",DATUM["European_Terrestrial_Reference_System_1989",SPHEROID["GRS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14.5],PARAMETER["scale_factor",1],PARAMETER["false_easting",100000],PARAMETER["false_northing",1000000],UNIT["metre",1,AUTHORITY["EPSG","9001"]],AUTHORITY["EPSG","5114"]]</t>
  </si>
  <si>
    <t xml:space="preserve">+proj=tmerc +lat_0=58 +lon_0=14.5 +k=1 +x_0=100000 +y_0=1000000 +ellps=GRS80 +towgs84=0,0,0,0,0,0,0 +units=m +no_defs </t>
  </si>
  <si>
    <t>PROJCS["ETRS89 / NTM zone 15",GEOGCS["ETRS89",DATUM["European_Terrestrial_Reference_System_1989",SPHEROID["GRS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15.5],PARAMETER["scale_factor",1],PARAMETER["false_easting",100000],PARAMETER["false_northing",1000000],UNIT["metre",1,AUTHORITY["EPSG","9001"]],AUTHORITY["EPSG","5115"]]</t>
  </si>
  <si>
    <t xml:space="preserve">+proj=tmerc +lat_0=58 +lon_0=15.5 +k=1 +x_0=100000 +y_0=1000000 +ellps=GRS80 +towgs84=0,0,0,0,0,0,0 +units=m +no_defs </t>
  </si>
  <si>
    <t>PROJCS["ETRS89 / NTM zone 16",GEOGCS["ETRS89",DATUM["European_Terrestrial_Reference_System_1989",SPHEROID["GRS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16.5],PARAMETER["scale_factor",1],PARAMETER["false_easting",100000],PARAMETER["false_northing",1000000],UNIT["metre",1,AUTHORITY["EPSG","9001"]],AUTHORITY["EPSG","5116"]]</t>
  </si>
  <si>
    <t xml:space="preserve">+proj=tmerc +lat_0=58 +lon_0=16.5 +k=1 +x_0=100000 +y_0=1000000 +ellps=GRS80 +towgs84=0,0,0,0,0,0,0 +units=m +no_defs </t>
  </si>
  <si>
    <t>PROJCS["ETRS89 / NTM zone 17",GEOGCS["ETRS89",DATUM["European_Terrestrial_Reference_System_1989",SPHEROID["GRS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17.5],PARAMETER["scale_factor",1],PARAMETER["false_easting",100000],PARAMETER["false_northing",1000000],UNIT["metre",1,AUTHORITY["EPSG","9001"]],AUTHORITY["EPSG","5117"]]</t>
  </si>
  <si>
    <t xml:space="preserve">+proj=tmerc +lat_0=58 +lon_0=17.5 +k=1 +x_0=100000 +y_0=1000000 +ellps=GRS80 +towgs84=0,0,0,0,0,0,0 +units=m +no_defs </t>
  </si>
  <si>
    <t>PROJCS["ETRS89 / NTM zone 18",GEOGCS["ETRS89",DATUM["European_Terrestrial_Reference_System_1989",SPHEROID["GRS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18.5],PARAMETER["scale_factor",1],PARAMETER["false_easting",100000],PARAMETER["false_northing",1000000],UNIT["metre",1,AUTHORITY["EPSG","9001"]],AUTHORITY["EPSG","5118"]]</t>
  </si>
  <si>
    <t xml:space="preserve">+proj=tmerc +lat_0=58 +lon_0=18.5 +k=1 +x_0=100000 +y_0=1000000 +ellps=GRS80 +towgs84=0,0,0,0,0,0,0 +units=m +no_defs </t>
  </si>
  <si>
    <t>PROJCS["ETRS89 / NTM zone 19",GEOGCS["ETRS89",DATUM["European_Terrestrial_Reference_System_1989",SPHEROID["GRS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19.5],PARAMETER["scale_factor",1],PARAMETER["false_easting",100000],PARAMETER["false_northing",1000000],UNIT["metre",1,AUTHORITY["EPSG","9001"]],AUTHORITY["EPSG","5119"]]</t>
  </si>
  <si>
    <t xml:space="preserve">+proj=tmerc +lat_0=58 +lon_0=19.5 +k=1 +x_0=100000 +y_0=1000000 +ellps=GRS80 +towgs84=0,0,0,0,0,0,0 +units=m +no_defs </t>
  </si>
  <si>
    <t>PROJCS["ETRS89 / NTM zone 20",GEOGCS["ETRS89",DATUM["European_Terrestrial_Reference_System_1989",SPHEROID["GRS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20.5],PARAMETER["scale_factor",1],PARAMETER["false_easting",100000],PARAMETER["false_northing",1000000],UNIT["metre",1,AUTHORITY["EPSG","9001"]],AUTHORITY["EPSG","5120"]]</t>
  </si>
  <si>
    <t xml:space="preserve">+proj=tmerc +lat_0=58 +lon_0=20.5 +k=1 +x_0=100000 +y_0=1000000 +ellps=GRS80 +towgs84=0,0,0,0,0,0,0 +units=m +no_defs </t>
  </si>
  <si>
    <t>PROJCS["ETRS89 / NTM zone 21",GEOGCS["ETRS89",DATUM["European_Terrestrial_Reference_System_1989",SPHEROID["GRS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21.5],PARAMETER["scale_factor",1],PARAMETER["false_easting",100000],PARAMETER["false_northing",1000000],UNIT["metre",1,AUTHORITY["EPSG","9001"]],AUTHORITY["EPSG","5121"]]</t>
  </si>
  <si>
    <t xml:space="preserve">+proj=tmerc +lat_0=58 +lon_0=21.5 +k=1 +x_0=100000 +y_0=1000000 +ellps=GRS80 +towgs84=0,0,0,0,0,0,0 +units=m +no_defs </t>
  </si>
  <si>
    <t>PROJCS["ETRS89 / NTM zone 22",GEOGCS["ETRS89",DATUM["European_Terrestrial_Reference_System_1989",SPHEROID["GRS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22.5],PARAMETER["scale_factor",1],PARAMETER["false_easting",100000],PARAMETER["false_northing",1000000],UNIT["metre",1,AUTHORITY["EPSG","9001"]],AUTHORITY["EPSG","5122"]]</t>
  </si>
  <si>
    <t xml:space="preserve">+proj=tmerc +lat_0=58 +lon_0=22.5 +k=1 +x_0=100000 +y_0=1000000 +ellps=GRS80 +towgs84=0,0,0,0,0,0,0 +units=m +no_defs </t>
  </si>
  <si>
    <t>PROJCS["ETRS89 / NTM zone 23",GEOGCS["ETRS89",DATUM["European_Terrestrial_Reference_System_1989",SPHEROID["GRS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23.5],PARAMETER["scale_factor",1],PARAMETER["false_easting",100000],PARAMETER["false_northing",1000000],UNIT["metre",1,AUTHORITY["EPSG","9001"]],AUTHORITY["EPSG","5123"]]</t>
  </si>
  <si>
    <t xml:space="preserve">+proj=tmerc +lat_0=58 +lon_0=23.5 +k=1 +x_0=100000 +y_0=1000000 +ellps=GRS80 +towgs84=0,0,0,0,0,0,0 +units=m +no_defs </t>
  </si>
  <si>
    <t>PROJCS["ETRS89 / NTM zone 24",GEOGCS["ETRS89",DATUM["European_Terrestrial_Reference_System_1989",SPHEROID["GRS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24.5],PARAMETER["scale_factor",1],PARAMETER["false_easting",100000],PARAMETER["false_northing",1000000],UNIT["metre",1,AUTHORITY["EPSG","9001"]],AUTHORITY["EPSG","5124"]]</t>
  </si>
  <si>
    <t xml:space="preserve">+proj=tmerc +lat_0=58 +lon_0=24.5 +k=1 +x_0=100000 +y_0=1000000 +ellps=GRS80 +towgs84=0,0,0,0,0,0,0 +units=m +no_defs </t>
  </si>
  <si>
    <t>PROJCS["ETRS89 / NTM zone 25",GEOGCS["ETRS89",DATUM["European_Terrestrial_Reference_System_1989",SPHEROID["GRS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25.5],PARAMETER["scale_factor",1],PARAMETER["false_easting",100000],PARAMETER["false_northing",1000000],UNIT["metre",1,AUTHORITY["EPSG","9001"]],AUTHORITY["EPSG","5125"]]</t>
  </si>
  <si>
    <t xml:space="preserve">+proj=tmerc +lat_0=58 +lon_0=25.5 +k=1 +x_0=100000 +y_0=1000000 +ellps=GRS80 +towgs84=0,0,0,0,0,0,0 +units=m +no_defs </t>
  </si>
  <si>
    <t>PROJCS["ETRS89 / NTM zone 26",GEOGCS["ETRS89",DATUM["European_Terrestrial_Reference_System_1989",SPHEROID["GRS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26.5],PARAMETER["scale_factor",1],PARAMETER["false_easting",100000],PARAMETER["false_northing",1000000],UNIT["metre",1,AUTHORITY["EPSG","9001"]],AUTHORITY["EPSG","5126"]]</t>
  </si>
  <si>
    <t xml:space="preserve">+proj=tmerc +lat_0=58 +lon_0=26.5 +k=1 +x_0=100000 +y_0=1000000 +ellps=GRS80 +towgs84=0,0,0,0,0,0,0 +units=m +no_defs </t>
  </si>
  <si>
    <t>PROJCS["ETRS89 / NTM zone 27",GEOGCS["ETRS89",DATUM["European_Terrestrial_Reference_System_1989",SPHEROID["GRS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27.5],PARAMETER["scale_factor",1],PARAMETER["false_easting",100000],PARAMETER["false_northing",1000000],UNIT["metre",1,AUTHORITY["EPSG","9001"]],AUTHORITY["EPSG","5127"]]</t>
  </si>
  <si>
    <t xml:space="preserve">+proj=tmerc +lat_0=58 +lon_0=27.5 +k=1 +x_0=100000 +y_0=1000000 +ellps=GRS80 +towgs84=0,0,0,0,0,0,0 +units=m +no_defs </t>
  </si>
  <si>
    <t>PROJCS["ETRS89 / NTM zone 28",GEOGCS["ETRS89",DATUM["European_Terrestrial_Reference_System_1989",SPHEROID["GRS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28.5],PARAMETER["scale_factor",1],PARAMETER["false_easting",100000],PARAMETER["false_northing",1000000],UNIT["metre",1,AUTHORITY["EPSG","9001"]],AUTHORITY["EPSG","5128"]]</t>
  </si>
  <si>
    <t xml:space="preserve">+proj=tmerc +lat_0=58 +lon_0=28.5 +k=1 +x_0=100000 +y_0=1000000 +ellps=GRS80 +towgs84=0,0,0,0,0,0,0 +units=m +no_defs </t>
  </si>
  <si>
    <t>PROJCS["ETRS89 / NTM zone 29",GEOGCS["ETRS89",DATUM["European_Terrestrial_Reference_System_1989",SPHEROID["GRS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29.5],PARAMETER["scale_factor",1],PARAMETER["false_easting",100000],PARAMETER["false_northing",1000000],UNIT["metre",1,AUTHORITY["EPSG","9001"]],AUTHORITY["EPSG","5129"]]</t>
  </si>
  <si>
    <t xml:space="preserve">+proj=tmerc +lat_0=58 +lon_0=29.5 +k=1 +x_0=100000 +y_0=1000000 +ellps=GRS80 +towgs84=0,0,0,0,0,0,0 +units=m +no_defs </t>
  </si>
  <si>
    <t>PROJCS["ETRS89 / NTM zone 30",GEOGCS["ETRS89",DATUM["European_Terrestrial_Reference_System_1989",SPHEROID["GRS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30.5],PARAMETER["scale_factor",1],PARAMETER["false_easting",100000],PARAMETER["false_northing",1000000],UNIT["metre",1,AUTHORITY["EPSG","9001"]],AUTHORITY["EPSG","5130"]]</t>
  </si>
  <si>
    <t xml:space="preserve">+proj=tmerc +lat_0=58 +lon_0=30.5 +k=1 +x_0=100000 +y_0=1000000 +ellps=GRS80 +towgs84=0,0,0,0,0,0,0 +units=m +no_defs </t>
  </si>
  <si>
    <t>PROJCS["Korean 1985 / East Sea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131],PARAMETER["scale_factor",1],PARAMETER["false_easting",200000],PARAMETER["false_northing",500000],UNIT["metre",1,AUTHORITY["EPSG","9001"]],AUTHORITY["EPSG","5167"]]</t>
  </si>
  <si>
    <t>PROJCS["Korean 1985 / Central Belt Jeju",GEOGCS["Korean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127],PARAMETER["scale_factor",1],PARAMETER["false_easting",200000],PARAMETER["false_northing",550000],UNIT["metre",1,AUTHORITY["EPSG","9001"]],AUTHORITY["EPSG","5168"]]</t>
  </si>
  <si>
    <t>PROJCS["Tokyo 1892 / Korea West Belt",GEOGCS["Tokyo 1892",DATUM["Tokyo_1892",SPHEROID["Bessel 1841",6377397.155,299.1528128,AUTHORITY["EPSG","7004"]],AUTHORITY["EPSG","1048"]],PRIMEM["Greenwich",0,AUTHORITY["EPSG","8901"]],UNIT["degree",0.0174532925199433,AUTHORITY["EPSG","9122"]],AUTHORITY["EPSG","5132"]],PROJECTION["Transverse_Mercator"],PARAMETER["latitude_of_origin",38],PARAMETER["central_meridian",125],PARAMETER["scale_factor",1],PARAMETER["false_easting",200000],PARAMETER["false_northing",500000],UNIT["metre",1,AUTHORITY["EPSG","9001"]],AUTHORITY["EPSG","5169"]]</t>
  </si>
  <si>
    <t>PROJCS["Tokyo 1892 / Korea Central Belt",GEOGCS["Tokyo 1892",DATUM["Tokyo_1892",SPHEROID["Bessel 1841",6377397.155,299.1528128,AUTHORITY["EPSG","7004"]],AUTHORITY["EPSG","1048"]],PRIMEM["Greenwich",0,AUTHORITY["EPSG","8901"]],UNIT["degree",0.0174532925199433,AUTHORITY["EPSG","9122"]],AUTHORITY["EPSG","5132"]],PROJECTION["Transverse_Mercator"],PARAMETER["latitude_of_origin",38],PARAMETER["central_meridian",127],PARAMETER["scale_factor",1],PARAMETER["false_easting",200000],PARAMETER["false_northing",500000],UNIT["metre",1,AUTHORITY["EPSG","9001"]],AUTHORITY["EPSG","5170"]]</t>
  </si>
  <si>
    <t>PROJCS["Tokyo 1892 / Korea East Belt",GEOGCS["Tokyo 1892",DATUM["Tokyo_1892",SPHEROID["Bessel 1841",6377397.155,299.1528128,AUTHORITY["EPSG","7004"]],AUTHORITY["EPSG","1048"]],PRIMEM["Greenwich",0,AUTHORITY["EPSG","8901"]],UNIT["degree",0.0174532925199433,AUTHORITY["EPSG","9122"]],AUTHORITY["EPSG","5132"]],PROJECTION["Transverse_Mercator"],PARAMETER["latitude_of_origin",38],PARAMETER["central_meridian",129],PARAMETER["scale_factor",1],PARAMETER["false_easting",200000],PARAMETER["false_northing",500000],UNIT["metre",1,AUTHORITY["EPSG","9001"]],AUTHORITY["EPSG","5171"]]</t>
  </si>
  <si>
    <t>PROJCS["Tokyo 1892 / Korea East Sea Belt",GEOGCS["Tokyo 1892",DATUM["Tokyo_1892",SPHEROID["Bessel 1841",6377397.155,299.1528128,AUTHORITY["EPSG","7004"]],AUTHORITY["EPSG","1048"]],PRIMEM["Greenwich",0,AUTHORITY["EPSG","8901"]],UNIT["degree",0.0174532925199433,AUTHORITY["EPSG","9122"]],AUTHORITY["EPSG","5132"]],PROJECTION["Transverse_Mercator"],PARAMETER["latitude_of_origin",38],PARAMETER["central_meridian",131],PARAMETER["scale_factor",1],PARAMETER["false_easting",200000],PARAMETER["false_northing",500000],UNIT["metre",1,AUTHORITY["EPSG","9001"]],AUTHORITY["EPSG","5172"]]</t>
  </si>
  <si>
    <t>PROJCS["Korean 1985 / Modified West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125.0028902777778],PARAMETER["scale_factor",1],PARAMETER["false_easting",200000],PARAMETER["false_northing",500000],UNIT["metre",1,AUTHORITY["EPSG","9001"]],AUTHORITY["EPSG","5173"]]</t>
  </si>
  <si>
    <t>GEOCCS["DGN95",DATUM["Datum_Geodesi_Nasional_1995",SPHEROID["WGS 84",6378137,298.257223563,AUTHORITY["EPSG","7030"]],AUTHORITY["EPSG","6755"]],PRIMEM["Greenwich",0,AUTHORITY["EPSG","8901"]],UNIT["metre",1,AUTHORITY["EPSG","9001"]],AXIS["Geocentric X",OTHER],AXIS["Geocentric Y",OTHER],AXIS["Geocentric Z",NORTH],AUTHORITY["EPSG","4897"]]</t>
  </si>
  <si>
    <t>PROJCS["Korean 1985 / Modified Central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127.0028902777778],PARAMETER["scale_factor",1],PARAMETER["false_easting",200000],PARAMETER["false_northing",500000],UNIT["metre",1,AUTHORITY["EPSG","9001"]],AUTHORITY["EPSG","5174"]]</t>
  </si>
  <si>
    <t>PROJCS["Korean 1985 / Modified Central Belt Jeju",GEOGCS["Korean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127.0028902777778],PARAMETER["scale_factor",1],PARAMETER["false_easting",200000],PARAMETER["false_northing",550000],UNIT["metre",1,AUTHORITY["EPSG","9001"]],AUTHORITY["EPSG","5175"]]</t>
  </si>
  <si>
    <t>PROJCS["Korean 1985 / Modified East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129.0028902777778],PARAMETER["scale_factor",1],PARAMETER["false_easting",200000],PARAMETER["false_northing",500000],UNIT["metre",1,AUTHORITY["EPSG","9001"]],AUTHORITY["EPSG","5176"]]</t>
  </si>
  <si>
    <t>PROJCS["Korean 1985 / Modified East Sea Belt",GEOGCS["Korean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131.0028902777778],PARAMETER["scale_factor",1],PARAMETER["false_easting",200000],PARAMETER["false_northing",500000],UNIT["metre",1,AUTHORITY["EPSG","9001"]],AUTHORITY["EPSG","5177"]]</t>
  </si>
  <si>
    <t>PROJCS["Korean 1985 / Unified CS",GEOGCS["Korean 1985",DATUM["Korean_Datum_1985",SPHEROID["Bessel 1841",6377397.155,299.1528128,AUTHORITY["EPSG","7004"]],AUTHORITY["EPSG","6162"]],PRIMEM["Greenwich",0,AUTHORITY["EPSG","8901"]],UNIT["degree",0.0174532925199433,AUTHORITY["EPSG","9122"]],AUTHORITY["EPSG","4162"]],PROJECTION["Transverse_Mercator"],PARAMETER["latitude_of_origin",38],PARAMETER["central_meridian",127.5],PARAMETER["scale_factor",0.9996],PARAMETER["false_easting",1000000],PARAMETER["false_northing",2000000],UNIT["metre",1,AUTHORITY["EPSG","9001"]],AUTHORITY["EPSG","5178"]]</t>
  </si>
  <si>
    <t>PROJCS["Korea 2000 / Unified CS",GEOGCS["Korea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127.5],PARAMETER["scale_factor",0.9996],PARAMETER["false_easting",1000000],PARAMETER["false_northing",2000000],UNIT["metre",1,AUTHORITY["EPSG","9001"]],AUTHORITY["EPSG","5179"]]</t>
  </si>
  <si>
    <t xml:space="preserve">+proj=tmerc +lat_0=38 +lon_0=127.5 +k=0.9996 +x_0=1000000 +y_0=2000000 +ellps=GRS80 +towgs84=0,0,0,0,0,0,0 +units=m +no_defs </t>
  </si>
  <si>
    <t>PROJCS["Korea 2000 / West Belt",GEOGCS["Korea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125],PARAMETER["scale_factor",1],PARAMETER["false_easting",200000],PARAMETER["false_northing",500000],UNIT["metre",1,AUTHORITY["EPSG","9001"]],AUTHORITY["EPSG","5180"]]</t>
  </si>
  <si>
    <t xml:space="preserve">+proj=tmerc +lat_0=38 +lon_0=125 +k=1 +x_0=200000 +y_0=500000 +ellps=GRS80 +towgs84=0,0,0,0,0,0,0 +units=m +no_defs </t>
  </si>
  <si>
    <t>PROJCS["Korea 2000 / Central Belt",GEOGCS["Korea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127],PARAMETER["scale_factor",1],PARAMETER["false_easting",200000],PARAMETER["false_northing",500000],UNIT["metre",1,AUTHORITY["EPSG","9001"]],AUTHORITY["EPSG","5181"]]</t>
  </si>
  <si>
    <t xml:space="preserve">+proj=tmerc +lat_0=38 +lon_0=127 +k=1 +x_0=200000 +y_0=500000 +ellps=GRS80 +towgs84=0,0,0,0,0,0,0 +units=m +no_defs </t>
  </si>
  <si>
    <t>PROJCS["Korea 2000 / Central Belt Jeju",GEOGCS["Korea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127],PARAMETER["scale_factor",1],PARAMETER["false_easting",200000],PARAMETER["false_northing",550000],UNIT["metre",1,AUTHORITY["EPSG","9001"]],AUTHORITY["EPSG","5182"]]</t>
  </si>
  <si>
    <t xml:space="preserve">+proj=tmerc +lat_0=38 +lon_0=127 +k=1 +x_0=200000 +y_0=550000 +ellps=GRS80 +towgs84=0,0,0,0,0,0,0 +units=m +no_defs </t>
  </si>
  <si>
    <t>PROJCS["Korea 2000 / East Belt",GEOGCS["Korea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129],PARAMETER["scale_factor",1],PARAMETER["false_easting",200000],PARAMETER["false_northing",500000],UNIT["metre",1,AUTHORITY["EPSG","9001"]],AUTHORITY["EPSG","5183"]]</t>
  </si>
  <si>
    <t xml:space="preserve">+proj=tmerc +lat_0=38 +lon_0=129 +k=1 +x_0=200000 +y_0=500000 +ellps=GRS80 +towgs84=0,0,0,0,0,0,0 +units=m +no_defs </t>
  </si>
  <si>
    <t>GEOCCS["LGD2006",DATUM["Libyan_Geodetic_Datum_2006",SPHEROID["International 1924",6378388,297,AUTHORITY["EPSG","7022"]],AUTHORITY["EPSG","6754"]],PRIMEM["Greenwich",0,AUTHORITY["EPSG","8901"]],UNIT["metre",1,AUTHORITY["EPSG","9001"]],AXIS["Geocentric X",OTHER],AXIS["Geocentric Y",OTHER],AXIS["Geocentric Z",NORTH],AUTHORITY["EPSG","4899"]]</t>
  </si>
  <si>
    <t>PROJCS["Korea 2000 / East Sea Belt",GEOGCS["Korea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131],PARAMETER["scale_factor",1],PARAMETER["false_easting",200000],PARAMETER["false_northing",500000],UNIT["metre",1,AUTHORITY["EPSG","9001"]],AUTHORITY["EPSG","5184"]]</t>
  </si>
  <si>
    <t xml:space="preserve">+proj=tmerc +lat_0=38 +lon_0=131 +k=1 +x_0=200000 +y_0=500000 +ellps=GRS80 +towgs84=0,0,0,0,0,0,0 +units=m +no_defs </t>
  </si>
  <si>
    <t>PROJCS["Korea 2000 / West Belt 2010",GEOGCS["Korea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125],PARAMETER["scale_factor",1],PARAMETER["false_easting",200000],PARAMETER["false_northing",600000],UNIT["metre",1,AUTHORITY["EPSG","9001"]],AUTHORITY["EPSG","5185"]]</t>
  </si>
  <si>
    <t xml:space="preserve">+proj=tmerc +lat_0=38 +lon_0=125 +k=1 +x_0=200000 +y_0=600000 +ellps=GRS80 +towgs84=0,0,0,0,0,0,0 +units=m +no_defs </t>
  </si>
  <si>
    <t>PROJCS["Korea 2000 / Central Belt 2010",GEOGCS["Korea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127],PARAMETER["scale_factor",1],PARAMETER["false_easting",200000],PARAMETER["false_northing",600000],UNIT["metre",1,AUTHORITY["EPSG","9001"]],AUTHORITY["EPSG","5186"]]</t>
  </si>
  <si>
    <t xml:space="preserve">+proj=tmerc +lat_0=38 +lon_0=127 +k=1 +x_0=200000 +y_0=600000 +ellps=GRS80 +towgs84=0,0,0,0,0,0,0 +units=m +no_defs </t>
  </si>
  <si>
    <t>PROJCS["Korea 2000 / East Belt 2010",GEOGCS["Korea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129],PARAMETER["scale_factor",1],PARAMETER["false_easting",200000],PARAMETER["false_northing",600000],UNIT["metre",1,AUTHORITY["EPSG","9001"]],AUTHORITY["EPSG","5187"]]</t>
  </si>
  <si>
    <t xml:space="preserve">+proj=tmerc +lat_0=38 +lon_0=129 +k=1 +x_0=200000 +y_0=600000 +ellps=GRS80 +towgs84=0,0,0,0,0,0,0 +units=m +no_defs </t>
  </si>
  <si>
    <t>PROJCS["Korea 2000 / East Sea Belt 2010",GEOGCS["Korea 2000",DATUM["Geocentric_datum_of_Korea",SPHEROID["GRS 1980",6378137,298.257222101,AUTHORITY["EPSG","7019"]],TOWGS84[0,0,0,0,0,0,0],AUTHORITY["EPSG","6737"]],PRIMEM["Greenwich",0,AUTHORITY["EPSG","8901"]],UNIT["degree",0.0174532925199433,AUTHORITY["EPSG","9122"]],AUTHORITY["EPSG","4737"]],PROJECTION["Transverse_Mercator"],PARAMETER["latitude_of_origin",38],PARAMETER["central_meridian",131],PARAMETER["scale_factor",1],PARAMETER["false_easting",200000],PARAMETER["false_northing",600000],UNIT["metre",1,AUTHORITY["EPSG","9001"]],AUTHORITY["EPSG","5188"]]</t>
  </si>
  <si>
    <t xml:space="preserve">+proj=tmerc +lat_0=38 +lon_0=131 +k=1 +x_0=200000 +y_0=600000 +ellps=GRS80 +towgs84=0,0,0,0,0,0,0 +units=m +no_defs </t>
  </si>
  <si>
    <t>PROJCS["S-JTSK (Ferro) / Krovak East North",GEOGCS["S-JTSK (Ferro)",DATUM["System_Jednotne_Trigonometricke_Site_Katastralni_Ferro",SPHEROID["Bessel 1841",6377397.155,299.1528128,AUTHORITY["EPSG","7004"]],TOWGS84[589,76,480,0,0,0,0],AUTHORITY["EPSG","6818"]],PRIMEM["Ferro",-17.66666666666667,AUTHORITY["EPSG","8909"]],UNIT["degree",0.0174532925199433,AUTHORITY["EPSG","9122"]],AUTHORITY["EPSG","4818"]],PROJECTION["Krovak"],PARAMETER["latitude_of_center",49.5],PARAMETER["longitude_of_center",42.5],PARAMETER["azimuth",30.28813972222222],PARAMETER["pseudo_standard_parallel_1",78.5],PARAMETER["scale_factor",0.9999],PARAMETER["false_easting",0],PARAMETER["false_northing",0],UNIT["metre",1,AUTHORITY["EPSG","9001"]],AXIS["X",EAST],AXIS["Y",NORTH],AUTHORITY["EPSG","5221"]]</t>
  </si>
  <si>
    <t xml:space="preserve">+proj=krovak +lat_0=49.5 +lon_0=42.5 +alpha=30.28813972222222 +k=0.9999 +x_0=0 +y_0=0 +ellps=bessel +towgs84=589,76,480,0,0,0,0 +pm=ferro +units=m +no_defs </t>
  </si>
  <si>
    <t>PROJCS["WGS 84 / Gabon TM",GEOGCS["WGS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12],PARAMETER["scale_factor",0.9996],PARAMETER["false_easting",500000],PARAMETER["false_northing",500000],UNIT["metre",1,AUTHORITY["EPSG","9001"]],AXIS["X",EAST],AXIS["Y",NORTH],AUTHORITY["EPSG","5223"]]</t>
  </si>
  <si>
    <t>PROJCS["Kandawala / Sri Lanka Grid",GEOGCS["Kandawala",DATUM["Kandawala",SPHEROID["Everest 1830 (1937 Adjustment)",6377276.345,300.8017,AUTHORITY["EPSG","7015"]],TOWGS84[-97,787,86,0,0,0,0],AUTHORITY["EPSG","6244"]],PRIMEM["Greenwich",0,AUTHORITY["EPSG","8901"]],UNIT["degree",0.0174532925199433,AUTHORITY["EPSG","9122"]],AUTHORITY["EPSG","4244"]],PROJECTION["Transverse_Mercator"],PARAMETER["latitude_of_origin",7.000480277777778],PARAMETER["central_meridian",80.77171111111112],PARAMETER["scale_factor",0.9999238418],PARAMETER["false_easting",200000],PARAMETER["false_northing",200000],UNIT["metre",1,AUTHORITY["EPSG","9001"]],AXIS["Easting",EAST],AXIS["Northing",NORTH],AUTHORITY["EPSG","5234"]]</t>
  </si>
  <si>
    <t xml:space="preserve">+proj=tmerc +lat_0=7.000480277777778 +lon_0=80.77171111111112 +k=0.9999238418 +x_0=200000 +y_0=200000 +a=6377276.345 +b=6356075.41314024 +towgs84=-97,787,86,0,0,0,0 +units=m +no_defs </t>
  </si>
  <si>
    <t>PROJCS["SLD99 / Sri Lanka Grid 1999",GEOGCS["SLD99",DATUM["Sri_Lanka_Datum_1999",SPHEROID["Everest 1830 (1937 Adjustment)",6377276.345,300.8017,AUTHORITY["EPSG","7015"]],TOWGS84[-0.293,766.95,87.713,0.195704,1.695068,3.473016,-0.039338],AUTHORITY["EPSG","1053"]],PRIMEM["Greenwich",0,AUTHORITY["EPSG","8901"]],UNIT["degree",0.0174532925199433,AUTHORITY["EPSG","9122"]],AUTHORITY["EPSG","5233"]],PROJECTION["Transverse_Mercator"],PARAMETER["latitude_of_origin",7.000471527777778],PARAMETER["central_meridian",80.77171308333334],PARAMETER["scale_factor",0.9999238418],PARAMETER["false_easting",500000],PARAMETER["false_northing",500000],UNIT["metre",1,AUTHORITY["EPSG","9001"]],AXIS["Easting",EAST],AXIS["Northing",NORTH],AUTHORITY["EPSG","5235"]]</t>
  </si>
  <si>
    <t xml:space="preserve">+proj=tmerc +lat_0=7.000471527777778 +lon_0=80.77171308333334 +k=0.9999238418 +x_0=500000 +y_0=500000 +a=6377276.345 +b=6356075.41314024 +towgs84=-0.293,766.95,87.713,0.195704,1.695068,3.473016,-0.039338 +units=m +no_defs </t>
  </si>
  <si>
    <t>GEOCCS["RGNC91-93",DATUM["Reseau_Geodesique_de_Nouvelle_Caledonie_91_93",SPHEROID["GRS 1980",6378137,298.257222101,AUTHORITY["EPSG","7019"]],AUTHORITY["EPSG","6749"]],PRIMEM["Greenwich",0,AUTHORITY["EPSG","8901"]],UNIT["metre",1,AUTHORITY["EPSG","9001"]],AXIS["Geocentric X",OTHER],AXIS["Geocentric Y",OTHER],AXIS["Geocentric Z",NORTH],AUTHORITY["EPSG","4906"]]</t>
  </si>
  <si>
    <t>PROJCS["ETRS89 / LCC Germany (E-N)",GEOGCS["ETRS89",DATUM["European_Terrestrial_Reference_System_1989",SPHEROID["GRS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48.66666666666666],PARAMETER["standard_parallel_2",53.66666666666666],PARAMETER["latitude_of_origin",51],PARAMETER["central_meridian",10.5],PARAMETER["false_easting",0],PARAMETER["false_northing",0],UNIT["metre",1,AUTHORITY["EPSG","9001"]],AXIS["Easting",EAST],AXIS["Northing",NORTH],AUTHORITY["EPSG","5243"]]</t>
  </si>
  <si>
    <t>PROJCS["GDBD2009 / Brunei BRSO",GEOGCS["GDBD2009",DATUM["Geocentric_Datum_Brunei_Darussalam_2009",SPHEROID["GRS 1980",6378137,298.257222101,AUTHORITY["EPSG","7019"]],TOWGS84[0,0,0,0,0,0,0],AUTHORITY["EPSG","1056"]],PRIMEM["Greenwich",0,AUTHORITY["EPSG","8901"]],UNIT["degree",0.0174532925199433,AUTHORITY["EPSG","9122"]],AUTHORITY["EPSG","5246"]],PROJECTION["Hotine_Oblique_Mercator"],PARAMETER["latitude_of_center",4],PARAMETER["longitude_of_center",115],PARAMETER["azimuth",53.31580995],PARAMETER["rectified_grid_angle",53.13010236111111],PARAMETER["scale_factor",0.99984],PARAMETER["false_easting",0],PARAMETER["false_northing",0],UNIT["metre",1,AUTHORITY["EPSG","9001"]],AXIS["Easting",EAST],AXIS["Northing",NORTH],AUTHORITY["EPSG","5247"]]</t>
  </si>
  <si>
    <t xml:space="preserve">+proj=omerc +lat_0=4 +lonc=115 +alpha=53.31580995 +k=0.99984 +x_0=0 +y_0=0 +no_uoff +gamma=53.13010236111111 +ellps=GRS80 +towgs84=0,0,0,0,0,0,0 +units=m +no_defs </t>
  </si>
  <si>
    <t>PROJCS["TUREF / TM27",GEOGCS["TUREF",DATUM["Turkish_National_Reference_Frame",SPHEROID["GRS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27],PARAMETER["scale_factor",1],PARAMETER["false_easting",500000],PARAMETER["false_northing",0],UNIT["metre",1,AUTHORITY["EPSG","9001"]],AUTHORITY["EPSG","5253"]]</t>
  </si>
  <si>
    <t>PROJCS["TUREF / TM30",GEOGCS["TUREF",DATUM["Turkish_National_Reference_Frame",SPHEROID["GRS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30],PARAMETER["scale_factor",1],PARAMETER["false_easting",500000],PARAMETER["false_northing",0],UNIT["metre",1,AUTHORITY["EPSG","9001"]],AUTHORITY["EPSG","5254"]]</t>
  </si>
  <si>
    <t>PROJCS["TUREF / TM33",GEOGCS["TUREF",DATUM["Turkish_National_Reference_Frame",SPHEROID["GRS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33],PARAMETER["scale_factor",1],PARAMETER["false_easting",500000],PARAMETER["false_northing",0],UNIT["metre",1,AUTHORITY["EPSG","9001"]],AUTHORITY["EPSG","5255"]]</t>
  </si>
  <si>
    <t xml:space="preserve">+proj=tmerc +lat_0=0 +lon_0=33 +k=1 +x_0=500000 +y_0=0 +ellps=GRS80 +towgs84=0,0,0,0,0,0,0 +units=m +no_defs </t>
  </si>
  <si>
    <t>PROJCS["TUREF / TM36",GEOGCS["TUREF",DATUM["Turkish_National_Reference_Frame",SPHEROID["GRS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36],PARAMETER["scale_factor",1],PARAMETER["false_easting",500000],PARAMETER["false_northing",0],UNIT["metre",1,AUTHORITY["EPSG","9001"]],AUTHORITY["EPSG","5256"]]</t>
  </si>
  <si>
    <t xml:space="preserve">+proj=tmerc +lat_0=0 +lon_0=36 +k=1 +x_0=500000 +y_0=0 +ellps=GRS80 +towgs84=0,0,0,0,0,0,0 +units=m +no_defs </t>
  </si>
  <si>
    <t>PROJCS["TUREF / TM39",GEOGCS["TUREF",DATUM["Turkish_National_Reference_Frame",SPHEROID["GRS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39],PARAMETER["scale_factor",1],PARAMETER["false_easting",500000],PARAMETER["false_northing",0],UNIT["metre",1,AUTHORITY["EPSG","9001"]],AUTHORITY["EPSG","5257"]]</t>
  </si>
  <si>
    <t xml:space="preserve">+proj=tmerc +lat_0=0 +lon_0=39 +k=1 +x_0=500000 +y_0=0 +ellps=GRS80 +towgs84=0,0,0,0,0,0,0 +units=m +no_defs </t>
  </si>
  <si>
    <t>PROJCS["TUREF / TM42",GEOGCS["TUREF",DATUM["Turkish_National_Reference_Frame",SPHEROID["GRS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42],PARAMETER["scale_factor",1],PARAMETER["false_easting",500000],PARAMETER["false_northing",0],UNIT["metre",1,AUTHORITY["EPSG","9001"]],AUTHORITY["EPSG","5258"]]</t>
  </si>
  <si>
    <t xml:space="preserve">+proj=tmerc +lat_0=0 +lon_0=42 +k=1 +x_0=500000 +y_0=0 +ellps=GRS80 +towgs84=0,0,0,0,0,0,0 +units=m +no_defs </t>
  </si>
  <si>
    <t>PROJCS["TUREF / TM45",GEOGCS["TUREF",DATUM["Turkish_National_Reference_Frame",SPHEROID["GRS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45],PARAMETER["scale_factor",1],PARAMETER["false_easting",500000],PARAMETER["false_northing",0],UNIT["metre",1,AUTHORITY["EPSG","9001"]],AUTHORITY["EPSG","5259"]]</t>
  </si>
  <si>
    <t xml:space="preserve">+proj=tmerc +lat_0=0 +lon_0=45 +k=1 +x_0=500000 +y_0=0 +ellps=GRS80 +towgs84=0,0,0,0,0,0,0 +units=m +no_defs </t>
  </si>
  <si>
    <t>PROJCS["DRUKREF 03 / Bhutan National Grid",GEOGCS["DRUKREF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90],PARAMETER["scale_factor",1],PARAMETER["false_easting",250000],PARAMETER["false_northing",0],UNIT["metre",1,AUTHORITY["EPSG","9001"]],AXIS["Easting",EAST],AXIS["Northing",NORTH],AUTHORITY["EPSG","5266"]]</t>
  </si>
  <si>
    <t xml:space="preserve">+proj=tmerc +lat_0=0 +lon_0=90 +k=1 +x_0=250000 +y_0=0 +ellps=GRS80 +towgs84=0,0,0,0,0,0,0 +units=m +no_defs </t>
  </si>
  <si>
    <t>PROJCS["TUREF / 3-degree Gauss-Kruger zone 9",GEOGCS["TUREF",DATUM["Turkish_National_Reference_Frame",SPHEROID["GRS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27],PARAMETER["scale_factor",1],PARAMETER["false_easting",9500000],PARAMETER["false_northing",0],UNIT["metre",1,AUTHORITY["EPSG","9001"]],AUTHORITY["EPSG","5269"]]</t>
  </si>
  <si>
    <t xml:space="preserve">+proj=tmerc +lat_0=0 +lon_0=27 +k=1 +x_0=9500000 +y_0=0 +ellps=GRS80 +towgs84=0,0,0,0,0,0,0 +units=m +no_defs </t>
  </si>
  <si>
    <t>PROJCS["TUREF / 3-degree Gauss-Kruger zone 10",GEOGCS["TUREF",DATUM["Turkish_National_Reference_Frame",SPHEROID["GRS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30],PARAMETER["scale_factor",1],PARAMETER["false_easting",10500000],PARAMETER["false_northing",0],UNIT["metre",1,AUTHORITY["EPSG","9001"]],AUTHORITY["EPSG","5270"]]</t>
  </si>
  <si>
    <t xml:space="preserve">+proj=tmerc +lat_0=0 +lon_0=30 +k=1 +x_0=10500000 +y_0=0 +ellps=GRS80 +towgs84=0,0,0,0,0,0,0 +units=m +no_defs </t>
  </si>
  <si>
    <t>PROJCS["TUREF / 3-degree Gauss-Kruger zone 11",GEOGCS["TUREF",DATUM["Turkish_National_Reference_Frame",SPHEROID["GRS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33],PARAMETER["scale_factor",1],PARAMETER["false_easting",11500000],PARAMETER["false_northing",0],UNIT["metre",1,AUTHORITY["EPSG","9001"]],AUTHORITY["EPSG","5271"]]</t>
  </si>
  <si>
    <t xml:space="preserve">+proj=tmerc +lat_0=0 +lon_0=33 +k=1 +x_0=11500000 +y_0=0 +ellps=GRS80 +towgs84=0,0,0,0,0,0,0 +units=m +no_defs </t>
  </si>
  <si>
    <t>PROJCS["TUREF / 3-degree Gauss-Kruger zone 12",GEOGCS["TUREF",DATUM["Turkish_National_Reference_Frame",SPHEROID["GRS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36],PARAMETER["scale_factor",1],PARAMETER["false_easting",12500000],PARAMETER["false_northing",0],UNIT["metre",1,AUTHORITY["EPSG","9001"]],AUTHORITY["EPSG","5272"]]</t>
  </si>
  <si>
    <t xml:space="preserve">+proj=tmerc +lat_0=0 +lon_0=36 +k=1 +x_0=12500000 +y_0=0 +ellps=GRS80 +towgs84=0,0,0,0,0,0,0 +units=m +no_defs </t>
  </si>
  <si>
    <t>PROJCS["TUREF / 3-degree Gauss-Kruger zone 13",GEOGCS["TUREF",DATUM["Turkish_National_Reference_Frame",SPHEROID["GRS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39],PARAMETER["scale_factor",1],PARAMETER["false_easting",13500000],PARAMETER["false_northing",0],UNIT["metre",1,AUTHORITY["EPSG","9001"]],AUTHORITY["EPSG","5273"]]</t>
  </si>
  <si>
    <t xml:space="preserve">+proj=tmerc +lat_0=0 +lon_0=39 +k=1 +x_0=13500000 +y_0=0 +ellps=GRS80 +towgs84=0,0,0,0,0,0,0 +units=m +no_defs </t>
  </si>
  <si>
    <t>PROJCS["TUREF / 3-degree Gauss-Kruger zone 14",GEOGCS["TUREF",DATUM["Turkish_National_Reference_Frame",SPHEROID["GRS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42],PARAMETER["scale_factor",1],PARAMETER["false_easting",14500000],PARAMETER["false_northing",0],UNIT["metre",1,AUTHORITY["EPSG","9001"]],AUTHORITY["EPSG","5274"]]</t>
  </si>
  <si>
    <t xml:space="preserve">+proj=tmerc +lat_0=0 +lon_0=42 +k=1 +x_0=14500000 +y_0=0 +ellps=GRS80 +towgs84=0,0,0,0,0,0,0 +units=m +no_defs </t>
  </si>
  <si>
    <t>PROJCS["TUREF / 3-degree Gauss-Kruger zone 15",GEOGCS["TUREF",DATUM["Turkish_National_Reference_Frame",SPHEROID["GRS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Transverse_Mercator"],PARAMETER["latitude_of_origin",0],PARAMETER["central_meridian",45],PARAMETER["scale_factor",1],PARAMETER["false_easting",15500000],PARAMETER["false_northing",0],UNIT["metre",1,AUTHORITY["EPSG","9001"]],AUTHORITY["EPSG","5275"]]</t>
  </si>
  <si>
    <t xml:space="preserve">+proj=tmerc +lat_0=0 +lon_0=45 +k=1 +x_0=15500000 +y_0=0 +ellps=GRS80 +towgs84=0,0,0,0,0,0,0 +units=m +no_defs </t>
  </si>
  <si>
    <t>PROJCS["DRUKREF 03 / Bumthang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90.73333333333333],PARAMETER["scale_factor",1],PARAMETER["false_easting",250000],PARAMETER["false_northing",-2500000],UNIT["metre",1,AUTHORITY["EPSG","9001"]],AXIS["Easting",EAST],AXIS["Northing",NORTH],AUTHORITY["EPSG","5292"]]</t>
  </si>
  <si>
    <t xml:space="preserve">+proj=tmerc +lat_0=0 +lon_0=90.73333333333333 +k=1 +x_0=250000 +y_0=-2500000 +ellps=GRS80 +towgs84=0,0,0,0,0,0,0 +units=m +no_defs </t>
  </si>
  <si>
    <t>PROJCS["DRUKREF 03 / Chhukha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89.55],PARAMETER["scale_factor",1],PARAMETER["false_easting",250000],PARAMETER["false_northing",-2500000],UNIT["metre",1,AUTHORITY["EPSG","9001"]],AXIS["Easting",EAST],AXIS["Northing",NORTH],AUTHORITY["EPSG","5293"]]</t>
  </si>
  <si>
    <t xml:space="preserve">+proj=tmerc +lat_0=0 +lon_0=89.55 +k=1 +x_0=250000 +y_0=-2500000 +ellps=GRS80 +towgs84=0,0,0,0,0,0,0 +units=m +no_defs </t>
  </si>
  <si>
    <t>PROJCS["DRUKREF 03 / Dagana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89.85],PARAMETER["scale_factor",1],PARAMETER["false_easting",250000],PARAMETER["false_northing",-2500000],UNIT["metre",1,AUTHORITY["EPSG","9001"]],AXIS["Easting",EAST],AXIS["Northing",NORTH],AUTHORITY["EPSG","5294"]]</t>
  </si>
  <si>
    <t xml:space="preserve">+proj=tmerc +lat_0=0 +lon_0=89.84999999999999 +k=1 +x_0=250000 +y_0=-2500000 +ellps=GRS80 +towgs84=0,0,0,0,0,0,0 +units=m +no_defs </t>
  </si>
  <si>
    <t>PROJCS["DRUKREF 03 / Gasa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90.03333333333333],PARAMETER["scale_factor",1],PARAMETER["false_easting",250000],PARAMETER["false_northing",-2500000],UNIT["metre",1,AUTHORITY["EPSG","9001"]],AXIS["Easting",EAST],AXIS["Northing",NORTH],AUTHORITY["EPSG","5295"]]</t>
  </si>
  <si>
    <t xml:space="preserve">+proj=tmerc +lat_0=0 +lon_0=90.03333333333333 +k=1 +x_0=250000 +y_0=-2500000 +ellps=GRS80 +towgs84=0,0,0,0,0,0,0 +units=m +no_defs </t>
  </si>
  <si>
    <t>PROJCS["DRUKREF 03 / Ha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90.15],PARAMETER["scale_factor",1],PARAMETER["false_easting",250000],PARAMETER["false_northing",-2500000],UNIT["metre",1,AUTHORITY["EPSG","9001"]],AXIS["Easting",EAST],AXIS["Northing",NORTH],AUTHORITY["EPSG","5296"]]</t>
  </si>
  <si>
    <t xml:space="preserve">+proj=tmerc +lat_0=0 +lon_0=90.15000000000001 +k=1 +x_0=250000 +y_0=-2500000 +ellps=GRS80 +towgs84=0,0,0,0,0,0,0 +units=m +no_defs </t>
  </si>
  <si>
    <t>PROJCS["DRUKREF 03 / Lhuentse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91.13333333333334],PARAMETER["scale_factor",1],PARAMETER["false_easting",250000],PARAMETER["false_northing",-2500000],UNIT["metre",1,AUTHORITY["EPSG","9001"]],AXIS["Easting",EAST],AXIS["Northing",NORTH],AUTHORITY["EPSG","5297"]]</t>
  </si>
  <si>
    <t xml:space="preserve">+proj=tmerc +lat_0=0 +lon_0=91.13333333333334 +k=1 +x_0=250000 +y_0=-2500000 +ellps=GRS80 +towgs84=0,0,0,0,0,0,0 +units=m +no_defs </t>
  </si>
  <si>
    <t>PROJCS["DRUKREF 03 / Mongar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91.23333333333333],PARAMETER["scale_factor",1],PARAMETER["false_easting",250000],PARAMETER["false_northing",-2500000],UNIT["metre",1,AUTHORITY["EPSG","9001"]],AXIS["Easting",EAST],AXIS["Northing",NORTH],AUTHORITY["EPSG","5298"]]</t>
  </si>
  <si>
    <t xml:space="preserve">+proj=tmerc +lat_0=0 +lon_0=91.23333333333333 +k=1 +x_0=250000 +y_0=-2500000 +ellps=GRS80 +towgs84=0,0,0,0,0,0,0 +units=m +no_defs </t>
  </si>
  <si>
    <t>PROJCS["DRUKREF 03 / Paro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89.35],PARAMETER["scale_factor",1],PARAMETER["false_easting",250000],PARAMETER["false_northing",-2500000],UNIT["metre",1,AUTHORITY["EPSG","9001"]],AXIS["Easting",EAST],AXIS["Northing",NORTH],AUTHORITY["EPSG","5299"]]</t>
  </si>
  <si>
    <t xml:space="preserve">+proj=tmerc +lat_0=0 +lon_0=89.34999999999999 +k=1 +x_0=250000 +y_0=-2500000 +ellps=GRS80 +towgs84=0,0,0,0,0,0,0 +units=m +no_defs </t>
  </si>
  <si>
    <t>PROJCS["DRUKREF 03 / Pemagatshel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91.35],PARAMETER["scale_factor",1],PARAMETER["false_easting",250000],PARAMETER["false_northing",-2500000],UNIT["metre",1,AUTHORITY["EPSG","9001"]],AXIS["Easting",EAST],AXIS["Northing",NORTH],AUTHORITY["EPSG","5300"]]</t>
  </si>
  <si>
    <t xml:space="preserve">+proj=tmerc +lat_0=0 +lon_0=91.34999999999999 +k=1 +x_0=250000 +y_0=-2500000 +ellps=GRS80 +towgs84=0,0,0,0,0,0,0 +units=m +no_defs </t>
  </si>
  <si>
    <t>PROJCS["DRUKREF 03 / Punakha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89.85],PARAMETER["scale_factor",1],PARAMETER["false_easting",250000],PARAMETER["false_northing",-2500000],UNIT["metre",1,AUTHORITY["EPSG","9001"]],AXIS["Easting",EAST],AXIS["Northing",NORTH],AUTHORITY["EPSG","5301"]]</t>
  </si>
  <si>
    <t>PROJCS["DRUKREF 03 / Samdrup Jongkhar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91.56666666666666],PARAMETER["scale_factor",1],PARAMETER["false_easting",250000],PARAMETER["false_northing",-2500000],UNIT["metre",1,AUTHORITY["EPSG","9001"]],AXIS["Easting",EAST],AXIS["Northing",NORTH],AUTHORITY["EPSG","5302"]]</t>
  </si>
  <si>
    <t xml:space="preserve">+proj=tmerc +lat_0=0 +lon_0=91.56666666666666 +k=1 +x_0=250000 +y_0=-2500000 +ellps=GRS80 +towgs84=0,0,0,0,0,0,0 +units=m +no_defs </t>
  </si>
  <si>
    <t>PROJCS["DRUKREF 03 / Samtse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89.06666666666666],PARAMETER["scale_factor",1],PARAMETER["false_easting",250000],PARAMETER["false_northing",-2500000],UNIT["metre",1,AUTHORITY["EPSG","9001"]],AXIS["Easting",EAST],AXIS["Northing",NORTH],AUTHORITY["EPSG","5303"]]</t>
  </si>
  <si>
    <t xml:space="preserve">+proj=tmerc +lat_0=0 +lon_0=89.06666666666666 +k=1 +x_0=250000 +y_0=-2500000 +ellps=GRS80 +towgs84=0,0,0,0,0,0,0 +units=m +no_defs </t>
  </si>
  <si>
    <t>GEOCCS["GR96",DATUM["Greenland_1996",SPHEROID["GRS 1980",6378137,298.257222101,AUTHORITY["EPSG","7019"]],AUTHORITY["EPSG","6747"]],PRIMEM["Greenwich",0,AUTHORITY["EPSG","8901"]],UNIT["metre",1,AUTHORITY["EPSG","9001"]],AXIS["Geocentric X",OTHER],AXIS["Geocentric Y",OTHER],AXIS["Geocentric Z",NORTH],AUTHORITY["EPSG","4908"]]</t>
  </si>
  <si>
    <t>PROJCS["DRUKREF 03 / Sarpang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90.26666666666667],PARAMETER["scale_factor",1],PARAMETER["false_easting",250000],PARAMETER["false_northing",-2500000],UNIT["metre",1,AUTHORITY["EPSG","9001"]],AXIS["Easting",EAST],AXIS["Northing",NORTH],AUTHORITY["EPSG","5304"]]</t>
  </si>
  <si>
    <t xml:space="preserve">+proj=tmerc +lat_0=0 +lon_0=90.26666666666667 +k=1 +x_0=250000 +y_0=-2500000 +ellps=GRS80 +towgs84=0,0,0,0,0,0,0 +units=m +no_defs </t>
  </si>
  <si>
    <t>PROJCS["DRUKREF 03 / Thimphu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89.55],PARAMETER["scale_factor",1],PARAMETER["false_easting",250000],PARAMETER["false_northing",-2500000],UNIT["metre",1,AUTHORITY["EPSG","9001"]],AXIS["Easting",EAST],AXIS["Northing",NORTH],AUTHORITY["EPSG","5305"]]</t>
  </si>
  <si>
    <t>PROJCS["DRUKREF 03 / Trashigang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91.75],PARAMETER["scale_factor",1],PARAMETER["false_easting",250000],PARAMETER["false_northing",-2500000],UNIT["metre",1,AUTHORITY["EPSG","9001"]],AXIS["Easting",EAST],AXIS["Northing",NORTH],AUTHORITY["EPSG","5306"]]</t>
  </si>
  <si>
    <t xml:space="preserve">+proj=tmerc +lat_0=0 +lon_0=91.75 +k=1 +x_0=250000 +y_0=-2500000 +ellps=GRS80 +towgs84=0,0,0,0,0,0,0 +units=m +no_defs </t>
  </si>
  <si>
    <t>PROJCS["DRUKREF 03 / Trongsa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90.5],PARAMETER["scale_factor",1],PARAMETER["false_easting",250000],PARAMETER["false_northing",-2500000],UNIT["metre",1,AUTHORITY["EPSG","9001"]],AXIS["Easting",EAST],AXIS["Northing",NORTH],AUTHORITY["EPSG","5307"]]</t>
  </si>
  <si>
    <t xml:space="preserve">+proj=tmerc +lat_0=0 +lon_0=90.5 +k=1 +x_0=250000 +y_0=-2500000 +ellps=GRS80 +towgs84=0,0,0,0,0,0,0 +units=m +no_defs </t>
  </si>
  <si>
    <t>PROJCS["DRUKREF 03 / Tsirang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90.16666666666667],PARAMETER["scale_factor",1],PARAMETER["false_easting",250000],PARAMETER["false_northing",-2500000],UNIT["metre",1,AUTHORITY["EPSG","9001"]],AXIS["Easting",EAST],AXIS["Northing",NORTH],AUTHORITY["EPSG","5308"]]</t>
  </si>
  <si>
    <t xml:space="preserve">+proj=tmerc +lat_0=0 +lon_0=90.16666666666667 +k=1 +x_0=250000 +y_0=-2500000 +ellps=GRS80 +towgs84=0,0,0,0,0,0,0 +units=m +no_defs </t>
  </si>
  <si>
    <t>PROJCS["DRUKREF 03 / Wangdue Phodrang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90.11666666666666],PARAMETER["scale_factor",1],PARAMETER["false_easting",250000],PARAMETER["false_northing",-2500000],UNIT["metre",1,AUTHORITY["EPSG","9001"]],AXIS["Easting",EAST],AXIS["Northing",NORTH],AUTHORITY["EPSG","5309"]]</t>
  </si>
  <si>
    <t xml:space="preserve">+proj=tmerc +lat_0=0 +lon_0=90.11666666666666 +k=1 +x_0=250000 +y_0=-2500000 +ellps=GRS80 +towgs84=0,0,0,0,0,0,0 +units=m +no_defs </t>
  </si>
  <si>
    <t>PROJCS["DRUKREF 03 / Yangtse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91.56666666666666],PARAMETER["scale_factor",1],PARAMETER["false_easting",250000],PARAMETER["false_northing",-2500000],UNIT["metre",1,AUTHORITY["EPSG","9001"]],AXIS["Easting",EAST],AXIS["Northing",NORTH],AUTHORITY["EPSG","5310"]]</t>
  </si>
  <si>
    <t>PROJCS["DRUKREF 03 / Zhemgang TM",GEOGCS["DRUKREF 03",DATUM["Bhutan_National_Geodetic_Datum",SPHEROID["GRS 1980",6378137,298.257222101,AUTHORITY["EPSG","7019"]],TOWGS84[0,0,0,0,0,0,0],AUTHORITY["EPSG","1058"]],PRIMEM["Greenwich",0,AUTHORITY["EPSG","8901"]],UNIT["degree",0.0174532925199433,AUTHORITY["EPSG","9122"]],AUTHORITY["EPSG","5264"]],PROJECTION["Transverse_Mercator"],PARAMETER["latitude_of_origin",0],PARAMETER["central_meridian",90.86666666666666],PARAMETER["scale_factor",1],PARAMETER["false_easting",250000],PARAMETER["false_northing",-2500000],UNIT["metre",1,AUTHORITY["EPSG","9001"]],AXIS["Easting",EAST],AXIS["Northing",NORTH],AUTHORITY["EPSG","5311"]]</t>
  </si>
  <si>
    <t xml:space="preserve">+proj=tmerc +lat_0=0 +lon_0=90.86666666666666 +k=1 +x_0=250000 +y_0=-2500000 +ellps=GRS80 +towgs84=0,0,0,0,0,0,0 +units=m +no_defs </t>
  </si>
  <si>
    <t>PROJCS["ETRS89 / Faroe TM",GEOGCS["ETRS89",DATUM["European_Terrestrial_Reference_System_1989",SPHEROID["GRS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-7],PARAMETER["scale_factor",0.999997],PARAMETER["false_easting",200000],PARAMETER["false_northing",-6000000],UNIT["metre",1,AUTHORITY["EPSG","9001"]],AXIS["Easting",EAST],AXIS["Northing",NORTH],AUTHORITY["EPSG","5316"]]</t>
  </si>
  <si>
    <t xml:space="preserve">+proj=tmerc +lat_0=0 +lon_0=-7 +k=0.999997 +x_0=200000 +y_0=-6000000 +ellps=GRS80 +towgs84=0,0,0,0,0,0,0 +units=m +no_defs </t>
  </si>
  <si>
    <t>GEOCCS["ITRF88",DATUM["International_Terrestrial_Reference_Frame_1988",SPHEROID["GRS 1980",6378137,298.257222101,AUTHORITY["EPSG","7019"]],AUTHORITY["EPSG","6647"]],PRIMEM["Greenwich",0,AUTHORITY["EPSG","8901"]],UNIT["metre",1,AUTHORITY["EPSG","9001"]],AXIS["Geocentric X",OTHER],AXIS["Geocentric Y",OTHER],AXIS["Geocentric Z",NORTH],AUTHORITY["EPSG","4910"]]</t>
  </si>
  <si>
    <t>PROJCS["NAD83 / Teranet Ontario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44.5],PARAMETER["standard_parallel_2",54.5],PARAMETER["latitude_of_origin",0],PARAMETER["central_meridian",-84],PARAMETER["false_easting",1000000],PARAMETER["false_northing",0],UNIT["metre",1,AUTHORITY["EPSG","9001"]],AXIS["X",EAST],AXIS["Y",NORTH],AUTHORITY["EPSG","5320"]]</t>
  </si>
  <si>
    <t>PROJCS["NAD83(CSRS) / Teranet Ontario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44.5],PARAMETER["standard_parallel_2",54.5],PARAMETER["latitude_of_origin",0],PARAMETER["central_meridian",-84],PARAMETER["false_easting",1000000],PARAMETER["false_northing",0],UNIT["metre",1,AUTHORITY["EPSG","9001"]],AXIS["X",EAST],AXIS["Y",NORTH],AUTHORITY["EPSG","5321"]]</t>
  </si>
  <si>
    <t xml:space="preserve">+proj=lcc +lat_1=44.5 +lat_2=54.5 +lat_0=0 +lon_0=-84 +x_0=1000000 +y_0=0 +ellps=GRS80 +towgs84=0,0,0,0,0,0,0 +units=m +no_defs </t>
  </si>
  <si>
    <t>PROJCS["ISN2004 / Lambert 2004",GEOGCS["ISN2004",DATUM["Islands_Net_2004",SPHEROID["GRS 1980",6378137,298.257222101,AUTHORITY["EPSG","7019"]],TOWGS84[0,0,0,0,0,0,0],AUTHORITY["EPSG","1060"]],PRIMEM["Greenwich",0,AUTHORITY["EPSG","8901"]],UNIT["degree",0.0174532925199433,AUTHORITY["EPSG","9122"]],AUTHORITY["EPSG","5324"]],PROJECTION["Lambert_Conformal_Conic_2SP"],PARAMETER["standard_parallel_1",64.25],PARAMETER["standard_parallel_2",65.75],PARAMETER["latitude_of_origin",65],PARAMETER["central_meridian",-19],PARAMETER["false_easting",1700000],PARAMETER["false_northing",300000],UNIT["metre",1,AUTHORITY["EPSG","9001"]],AXIS["X",EAST],AXIS["Y",NORTH],AUTHORITY["EPSG","5325"]]</t>
  </si>
  <si>
    <t xml:space="preserve">+proj=lcc +lat_1=64.25 +lat_2=65.75 +lat_0=65 +lon_0=-19 +x_0=1700000 +y_0=300000 +ellps=GRS80 +towgs84=0,0,0,0,0,0,0 +units=m +no_defs </t>
  </si>
  <si>
    <t>PROJCS["Segara (Jakarta) / NEIEZ",GEOGCS["Segara (Jakarta)",DATUM["Gunung_Segara_Jakarta",SPHEROID["Bessel 1841",6377397.155,299.1528128,AUTHORITY["EPSG","7004"]],TOWGS84[-403,684,41,0,0,0,0],AUTHORITY["EPSG","6820"]],PRIMEM["Jakarta",106.8077194444444,AUTHORITY["EPSG","8908"]],UNIT["degree",0.0174532925199433,AUTHORITY["EPSG","9122"]],AUTHORITY["EPSG","4820"]],PROJECTION["Mercator_1SP"],PARAMETER["central_meridian",3.192280555555556],PARAMETER["scale_factor",0.997],PARAMETER["false_easting",3900000],PARAMETER["false_northing",900000],UNIT["metre",1,AUTHORITY["EPSG","9001"]],AXIS["X",EAST],AXIS["Y",NORTH],AUTHORITY["EPSG","5329"]]</t>
  </si>
  <si>
    <t xml:space="preserve">+proj=merc +lon_0=3.192280555555556 +k=0.997 +x_0=3900000 +y_0=900000 +ellps=bessel +towgs84=-403,684,41,0,0,0,0 +pm=jakarta +units=m +no_defs </t>
  </si>
  <si>
    <t>PROJCS["Batavia (Jakarta) / NEIEZ",GEOGCS["Batavia (Jakarta)",DATUM["Batavia_Jakarta",SPHEROID["Bessel 1841",6377397.155,299.1528128,AUTHORITY["EPSG","7004"]],TOWGS84[-377,681,-50,0,0,0,0],AUTHORITY["EPSG","6813"]],PRIMEM["Jakarta",106.8077194444444,AUTHORITY["EPSG","8908"]],UNIT["degree",0.0174532925199433,AUTHORITY["EPSG","9122"]],AUTHORITY["EPSG","4813"]],PROJECTION["Mercator_1SP"],PARAMETER["central_meridian",3.192280555555556],PARAMETER["scale_factor",0.997],PARAMETER["false_easting",3900000],PARAMETER["false_northing",900000],UNIT["metre",1,AUTHORITY["EPSG","9001"]],AXIS["X",EAST],AXIS["Y",NORTH],AUTHORITY["EPSG","5330"]]</t>
  </si>
  <si>
    <t xml:space="preserve">+proj=merc +lon_0=3.192280555555556 +k=0.997 +x_0=3900000 +y_0=900000 +ellps=bessel +towgs84=-377,681,-50,0,0,0,0 +pm=jakarta +units=m +no_defs </t>
  </si>
  <si>
    <t>PROJCS["Makassar (Jakarta) / NEIEZ",GEOGCS["Makassar (Jakarta)",DATUM["Makassar_Jakarta",SPHEROID["Bessel 1841",6377397.155,299.1528128,AUTHORITY["EPSG","7004"]],TOWGS84[-587.8,519.75,145.76,0,0,0,0],AUTHORITY["EPSG","6804"]],PRIMEM["Jakarta",106.8077194444444,AUTHORITY["EPSG","8908"]],UNIT["degree",0.0174532925199433,AUTHORITY["EPSG","9122"]],AUTHORITY["EPSG","4804"]],PROJECTION["Mercator_1SP"],PARAMETER["central_meridian",3.192280555555556],PARAMETER["scale_factor",0.997],PARAMETER["false_easting",3900000],PARAMETER["false_northing",900000],UNIT["metre",1,AUTHORITY["EPSG","9001"]],AXIS["X",EAST],AXIS["Y",NORTH],AUTHORITY["EPSG","5331"]]</t>
  </si>
  <si>
    <t xml:space="preserve">+proj=merc +lon_0=3.192280555555556 +k=0.997 +x_0=3900000 +y_0=900000 +ellps=bessel +towgs84=-587.8,519.75,145.76,0,0,0,0 +pm=jakarta +units=m +no_defs </t>
  </si>
  <si>
    <t>PROJCS["Aratu / UTM zone 25S",GEOGCS["Aratu",DATUM["Aratu",SPHEROID["International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5337"]]</t>
  </si>
  <si>
    <t xml:space="preserve">+proj=utm +zone=25 +south +ellps=intl +towgs84=-151.99,287.04,-147.45,0,0,0,0 +units=m +no_defs </t>
  </si>
  <si>
    <t>PROJCS["POSGAR 2007 / Argentina 1",GEOGCS["POSGAR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-72],PARAMETER["scale_factor",1],PARAMETER["false_easting",1500000],PARAMETER["false_northing",0],UNIT["metre",1,AUTHORITY["EPSG","9001"]],AUTHORITY["EPSG","5343"]]</t>
  </si>
  <si>
    <t xml:space="preserve">+proj=tmerc +lat_0=-90 +lon_0=-72 +k=1 +x_0=1500000 +y_0=0 +ellps=GRS80 +towgs84=0,0,0,0,0,0,0 +units=m +no_defs </t>
  </si>
  <si>
    <t>PROJCS["POSGAR 2007 / Argentina 2",GEOGCS["POSGAR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-69],PARAMETER["scale_factor",1],PARAMETER["false_easting",2500000],PARAMETER["false_northing",0],UNIT["metre",1,AUTHORITY["EPSG","9001"]],AUTHORITY["EPSG","5344"]]</t>
  </si>
  <si>
    <t xml:space="preserve">+proj=tmerc +lat_0=-90 +lon_0=-69 +k=1 +x_0=2500000 +y_0=0 +ellps=GRS80 +towgs84=0,0,0,0,0,0,0 +units=m +no_defs </t>
  </si>
  <si>
    <t>GEOCCS["ITRF89",DATUM["International_Terrestrial_Reference_Frame_1989",SPHEROID["GRS 1980",6378137,298.257222101,AUTHORITY["EPSG","7019"]],AUTHORITY["EPSG","6648"]],PRIMEM["Greenwich",0,AUTHORITY["EPSG","8901"]],UNIT["metre",1,AUTHORITY["EPSG","9001"]],AXIS["Geocentric X",OTHER],AXIS["Geocentric Y",OTHER],AXIS["Geocentric Z",NORTH],AUTHORITY["EPSG","4911"]]</t>
  </si>
  <si>
    <t>PROJCS["POSGAR 2007 / Argentina 3",GEOGCS["POSGAR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-66],PARAMETER["scale_factor",1],PARAMETER["false_easting",3500000],PARAMETER["false_northing",0],UNIT["metre",1,AUTHORITY["EPSG","9001"]],AUTHORITY["EPSG","5345"]]</t>
  </si>
  <si>
    <t xml:space="preserve">+proj=tmerc +lat_0=-90 +lon_0=-66 +k=1 +x_0=3500000 +y_0=0 +ellps=GRS80 +towgs84=0,0,0,0,0,0,0 +units=m +no_defs </t>
  </si>
  <si>
    <t>PROJCS["POSGAR 2007 / Argentina 4",GEOGCS["POSGAR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-63],PARAMETER["scale_factor",1],PARAMETER["false_easting",4500000],PARAMETER["false_northing",0],UNIT["metre",1,AUTHORITY["EPSG","9001"]],AUTHORITY["EPSG","5346"]]</t>
  </si>
  <si>
    <t xml:space="preserve">+proj=tmerc +lat_0=-90 +lon_0=-63 +k=1 +x_0=4500000 +y_0=0 +ellps=GRS80 +towgs84=0,0,0,0,0,0,0 +units=m +no_defs </t>
  </si>
  <si>
    <t>PROJCS["POSGAR 2007 / Argentina 5",GEOGCS["POSGAR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-60],PARAMETER["scale_factor",1],PARAMETER["false_easting",5500000],PARAMETER["false_northing",0],UNIT["metre",1,AUTHORITY["EPSG","9001"]],AUTHORITY["EPSG","5347"]]</t>
  </si>
  <si>
    <t xml:space="preserve">+proj=tmerc +lat_0=-90 +lon_0=-60 +k=1 +x_0=5500000 +y_0=0 +ellps=GRS80 +towgs84=0,0,0,0,0,0,0 +units=m +no_defs </t>
  </si>
  <si>
    <t>PROJCS["POSGAR 2007 / Argentina 6",GEOGCS["POSGAR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-57],PARAMETER["scale_factor",1],PARAMETER["false_easting",6500000],PARAMETER["false_northing",0],UNIT["metre",1,AUTHORITY["EPSG","9001"]],AUTHORITY["EPSG","5348"]]</t>
  </si>
  <si>
    <t xml:space="preserve">+proj=tmerc +lat_0=-90 +lon_0=-57 +k=1 +x_0=6500000 +y_0=0 +ellps=GRS80 +towgs84=0,0,0,0,0,0,0 +units=m +no_defs </t>
  </si>
  <si>
    <t>PROJCS["POSGAR 2007 / Argentina 7",GEOGCS["POSGAR 2007",DATUM["Posiciones_Geodesicas_Argentinas_2007",SPHEROID["GRS 1980",6378137,298.257222101,AUTHORITY["EPSG","7019"]],TOWGS84[0,0,0,0,0,0,0],AUTHORITY["EPSG","1062"]],PRIMEM["Greenwich",0,AUTHORITY["EPSG","8901"]],UNIT["degree",0.0174532925199433,AUTHORITY["EPSG","9122"]],AUTHORITY["EPSG","5340"]],PROJECTION["Transverse_Mercator"],PARAMETER["latitude_of_origin",-90],PARAMETER["central_meridian",-54],PARAMETER["scale_factor",1],PARAMETER["false_easting",7500000],PARAMETER["false_northing",0],UNIT["metre",1,AUTHORITY["EPSG","9001"]],AUTHORITY["EPSG","5349"]]</t>
  </si>
  <si>
    <t xml:space="preserve">+proj=tmerc +lat_0=-90 +lon_0=-54 +k=1 +x_0=7500000 +y_0=0 +ellps=GRS80 +towgs84=0,0,0,0,0,0,0 +units=m +no_defs </t>
  </si>
  <si>
    <t>PROJCS["MARGEN / UTM zone 20S",GEOGCS["MARGEN",DATUM["Marco_Geodesico_Nacional_de_Bolivia",SPHEROID["GRS 1980",6378137,298.257222101,AUTHORITY["EPSG","7019"]],TOWGS84[0,0,0,0,0,0,0],AUTHORITY["EPSG","1063"]],PRIMEM["Greenwich",0,AUTHORITY["EPSG","8901"]],UNIT["degree",0.0174532925199433,AUTHORITY["EPSG","9122"]],AUTHORITY["EPSG","5354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5355"]]</t>
  </si>
  <si>
    <t xml:space="preserve">+proj=utm +zone=20 +south +ellps=GRS80 +towgs84=0,0,0,0,0,0,0 +units=m +no_defs </t>
  </si>
  <si>
    <t>PROJCS["MARGEN / UTM zone 19S",GEOGCS["MARGEN",DATUM["Marco_Geodesico_Nacional_de_Bolivia",SPHEROID["GRS 1980",6378137,298.257222101,AUTHORITY["EPSG","7019"]],TOWGS84[0,0,0,0,0,0,0],AUTHORITY["EPSG","1063"]],PRIMEM["Greenwich",0,AUTHORITY["EPSG","8901"]],UNIT["degree",0.0174532925199433,AUTHORITY["EPSG","9122"]],AUTHORITY["EPSG","5354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5356"]]</t>
  </si>
  <si>
    <t xml:space="preserve">+proj=utm +zone=19 +south +ellps=GRS80 +towgs84=0,0,0,0,0,0,0 +units=m +no_defs </t>
  </si>
  <si>
    <t>PROJCS["MARGEN / UTM zone 21S",GEOGCS["MARGEN",DATUM["Marco_Geodesico_Nacional_de_Bolivia",SPHEROID["GRS 1980",6378137,298.257222101,AUTHORITY["EPSG","7019"]],TOWGS84[0,0,0,0,0,0,0],AUTHORITY["EPSG","1063"]],PRIMEM["Greenwich",0,AUTHORITY["EPSG","8901"]],UNIT["degree",0.0174532925199433,AUTHORITY["EPSG","9122"]],AUTHORITY["EPSG","5354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5357"]]</t>
  </si>
  <si>
    <t xml:space="preserve">+proj=utm +zone=21 +south +ellps=GRS80 +towgs84=0,0,0,0,0,0,0 +units=m +no_defs </t>
  </si>
  <si>
    <t>PROJCS["SIRGAS-Chile / UTM zone 19S",GEOGCS["SIRGAS-Chile",DATUM["SIRGAS_Chile",SPHEROID["GRS 1980",6378137,298.257222101,AUTHORITY["EPSG","7019"]],TOWGS84[0,0,0,0,0,0,0],AUTHORITY["EPSG","1064"]],PRIMEM["Greenwich",0,AUTHORITY["EPSG","8901"]],UNIT["degree",0.0174532925199433,AUTHORITY["EPSG","9122"]],AUTHORITY["EPSG","5360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5361"]]</t>
  </si>
  <si>
    <t>PROJCS["SIRGAS-Chile / UTM zone 18S",GEOGCS["SIRGAS-Chile",DATUM["SIRGAS_Chile",SPHEROID["GRS 1980",6378137,298.257222101,AUTHORITY["EPSG","7019"]],TOWGS84[0,0,0,0,0,0,0],AUTHORITY["EPSG","1064"]],PRIMEM["Greenwich",0,AUTHORITY["EPSG","8901"]],UNIT["degree",0.0174532925199433,AUTHORITY["EPSG","9122"]],AUTHORITY["EPSG","5360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5362"]]</t>
  </si>
  <si>
    <t xml:space="preserve">+proj=utm +zone=18 +south +ellps=GRS80 +towgs84=0,0,0,0,0,0,0 +units=m +no_defs </t>
  </si>
  <si>
    <t>PROJCS["CR05 / CRTM05",GEOGCS["CR05",DATUM["Costa_Rica_2005",SPHEROID["WGS 84",6378137,298.257223563,AUTHORITY["EPSG","7030"]],TOWGS84[0,0,0,0,0,0,0],AUTHORITY["EPSG","1065"]],PRIMEM["Greenwich",0,AUTHORITY["EPSG","8901"]],UNIT["degree",0.0174532925199433,AUTHORITY["EPSG","9122"]],AUTHORITY["EPSG","5365"]],PROJECTION["Transverse_Mercator"],PARAMETER["latitude_of_origin",0],PARAMETER["central_meridian",-84],PARAMETER["scale_factor",0.9999],PARAMETER["false_easting",500000],PARAMETER["false_northing",0],UNIT["metre",1,AUTHORITY["EPSG","9001"]],AUTHORITY["EPSG","5367"]]</t>
  </si>
  <si>
    <t xml:space="preserve">+proj=tmerc +lat_0=0 +lon_0=-84 +k=0.9999 +x_0=500000 +y_0=0 +ellps=WGS84 +towgs84=0,0,0,0,0,0,0 +units=m +no_defs </t>
  </si>
  <si>
    <t>PROJCS["SIRGAS-ROU98 / UTM zone 21S",GEOGCS["SIRGAS-ROU98",DATUM["SIRGAS_ROU98",SPHEROID["WGS 84",6378137,298.257223563,AUTHORITY["EPSG","7030"]],TOWGS84[0,0,0,0,0,0,0],AUTHORITY["EPSG","1068"]],PRIMEM["Greenwich",0,AUTHORITY["EPSG","8901"]],UNIT["degree",0.0174532925199433,AUTHORITY["EPSG","9122"]],AUTHORITY["EPSG","5381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5382"]]</t>
  </si>
  <si>
    <t xml:space="preserve">+proj=utm +zone=21 +south +ellps=WGS84 +towgs84=0,0,0,0,0,0,0 +units=m +no_defs </t>
  </si>
  <si>
    <t>PROJCS["SIRGAS-ROU98 / UTM zone 22S",GEOGCS["SIRGAS-ROU98",DATUM["SIRGAS_ROU98",SPHEROID["WGS 84",6378137,298.257223563,AUTHORITY["EPSG","7030"]],TOWGS84[0,0,0,0,0,0,0],AUTHORITY["EPSG","1068"]],PRIMEM["Greenwich",0,AUTHORITY["EPSG","8901"]],UNIT["degree",0.0174532925199433,AUTHORITY["EPSG","9122"]],AUTHORITY["EPSG","5381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5383"]]</t>
  </si>
  <si>
    <t xml:space="preserve">+proj=utm +zone=22 +south +ellps=WGS84 +towgs84=0,0,0,0,0,0,0 +units=m +no_defs </t>
  </si>
  <si>
    <t>PROJCS["Peru96 / UTM zone 18S",GEOGCS["Peru96",DATUM["Peru96",SPHEROID["GRS 1980",6378137,298.257222101,AUTHORITY["EPSG","7019"]],TOWGS84[0,0,0,0,0,0,0],AUTHORITY["EPSG","1067"]],PRIMEM["Greenwich",0,AUTHORITY["EPSG","8901"]],UNIT["degree",0.0174532925199433,AUTHORITY["EPSG","9122"]],AUTHORITY["EPSG","5373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5387"]]</t>
  </si>
  <si>
    <t>PROJCS["Peru96 / UTM zone 17S (deprecated)",GEOGCS["Peru96",DATUM["Peru96",SPHEROID["GRS 1980",6378137,298.257222101,AUTHORITY["EPSG","7019"]],TOWGS84[0,0,0,0,0,0,0],AUTHORITY["EPSG","1067"]],PRIMEM["Greenwich",0,AUTHORITY["EPSG","8901"]],UNIT["degree",0.0174532925199433,AUTHORITY["EPSG","9122"]],AUTHORITY["EPSG","5373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5388"]]</t>
  </si>
  <si>
    <t>PROJCS["Peru96 / UTM zone 19S",GEOGCS["Peru96",DATUM["Peru96",SPHEROID["GRS 1980",6378137,298.257222101,AUTHORITY["EPSG","7019"]],TOWGS84[0,0,0,0,0,0,0],AUTHORITY["EPSG","1067"]],PRIMEM["Greenwich",0,AUTHORITY["EPSG","8901"]],UNIT["degree",0.0174532925199433,AUTHORITY["EPSG","9122"]],AUTHORITY["EPSG","5373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5389"]]</t>
  </si>
  <si>
    <t>PROJCS["SIRGAS 2000 / UTM zone 26S",GEOGCS["SIRGAS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-27],PARAMETER["scale_factor",0.9996],PARAMETER["false_easting",500000],PARAMETER["false_northing",10000000],UNIT["metre",1,AUTHORITY["EPSG","9001"]],AXIS["Easting",EAST],AXIS["Northing",NORTH],AUTHORITY["EPSG","5396"]]</t>
  </si>
  <si>
    <t xml:space="preserve">+proj=utm +zone=26 +south +ellps=GRS80 +towgs84=0,0,0,0,0,0,0 +units=m +no_defs </t>
  </si>
  <si>
    <t>PROJCS["Ocotepeque 1935 / Costa Rica Norte",GEOGCS["Ocotepeque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10.46666666666667],PARAMETER["central_meridian",-84.33333333333333],PARAMETER["scale_factor",0.99995696],PARAMETER["false_easting",500000],PARAMETER["false_northing",271820.522],UNIT["metre",1,AUTHORITY["EPSG","9001"]],AXIS["X",EAST],AXIS["Y",NORTH],AUTHORITY["EPSG","5456"]]</t>
  </si>
  <si>
    <t xml:space="preserve">+proj=lcc +lat_1=10.46666666666667 +lat_0=10.46666666666667 +lon_0=-84.33333333333333 +k_0=0.99995696 +x_0=500000 +y_0=271820.522 +ellps=clrk66 +towgs84=205,96,-98,0,0,0,0 +units=m +no_defs </t>
  </si>
  <si>
    <t>PROJCS["Ocotepeque 1935 / Costa Rica Sur",GEOGCS["Ocotepeque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9],PARAMETER["central_meridian",-83.66666666666667],PARAMETER["scale_factor",0.99995696],PARAMETER["false_easting",500000],PARAMETER["false_northing",327987.436],UNIT["metre",1,AUTHORITY["EPSG","9001"]],AXIS["X",EAST],AXIS["Y",NORTH],AUTHORITY["EPSG","5457"]]</t>
  </si>
  <si>
    <t xml:space="preserve">+proj=lcc +lat_1=9 +lat_0=9 +lon_0=-83.66666666666667 +k_0=0.99995696 +x_0=500000 +y_0=327987.436 +ellps=clrk66 +towgs84=205,96,-98,0,0,0,0 +units=m +no_defs </t>
  </si>
  <si>
    <t>PROJCS["Ocotepeque 1935 / Guatemala Norte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16.81666666666667],PARAMETER["central_meridian",-90.33333333333333],PARAMETER["scale_factor",0.99992226],PARAMETER["false_easting",500000],PARAMETER["false_northing",292209.579],UNIT["metre",1,AUTHORITY["EPSG","9001"]],AXIS["X",EAST],AXIS["Y",NORTH],AUTHORITY["EPSG","5458"]]</t>
  </si>
  <si>
    <t>PROJCS["Ocotepeque 1935 / Guatemala Sur",GEOGCS["Ocotepeque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14.9],PARAMETER["central_meridian",-90.33333333333333],PARAMETER["scale_factor",0.99989906],PARAMETER["false_easting",500000],PARAMETER["false_northing",325992.681],UNIT["metre",1,AUTHORITY["EPSG","9001"]],AXIS["X",EAST],AXIS["Y",NORTH],AUTHORITY["EPSG","5459"]]</t>
  </si>
  <si>
    <t xml:space="preserve">+proj=lcc +lat_1=14.9 +lat_0=14.9 +lon_0=-90.33333333333333 +k_0=0.99989906 +x_0=500000 +y_0=325992.681 +ellps=clrk66 +towgs84=205,96,-98,0,0,0,0 +units=m +no_defs </t>
  </si>
  <si>
    <t>PROJCS["Ocotepeque 1935 / El Salvador Lambert",GEOGCS["Ocotepeque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13.78333333333333],PARAMETER["central_meridian",-89],PARAMETER["scale_factor",0.99996704],PARAMETER["false_easting",500000],PARAMETER["false_northing",295809.184],UNIT["metre",1,AUTHORITY["EPSG","9001"]],AXIS["X",EAST],AXIS["Y",NORTH],AUTHORITY["EPSG","5460"]]</t>
  </si>
  <si>
    <t xml:space="preserve">+proj=lcc +lat_1=13.78333333333333 +lat_0=13.78333333333333 +lon_0=-89 +k_0=0.99996704 +x_0=500000 +y_0=295809.184 +ellps=clrk66 +towgs84=205,96,-98,0,0,0,0 +units=m +no_defs </t>
  </si>
  <si>
    <t>PROJCS["Ocotepeque 1935 / Nicaragua Norte",GEOGCS["Ocotepeque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13.86666666666667],PARAMETER["central_meridian",-85.5],PARAMETER["scale_factor",0.99990314],PARAMETER["false_easting",500000],PARAMETER["false_northing",359891.816],UNIT["metre",1,AUTHORITY["EPSG","9001"]],AXIS["X",EAST],AXIS["Y",NORTH],AUTHORITY["EPSG","5461"]]</t>
  </si>
  <si>
    <t xml:space="preserve">+proj=lcc +lat_1=13.86666666666667 +lat_0=13.86666666666667 +lon_0=-85.5 +k_0=0.99990314 +x_0=500000 +y_0=359891.816 +ellps=clrk66 +towgs84=205,96,-98,0,0,0,0 +units=m +no_defs </t>
  </si>
  <si>
    <t>PROJCS["Ocotepeque 1935 / Nicaragua Sur",GEOGCS["Ocotepeque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11.73333333333333],PARAMETER["central_meridian",-85.5],PARAMETER["scale_factor",0.99992228],PARAMETER["false_easting",500000],PARAMETER["false_northing",288876.327],UNIT["metre",1,AUTHORITY["EPSG","9001"]],AXIS["X",EAST],AXIS["Y",NORTH],AUTHORITY["EPSG","5462"]]</t>
  </si>
  <si>
    <t xml:space="preserve">+proj=lcc +lat_1=11.73333333333333 +lat_0=11.73333333333333 +lon_0=-85.5 +k_0=0.9999222800000001 +x_0=500000 +y_0=288876.327 +ellps=clrk66 +towgs84=205,96,-98,0,0,0,0 +units=m +no_defs </t>
  </si>
  <si>
    <t>PROJCS["SAD69 / UTM zone 17N",GEOGCS["SAD69",DATUM["South_American_Datum_1969",SPHEROID["GRS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5463"]]</t>
  </si>
  <si>
    <t xml:space="preserve">+proj=utm +zone=17 +ellps=aust_SA +towgs84=-66.87,4.37,-38.52,0,0,0,0 +units=m +no_defs </t>
  </si>
  <si>
    <t>PROJCS["Sibun Gorge 1922 / Colony Grid (deprecated)",GEOGCS["Sibun Gorge 1922",DATUM["Sibun_Gorge_1922",SPHEROID["Clarke 1858",6378293.645208759,294.2606763692606,AUTHORITY["EPSG","7007"]],AUTHORITY["EPSG","1071"]],PRIMEM["Greenwich",0,AUTHORITY["EPSG","8901"]],UNIT["degree",0.0174532925199433,AUTHORITY["EPSG","9122"]],AUTHORITY["EPSG","5464"]],PROJECTION["Transverse_Mercator"],PARAMETER["latitude_of_origin",17.06124194444444],PARAMETER["central_meridian",-88.6318575],PARAMETER["scale_factor",1],PARAMETER["false_easting",66220.02833082761],PARAMETER["false_northing",135779.5099885299],UNIT["metre",1,AUTHORITY["EPSG","9001"]],AXIS["X",EAST],AXIS["Y",NORTH],AUTHORITY["EPSG","5466"]]</t>
  </si>
  <si>
    <t>PROJCS["Panama-Colon 1911 / Panama Lambert",GEOGCS["Panama-Colon 1911",DATUM["Panama_Colon_1911",SPHEROID["Clarke 1866",6378206.4,294.9786982138982,AUTHORITY["EPSG","7008"]],AUTHORITY["EPSG","1072"]],PRIMEM["Greenwich",0,AUTHORITY["EPSG","8901"]],UNIT["degree",0.0174532925199433,AUTHORITY["EPSG","9122"]],AUTHORITY["EPSG","5467"]],PROJECTION["Lambert_Conformal_Conic_1SP"],PARAMETER["latitude_of_origin",8.416666666666666],PARAMETER["central_meridian",-80],PARAMETER["scale_factor",0.99989909],PARAMETER["false_easting",500000],PARAMETER["false_northing",294865.303],UNIT["metre",1,AUTHORITY["EPSG","9001"]],AXIS["X",EAST],AXIS["Y",NORTH],AUTHORITY["EPSG","5469"]]</t>
  </si>
  <si>
    <t>PROJCS["Panama-Colon 1911 / Panama Polyconic",GEOGCS["Panama-Colon 1911",DATUM["Panama_Colon_1911",SPHEROID["Clarke 1866",6378206.4,294.9786982138982,AUTHORITY["EPSG","7008"]],AUTHORITY["EPSG","1072"]],PRIMEM["Greenwich",0,AUTHORITY["EPSG","8901"]],UNIT["degree",0.0174532925199433,AUTHORITY["EPSG","9122"]],AUTHORITY["EPSG","5467"]],PROJECTION["Polyconic"],PARAMETER["latitude_of_origin",8.25],PARAMETER["central_meridian",-81],PARAMETER["false_easting",1000000],PARAMETER["false_northing",1092972.1],UNIT["Clarke's yard",0.9143917962,AUTHORITY["EPSG","9037"]],AXIS["Easting",EAST],AXIS["Northing",NORTH],AUTHORITY["EPSG","5472"]]</t>
  </si>
  <si>
    <t>PROJCS["RSRGD2000 / MSLC2000",GEOGCS["RSRGD2000",DATUM["Ross_Sea_Region_Geodetic_Datum_2000",SPHEROID["GRS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Lambert_Conformal_Conic_2SP"],PARAMETER["standard_parallel_1",-76.66666666666667],PARAMETER["standard_parallel_2",-79.33333333333333],PARAMETER["latitude_of_origin",-78],PARAMETER["central_meridian",163],PARAMETER["false_easting",7000000],PARAMETER["false_northing",5000000],UNIT["metre",1,AUTHORITY["EPSG","9001"]],AUTHORITY["EPSG","5479"]]</t>
  </si>
  <si>
    <t xml:space="preserve">+proj=lcc +lat_1=-76.66666666666667 +lat_2=-79.33333333333333 +lat_0=-78 +lon_0=163 +x_0=7000000 +y_0=5000000 +ellps=GRS80 +towgs84=0,0,0,0,0,0,0 +units=m +no_defs </t>
  </si>
  <si>
    <t>PROJCS["RSRGD2000 / BCLC2000",GEOGCS["RSRGD2000",DATUM["Ross_Sea_Region_Geodetic_Datum_2000",SPHEROID["GRS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Lambert_Conformal_Conic_2SP"],PARAMETER["standard_parallel_1",-73.66666666666667],PARAMETER["standard_parallel_2",-75.33333333333333],PARAMETER["latitude_of_origin",-74.5],PARAMETER["central_meridian",165],PARAMETER["false_easting",5000000],PARAMETER["false_northing",3000000],UNIT["metre",1,AUTHORITY["EPSG","9001"]],AUTHORITY["EPSG","5480"]]</t>
  </si>
  <si>
    <t xml:space="preserve">+proj=lcc +lat_1=-73.66666666666667 +lat_2=-75.33333333333333 +lat_0=-74.5 +lon_0=165 +x_0=5000000 +y_0=3000000 +ellps=GRS80 +towgs84=0,0,0,0,0,0,0 +units=m +no_defs </t>
  </si>
  <si>
    <t>PROJCS["RSRGD2000 / PCLC2000",GEOGCS["RSRGD2000",DATUM["Ross_Sea_Region_Geodetic_Datum_2000",SPHEROID["GRS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Lambert_Conformal_Conic_2SP"],PARAMETER["standard_parallel_1",-70.66666666666667],PARAMETER["standard_parallel_2",-72.33333333333333],PARAMETER["latitude_of_origin",-71.5],PARAMETER["central_meridian",166],PARAMETER["false_easting",3000000],PARAMETER["false_northing",1000000],UNIT["metre",1,AUTHORITY["EPSG","9001"]],AUTHORITY["EPSG","5481"]]</t>
  </si>
  <si>
    <t xml:space="preserve">+proj=lcc +lat_1=-70.66666666666667 +lat_2=-72.33333333333333 +lat_0=-71.5 +lon_0=166 +x_0=3000000 +y_0=1000000 +ellps=GRS80 +towgs84=0,0,0,0,0,0,0 +units=m +no_defs </t>
  </si>
  <si>
    <t>PROJCS["RSRGD2000 / RSPS2000",GEOGCS["RSRGD2000",DATUM["Ross_Sea_Region_Geodetic_Datum_2000",SPHEROID["GRS 1980",6378137,298.257222101,AUTHORITY["EPSG","7019"]],TOWGS84[0,0,0,0,0,0,0],AUTHORITY["EPSG","6764"]],PRIMEM["Greenwich",0,AUTHORITY["EPSG","8901"]],UNIT["degree",0.0174532925199433,AUTHORITY["EPSG","9122"]],AUTHORITY["EPSG","4764"]],PROJECTION["Polar_Stereographic"],PARAMETER["latitude_of_origin",-90],PARAMETER["central_meridian",180],PARAMETER["scale_factor",0.994],PARAMETER["false_easting",5000000],PARAMETER["false_northing",1000000],UNIT["metre",1,AUTHORITY["EPSG","9001"]],AUTHORITY["EPSG","5482"]]</t>
  </si>
  <si>
    <t xml:space="preserve">+proj=stere +lat_0=-90 +lat_ts=-90 +lon_0=180 +k=0.994 +x_0=5000000 +y_0=1000000 +ellps=GRS80 +towgs84=0,0,0,0,0,0,0 +units=m +no_defs </t>
  </si>
  <si>
    <t>PROJCS["RGAF09 / UTM zone 20N",GEOGCS["RGAF09",DATUM["Reseau_Geodesique_des_Antilles_Francaises_2009",SPHEROID["GRS 1980",6378137,298.257222101,AUTHORITY["EPSG","7019"]],TOWGS84[0,0,0,0,0,0,0],AUTHORITY["EPSG","1073"]],PRIMEM["Greenwich",0,AUTHORITY["EPSG","8901"]],UNIT["degree",0.0174532925199433,AUTHORITY["EPSG","9122"]],AUTHORITY["EPSG","5489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5490"]]</t>
  </si>
  <si>
    <t>PROJCS["S-JTSK / Krovak",GEOGCS["S-JTSK",DATUM["System_Jednotne_Trigonometricke_Site_Katastralni",SPHEROID["Bessel 1841",6377397.155,299.1528128,AUTHORITY["EPSG","7004"]],TOWGS84[589,76,480,0,0,0,0],AUTHORITY["EPSG","6156"]],PRIMEM["Greenwich",0,AUTHORITY["EPSG","8901"]],UNIT["degree",0.0174532925199433,AUTHORITY["EPSG","9122"]],AUTHORITY["EPSG","4156"]],PROJECTION["Krovak"],PARAMETER["latitude_of_center",49.5],PARAMETER["longitude_of_center",24.83333333333333],PARAMETER["azimuth",30.28813972222222],PARAMETER["pseudo_standard_parallel_1",78.5],PARAMETER["scale_factor",0.9999],PARAMETER["false_easting",0],PARAMETER["false_northing",0],UNIT["metre",1,AUTHORITY["EPSG","9001"]],AXIS["X",SOUTH],AXIS["Y",WEST],AUTHORITY["EPSG","5513"]]</t>
  </si>
  <si>
    <t xml:space="preserve">+proj=krovak +lat_0=49.5 +lon_0=24.83333333333333 +alpha=30.28813972222222 +k=0.9999 +x_0=0 +y_0=0 +ellps=bessel +towgs84=589,76,480,0,0,0,0 +units=m +no_defs </t>
  </si>
  <si>
    <t>PROJCS["S-JTSK / Krovak East North",GEOGCS["S-JTSK",DATUM["System_Jednotne_Trigonometricke_Site_Katastralni",SPHEROID["Bessel 1841",6377397.155,299.1528128,AUTHORITY["EPSG","7004"]],TOWGS84[589,76,480,0,0,0,0],AUTHORITY["EPSG","6156"]],PRIMEM["Greenwich",0,AUTHORITY["EPSG","8901"]],UNIT["degree",0.0174532925199433,AUTHORITY["EPSG","9122"]],AUTHORITY["EPSG","4156"]],PROJECTION["Krovak"],PARAMETER["latitude_of_center",49.5],PARAMETER["longitude_of_center",24.83333333333333],PARAMETER["azimuth",30.28813972222222],PARAMETER["pseudo_standard_parallel_1",78.5],PARAMETER["scale_factor",0.9999],PARAMETER["false_easting",0],PARAMETER["false_northing",0],UNIT["metre",1,AUTHORITY["EPSG","9001"]],AXIS["X",EAST],AXIS["Y",NORTH],AUTHORITY["EPSG","5514"]]</t>
  </si>
  <si>
    <t>PROJCS["CI1971 / Chatham Islands Map Grid",GEOGCS["Chatham Islands 1971",DATUM["Chatham_Islands_Datum_1971",SPHEROID["International 1924",6378388,297,AUTHORITY["EPSG","7022"]],TOWGS84[175,-38,113,0,0,0,0],AUTHORITY["EPSG","6672"]],PRIMEM["Greenwich",0,AUTHORITY["EPSG","8901"]],UNIT["degree",0.0174532925199433,AUTHORITY["EPSG","9122"]],AUTHORITY["EPSG","4672"]],PROJECTION["Transverse_Mercator"],PARAMETER["latitude_of_origin",-44],PARAMETER["central_meridian",-176.5],PARAMETER["scale_factor",1],PARAMETER["false_easting",350000],PARAMETER["false_northing",650000],UNIT["metre",1,AUTHORITY["EPSG","9001"]],AUTHORITY["EPSG","5518"]]</t>
  </si>
  <si>
    <t xml:space="preserve">+proj=tmerc +lat_0=-44 +lon_0=-176.5 +k=1 +x_0=350000 +y_0=650000 +ellps=intl +towgs84=175,-38,113,0,0,0,0 +units=m +no_defs </t>
  </si>
  <si>
    <t>PROJCS["CI1979 / Chatham Islands Map Grid",GEOGCS["Chatham Islands 1979",DATUM["Chatham_Islands_Datum_1979",SPHEROID["International 1924",6378388,297,AUTHORITY["EPSG","7022"]],TOWGS84[174.05,-25.49,112.57,0,0,0.554,0.2263],AUTHORITY["EPSG","6673"]],PRIMEM["Greenwich",0,AUTHORITY["EPSG","8901"]],UNIT["degree",0.0174532925199433,AUTHORITY["EPSG","9122"]],AUTHORITY["EPSG","4673"]],PROJECTION["Transverse_Mercator"],PARAMETER["latitude_of_origin",-44],PARAMETER["central_meridian",-176.5],PARAMETER["scale_factor",1],PARAMETER["false_easting",350000],PARAMETER["false_northing",650000],UNIT["metre",1,AUTHORITY["EPSG","9001"]],AUTHORITY["EPSG","5519"]]</t>
  </si>
  <si>
    <t xml:space="preserve">+proj=tmerc +lat_0=-44 +lon_0=-176.5 +k=1 +x_0=350000 +y_0=650000 +ellps=intl +towgs84=174.05,-25.49,112.57,0,0,0.554,0.2263 +units=m +no_defs </t>
  </si>
  <si>
    <t>PROJCS["DHDN / 3-degree Gauss-Kruger zone 1",GEOGCS["DHDN",DATUM["Deutsches_Hauptdreiecksnetz",SPHEROID["Bessel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3],PARAMETER["scale_factor",1],PARAMETER["false_easting",1500000],PARAMETER["false_northing",0],UNIT["metre",1,AUTHORITY["EPSG","9001"]],AUTHORITY["EPSG","5520"]]</t>
  </si>
  <si>
    <t>PROJCS["WGS 84 / Gabon TM 2011",GEOGCS["WGS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11.5],PARAMETER["scale_factor",0.9996],PARAMETER["false_easting",1500000],PARAMETER["false_northing",5500000],UNIT["metre",1,AUTHORITY["EPSG","9001"]],AXIS["X",EAST],AXIS["Y",NORTH],AUTHORITY["EPSG","5523"]]</t>
  </si>
  <si>
    <t>PROJCS["SAD69(96) / Brazil Polyconic",GEOGCS["SAD69(96)",DATUM["South_American_Datum_1969_96",SPHEROID["GRS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Polyconic"],PARAMETER["latitude_of_origin",0],PARAMETER["central_meridian",-54],PARAMETER["false_easting",5000000],PARAMETER["false_northing",10000000],UNIT["metre",1,AUTHORITY["EPSG","9001"]],AXIS["X",EAST],AXIS["Y",NORTH],AUTHORITY["EPSG","5530"]]</t>
  </si>
  <si>
    <t xml:space="preserve">+proj=poly +lat_0=0 +lon_0=-54 +x_0=5000000 +y_0=10000000 +ellps=aust_SA +towgs84=-67.35,3.88,-38.22,0,0,0,0 +units=m +no_defs </t>
  </si>
  <si>
    <t>PROJCS["SAD69(96) / UTM zone 21S",GEOGCS["SAD69(96)",DATUM["South_American_Datum_1969_96",SPHEROID["GRS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5531"]]</t>
  </si>
  <si>
    <t xml:space="preserve">+proj=utm +zone=21 +south +ellps=aust_SA +towgs84=-67.35,3.88,-38.22,0,0,0,0 +units=m +no_defs </t>
  </si>
  <si>
    <t>PROJCS["SAD69(96) / UTM zone 22S (deprecated)",GEOGCS["SAD69",DATUM["South_American_Datum_1969",SPHEROID["GRS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5532"]]</t>
  </si>
  <si>
    <t xml:space="preserve">+proj=utm +zone=22 +south +ellps=aust_SA +towgs84=-66.87,4.37,-38.52,0,0,0,0 +units=m +no_defs </t>
  </si>
  <si>
    <t>PROJCS["SAD69(96) / UTM zone 23S",GEOGCS["SAD69(96)",DATUM["South_American_Datum_1969_96",SPHEROID["GRS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5533"]]</t>
  </si>
  <si>
    <t xml:space="preserve">+proj=utm +zone=23 +south +ellps=aust_SA +towgs84=-67.35,3.88,-38.22,0,0,0,0 +units=m +no_defs </t>
  </si>
  <si>
    <t>PROJCS["SAD69(96) / UTM zone 24S",GEOGCS["SAD69(96)",DATUM["South_American_Datum_1969_96",SPHEROID["GRS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5534"]]</t>
  </si>
  <si>
    <t xml:space="preserve">+proj=utm +zone=24 +south +ellps=aust_SA +towgs84=-67.35,3.88,-38.22,0,0,0,0 +units=m +no_defs </t>
  </si>
  <si>
    <t>PROJCS["SAD69(96) / UTM zone 25S",GEOGCS["SAD69(96)",DATUM["South_American_Datum_1969_96",SPHEROID["GRS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5535"]]</t>
  </si>
  <si>
    <t xml:space="preserve">+proj=utm +zone=25 +south +ellps=aust_SA +towgs84=-67.35,3.88,-38.22,0,0,0,0 +units=m +no_defs </t>
  </si>
  <si>
    <t>PROJCS["Corrego Alegre 1961 / UTM zone 21S",GEOGCS["Corrego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5536"]]</t>
  </si>
  <si>
    <t>PROJCS["Corrego Alegre 1961 / UTM zone 22S",GEOGCS["Corrego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5537"]]</t>
  </si>
  <si>
    <t>PROJCS["Corrego Alegre 1961 / UTM zone 23S",GEOGCS["Corrego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5538"]]</t>
  </si>
  <si>
    <t>PROJCS["Corrego Alegre 1961 / UTM zone 24S",GEOGCS["Corrego Alegre 1961",DATUM["Corrego_Alegre_1961",SPHEROID["International 1924",6378388,297,AUTHORITY["EPSG","7022"]],AUTHORITY["EPSG","1074"]],PRIMEM["Greenwich",0,AUTHORITY["EPSG","8901"]],UNIT["degree",0.0174532925199433,AUTHORITY["EPSG","9122"]],AUTHORITY["EPSG","5524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5539"]]</t>
  </si>
  <si>
    <t>PROJCS["PNG94 / PNGMG94 zone 54",GEOGCS["PNG94",DATUM["Papua_New_Guinea_Geodetic_Datum_1994",SPHEROID["GRS 1980",6378137,298.257222101,AUTHORITY["EPSG","7019"]],TOWGS84[0,0,0,0,0,0,0],AUTHORITY["EPSG","1076"]],PRIMEM["Greenwich",0,AUTHORITY["EPSG","8901"]],UNIT["degree",0.0174532925199433,AUTHORITY["EPSG","9122"]],AUTHORITY["EPSG","5546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5550"]]</t>
  </si>
  <si>
    <t xml:space="preserve">+proj=utm +zone=54 +south +ellps=GRS80 +towgs84=0,0,0,0,0,0,0 +units=m +no_defs </t>
  </si>
  <si>
    <t>PROJCS["PNG94 / PNGMG94 zone 55",GEOGCS["PNG94",DATUM["Papua_New_Guinea_Geodetic_Datum_1994",SPHEROID["GRS 1980",6378137,298.257222101,AUTHORITY["EPSG","7019"]],TOWGS84[0,0,0,0,0,0,0],AUTHORITY["EPSG","1076"]],PRIMEM["Greenwich",0,AUTHORITY["EPSG","8901"]],UNIT["degree",0.0174532925199433,AUTHORITY["EPSG","9122"]],AUTHORITY["EPSG","5546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5551"]]</t>
  </si>
  <si>
    <t xml:space="preserve">+proj=utm +zone=55 +south +ellps=GRS80 +towgs84=0,0,0,0,0,0,0 +units=m +no_defs </t>
  </si>
  <si>
    <t>PROJCS["PNG94 / PNGMG94 zone 56",GEOGCS["PNG94",DATUM["Papua_New_Guinea_Geodetic_Datum_1994",SPHEROID["GRS 1980",6378137,298.257222101,AUTHORITY["EPSG","7019"]],TOWGS84[0,0,0,0,0,0,0],AUTHORITY["EPSG","1076"]],PRIMEM["Greenwich",0,AUTHORITY["EPSG","8901"]],UNIT["degree",0.0174532925199433,AUTHORITY["EPSG","9122"]],AUTHORITY["EPSG","5546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5552"]]</t>
  </si>
  <si>
    <t xml:space="preserve">+proj=utm +zone=56 +south +ellps=GRS80 +towgs84=0,0,0,0,0,0,0 +units=m +no_defs </t>
  </si>
  <si>
    <t>PROJCS["Ocotepeque 1935 / Guatemala Norte",GEOGCS["Ocotepeque 1935",DATUM["Ocotepeque_1935",SPHEROID["Clarke 1866",6378206.4,294.9786982138982,AUTHORITY["EPSG","7008"]],TOWGS84[205,96,-98,0,0,0,0],AUTHORITY["EPSG","1070"]],PRIMEM["Greenwich",0,AUTHORITY["EPSG","8901"]],UNIT["degree",0.0174532925199433,AUTHORITY["EPSG","9122"]],AUTHORITY["EPSG","5451"]],PROJECTION["Lambert_Conformal_Conic_1SP"],PARAMETER["latitude_of_origin",16.81666666666667],PARAMETER["central_meridian",-90.33333333333333],PARAMETER["scale_factor",0.99992226],PARAMETER["false_easting",500000],PARAMETER["false_northing",292209.579],UNIT["metre",1,AUTHORITY["EPSG","9001"]],AXIS["X",EAST],AXIS["Y",NORTH],AUTHORITY["EPSG","5559"]]</t>
  </si>
  <si>
    <t xml:space="preserve">+proj=lcc +lat_1=16.81666666666667 +lat_0=16.81666666666667 +lon_0=-90.33333333333333 +k_0=0.99992226 +x_0=500000 +y_0=292209.579 +ellps=clrk66 +towgs84=205,96,-98,0,0,0,0 +units=m +no_defs </t>
  </si>
  <si>
    <t>PROJCS["UCS-2000 / Gauss-Kruger zone 4",GEOGCS["UCS-2000",DATUM["Ukraine_2000",SPHEROID["Krassowsky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4500000],PARAMETER["false_northing",0],UNIT["metre",1,AUTHORITY["EPSG","9001"]],AUTHORITY["EPSG","5562"]]</t>
  </si>
  <si>
    <t xml:space="preserve">+proj=tmerc +lat_0=0 +lon_0=21 +k=1 +x_0=4500000 +y_0=0 +ellps=krass +towgs84=25,-141,-78.5,0,0.35,0.736,0 +units=m +no_defs </t>
  </si>
  <si>
    <t>PROJCS["UCS-2000 / Gauss-Kruger zone 5",GEOGCS["UCS-2000",DATUM["Ukraine_2000",SPHEROID["Krassowsky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5500000],PARAMETER["false_northing",0],UNIT["metre",1,AUTHORITY["EPSG","9001"]],AUTHORITY["EPSG","5563"]]</t>
  </si>
  <si>
    <t xml:space="preserve">+proj=tmerc +lat_0=0 +lon_0=27 +k=1 +x_0=5500000 +y_0=0 +ellps=krass +towgs84=25,-141,-78.5,0,0.35,0.736,0 +units=m +no_defs </t>
  </si>
  <si>
    <t>PROJCS["UCS-2000 / Gauss-Kruger zone 6",GEOGCS["UCS-2000",DATUM["Ukraine_2000",SPHEROID["Krassowsky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6500000],PARAMETER["false_northing",0],UNIT["metre",1,AUTHORITY["EPSG","9001"]],AUTHORITY["EPSG","5564"]]</t>
  </si>
  <si>
    <t xml:space="preserve">+proj=tmerc +lat_0=0 +lon_0=33 +k=1 +x_0=6500000 +y_0=0 +ellps=krass +towgs84=25,-141,-78.5,0,0.35,0.736,0 +units=m +no_defs </t>
  </si>
  <si>
    <t>PROJCS["UCS-2000 / Gauss-Kruger zone 7",GEOGCS["UCS-2000",DATUM["Ukraine_2000",SPHEROID["Krassowsky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7500000],PARAMETER["false_northing",0],UNIT["metre",1,AUTHORITY["EPSG","9001"]],AUTHORITY["EPSG","5565"]]</t>
  </si>
  <si>
    <t xml:space="preserve">+proj=tmerc +lat_0=0 +lon_0=39 +k=1 +x_0=7500000 +y_0=0 +ellps=krass +towgs84=25,-141,-78.5,0,0.35,0.736,0 +units=m +no_defs </t>
  </si>
  <si>
    <t>PROJCS["UCS-2000 / Gauss-Kruger CM 21E",GEOGCS["UCS-2000",DATUM["Ukraine_2000",SPHEROID["Krassowsky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500000],PARAMETER["false_northing",0],UNIT["metre",1,AUTHORITY["EPSG","9001"]],AUTHORITY["EPSG","5566"]]</t>
  </si>
  <si>
    <t xml:space="preserve">+proj=tmerc +lat_0=0 +lon_0=21 +k=1 +x_0=500000 +y_0=0 +ellps=krass +towgs84=25,-141,-78.5,0,0.35,0.736,0 +units=m +no_defs </t>
  </si>
  <si>
    <t>PROJCS["UCS-2000 / Gauss-Kruger CM 27E",GEOGCS["UCS-2000",DATUM["Ukraine_2000",SPHEROID["Krassowsky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500000],PARAMETER["false_northing",0],UNIT["metre",1,AUTHORITY["EPSG","9001"]],AUTHORITY["EPSG","5567"]]</t>
  </si>
  <si>
    <t xml:space="preserve">+proj=tmerc +lat_0=0 +lon_0=27 +k=1 +x_0=500000 +y_0=0 +ellps=krass +towgs84=25,-141,-78.5,0,0.35,0.736,0 +units=m +no_defs </t>
  </si>
  <si>
    <t>PROJCS["UCS-2000 / Gauss-Kruger CM 33E",GEOGCS["UCS-2000",DATUM["Ukraine_2000",SPHEROID["Krassowsky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500000],PARAMETER["false_northing",0],UNIT["metre",1,AUTHORITY["EPSG","9001"]],AUTHORITY["EPSG","5568"]]</t>
  </si>
  <si>
    <t xml:space="preserve">+proj=tmerc +lat_0=0 +lon_0=33 +k=1 +x_0=500000 +y_0=0 +ellps=krass +towgs84=25,-141,-78.5,0,0.35,0.736,0 +units=m +no_defs </t>
  </si>
  <si>
    <t>PROJCS["UCS-2000 / Gauss-Kruger CM 39E",GEOGCS["UCS-2000",DATUM["Ukraine_2000",SPHEROID["Krassowsky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500000],PARAMETER["false_northing",0],UNIT["metre",1,AUTHORITY["EPSG","9001"]],AUTHORITY["EPSG","5569"]]</t>
  </si>
  <si>
    <t xml:space="preserve">+proj=tmerc +lat_0=0 +lon_0=39 +k=1 +x_0=500000 +y_0=0 +ellps=krass +towgs84=25,-141,-78.5,0,0.35,0.736,0 +units=m +no_defs </t>
  </si>
  <si>
    <t>PROJCS["UCS-2000 / 3-degree Gauss-Kruger zone 7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7500000],PARAMETER["false_northing",0],UNIT["metre",1,AUTHORITY["EPSG","9001"]],AUTHORITY["EPSG","5570"]]</t>
  </si>
  <si>
    <t xml:space="preserve">+proj=tmerc +lat_0=0 +lon_0=21 +k=1 +x_0=7500000 +y_0=0 +ellps=krass +towgs84=25,-141,-78.5,0,0.35,0.736,0 +units=m +no_defs </t>
  </si>
  <si>
    <t>PROJCS["UCS-2000 / 3-degree Gauss-Kruger zone 8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24],PARAMETER["scale_factor",1],PARAMETER["false_easting",8500000],PARAMETER["false_northing",0],UNIT["metre",1,AUTHORITY["EPSG","9001"]],AUTHORITY["EPSG","5571"]]</t>
  </si>
  <si>
    <t xml:space="preserve">+proj=tmerc +lat_0=0 +lon_0=24 +k=1 +x_0=8500000 +y_0=0 +ellps=krass +towgs84=25,-141,-78.5,0,0.35,0.736,0 +units=m +no_defs </t>
  </si>
  <si>
    <t>PROJCS["UCS-2000 / 3-degree Gauss-Kruger zone 9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9500000],PARAMETER["false_northing",0],UNIT["metre",1,AUTHORITY["EPSG","9001"]],AUTHORITY["EPSG","5572"]]</t>
  </si>
  <si>
    <t xml:space="preserve">+proj=tmerc +lat_0=0 +lon_0=27 +k=1 +x_0=9500000 +y_0=0 +ellps=krass +towgs84=25,-141,-78.5,0,0.35,0.736,0 +units=m +no_defs </t>
  </si>
  <si>
    <t>PROJCS["UCS-2000 / 3-degree Gauss-Kruger zone 10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30],PARAMETER["scale_factor",1],PARAMETER["false_easting",10500000],PARAMETER["false_northing",0],UNIT["metre",1,AUTHORITY["EPSG","9001"]],AUTHORITY["EPSG","5573"]]</t>
  </si>
  <si>
    <t xml:space="preserve">+proj=tmerc +lat_0=0 +lon_0=30 +k=1 +x_0=10500000 +y_0=0 +ellps=krass +towgs84=25,-141,-78.5,0,0.35,0.736,0 +units=m +no_defs </t>
  </si>
  <si>
    <t>PROJCS["UCS-2000 / 3-degree Gauss-Kruger zone 11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11500000],PARAMETER["false_northing",0],UNIT["metre",1,AUTHORITY["EPSG","9001"]],AUTHORITY["EPSG","5574"]]</t>
  </si>
  <si>
    <t xml:space="preserve">+proj=tmerc +lat_0=0 +lon_0=33 +k=1 +x_0=11500000 +y_0=0 +ellps=krass +towgs84=25,-141,-78.5,0,0.35,0.736,0 +units=m +no_defs </t>
  </si>
  <si>
    <t>PROJCS["UCS-2000 / 3-degree Gauss-Kruger zone 12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36],PARAMETER["scale_factor",1],PARAMETER["false_easting",12500000],PARAMETER["false_northing",0],UNIT["metre",1,AUTHORITY["EPSG","9001"]],AUTHORITY["EPSG","5575"]]</t>
  </si>
  <si>
    <t xml:space="preserve">+proj=tmerc +lat_0=0 +lon_0=36 +k=1 +x_0=12500000 +y_0=0 +ellps=krass +towgs84=25,-141,-78.5,0,0.35,0.736,0 +units=m +no_defs </t>
  </si>
  <si>
    <t>PROJCS["UCS-2000 / 3-degree Gauss-Kruger zone 13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13500000],PARAMETER["false_northing",0],UNIT["metre",1,AUTHORITY["EPSG","9001"]],AUTHORITY["EPSG","5576"]]</t>
  </si>
  <si>
    <t xml:space="preserve">+proj=tmerc +lat_0=0 +lon_0=39 +k=1 +x_0=13500000 +y_0=0 +ellps=krass +towgs84=25,-141,-78.5,0,0.35,0.736,0 +units=m +no_defs </t>
  </si>
  <si>
    <t>PROJCS["UCS-2000 / 3-degree Gauss-Kruger CM 21E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500000],PARAMETER["false_northing",0],UNIT["metre",1,AUTHORITY["EPSG","9001"]],AUTHORITY["EPSG","5577"]]</t>
  </si>
  <si>
    <t>PROJCS["UCS-2000 / 3-degree Gauss-Kruger CM 24E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24],PARAMETER["scale_factor",1],PARAMETER["false_easting",500000],PARAMETER["false_northing",0],UNIT["metre",1,AUTHORITY["EPSG","9001"]],AUTHORITY["EPSG","5578"]]</t>
  </si>
  <si>
    <t xml:space="preserve">+proj=tmerc +lat_0=0 +lon_0=24 +k=1 +x_0=500000 +y_0=0 +ellps=krass +towgs84=25,-141,-78.5,0,0.35,0.736,0 +units=m +no_defs </t>
  </si>
  <si>
    <t>PROJCS["UCS-2000 / 3-degree Gauss-Kruger CM 27E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500000],PARAMETER["false_northing",0],UNIT["metre",1,AUTHORITY["EPSG","9001"]],AUTHORITY["EPSG","5579"]]</t>
  </si>
  <si>
    <t>PROJCS["UCS-2000 / 3-degree Gauss-Kruger CM 30E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30],PARAMETER["scale_factor",1],PARAMETER["false_easting",500000],PARAMETER["false_northing",0],UNIT["metre",1,AUTHORITY["EPSG","9001"]],AUTHORITY["EPSG","5580"]]</t>
  </si>
  <si>
    <t xml:space="preserve">+proj=tmerc +lat_0=0 +lon_0=30 +k=1 +x_0=500000 +y_0=0 +ellps=krass +towgs84=25,-141,-78.5,0,0.35,0.736,0 +units=m +no_defs </t>
  </si>
  <si>
    <t>PROJCS["UCS-2000 / 3-degree Gauss-Kruger CM 33E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500000],PARAMETER["false_northing",0],UNIT["metre",1,AUTHORITY["EPSG","9001"]],AUTHORITY["EPSG","5581"]]</t>
  </si>
  <si>
    <t>PROJCS["UCS-2000 / 3-degree Gauss-Kruger CM 36E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36],PARAMETER["scale_factor",1],PARAMETER["false_easting",500000],PARAMETER["false_northing",0],UNIT["metre",1,AUTHORITY["EPSG","9001"]],AUTHORITY["EPSG","5582"]]</t>
  </si>
  <si>
    <t xml:space="preserve">+proj=tmerc +lat_0=0 +lon_0=36 +k=1 +x_0=500000 +y_0=0 +ellps=krass +towgs84=25,-141,-78.5,0,0.35,0.736,0 +units=m +no_defs </t>
  </si>
  <si>
    <t>PROJCS["UCS-2000 / 3-degree Gauss-Kruger CM 39E (deprecated)",GEOGCS["UCS-2000",DATUM["Ukraine_2000",SPHEROID["Krassowsky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500000],PARAMETER["false_northing",0],UNIT["metre",1,AUTHORITY["EPSG","9001"]],AUTHORITY["EPSG","5583"]]</t>
  </si>
  <si>
    <t>PROJCS["NAD27 / New Brunswick Stereographic (NAD27)",GEOGCS["NAD27",DATUM["North_American_Datum_1927",SPHEROID["Clarke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Oblique_Stereographic"],PARAMETER["latitude_of_origin",46.5],PARAMETER["central_meridian",-66.5],PARAMETER["scale_factor",0.999912],PARAMETER["false_easting",1000000],PARAMETER["false_northing",1000000],UNIT["foot",0.3048,AUTHORITY["EPSG","9002"]],AUTHORITY["EPSG","5588"]]</t>
  </si>
  <si>
    <t>PROJCS["Sibun Gorge 1922 / Colony Grid",GEOGCS["Sibun Gorge 1922",DATUM["Sibun_Gorge_1922",SPHEROID["Clarke 1858",6378293.645208759,294.2606763692606,AUTHORITY["EPSG","7007"]],AUTHORITY["EPSG","1071"]],PRIMEM["Greenwich",0,AUTHORITY["EPSG","8901"]],UNIT["degree",0.0174532925199433,AUTHORITY["EPSG","9122"]],AUTHORITY["EPSG","5464"]],PROJECTION["Transverse_Mercator"],PARAMETER["latitude_of_origin",17.06124194444444],PARAMETER["central_meridian",-88.6318575],PARAMETER["scale_factor",1],PARAMETER["false_easting",217259.26],PARAMETER["false_northing",445474.83],UNIT["Clarke's foot",0.3047972654,AUTHORITY["EPSG","9005"]],AXIS["Easting",EAST],AXIS["Northing",NORTH],AUTHORITY["EPSG","5589"]]</t>
  </si>
  <si>
    <t>PROJCS["FEH2010 / Fehmarnbelt TM",GEOGCS["FEH2010",DATUM["Fehmarnbelt_Datum_2010",SPHEROID["GRS 1980",6378137,298.257222101,AUTHORITY["EPSG","7019"]],TOWGS84[0,0,0,0,0,0,0],AUTHORITY["EPSG","1078"]],PRIMEM["Greenwich",0,AUTHORITY["EPSG","8901"]],UNIT["degree",0.0174532925199433,AUTHORITY["EPSG","9122"]],AUTHORITY["EPSG","5593"]],PROJECTION["Transverse_Mercator"],PARAMETER["latitude_of_origin",0],PARAMETER["central_meridian",11.33333333333333],PARAMETER["scale_factor",1],PARAMETER["false_easting",1000000],PARAMETER["false_northing",0],UNIT["metre",1,AUTHORITY["EPSG","9001"]],AXIS["Easting",EAST],AXIS["Northing",NORTH],AUTHORITY["EPSG","5596"]]</t>
  </si>
  <si>
    <t xml:space="preserve">+proj=tmerc +lat_0=0 +lon_0=11.33333333333333 +k=1 +x_0=1000000 +y_0=0 +ellps=GRS80 +towgs84=0,0,0,0,0,0,0 +units=m +no_defs </t>
  </si>
  <si>
    <t>PROJCS["NAD27 / Michigan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41.5],PARAMETER["central_meridian",-83.66666666666667],PARAMETER["scale_factor",0.999942857],PARAMETER["false_easting",500000],PARAMETER["false_northing",0],UNIT["US survey foot",0.3048006096012192,AUTHORITY["EPSG","9003"]],AXIS["X",EAST],AXIS["Y",NORTH],AUTHORITY["EPSG","5623"]]</t>
  </si>
  <si>
    <t>PROJCS["NAD27 / Michigan Old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41.5],PARAMETER["central_meridian",-85.75],PARAMETER["scale_factor",0.999909091],PARAMETER["false_easting",500000],PARAMETER["false_northing",0],UNIT["US survey foot",0.3048006096012192,AUTHORITY["EPSG","9003"]],AXIS["X",EAST],AXIS["Y",NORTH],AUTHORITY["EPSG","5624"]]</t>
  </si>
  <si>
    <t>PROJCS["NAD27 / Michigan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41.5],PARAMETER["central_meridian",-88.75],PARAMETER["scale_factor",0.999909091],PARAMETER["false_easting",500000],PARAMETER["false_northing",0],UNIT["US survey foot",0.3048006096012192,AUTHORITY["EPSG","9003"]],AXIS["X",EAST],AXIS["Y",NORTH],AUTHORITY["EPSG","5625"]]</t>
  </si>
  <si>
    <t>PROJCS["ED50 / TM 6 NE",GEOGCS["ED50",DATUM["European_Datum_1950",SPHEROID["International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6],PARAMETER["scale_factor",0.9996],PARAMETER["false_easting",500000],PARAMETER["false_northing",0],UNIT["metre",1,AUTHORITY["EPSG","9001"]],AXIS["Easting",EAST],AXIS["Northing",NORTH],AUTHORITY["EPSG","5627"]]</t>
  </si>
  <si>
    <t xml:space="preserve">+proj=tmerc +lat_0=0 +lon_0=6 +k=0.9996 +x_0=500000 +y_0=0 +ellps=intl +towgs84=-87,-98,-121,0,0,0,0 +units=m +no_defs </t>
  </si>
  <si>
    <t>PROJCS["Moznet / UTM zone 38S",GEOGCS["Moznet",DATUM["Moznet_ITRF94",SPHEROID["WGS 84",6378137,298.257223563,AUTHORITY["EPSG","7030"]],TOWGS84[0,0,0,0,0,0,0],AUTHORITY["EPSG","6130"]],PRIMEM["Greenwich",0,AUTHORITY["EPSG","8901"]],UNIT["degree",0.0174532925199433,AUTHORITY["EPSG","9122"]],AUTHORITY["EPSG","4130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5629"]]</t>
  </si>
  <si>
    <t xml:space="preserve">+proj=utm +zone=38 +south +ellps=WGS84 +towgs84=0,0,0,0,0,0,0 +units=m +no_defs </t>
  </si>
  <si>
    <t>PROJCS["Pulkovo 1942(58) / Gauss-Kruger zone 2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9],PARAMETER["scale_factor",1],PARAMETER["false_easting",2500000],PARAMETER["false_northing",0],UNIT["metre",1,AUTHORITY["EPSG","9001"]],AXIS["Easting",EAST],AXIS["Northing",NORTH],AUTHORITY["EPSG","5631"]]</t>
  </si>
  <si>
    <t>PROJCS["PTRA08 / LCC Europe",GEOGCS["PTRA08",DATUM["Autonomous_Regions_of_Portugal_2008",SPHEROID["GRS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5632"]]</t>
  </si>
  <si>
    <t>PROJCS["PTRA08 / LAEA Europe",GEOGCS["PTRA08",DATUM["Autonomous_Regions_of_Portugal_2008",SPHEROID["GRS 1980",6378137,298.257222101,AUTHORITY["EPSG","7019"]],TOWGS84[0,0,0,0,0,0,0],AUTHORITY["EPSG","1041"]],PRIMEM["Greenwich",0,AUTHORITY["EPSG","8901"]],UNIT["degree",0.0174532925199433,AUTHORITY["EPSG","9122"]],AUTHORITY["EPSG","5013"]],PROJECTION["Lambert_Azimuthal_Equal_Area"],PARAMETER["latitude_of_center",52],PARAMETER["longitude_of_center",10],PARAMETER["false_easting",4321000],PARAMETER["false_northing",3210000],UNIT["metre",1,AUTHORITY["EPSG","9001"]],AUTHORITY["EPSG","5633"]]</t>
  </si>
  <si>
    <t>PROJCS["REGCAN95 / LCC Europe",GEOGCS["REGCAN95",DATUM["Red_Geodesica_de_Canarias_1995",SPHEROID["GRS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5634"]]</t>
  </si>
  <si>
    <t>PROJCS["REGCAN95 / LAEA Europe",GEOGCS["REGCAN95",DATUM["Red_Geodesica_de_Canarias_1995",SPHEROID["GRS 1980",6378137,298.257222101,AUTHORITY["EPSG","7019"]],TOWGS84[0,0,0,0,0,0,0],AUTHORITY["EPSG","1035"]],PRIMEM["Greenwich",0,AUTHORITY["EPSG","8901"]],UNIT["degree",0.0174532925199433,AUTHORITY["EPSG","9122"]],AUTHORITY["EPSG","4081"]],PROJECTION["Lambert_Azimuthal_Equal_Area"],PARAMETER["latitude_of_center",52],PARAMETER["longitude_of_center",10],PARAMETER["false_easting",4321000],PARAMETER["false_northing",3210000],UNIT["metre",1,AUTHORITY["EPSG","9001"]],AUTHORITY["EPSG","5635"]]</t>
  </si>
  <si>
    <t>PROJCS["TUREF / LAEA Europe",GEOGCS["TUREF",DATUM["Turkish_National_Reference_Frame",SPHEROID["GRS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Lambert_Azimuthal_Equal_Area"],PARAMETER["latitude_of_center",52],PARAMETER["longitude_of_center",10],PARAMETER["false_easting",4321000],PARAMETER["false_northing",3210000],UNIT["metre",1,AUTHORITY["EPSG","9001"]],AUTHORITY["EPSG","5636"]]</t>
  </si>
  <si>
    <t>PROJCS["TUREF / LCC Europe",GEOGCS["TUREF",DATUM["Turkish_National_Reference_Frame",SPHEROID["GRS 1980",6378137,298.257222101,AUTHORITY["EPSG","7019"]],TOWGS84[0,0,0,0,0,0,0],AUTHORITY["EPSG","1057"]],PRIMEM["Greenwich",0,AUTHORITY["EPSG","8901"]],UNIT["degree",0.0174532925199433,AUTHORITY["EPSG","9122"]],AUTHORITY["EPSG","5252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5637"]]</t>
  </si>
  <si>
    <t>PROJCS["ISN2004 / LAEA Europe",GEOGCS["ISN2004",DATUM["Islands_Net_2004",SPHEROID["GRS 1980",6378137,298.257222101,AUTHORITY["EPSG","7019"]],TOWGS84[0,0,0,0,0,0,0],AUTHORITY["EPSG","1060"]],PRIMEM["Greenwich",0,AUTHORITY["EPSG","8901"]],UNIT["degree",0.0174532925199433,AUTHORITY["EPSG","9122"]],AUTHORITY["EPSG","5324"]],PROJECTION["Lambert_Azimuthal_Equal_Area"],PARAMETER["latitude_of_center",52],PARAMETER["longitude_of_center",10],PARAMETER["false_easting",4321000],PARAMETER["false_northing",3210000],UNIT["metre",1,AUTHORITY["EPSG","9001"]],AUTHORITY["EPSG","5638"]]</t>
  </si>
  <si>
    <t>PROJCS["ISN2004 / LCC Europe",GEOGCS["ISN2004",DATUM["Islands_Net_2004",SPHEROID["GRS 1980",6378137,298.257222101,AUTHORITY["EPSG","7019"]],TOWGS84[0,0,0,0,0,0,0],AUTHORITY["EPSG","1060"]],PRIMEM["Greenwich",0,AUTHORITY["EPSG","8901"]],UNIT["degree",0.0174532925199433,AUTHORITY["EPSG","9122"]],AUTHORITY["EPSG","5324"]],PROJECTION["Lambert_Conformal_Conic_2SP"],PARAMETER["standard_parallel_1",35],PARAMETER["standard_parallel_2",65],PARAMETER["latitude_of_origin",52],PARAMETER["central_meridian",10],PARAMETER["false_easting",4000000],PARAMETER["false_northing",2800000],UNIT["metre",1,AUTHORITY["EPSG","9001"]],AUTHORITY["EPSG","5639"]]</t>
  </si>
  <si>
    <t>PROJCS["SIRGAS 2000 / Brazil Mercator",GEOGCS["SIRGAS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Mercator_2SP"],PARAMETER["standard_parallel_1",-2],PARAMETER["central_meridian",-43],PARAMETER["false_easting",5000000],PARAMETER["false_northing",10000000],UNIT["metre",1,AUTHORITY["EPSG","9001"]],AXIS["X",EAST],AXIS["Y",NORTH],AUTHORITY["EPSG","5641"]]</t>
  </si>
  <si>
    <t xml:space="preserve">+proj=merc +lon_0=-43 +lat_ts=-2 +x_0=5000000 +y_0=10000000 +ellps=GRS80 +towgs84=0,0,0,0,0,0,0 +units=m +no_defs </t>
  </si>
  <si>
    <t>PROJCS["ED50 / SPBA LCC",GEOGCS["ED50",DATUM["European_Datum_1950",SPHEROID["International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Lambert_Conformal_Conic_2SP"],PARAMETER["standard_parallel_1",52.66666666666666],PARAMETER["standard_parallel_2",54.33333333333334],PARAMETER["latitude_of_origin",48],PARAMETER["central_meridian",10],PARAMETER["false_easting",815000],PARAMETER["false_northing",0],UNIT["metre",1,AUTHORITY["EPSG","9001"]],AXIS["Easting",EAST],AXIS["Northing",NORTH],AUTHORITY["EPSG","5643"]]</t>
  </si>
  <si>
    <t xml:space="preserve">+proj=lcc +lat_1=52.66666666666666 +lat_2=54.33333333333334 +lat_0=48 +lon_0=10 +x_0=815000 +y_0=0 +ellps=intl +towgs84=-87,-98,-121,0,0,0,0 +units=m +no_defs </t>
  </si>
  <si>
    <t>PROJCS["RGR92 / UTM zone 39S",GEOGCS["RGR92",DATUM["Reseau_Geodesique_de_la_Reunion_1992",SPHEROID["GRS 1980",6378137,298.257222101,AUTHORITY["EPSG","7019"]],TOWGS84[0,0,0,0,0,0,0],AUTHORITY["EPSG","6627"]],PRIMEM["Greenwich",0,AUTHORITY["EPSG","8901"]],UNIT["degree",0.0174532925199433,AUTHORITY["EPSG","9122"]],AUTHORITY["EPSG","4627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5644"]]</t>
  </si>
  <si>
    <t xml:space="preserve">+proj=utm +zone=39 +south +ellps=GRS80 +towgs84=0,0,0,0,0,0,0 +units=m +no_defs </t>
  </si>
  <si>
    <t>PROJCS["NAD83 / Vermont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42.5],PARAMETER["central_meridian",-72.5],PARAMETER["scale_factor",0.999964286],PARAMETER["false_easting",1640416.6667],PARAMETER["false_northing",0],UNIT["US survey foot",0.3048006096012192,AUTHORITY["EPSG","9003"]],AXIS["X",EAST],AXIS["Y",NORTH],AUTHORITY["EPSG","5646"]]</t>
  </si>
  <si>
    <t>PROJCS["ETRS89 / UTM zone 31N (zE-N)",GEOGCS["ETRS89",DATUM["European_Terrestrial_Reference_System_1989",SPHEROID["GRS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31500000],PARAMETER["false_northing",0],UNIT["metre",1,AUTHORITY["EPSG","9001"]],AXIS["Easting",EAST],AXIS["Northing",NORTH],AUTHORITY["EPSG","5649"]]</t>
  </si>
  <si>
    <t xml:space="preserve">+proj=tmerc +lat_0=0 +lon_0=3 +k=0.9996 +x_0=31500000 +y_0=0 +ellps=GRS80 +towgs84=0,0,0,0,0,0,0 +units=m +no_defs </t>
  </si>
  <si>
    <t>PROJCS["ETRS89 / UTM zone 33N (zE-N)",GEOGCS["ETRS89",DATUM["European_Terrestrial_Reference_System_1989",SPHEROID["GRS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33500000],PARAMETER["false_northing",0],UNIT["metre",1,AUTHORITY["EPSG","9001"]],AXIS["Easting",EAST],AXIS["Northing",NORTH],AUTHORITY["EPSG","5650"]]</t>
  </si>
  <si>
    <t xml:space="preserve">+proj=tmerc +lat_0=0 +lon_0=15 +k=0.9996 +x_0=33500000 +y_0=0 +ellps=GRS80 +towgs84=0,0,0,0,0,0,0 +units=m +no_defs </t>
  </si>
  <si>
    <t>PROJCS["ETRS89 / UTM zone 31N (N-zE)",GEOGCS["ETRS89",DATUM["European_Terrestrial_Reference_System_1989",SPHEROID["GRS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31500000],PARAMETER["false_northing",0],UNIT["metre",1,AUTHORITY["EPSG","9001"]],AUTHORITY["EPSG","5651"]]</t>
  </si>
  <si>
    <t>PROJCS["ETRS89 / UTM zone 32N (N-zE)",GEOGCS["ETRS89",DATUM["European_Terrestrial_Reference_System_1989",SPHEROID["GRS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32500000],PARAMETER["false_northing",0],UNIT["metre",1,AUTHORITY["EPSG","9001"]],AUTHORITY["EPSG","5652"]]</t>
  </si>
  <si>
    <t>PROJCS["ETRS89 / UTM zone 33N (N-zE)",GEOGCS["ETRS89",DATUM["European_Terrestrial_Reference_System_1989",SPHEROID["GRS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33500000],PARAMETER["false_northing",0],UNIT["metre",1,AUTHORITY["EPSG","9001"]],AUTHORITY["EPSG","5653"]]</t>
  </si>
  <si>
    <t>PROJCS["NAD83(HARN) / Vermont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42.5],PARAMETER["central_meridian",-72.5],PARAMETER["scale_factor",0.999964286],PARAMETER["false_easting",1640416.6667],PARAMETER["false_northing",0],UNIT["US survey foot",0.3048006096012192,AUTHORITY["EPSG","9003"]],AXIS["X",EAST],AXIS["Y",NORTH],AUTHORITY["EPSG","5654"]]</t>
  </si>
  <si>
    <t xml:space="preserve">+proj=tmerc +lat_0=42.5 +lon_0=-72.5 +k=0.999964286 +x_0=500000.00001016 +y_0=0 +ellps=GRS80 +towgs84=0,0,0,0,0,0,0 +units=us-ft +no_defs </t>
  </si>
  <si>
    <t>PROJCS["NAD83(NSRS2007) / Vermont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42.5],PARAMETER["central_meridian",-72.5],PARAMETER["scale_factor",0.999964286],PARAMETER["false_easting",1640416.6667],PARAMETER["false_northing",0],UNIT["US survey foot",0.3048006096012192,AUTHORITY["EPSG","9003"]],AXIS["X",EAST],AXIS["Y",NORTH],AUTHORITY["EPSG","5655"]]</t>
  </si>
  <si>
    <t>PROJCS["Monte Mario / TM Emilia-Romagna",GEOGCS["Monte Mario",DATUM["Monte_Mario",SPHEROID["International 1924",6378388,297,AUTHORITY["EPSG","7022"]],TOWGS84[-104.1,-49.1,-9.9,0.971,-2.917,0.714,-11.68],AUTHORITY["EPSG","6265"]],PRIMEM["Greenwich",0,AUTHORITY["EPSG","8901"]],UNIT["degree",0.0174532925199433,AUTHORITY["EPSG","9122"]],AUTHORITY["EPSG","4265"]],PROJECTION["Transverse_Mercator"],PARAMETER["latitude_of_origin",0],PARAMETER["central_meridian",9],PARAMETER["scale_factor",0.9996],PARAMETER["false_easting",500053],PARAMETER["false_northing",-3999820],UNIT["metre",1,AUTHORITY["EPSG","9001"]],AXIS["X",EAST],AXIS["Y",NORTH],AUTHORITY["EPSG","5659"]]</t>
  </si>
  <si>
    <t xml:space="preserve">+proj=tmerc +lat_0=0 +lon_0=9 +k=0.9996 +x_0=500053 +y_0=-3999820 +ellps=intl +towgs84=-104.1,-49.1,-9.9,0.971,-2.917,0.714,-11.68 +units=m +no_defs </t>
  </si>
  <si>
    <t>PROJCS["Pulkovo 1942(58) / Gauss-Kruger zone 3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15],PARAMETER["scale_factor",1],PARAMETER["false_easting",3500000],PARAMETER["false_northing",0],UNIT["metre",1,AUTHORITY["EPSG","9001"]],AXIS["Easting",EAST],AXIS["Northing",NORTH],AUTHORITY["EPSG","5663"]]</t>
  </si>
  <si>
    <t>PROJCS["Pulkovo 1942(83) / Gauss-Kruger zone 2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2500000],PARAMETER["false_northing",0],UNIT["metre",1,AUTHORITY["EPSG","9001"]],AXIS["Easting",EAST],AXIS["Northing",NORTH],AUTHORITY["EPSG","5664"]]</t>
  </si>
  <si>
    <t>PROJCS["Pulkovo 1942(83) / Gauss-Kruger zone 3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3500000],PARAMETER["false_northing",0],UNIT["metre",1,AUTHORITY["EPSG","9001"]],AXIS["Easting",EAST],AXIS["Northing",NORTH],AUTHORITY["EPSG","5665"]]</t>
  </si>
  <si>
    <t>GEOCCS["ITRF90",DATUM["International_Terrestrial_Reference_Frame_1990",SPHEROID["GRS 1980",6378137,298.257222101,AUTHORITY["EPSG","7019"]],AUTHORITY["EPSG","6649"]],PRIMEM["Greenwich",0,AUTHORITY["EPSG","8901"]],UNIT["metre",1,AUTHORITY["EPSG","9001"]],AXIS["Geocentric X",OTHER],AXIS["Geocentric Y",OTHER],AXIS["Geocentric Z",NORTH],AUTHORITY["EPSG","4912"]]</t>
  </si>
  <si>
    <t>PROJCS["PD/83 / 3-degree Gauss-Kruger zone 3 (E-N)",GEOGCS["PD/83",DATUM["Potsdam_Datum_83",SPHEROID["Bessel 1841",6377397.155,299.1528128,AUTHORITY["EPSG","7004"]],AUTHORITY["EPSG","6746"]],PRIMEM["Greenwich",0,AUTHORITY["EPSG","8901"]],UNIT["degree",0.0174532925199433,AUTHORITY["EPSG","9122"]],AUTHORITY["EPSG","4746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5666"]]</t>
  </si>
  <si>
    <t>PROJCS["PD/83 / 3-degree Gauss-Kruger zone 4 (E-N)",GEOGCS["PD/83",DATUM["Potsdam_Datum_83",SPHEROID["Bessel 1841",6377397.155,299.1528128,AUTHORITY["EPSG","7004"]],AUTHORITY["EPSG","6746"]],PRIMEM["Greenwich",0,AUTHORITY["EPSG","8901"]],UNIT["degree",0.0174532925199433,AUTHORITY["EPSG","9122"]],AUTHORITY["EPSG","4746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5667"]]</t>
  </si>
  <si>
    <t>PROJCS["RD/83 / 3-degree Gauss-Kruger zone 4 (E-N)",GEOGCS["RD/83",DATUM["Rauenberg_Datum_83",SPHEROID["Bessel 1841",6377397.155,299.1528128,AUTHORITY["EPSG","7004"]],AUTHORITY["EPSG","6745"]],PRIMEM["Greenwich",0,AUTHORITY["EPSG","8901"]],UNIT["degree",0.0174532925199433,AUTHORITY["EPSG","9122"]],AUTHORITY["EPSG","4745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5668"]]</t>
  </si>
  <si>
    <t>PROJCS["RD/83 / 3-degree Gauss-Kruger zone 5 (E-N)",GEOGCS["RD/83",DATUM["Rauenberg_Datum_83",SPHEROID["Bessel 1841",6377397.155,299.1528128,AUTHORITY["EPSG","7004"]],AUTHORITY["EPSG","6745"]],PRIMEM["Greenwich",0,AUTHORITY["EPSG","8901"]],UNIT["degree",0.0174532925199433,AUTHORITY["EPSG","9122"]],AUTHORITY["EPSG","4745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5669"]]</t>
  </si>
  <si>
    <t>PROJCS["Pulkovo 1942(58) / 3-degree Gauss-Kruger zone 3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5670"]]</t>
  </si>
  <si>
    <t>PROJCS["Pulkovo 1942(58) / 3-degree Gauss-Kruger zone 4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5671"]]</t>
  </si>
  <si>
    <t>PROJCS["Pulkovo 1942(58) / 3-degree Gauss-Kruger zone 5 (E-N)",GEOGCS["Pulkovo 1942(58)",DATUM["Pulkovo_1942_58",SPHEROID["Krassowsky 1940",6378245,298.3,AUTHORITY["EPSG","7024"]],TOWGS84[33.4,-146.6,-76.3,-0.359,-0.053,0.844,-0.84],AUTHORITY["EPSG","6179"]],PRIMEM["Greenwich",0,AUTHORITY["EPSG","8901"]],UNIT["degree",0.0174532925199433,AUTHORITY["EPSG","9122"]],AUTHORITY["EPSG","4179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5672"]]</t>
  </si>
  <si>
    <t>PROJCS["Pulkovo 1942(83) / 3-degree Gauss-Kruger zone 3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5673"]]</t>
  </si>
  <si>
    <t>PROJCS["Pulkovo 1942(83) / 3-degree Gauss-Kruger zone 4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5674"]]</t>
  </si>
  <si>
    <t>PROJCS["JGD2011 / Japan Plane Rectangular CS XVIII",GEOGCS["JGD2011",DATUM["Japanese_Geodetic_Datum_2011",SPHEROID["GRS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20],PARAMETER["central_meridian",136],PARAMETER["scale_factor",0.9999],PARAMETER["false_easting",0],PARAMETER["false_northing",0],UNIT["metre",1,AUTHORITY["EPSG","9001"]],AUTHORITY["EPSG","6686"]]</t>
  </si>
  <si>
    <t>PROJCS["Pulkovo 1942(83) / 3-degree Gauss-Kruger zone 5 (E-N)",GEOGCS["Pulkovo 1942(83)",DATUM["Pulkovo_1942_83",SPHEROID["Krassowsky 1940",6378245,298.3,AUTHORITY["EPSG","7024"]],TOWGS84[26,-121,-78,0,0,0,0],AUTHORITY["EPSG","6178"]],PRIMEM["Greenwich",0,AUTHORITY["EPSG","8901"]],UNIT["degree",0.0174532925199433,AUTHORITY["EPSG","9122"]],AUTHORITY["EPSG","4178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5675"]]</t>
  </si>
  <si>
    <t>PROJCS["DHDN / 3-degree Gauss-Kruger zone 2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6],PARAMETER["scale_factor",1],PARAMETER["false_easting",2500000],PARAMETER["false_northing",0],UNIT["metre",1,AUTHORITY["EPSG","9001"]],AXIS["Easting",EAST],AXIS["Northing",NORTH],AUTHORITY["EPSG","5676"]]</t>
  </si>
  <si>
    <t>PROJCS["DHDN / 3-degree Gauss-Kruger zone 3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5677"]]</t>
  </si>
  <si>
    <t>PROJCS["DHDN / 3-degree Gauss-Kruger zone 4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5678"]]</t>
  </si>
  <si>
    <t>PROJCS["DHDN / 3-degree Gauss-Kruger zone 5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5679"]]</t>
  </si>
  <si>
    <t>PROJCS["DHDN / 3-degree Gauss-Kruger zone 1 (E-N)",GEOGCS["DHDN",DATUM["Deutsches_Hauptdreiecksnetz",SPHEROID["Bessel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3],PARAMETER["scale_factor",1],PARAMETER["false_easting",1500000],PARAMETER["false_northing",0],UNIT["metre",1,AUTHORITY["EPSG","9001"]],AXIS["Easting",EAST],AXIS["Northing",NORTH],AUTHORITY["EPSG","5680"]]</t>
  </si>
  <si>
    <t>PROJCS["DB_REF / 3-degree Gauss-Kruger zone 2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6],PARAMETER["scale_factor",1],PARAMETER["false_easting",2500000],PARAMETER["false_northing",0],UNIT["metre",1,AUTHORITY["EPSG","9001"]],AXIS["Easting",EAST],AXIS["Northing",NORTH],AUTHORITY["EPSG","5682"]]</t>
  </si>
  <si>
    <t>PROJCS["DB_REF / 3-degree Gauss-Kruger zone 3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5683"]]</t>
  </si>
  <si>
    <t>PROJCS["DB_REF / 3-degree Gauss-Kruger zone 4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5684"]]</t>
  </si>
  <si>
    <t>PROJCS["DB_REF / 3-degree Gauss-Kruger zone 5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5685"]]</t>
  </si>
  <si>
    <t>PROJCS["NZGD2000 / UTM zone 1S",GEOGCS["NZGD2000",DATUM["New_Zealand_Geodetic_Datum_2000",SPHEROID["GRS 1980",6378137,298.257222101,AUTHORITY["EPSG","7019"]],TOWGS84[0,0,0,0,0,0,0],AUTHORITY["EPSG","6167"]],PRIMEM["Greenwich",0,AUTHORITY["EPSG","8901"]],UNIT["degree",0.0174532925199433,AUTHORITY["EPSG","9122"]],AUTHORITY["EPSG","4167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5700"]]</t>
  </si>
  <si>
    <t xml:space="preserve">+proj=utm +zone=1 +south +ellps=GRS80 +towgs84=0,0,0,0,0,0,0 +units=m +no_defs </t>
  </si>
  <si>
    <t>PROJCS["AGD66 / ACT Standard Grid",GEOGCS["AGD66",DATUM["Australian_Geodetic_Datum_1966",SPHEROID["Australian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-35.31773627777778],PARAMETER["central_meridian",149.0092948305555],PARAMETER["scale_factor",1.000086],PARAMETER["false_easting",200000],PARAMETER["false_northing",600000],UNIT["metre",1,AUTHORITY["EPSG","9001"]],AXIS["Easting",EAST],AXIS["Northing",NORTH],AUTHORITY["EPSG","5825"]]</t>
  </si>
  <si>
    <t xml:space="preserve">+proj=tmerc +lat_0=-35.31773627777778 +lon_0=149.0092948305555 +k=1.000086 +x_0=200000 +y_0=600000 +ellps=aust_SA +towgs84=-117.808,-51.536,137.784,0.303,0.446,0.234,-0.29 +units=m +no_defs </t>
  </si>
  <si>
    <t>PROJCS["Yemen NGN96 / UTM zone 37N",GEOGCS["Yemen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5836"]]</t>
  </si>
  <si>
    <t xml:space="preserve">+proj=utm +zone=37 +ellps=WGS84 +towgs84=0,0,0,0,0,0,0 +units=m +no_defs </t>
  </si>
  <si>
    <t>PROJCS["Yemen NGN96 / UTM zone 40N",GEOGCS["Yemen NGN96",DATUM["Yemen_National_Geodetic_Network_1996",SPHEROID["WGS 84",6378137,298.257223563,AUTHORITY["EPSG","7030"]],TOWGS84[0,0,0,0,0,0,0],AUTHORITY["EPSG","6163"]],PRIMEM["Greenwich",0,AUTHORITY["EPSG","8901"]],UNIT["degree",0.0174532925199433,AUTHORITY["EPSG","9122"]],AUTHORITY["EPSG","4163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5837"]]</t>
  </si>
  <si>
    <t xml:space="preserve">+proj=utm +zone=40 +ellps=WGS84 +towgs84=0,0,0,0,0,0,0 +units=m +no_defs </t>
  </si>
  <si>
    <t>PROJCS["Peru96 / UTM zone 17S",GEOGCS["Peru96",DATUM["Peru96",SPHEROID["GRS 1980",6378137,298.257222101,AUTHORITY["EPSG","7019"]],TOWGS84[0,0,0,0,0,0,0],AUTHORITY["EPSG","1067"]],PRIMEM["Greenwich",0,AUTHORITY["EPSG","8901"]],UNIT["degree",0.0174532925199433,AUTHORITY["EPSG","9122"]],AUTHORITY["EPSG","5373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5839"]]</t>
  </si>
  <si>
    <t xml:space="preserve">+proj=utm +zone=17 +south +ellps=GRS80 +towgs84=0,0,0,0,0,0,0 +units=m +no_defs </t>
  </si>
  <si>
    <t>PROJCS["WGS 84 / TM 12 SE",GEOGCS["WGS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12],PARAMETER["scale_factor",0.9996],PARAMETER["false_easting",500000],PARAMETER["false_northing",10000000],UNIT["metre",1,AUTHORITY["EPSG","9001"]],AXIS["Easting",EAST],AXIS["Northing",NORTH],AUTHORITY["EPSG","5842"]]</t>
  </si>
  <si>
    <t>PROJCS["RGRDC 2005 / Congo TM zone 30",GEOGCS["RGRDC 2005",DATUM["Reseau_Geodesique_de_la_RDC_2005",SPHEROID["GRS 1980",6378137,298.257222101,AUTHORITY["EPSG","7019"]],TOWGS84[0,0,0,0,0,0,0],AUTHORITY["EPSG","1033"]],PRIMEM["Greenwich",0,AUTHORITY["EPSG","8901"]],UNIT["degree",0.0174532925199433,AUTHORITY["EPSG","9122"]],AUTHORITY["EPSG","4046"]],PROJECTION["Transverse_Mercator"],PARAMETER["latitude_of_origin",0],PARAMETER["central_meridian",30],PARAMETER["scale_factor",0.9999],PARAMETER["false_easting",500000],PARAMETER["false_northing",10000000],UNIT["metre",1,AUTHORITY["EPSG","9001"]],AXIS["X",EAST],AXIS["Y",NORTH],AUTHORITY["EPSG","5844"]]</t>
  </si>
  <si>
    <t xml:space="preserve">+proj=tmerc +lat_0=0 +lon_0=30 +k=0.9999 +x_0=500000 +y_0=10000000 +ellps=GRS80 +towgs84=0,0,0,0,0,0,0 +units=m +no_defs </t>
  </si>
  <si>
    <t>PROJCS["SAD69(96) / UTM zone 22S",GEOGCS["SAD69(96)",DATUM["South_American_Datum_1969_96",SPHEROID["GRS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5858"]]</t>
  </si>
  <si>
    <t xml:space="preserve">+proj=utm +zone=22 +south +ellps=aust_SA +towgs84=-67.35,3.88,-38.22,0,0,0,0 +units=m +no_defs </t>
  </si>
  <si>
    <t>PROJCS["SAD69(96) / UTM zone 18S",GEOGCS["SAD69(96)",DATUM["South_American_Datum_1969_96",SPHEROID["GRS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5875"]]</t>
  </si>
  <si>
    <t xml:space="preserve">+proj=utm +zone=18 +south +ellps=aust_SA +towgs84=-67.35,3.88,-38.22,0,0,0,0 +units=m +no_defs </t>
  </si>
  <si>
    <t>PROJCS["SAD69(96) / UTM zone 19S",GEOGCS["SAD69(96)",DATUM["South_American_Datum_1969_96",SPHEROID["GRS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5876"]]</t>
  </si>
  <si>
    <t xml:space="preserve">+proj=utm +zone=19 +south +ellps=aust_SA +towgs84=-67.35,3.88,-38.22,0,0,0,0 +units=m +no_defs </t>
  </si>
  <si>
    <t>PROJCS["SAD69(96) / UTM zone 20S",GEOGCS["SAD69(96)",DATUM["South_American_Datum_1969_96",SPHEROID["GRS 1967 Modified",6378160,298.25,AUTHORITY["EPSG","7050"]],TOWGS84[-67.35,3.88,-38.22,0,0,0,0],AUTHORITY["EPSG","1075"]],PRIMEM["Greenwich",0,AUTHORITY["EPSG","8901"]],UNIT["degree",0.0174532925199433,AUTHORITY["EPSG","9122"]],AUTHORITY["EPSG","5527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5877"]]</t>
  </si>
  <si>
    <t xml:space="preserve">+proj=utm +zone=20 +south +ellps=aust_SA +towgs84=-67.35,3.88,-38.22,0,0,0,0 +units=m +no_defs </t>
  </si>
  <si>
    <t>PROJCS["Cadastre 1997 / UTM zone 38S",GEOGCS["Cadastre 1997",DATUM["Cadastre_1997",SPHEROID["International 1924",6378388,297,AUTHORITY["EPSG","7022"]],TOWGS84[-381.788,-57.501,-256.673,0,0,0,0],AUTHORITY["EPSG","1037"]],PRIMEM["Greenwich",0,AUTHORITY["EPSG","8901"]],UNIT["degree",0.0174532925199433,AUTHORITY["EPSG","9122"]],AUTHORITY["EPSG","4475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5879"]]</t>
  </si>
  <si>
    <t xml:space="preserve">+proj=utm +zone=38 +south +ellps=intl +towgs84=-381.788,-57.501,-256.673,0,0,0,0 +units=m +no_defs </t>
  </si>
  <si>
    <t>PROJCS["SIRGAS 2000 / Brazil Polyconic",GEOGCS["SIRGAS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Polyconic"],PARAMETER["latitude_of_origin",0],PARAMETER["central_meridian",-54],PARAMETER["false_easting",5000000],PARAMETER["false_northing",10000000],UNIT["metre",1,AUTHORITY["EPSG","9001"]],AXIS["X",EAST],AXIS["Y",NORTH],AUTHORITY["EPSG","5880"]]</t>
  </si>
  <si>
    <t xml:space="preserve">+proj=poly +lat_0=0 +lon_0=-54 +x_0=5000000 +y_0=10000000 +ellps=GRS80 +towgs84=0,0,0,0,0,0,0 +units=m +no_defs </t>
  </si>
  <si>
    <t>PROJCS["TGD2005 / Tonga Map Grid",GEOGCS["TGD2005",DATUM["Tonga_Geodetic_Datum_2005",SPHEROID["GRS 1980",6378137,298.257222101,AUTHORITY["EPSG","7019"]],AUTHORITY["EPSG","1095"]],PRIMEM["Greenwich",0,AUTHORITY["EPSG","8901"]],UNIT["degree",0.0174532925199433,AUTHORITY["EPSG","9122"]],AUTHORITY["EPSG","5886"]],PROJECTION["Transverse_Mercator"],PARAMETER["latitude_of_origin",0],PARAMETER["central_meridian",-177],PARAMETER["scale_factor",0.9996],PARAMETER["false_easting",1500000],PARAMETER["false_northing",5000000],UNIT["metre",1,AUTHORITY["EPSG","9001"]],AXIS["Easting",EAST],AXIS["Northing",NORTH],AUTHORITY["EPSG","5887"]]</t>
  </si>
  <si>
    <t>PROJCS["JAXA Snow Depth Polar Stereographic North",GEOGCS["Unspecified datum based upon the Hughes 1980 ellipsoid",DATUM["Not_specified_based_on_Hughes_1980_ellipsoid",SPHEROID["Hughes 1980",6378273,298.279411123064,AUTHORITY["EPSG","7058"]],AUTHORITY["EPSG","6054"]],PRIMEM["Greenwich",0,AUTHORITY["EPSG","8901"]],UNIT["degree",0.0174532925199433,AUTHORITY["EPSG","9122"]],AUTHORITY["EPSG","4054"]],PROJECTION["Polar_Stereographic"],PARAMETER["latitude_of_origin",70],PARAMETER["central_meridian",90],PARAMETER["scale_factor",1],PARAMETER["false_easting",0],PARAMETER["false_northing",0],UNIT["metre",1,AUTHORITY["EPSG","9001"]],AXIS["X",EAST],AXIS["Y",NORTH],AUTHORITY["EPSG","5890"]]</t>
  </si>
  <si>
    <t>PROJCS["WGS 84 / EPSG Arctic Regional zone A1",GEOGCS["WGS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-111],PARAMETER["false_easting",0],PARAMETER["false_northing",0],UNIT["metre",1,AUTHORITY["EPSG","9001"]],AXIS["Easting",EAST],AXIS["Northing",NORTH],AUTHORITY["EPSG","5921"]]</t>
  </si>
  <si>
    <t>PROJCS["WGS 84 / EPSG Arctic Regional zone A2",GEOGCS["WGS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-39],PARAMETER["false_easting",0],PARAMETER["false_northing",0],UNIT["metre",1,AUTHORITY["EPSG","9001"]],AXIS["Easting",EAST],AXIS["Northing",NORTH],AUTHORITY["EPSG","5922"]]</t>
  </si>
  <si>
    <t>PROJCS["WGS 84 / EPSG Arctic Regional zone A3",GEOGCS["WGS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33],PARAMETER["false_easting",0],PARAMETER["false_northing",0],UNIT["metre",1,AUTHORITY["EPSG","9001"]],AXIS["Easting",EAST],AXIS["Northing",NORTH],AUTHORITY["EPSG","5923"]]</t>
  </si>
  <si>
    <t>PROJCS["WGS 84 / EPSG Arctic Regional zone A4",GEOGCS["WGS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105],PARAMETER["false_easting",0],PARAMETER["false_northing",0],UNIT["metre",1,AUTHORITY["EPSG","9001"]],AXIS["Easting",EAST],AXIS["Northing",NORTH],AUTHORITY["EPSG","5924"]]</t>
  </si>
  <si>
    <t>PROJCS["NAD83(2011) / UTM zone 60N",GEOGCS["NAD83(2011)",DATUM["NAD83_National_Spatial_Reference_System_2011",SPHEROID["GRS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6329"]]</t>
  </si>
  <si>
    <t>PROJCS["WGS 84 / EPSG Arctic Regional zone A5",GEOGCS["WGS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85],PARAMETER["standard_parallel_2",77],PARAMETER["latitude_of_origin",81.317226],PARAMETER["central_meridian",177],PARAMETER["false_easting",0],PARAMETER["false_northing",0],UNIT["metre",1,AUTHORITY["EPSG","9001"]],AXIS["Easting",EAST],AXIS["Northing",NORTH],AUTHORITY["EPSG","5925"]]</t>
  </si>
  <si>
    <t>PROJCS["WGS 84 / EPSG Arctic Regional zone B1",GEOGCS["WGS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-111],PARAMETER["false_easting",0],PARAMETER["false_northing",0],UNIT["metre",1,AUTHORITY["EPSG","9001"]],AXIS["Easting",EAST],AXIS["Northing",NORTH],AUTHORITY["EPSG","5926"]]</t>
  </si>
  <si>
    <t>PROJCS["WGS 84 / EPSG Arctic Regional zone B2",GEOGCS["WGS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-39],PARAMETER["false_easting",0],PARAMETER["false_northing",0],UNIT["metre",1,AUTHORITY["EPSG","9001"]],AXIS["Easting",EAST],AXIS["Northing",NORTH],AUTHORITY["EPSG","5927"]]</t>
  </si>
  <si>
    <t>PROJCS["WGS 84 / EPSG Arctic Regional zone B3",GEOGCS["WGS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33],PARAMETER["false_easting",0],PARAMETER["false_northing",0],UNIT["metre",1,AUTHORITY["EPSG","9001"]],AXIS["Easting",EAST],AXIS["Northing",NORTH],AUTHORITY["EPSG","5928"]]</t>
  </si>
  <si>
    <t>PROJCS["WGS 84 / EPSG Arctic Regional zone B4",GEOGCS["WGS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105],PARAMETER["false_easting",0],PARAMETER["false_northing",0],UNIT["metre",1,AUTHORITY["EPSG","9001"]],AXIS["Easting",EAST],AXIS["Northing",NORTH],AUTHORITY["EPSG","5929"]]</t>
  </si>
  <si>
    <t>PROJCS["WGS 84 / EPSG Arctic Regional zone B5",GEOGCS["WGS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69],PARAMETER["latitude_of_origin",73.15574086111111],PARAMETER["central_meridian",177],PARAMETER["false_easting",0],PARAMETER["false_northing",0],UNIT["metre",1,AUTHORITY["EPSG","9001"]],AXIS["Easting",EAST],AXIS["Northing",NORTH],AUTHORITY["EPSG","5930"]]</t>
  </si>
  <si>
    <t>PROJCS["WGS 84 / EPSG Arctic Regional zone C1",GEOGCS["WGS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-111],PARAMETER["false_easting",0],PARAMETER["false_northing",0],UNIT["metre",1,AUTHORITY["EPSG","9001"]],AXIS["Easting",EAST],AXIS["Northing",NORTH],AUTHORITY["EPSG","5931"]]</t>
  </si>
  <si>
    <t>PROJCS["WGS 84 / EPSG Arctic Regional zone C2",GEOGCS["WGS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-39],PARAMETER["false_easting",0],PARAMETER["false_northing",0],UNIT["metre",1,AUTHORITY["EPSG","9001"]],AXIS["Easting",EAST],AXIS["Northing",NORTH],AUTHORITY["EPSG","5932"]]</t>
  </si>
  <si>
    <t>PROJCS["WGS 84 / EPSG Arctic Regional zone C3",GEOGCS["WGS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33],PARAMETER["false_easting",0],PARAMETER["false_northing",0],UNIT["metre",1,AUTHORITY["EPSG","9001"]],AXIS["Easting",EAST],AXIS["Northing",NORTH],AUTHORITY["EPSG","5933"]]</t>
  </si>
  <si>
    <t>GEOCCS["ITRF91",DATUM["International_Terrestrial_Reference_Frame_1991",SPHEROID["GRS 1980",6378137,298.257222101,AUTHORITY["EPSG","7019"]],AUTHORITY["EPSG","6650"]],PRIMEM["Greenwich",0,AUTHORITY["EPSG","8901"]],UNIT["metre",1,AUTHORITY["EPSG","9001"]],AXIS["Geocentric X",OTHER],AXIS["Geocentric Y",OTHER],AXIS["Geocentric Z",NORTH],AUTHORITY["EPSG","4913"]]</t>
  </si>
  <si>
    <t>PROJCS["WGS 84 / EPSG Arctic Regional zone C4",GEOGCS["WGS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105],PARAMETER["false_easting",0],PARAMETER["false_northing",0],UNIT["metre",1,AUTHORITY["EPSG","9001"]],AXIS["Easting",EAST],AXIS["Northing",NORTH],AUTHORITY["EPSG","5934"]]</t>
  </si>
  <si>
    <t>PROJCS["WGS 84 / EPSG Arctic Regional zone C5",GEOGCS["WGS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69],PARAMETER["standard_parallel_2",61],PARAMETER["latitude_of_origin",65.10127088888888],PARAMETER["central_meridian",177],PARAMETER["false_easting",0],PARAMETER["false_northing",0],UNIT["metre",1,AUTHORITY["EPSG","9001"]],AXIS["Easting",EAST],AXIS["Northing",NORTH],AUTHORITY["EPSG","5935"]]</t>
  </si>
  <si>
    <t>PROJCS["WGS 84 / EPSG Alaska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-150],PARAMETER["scale_factor",0.994],PARAMETER["false_easting",2000000],PARAMETER["false_northing",2000000],UNIT["metre",1,AUTHORITY["EPSG","9001"]],AXIS["X",EAST],AXIS["Y",NORTH],AUTHORITY["EPSG","5936"]]</t>
  </si>
  <si>
    <t>PROJCS["WGS 84 / EPSG Canada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-100],PARAMETER["scale_factor",0.994],PARAMETER["false_easting",2000000],PARAMETER["false_northing",2000000],UNIT["metre",1,AUTHORITY["EPSG","9001"]],AXIS["X",EAST],AXIS["Y",NORTH],AUTHORITY["EPSG","5937"]]</t>
  </si>
  <si>
    <t>PROJCS["WGS 84 / EPSG Greenland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-33],PARAMETER["scale_factor",0.994],PARAMETER["false_easting",2000000],PARAMETER["false_northing",2000000],UNIT["metre",1,AUTHORITY["EPSG","9001"]],AXIS["X",EAST],AXIS["Y",NORTH],AUTHORITY["EPSG","5938"]]</t>
  </si>
  <si>
    <t>PROJCS["WGS 84 / EPSG Norway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18],PARAMETER["scale_factor",0.994],PARAMETER["false_easting",2000000],PARAMETER["false_northing",2000000],UNIT["metre",1,AUTHORITY["EPSG","9001"]],AXIS["X",EAST],AXIS["Y",NORTH],AUTHORITY["EPSG","5939"]]</t>
  </si>
  <si>
    <t>PROJCS["WGS 84 / EPSG Russia Polar Stereographic",GEOGCS["WGS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105],PARAMETER["scale_factor",0.994],PARAMETER["false_easting",2000000],PARAMETER["false_northing",2000000],UNIT["metre",1,AUTHORITY["EPSG","9001"]],AXIS["X",EAST],AXIS["Y",NORTH],AUTHORITY["EPSG","5940"]]</t>
  </si>
  <si>
    <t>PROJCS["GR96 / EPSG Arctic zone 1-25",GEOGCS["GR96",DATUM["Greenland_1996",SPHEROID["GRS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87],PARAMETER["standard_parallel_2",83.66666666666667],PARAMETER["latitude_of_origin",85.43711833333333],PARAMETER["central_meridian",-30],PARAMETER["false_easting",25500000],PARAMETER["false_northing",1500000],UNIT["metre",1,AUTHORITY["EPSG","9001"]],AXIS["Easting",EAST],AXIS["Northing",NORTH],AUTHORITY["EPSG","6050"]]</t>
  </si>
  <si>
    <t xml:space="preserve">+proj=lcc +lat_1=87 +lat_2=83.66666666666667 +lat_0=85.43711833333333 +lon_0=-30 +x_0=25500000 +y_0=1500000 +ellps=GRS80 +towgs84=0,0,0,0,0,0,0 +units=m +no_defs </t>
  </si>
  <si>
    <t>PROJCS["GR96 / EPSG Arctic zone 2-18",GEOGCS["GR96",DATUM["Greenland_1996",SPHEROID["GRS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83.66666666666667],PARAMETER["standard_parallel_2",80.33333333333333],PARAMETER["latitude_of_origin",82.05842488888888],PARAMETER["central_meridian",-52],PARAMETER["false_easting",18500000],PARAMETER["false_northing",2500000],UNIT["metre",1,AUTHORITY["EPSG","9001"]],AXIS["Easting",EAST],AXIS["Northing",NORTH],AUTHORITY["EPSG","6051"]]</t>
  </si>
  <si>
    <t xml:space="preserve">+proj=lcc +lat_1=83.66666666666667 +lat_2=80.33333333333333 +lat_0=82.05842488888888 +lon_0=-52 +x_0=18500000 +y_0=2500000 +ellps=GRS80 +towgs84=0,0,0,0,0,0,0 +units=m +no_defs </t>
  </si>
  <si>
    <t>PROJCS["WGS 84 / UTM zone 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32605"]]</t>
  </si>
  <si>
    <t>PROJCS["GR96 / EPSG Arctic zone 2-20",GEOGCS["GR96",DATUM["Greenland_1996",SPHEROID["GRS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83.66666666666667],PARAMETER["standard_parallel_2",80.33333333333333],PARAMETER["latitude_of_origin",82.05842488888888],PARAMETER["central_meridian",-12],PARAMETER["false_easting",20500000],PARAMETER["false_northing",2500000],UNIT["metre",1,AUTHORITY["EPSG","9001"]],AXIS["Easting",EAST],AXIS["Northing",NORTH],AUTHORITY["EPSG","6052"]]</t>
  </si>
  <si>
    <t xml:space="preserve">+proj=lcc +lat_1=83.66666666666667 +lat_2=80.33333333333333 +lat_0=82.05842488888888 +lon_0=-12 +x_0=20500000 +y_0=2500000 +ellps=GRS80 +towgs84=0,0,0,0,0,0,0 +units=m +no_defs </t>
  </si>
  <si>
    <t>PROJCS["GR96 / EPSG Arctic zone 3-29",GEOGCS["GR96",DATUM["Greenland_1996",SPHEROID["GRS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80.33333333333333],PARAMETER["standard_parallel_2",77],PARAMETER["latitude_of_origin",78.70733752777778],PARAMETER["central_meridian",-69],PARAMETER["false_easting",29500000],PARAMETER["false_northing",3500000],UNIT["metre",1,AUTHORITY["EPSG","9001"]],AXIS["Easting",EAST],AXIS["Northing",NORTH],AUTHORITY["EPSG","6053"]]</t>
  </si>
  <si>
    <t xml:space="preserve">+proj=lcc +lat_1=80.33333333333333 +lat_2=77 +lat_0=78.70733752777778 +lon_0=-69 +x_0=29500000 +y_0=3500000 +ellps=GRS80 +towgs84=0,0,0,0,0,0,0 +units=m +no_defs </t>
  </si>
  <si>
    <t>PROJCS["GR96 / EPSG Arctic zone 3-31",GEOGCS["GR96",DATUM["Greenland_1996",SPHEROID["GRS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80.33333333333333],PARAMETER["standard_parallel_2",77],PARAMETER["latitude_of_origin",78.70733752777778],PARAMETER["central_meridian",-39],PARAMETER["false_easting",31500000],PARAMETER["false_northing",3500000],UNIT["metre",1,AUTHORITY["EPSG","9001"]],AXIS["Easting",EAST],AXIS["Northing",NORTH],AUTHORITY["EPSG","6054"]]</t>
  </si>
  <si>
    <t xml:space="preserve">+proj=lcc +lat_1=80.33333333333333 +lat_2=77 +lat_0=78.70733752777778 +lon_0=-39 +x_0=31500000 +y_0=3500000 +ellps=GRS80 +towgs84=0,0,0,0,0,0,0 +units=m +no_defs </t>
  </si>
  <si>
    <t>PROJCS["GR96 / EPSG Arctic zone 3-33",GEOGCS["GR96",DATUM["Greenland_1996",SPHEROID["GRS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80.33333333333333],PARAMETER["standard_parallel_2",77],PARAMETER["latitude_of_origin",78.70733752777778],PARAMETER["central_meridian",-10],PARAMETER["false_easting",33500000],PARAMETER["false_northing",3500000],UNIT["metre",1,AUTHORITY["EPSG","9001"]],AXIS["Easting",EAST],AXIS["Northing",NORTH],AUTHORITY["EPSG","6055"]]</t>
  </si>
  <si>
    <t xml:space="preserve">+proj=lcc +lat_1=80.33333333333333 +lat_2=77 +lat_0=78.70733752777778 +lon_0=-10 +x_0=33500000 +y_0=3500000 +ellps=GRS80 +towgs84=0,0,0,0,0,0,0 +units=m +no_defs </t>
  </si>
  <si>
    <t>PROJCS["GR96 / EPSG Arctic zone 4-20",GEOGCS["GR96",DATUM["Greenland_1996",SPHEROID["GRS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77],PARAMETER["standard_parallel_2",73.66666666666667],PARAMETER["latitude_of_origin",75.36440330555556],PARAMETER["central_meridian",-64],PARAMETER["false_easting",20500000],PARAMETER["false_northing",4500000],UNIT["metre",1,AUTHORITY["EPSG","9001"]],AXIS["Easting",EAST],AXIS["Northing",NORTH],AUTHORITY["EPSG","6056"]]</t>
  </si>
  <si>
    <t xml:space="preserve">+proj=lcc +lat_1=77 +lat_2=73.66666666666667 +lat_0=75.36440330555556 +lon_0=-64 +x_0=20500000 +y_0=4500000 +ellps=GRS80 +towgs84=0,0,0,0,0,0,0 +units=m +no_defs </t>
  </si>
  <si>
    <t>PROJCS["GR96 / EPSG Arctic zone 4-22",GEOGCS["GR96",DATUM["Greenland_1996",SPHEROID["GRS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77],PARAMETER["standard_parallel_2",73.66666666666667],PARAMETER["latitude_of_origin",75.36440330555556],PARAMETER["central_meridian",-39],PARAMETER["false_easting",22500000],PARAMETER["false_northing",4500000],UNIT["metre",1,AUTHORITY["EPSG","9001"]],AXIS["Easting",EAST],AXIS["Northing",NORTH],AUTHORITY["EPSG","6057"]]</t>
  </si>
  <si>
    <t xml:space="preserve">+proj=lcc +lat_1=77 +lat_2=73.66666666666667 +lat_0=75.36440330555556 +lon_0=-39 +x_0=22500000 +y_0=4500000 +ellps=GRS80 +towgs84=0,0,0,0,0,0,0 +units=m +no_defs </t>
  </si>
  <si>
    <t>PROJCS["GR96 / EPSG Arctic zone 4-24",GEOGCS["GR96",DATUM["Greenland_1996",SPHEROID["GRS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77],PARAMETER["standard_parallel_2",73.66666666666667],PARAMETER["latitude_of_origin",75.36440330555556],PARAMETER["central_meridian",-14],PARAMETER["false_easting",24500000],PARAMETER["false_northing",4500000],UNIT["metre",1,AUTHORITY["EPSG","9001"]],AXIS["Easting",EAST],AXIS["Northing",NORTH],AUTHORITY["EPSG","6058"]]</t>
  </si>
  <si>
    <t xml:space="preserve">+proj=lcc +lat_1=77 +lat_2=73.66666666666667 +lat_0=75.36440330555556 +lon_0=-14 +x_0=24500000 +y_0=4500000 +ellps=GRS80 +towgs84=0,0,0,0,0,0,0 +units=m +no_defs </t>
  </si>
  <si>
    <t>PROJCS["GR96 / EPSG Arctic zone 5-41",GEOGCS["GR96",DATUM["Greenland_1996",SPHEROID["GRS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73.66666666666667],PARAMETER["standard_parallel_2",70.33333333333333],PARAMETER["latitude_of_origin",72.02500919444445],PARAMETER["central_meridian",-62],PARAMETER["false_easting",41500000],PARAMETER["false_northing",5500000],UNIT["metre",1,AUTHORITY["EPSG","9001"]],AXIS["Easting",EAST],AXIS["Northing",NORTH],AUTHORITY["EPSG","6059"]]</t>
  </si>
  <si>
    <t xml:space="preserve">+proj=lcc +lat_1=73.66666666666667 +lat_2=70.33333333333333 +lat_0=72.02500919444445 +lon_0=-62 +x_0=41500000 +y_0=5500000 +ellps=GRS80 +towgs84=0,0,0,0,0,0,0 +units=m +no_defs </t>
  </si>
  <si>
    <t>GEOCCS["ITRF92",DATUM["International_Terrestrial_Reference_Frame_1992",SPHEROID["GRS 1980",6378137,298.257222101,AUTHORITY["EPSG","7019"]],AUTHORITY["EPSG","6651"]],PRIMEM["Greenwich",0,AUTHORITY["EPSG","8901"]],UNIT["metre",1,AUTHORITY["EPSG","9001"]],AXIS["Geocentric X",OTHER],AXIS["Geocentric Y",OTHER],AXIS["Geocentric Z",NORTH],AUTHORITY["EPSG","4914"]]</t>
  </si>
  <si>
    <t>PROJCS["GR96 / EPSG Arctic zone 5-43",GEOGCS["GR96",DATUM["Greenland_1996",SPHEROID["GRS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73.66666666666667],PARAMETER["standard_parallel_2",70.33333333333333],PARAMETER["latitude_of_origin",72.02500919444445],PARAMETER["central_meridian",-42],PARAMETER["false_easting",43500000],PARAMETER["false_northing",5500000],UNIT["metre",1,AUTHORITY["EPSG","9001"]],AXIS["Easting",EAST],AXIS["Northing",NORTH],AUTHORITY["EPSG","6060"]]</t>
  </si>
  <si>
    <t xml:space="preserve">+proj=lcc +lat_1=73.66666666666667 +lat_2=70.33333333333333 +lat_0=72.02500919444445 +lon_0=-42 +x_0=43500000 +y_0=5500000 +ellps=GRS80 +towgs84=0,0,0,0,0,0,0 +units=m +no_defs </t>
  </si>
  <si>
    <t>PROJCS["GR96 / EPSG Arctic zone 5-45",GEOGCS["GR96",DATUM["Greenland_1996",SPHEROID["GRS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73.66666666666667],PARAMETER["standard_parallel_2",70.33333333333333],PARAMETER["latitude_of_origin",72.02500919444445],PARAMETER["central_meridian",-22],PARAMETER["false_easting",45500000],PARAMETER["false_northing",5500000],UNIT["metre",1,AUTHORITY["EPSG","9001"]],AXIS["Easting",EAST],AXIS["Northing",NORTH],AUTHORITY["EPSG","6061"]]</t>
  </si>
  <si>
    <t xml:space="preserve">+proj=lcc +lat_1=73.66666666666667 +lat_2=70.33333333333333 +lat_0=72.02500919444445 +lon_0=-22 +x_0=45500000 +y_0=5500000 +ellps=GRS80 +towgs84=0,0,0,0,0,0,0 +units=m +no_defs </t>
  </si>
  <si>
    <t>PROJCS["GR96 / EPSG Arctic zone 6-26",GEOGCS["GR96",DATUM["Greenland_1996",SPHEROID["GRS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70.33333333333333],PARAMETER["standard_parallel_2",67],PARAMETER["latitude_of_origin",68.68747555555557],PARAMETER["central_meridian",-56],PARAMETER["false_easting",26500000],PARAMETER["false_northing",6500000],UNIT["metre",1,AUTHORITY["EPSG","9001"]],AXIS["Easting",EAST],AXIS["Northing",NORTH],AUTHORITY["EPSG","6062"]]</t>
  </si>
  <si>
    <t xml:space="preserve">+proj=lcc +lat_1=70.33333333333333 +lat_2=67 +lat_0=68.68747555555557 +lon_0=-56 +x_0=26500000 +y_0=6500000 +ellps=GRS80 +towgs84=0,0,0,0,0,0,0 +units=m +no_defs </t>
  </si>
  <si>
    <t>PROJCS["GR96 / EPSG Arctic zone 6-28",GEOGCS["GR96",DATUM["Greenland_1996",SPHEROID["GRS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70.33333333333333],PARAMETER["standard_parallel_2",67],PARAMETER["latitude_of_origin",68.68747555555557],PARAMETER["central_meridian",-38],PARAMETER["false_easting",28500000],PARAMETER["false_northing",6500000],UNIT["metre",1,AUTHORITY["EPSG","9001"]],AXIS["Easting",EAST],AXIS["Northing",NORTH],AUTHORITY["EPSG","6063"]]</t>
  </si>
  <si>
    <t xml:space="preserve">+proj=lcc +lat_1=70.33333333333333 +lat_2=67 +lat_0=68.68747555555557 +lon_0=-38 +x_0=28500000 +y_0=6500000 +ellps=GRS80 +towgs84=0,0,0,0,0,0,0 +units=m +no_defs </t>
  </si>
  <si>
    <t>PROJCS["GR96 / EPSG Arctic zone 6-30",GEOGCS["GR96",DATUM["Greenland_1996",SPHEROID["GRS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70.33333333333333],PARAMETER["standard_parallel_2",67],PARAMETER["latitude_of_origin",68.68747555555557],PARAMETER["central_meridian",-20],PARAMETER["false_easting",30500000],PARAMETER["false_northing",6500000],UNIT["metre",1,AUTHORITY["EPSG","9001"]],AXIS["Easting",EAST],AXIS["Northing",NORTH],AUTHORITY["EPSG","6064"]]</t>
  </si>
  <si>
    <t xml:space="preserve">+proj=lcc +lat_1=70.33333333333333 +lat_2=67 +lat_0=68.68747555555557 +lon_0=-20 +x_0=30500000 +y_0=6500000 +ellps=GRS80 +towgs84=0,0,0,0,0,0,0 +units=m +no_defs </t>
  </si>
  <si>
    <t>PROJCS["GR96 / EPSG Arctic zone 7-11",GEOGCS["GR96",DATUM["Greenland_1996",SPHEROID["GRS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67],PARAMETER["standard_parallel_2",63.66666666666666],PARAMETER["latitude_of_origin",65.35103930555555],PARAMETER["central_meridian",-51],PARAMETER["false_easting",11500000],PARAMETER["false_northing",7500000],UNIT["metre",1,AUTHORITY["EPSG","9001"]],AXIS["Easting",EAST],AXIS["Northing",NORTH],AUTHORITY["EPSG","6065"]]</t>
  </si>
  <si>
    <t xml:space="preserve">+proj=lcc +lat_1=67 +lat_2=63.66666666666666 +lat_0=65.35103930555555 +lon_0=-51 +x_0=11500000 +y_0=7500000 +ellps=GRS80 +towgs84=0,0,0,0,0,0,0 +units=m +no_defs </t>
  </si>
  <si>
    <t>PROJCS["GR96 / EPSG Arctic zone 7-13",GEOGCS["GR96",DATUM["Greenland_1996",SPHEROID["GRS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67],PARAMETER["standard_parallel_2",63.66666666666666],PARAMETER["latitude_of_origin",65.35103930555555],PARAMETER["central_meridian",-34],PARAMETER["false_easting",13500000],PARAMETER["false_northing",7500000],UNIT["metre",1,AUTHORITY["EPSG","9001"]],AXIS["Easting",EAST],AXIS["Northing",NORTH],AUTHORITY["EPSG","6066"]]</t>
  </si>
  <si>
    <t xml:space="preserve">+proj=lcc +lat_1=67 +lat_2=63.66666666666666 +lat_0=65.35103930555555 +lon_0=-34 +x_0=13500000 +y_0=7500000 +ellps=GRS80 +towgs84=0,0,0,0,0,0,0 +units=m +no_defs </t>
  </si>
  <si>
    <t>PROJCS["GR96 / EPSG Arctic zone 8-20",GEOGCS["GR96",DATUM["Greenland_1996",SPHEROID["GRS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63.66666666666666],PARAMETER["standard_parallel_2",60.33333333333334],PARAMETER["latitude_of_origin",62.01530688888889],PARAMETER["central_meridian",-52],PARAMETER["false_easting",20500000],PARAMETER["false_northing",8500000],UNIT["metre",1,AUTHORITY["EPSG","9001"]],AXIS["Easting",EAST],AXIS["Northing",NORTH],AUTHORITY["EPSG","6067"]]</t>
  </si>
  <si>
    <t xml:space="preserve">+proj=lcc +lat_1=63.66666666666666 +lat_2=60.33333333333334 +lat_0=62.01530688888889 +lon_0=-52 +x_0=20500000 +y_0=8500000 +ellps=GRS80 +towgs84=0,0,0,0,0,0,0 +units=m +no_defs </t>
  </si>
  <si>
    <t>GEOCCS["ITRF93",DATUM["International_Terrestrial_Reference_Frame_1993",SPHEROID["GRS 1980",6378137,298.257222101,AUTHORITY["EPSG","7019"]],AUTHORITY["EPSG","6652"]],PRIMEM["Greenwich",0,AUTHORITY["EPSG","8901"]],UNIT["metre",1,AUTHORITY["EPSG","9001"]],AXIS["Geocentric X",OTHER],AXIS["Geocentric Y",OTHER],AXIS["Geocentric Z",NORTH],AUTHORITY["EPSG","4915"]]</t>
  </si>
  <si>
    <t>PROJCS["GR96 / EPSG Arctic zone 8-22",GEOGCS["GR96",DATUM["Greenland_1996",SPHEROID["GRS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PROJECTION["Lambert_Conformal_Conic_2SP"],PARAMETER["standard_parallel_1",63.66666666666666],PARAMETER["standard_parallel_2",60.33333333333334],PARAMETER["latitude_of_origin",62.01530688888889],PARAMETER["central_meridian",-37],PARAMETER["false_easting",22500000],PARAMETER["false_northing",8500000],UNIT["metre",1,AUTHORITY["EPSG","9001"]],AXIS["Easting",EAST],AXIS["Northing",NORTH],AUTHORITY["EPSG","6068"]]</t>
  </si>
  <si>
    <t xml:space="preserve">+proj=lcc +lat_1=63.66666666666666 +lat_2=60.33333333333334 +lat_0=62.01530688888889 +lon_0=-37 +x_0=22500000 +y_0=8500000 +ellps=GRS80 +towgs84=0,0,0,0,0,0,0 +units=m +no_defs </t>
  </si>
  <si>
    <t>PROJCS["ETRS89 / EPSG Arctic zone 2-22",GEOGCS["ETRS89",DATUM["European_Terrestrial_Reference_System_1989",SPHEROID["GRS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83.66666666666667],PARAMETER["standard_parallel_2",80.33333333333333],PARAMETER["latitude_of_origin",82.05842488888888],PARAMETER["central_meridian",16],PARAMETER["false_easting",22500000],PARAMETER["false_northing",2500000],UNIT["metre",1,AUTHORITY["EPSG","9001"]],AXIS["Easting",EAST],AXIS["Northing",NORTH],AUTHORITY["EPSG","6069"]]</t>
  </si>
  <si>
    <t xml:space="preserve">+proj=lcc +lat_1=83.66666666666667 +lat_2=80.33333333333333 +lat_0=82.05842488888888 +lon_0=16 +x_0=22500000 +y_0=2500000 +ellps=GRS80 +towgs84=0,0,0,0,0,0,0 +units=m +no_defs </t>
  </si>
  <si>
    <t>PROJCS["ETRS89 / EPSG Arctic zone 3-11",GEOGCS["ETRS89",DATUM["European_Terrestrial_Reference_System_1989",SPHEROID["GRS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80.33333333333333],PARAMETER["standard_parallel_2",77],PARAMETER["latitude_of_origin",78.70733752777778],PARAMETER["central_meridian",21],PARAMETER["false_easting",11500000],PARAMETER["false_northing",3500000],UNIT["metre",1,AUTHORITY["EPSG","9001"]],AXIS["Easting",EAST],AXIS["Northing",NORTH],AUTHORITY["EPSG","6070"]]</t>
  </si>
  <si>
    <t xml:space="preserve">+proj=lcc +lat_1=80.33333333333333 +lat_2=77 +lat_0=78.70733752777778 +lon_0=21 +x_0=11500000 +y_0=3500000 +ellps=GRS80 +towgs84=0,0,0,0,0,0,0 +units=m +no_defs </t>
  </si>
  <si>
    <t>PROJCS["ETRS89 / EPSG Arctic zone 4-26",GEOGCS["ETRS89",DATUM["European_Terrestrial_Reference_System_1989",SPHEROID["GRS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77],PARAMETER["standard_parallel_2",73.66666666666667],PARAMETER["latitude_of_origin",75.36440330555556],PARAMETER["central_meridian",10],PARAMETER["false_easting",26500000],PARAMETER["false_northing",4500000],UNIT["metre",1,AUTHORITY["EPSG","9001"]],AXIS["Easting",EAST],AXIS["Northing",NORTH],AUTHORITY["EPSG","6071"]]</t>
  </si>
  <si>
    <t xml:space="preserve">+proj=lcc +lat_1=77 +lat_2=73.66666666666667 +lat_0=75.36440330555556 +lon_0=10 +x_0=26500000 +y_0=4500000 +ellps=GRS80 +towgs84=0,0,0,0,0,0,0 +units=m +no_defs </t>
  </si>
  <si>
    <t>PROJCS["ETRS89 / EPSG Arctic zone 4-28",GEOGCS["ETRS89",DATUM["European_Terrestrial_Reference_System_1989",SPHEROID["GRS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77],PARAMETER["standard_parallel_2",73.66666666666667],PARAMETER["latitude_of_origin",75.36440330555556],PARAMETER["central_meridian",34],PARAMETER["false_easting",28500000],PARAMETER["false_northing",4500000],UNIT["metre",1,AUTHORITY["EPSG","9001"]],AXIS["Easting",EAST],AXIS["Northing",NORTH],AUTHORITY["EPSG","6072"]]</t>
  </si>
  <si>
    <t xml:space="preserve">+proj=lcc +lat_1=77 +lat_2=73.66666666666667 +lat_0=75.36440330555556 +lon_0=34 +x_0=28500000 +y_0=4500000 +ellps=GRS80 +towgs84=0,0,0,0,0,0,0 +units=m +no_defs </t>
  </si>
  <si>
    <t>PROJCS["ETRS89 / EPSG Arctic zone 5-11",GEOGCS["ETRS89",DATUM["European_Terrestrial_Reference_System_1989",SPHEROID["GRS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73.66666666666667],PARAMETER["standard_parallel_2",70.33333333333333],PARAMETER["latitude_of_origin",72.02500919444445],PARAMETER["central_meridian",14],PARAMETER["false_easting",11500000],PARAMETER["false_northing",5500000],UNIT["metre",1,AUTHORITY["EPSG","9001"]],AXIS["Easting",EAST],AXIS["Northing",NORTH],AUTHORITY["EPSG","6073"]]</t>
  </si>
  <si>
    <t xml:space="preserve">+proj=lcc +lat_1=73.66666666666667 +lat_2=70.33333333333333 +lat_0=72.02500919444445 +lon_0=14 +x_0=11500000 +y_0=5500000 +ellps=GRS80 +towgs84=0,0,0,0,0,0,0 +units=m +no_defs </t>
  </si>
  <si>
    <t>PROJCS["ETRS89 / EPSG Arctic zone 5-13",GEOGCS["ETRS89",DATUM["European_Terrestrial_Reference_System_1989",SPHEROID["GRS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73.66666666666667],PARAMETER["standard_parallel_2",70.33333333333333],PARAMETER["latitude_of_origin",72.02500919444445],PARAMETER["central_meridian",34],PARAMETER["false_easting",13500000],PARAMETER["false_northing",5500000],UNIT["metre",1,AUTHORITY["EPSG","9001"]],AXIS["Easting",EAST],AXIS["Northing",NORTH],AUTHORITY["EPSG","6074"]]</t>
  </si>
  <si>
    <t xml:space="preserve">+proj=lcc +lat_1=73.66666666666667 +lat_2=70.33333333333333 +lat_0=72.02500919444445 +lon_0=34 +x_0=13500000 +y_0=5500000 +ellps=GRS80 +towgs84=0,0,0,0,0,0,0 +units=m +no_defs </t>
  </si>
  <si>
    <t>PROJCS["WGS 84 / EPSG Arctic zone 2-24",GEOGCS["WGS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53],PARAMETER["false_easting",24500000],PARAMETER["false_northing",2500000],UNIT["metre",1,AUTHORITY["EPSG","9001"]],AXIS["Easting",EAST],AXIS["Northing",NORTH],AUTHORITY["EPSG","6075"]]</t>
  </si>
  <si>
    <t>PROJCS["WGS 84 / EPSG Arctic zone 2-26",GEOGCS["WGS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93],PARAMETER["false_easting",26500000],PARAMETER["false_northing",2500000],UNIT["metre",1,AUTHORITY["EPSG","9001"]],AXIS["Easting",EAST],AXIS["Northing",NORTH],AUTHORITY["EPSG","6076"]]</t>
  </si>
  <si>
    <t>PROJCS["WGS 84 / EPSG Arctic zone 3-13",GEOGCS["WGS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52],PARAMETER["false_easting",13500000],PARAMETER["false_northing",3500000],UNIT["metre",1,AUTHORITY["EPSG","9001"]],AXIS["Easting",EAST],AXIS["Northing",NORTH],AUTHORITY["EPSG","6077"]]</t>
  </si>
  <si>
    <t>PROJCS["WGS 84 / EPSG Arctic zone 3-15",GEOGCS["WGS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83],PARAMETER["false_easting",15500000],PARAMETER["false_northing",3500000],UNIT["metre",1,AUTHORITY["EPSG","9001"]],AXIS["Easting",EAST],AXIS["Northing",NORTH],AUTHORITY["EPSG","6078"]]</t>
  </si>
  <si>
    <t>PROJCS["WGS 84 / EPSG Arctic zone 3-17",GEOGCS["WGS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114],PARAMETER["false_easting",17500000],PARAMETER["false_northing",3500000],UNIT["metre",1,AUTHORITY["EPSG","9001"]],AXIS["Easting",EAST],AXIS["Northing",NORTH],AUTHORITY["EPSG","6079"]]</t>
  </si>
  <si>
    <t>PROJCS["WGS 84 / EPSG Arctic zone 3-19",GEOGCS["WGS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145],PARAMETER["false_easting",19500000],PARAMETER["false_northing",3500000],UNIT["metre",1,AUTHORITY["EPSG","9001"]],AXIS["Easting",EAST],AXIS["Northing",NORTH],AUTHORITY["EPSG","6080"]]</t>
  </si>
  <si>
    <t>PROJCS["WGS 84 / EPSG Arctic zone 4-30",GEOGCS["WGS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58],PARAMETER["false_easting",30500000],PARAMETER["false_northing",4500000],UNIT["metre",1,AUTHORITY["EPSG","9001"]],AXIS["Easting",EAST],AXIS["Northing",NORTH],AUTHORITY["EPSG","6081"]]</t>
  </si>
  <si>
    <t>PROJCS["WGS 84 / EPSG Arctic zone 4-32",GEOGCS["WGS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82],PARAMETER["false_easting",32500000],PARAMETER["false_northing",4500000],UNIT["metre",1,AUTHORITY["EPSG","9001"]],AXIS["Easting",EAST],AXIS["Northing",NORTH],AUTHORITY["EPSG","6082"]]</t>
  </si>
  <si>
    <t>PROJCS["WGS 84 / EPSG Arctic zone 4-34",GEOGCS["WGS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106],PARAMETER["false_easting",34500000],PARAMETER["false_northing",4500000],UNIT["metre",1,AUTHORITY["EPSG","9001"]],AXIS["Easting",EAST],AXIS["Northing",NORTH],AUTHORITY["EPSG","6083"]]</t>
  </si>
  <si>
    <t>PROJCS["WGS 84 / EPSG Arctic zone 4-36",GEOGCS["WGS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130],PARAMETER["false_easting",36500000],PARAMETER["false_northing",4500000],UNIT["metre",1,AUTHORITY["EPSG","9001"]],AXIS["Easting",EAST],AXIS["Northing",NORTH],AUTHORITY["EPSG","6084"]]</t>
  </si>
  <si>
    <t>PROJCS["WGS 84 / EPSG Arctic zone 4-38",GEOGCS["WGS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154],PARAMETER["false_easting",38500000],PARAMETER["false_northing",4500000],UNIT["metre",1,AUTHORITY["EPSG","9001"]],AXIS["Easting",EAST],AXIS["Northing",NORTH],AUTHORITY["EPSG","6085"]]</t>
  </si>
  <si>
    <t>PROJCS["WGS 84 / EPSG Arctic zone 4-40",GEOGCS["WGS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179],PARAMETER["false_easting",40500000],PARAMETER["false_northing",4500000],UNIT["metre",1,AUTHORITY["EPSG","9001"]],AXIS["Easting",EAST],AXIS["Northing",NORTH],AUTHORITY["EPSG","6086"]]</t>
  </si>
  <si>
    <t>PROJCS["WGS 84 / EPSG Arctic zone 5-15",GEOGCS["WGS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54],PARAMETER["false_easting",15500000],PARAMETER["false_northing",5500000],UNIT["metre",1,AUTHORITY["EPSG","9001"]],AXIS["Easting",EAST],AXIS["Northing",NORTH],AUTHORITY["EPSG","6087"]]</t>
  </si>
  <si>
    <t>PROJCS["WGS 84 / EPSG Arctic zone 5-17",GEOGCS["WGS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74],PARAMETER["false_easting",17500000],PARAMETER["false_northing",5500000],UNIT["metre",1,AUTHORITY["EPSG","9001"]],AXIS["Easting",EAST],AXIS["Northing",NORTH],AUTHORITY["EPSG","6088"]]</t>
  </si>
  <si>
    <t>PROJCS["WGS 84 / EPSG Arctic zone 5-19",GEOGCS["WGS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95],PARAMETER["false_easting",19500000],PARAMETER["false_northing",5500000],UNIT["metre",1,AUTHORITY["EPSG","9001"]],AXIS["Easting",EAST],AXIS["Northing",NORTH],AUTHORITY["EPSG","6089"]]</t>
  </si>
  <si>
    <t>PROJCS["WGS 84 / EPSG Arctic zone 5-21",GEOGCS["WGS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116],PARAMETER["false_easting",21500000],PARAMETER["false_northing",5500000],UNIT["metre",1,AUTHORITY["EPSG","9001"]],AXIS["Easting",EAST],AXIS["Northing",NORTH],AUTHORITY["EPSG","6090"]]</t>
  </si>
  <si>
    <t>PROJCS["WGS 84 / EPSG Arctic zone 5-23",GEOGCS["WGS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137],PARAMETER["false_easting",23500000],PARAMETER["false_northing",5500000],UNIT["metre",1,AUTHORITY["EPSG","9001"]],AXIS["Easting",EAST],AXIS["Northing",NORTH],AUTHORITY["EPSG","6091"]]</t>
  </si>
  <si>
    <t>PROJCS["WGS 84 / EPSG Arctic zone 5-25",GEOGCS["WGS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158],PARAMETER["false_easting",25500000],PARAMETER["false_northing",5500000],UNIT["metre",1,AUTHORITY["EPSG","9001"]],AXIS["Easting",EAST],AXIS["Northing",NORTH],AUTHORITY["EPSG","6092"]]</t>
  </si>
  <si>
    <t>PROJCS["WGS 84 / EPSG Arctic zone 1-31",GEOGCS["WGS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87],PARAMETER["standard_parallel_2",83.66666666666667],PARAMETER["latitude_of_origin",85.43711833333333],PARAMETER["central_meridian",150],PARAMETER["false_easting",31500000],PARAMETER["false_northing",1500000],UNIT["metre",1,AUTHORITY["EPSG","9001"]],AXIS["Easting",EAST],AXIS["Northing",NORTH],AUTHORITY["EPSG","6117"]]</t>
  </si>
  <si>
    <t>PROJCS["WGS 84 / EPSG Arctic zone 5-27",GEOGCS["WGS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73.66666666666667],PARAMETER["standard_parallel_2",70.33333333333333],PARAMETER["latitude_of_origin",72.02500919444445],PARAMETER["central_meridian",179],PARAMETER["false_easting",27500000],PARAMETER["false_northing",5500000],UNIT["metre",1,AUTHORITY["EPSG","9001"]],AXIS["Easting",EAST],AXIS["Northing",NORTH],AUTHORITY["EPSG","6093"]]</t>
  </si>
  <si>
    <t>PROJCS["NAD83(NSRS2007) / EPSG Arctic zone 5-29",GEOGCS["NAD83(NSRS2007)",DATUM["NAD83_National_Spatial_Reference_System_2007",SPHEROID["GRS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73.66666666666667],PARAMETER["standard_parallel_2",70.33333333333333],PARAMETER["latitude_of_origin",72.02500919444445],PARAMETER["central_meridian",-163],PARAMETER["false_easting",29500000],PARAMETER["false_northing",5500000],UNIT["metre",1,AUTHORITY["EPSG","9001"]],AXIS["Easting",EAST],AXIS["Northing",NORTH],AUTHORITY["EPSG","6094"]]</t>
  </si>
  <si>
    <t xml:space="preserve">+proj=lcc +lat_1=73.66666666666667 +lat_2=70.33333333333333 +lat_0=72.02500919444445 +lon_0=-163 +x_0=29500000 +y_0=5500000 +ellps=GRS80 +towgs84=0,0,0,0,0,0,0 +units=m +no_defs </t>
  </si>
  <si>
    <t>PROJCS["NAD83(NSRS2007) / EPSG Arctic zone 5-31",GEOGCS["NAD83(NSRS2007)",DATUM["NAD83_National_Spatial_Reference_System_2007",SPHEROID["GRS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73.66666666666667],PARAMETER["standard_parallel_2",70.33333333333333],PARAMETER["latitude_of_origin",72.02500919444445],PARAMETER["central_meridian",-147],PARAMETER["false_easting",31500000],PARAMETER["false_northing",5500000],UNIT["metre",1,AUTHORITY["EPSG","9001"]],AXIS["Easting",EAST],AXIS["Northing",NORTH],AUTHORITY["EPSG","6095"]]</t>
  </si>
  <si>
    <t xml:space="preserve">+proj=lcc +lat_1=73.66666666666667 +lat_2=70.33333333333333 +lat_0=72.02500919444445 +lon_0=-147 +x_0=31500000 +y_0=5500000 +ellps=GRS80 +towgs84=0,0,0,0,0,0,0 +units=m +no_defs </t>
  </si>
  <si>
    <t>PROJCS["NAD83(NSRS2007) / EPSG Arctic zone 6-14",GEOGCS["NAD83(NSRS2007)",DATUM["NAD83_National_Spatial_Reference_System_2007",SPHEROID["GRS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70.33333333333333],PARAMETER["standard_parallel_2",67],PARAMETER["latitude_of_origin",68.68747555555557],PARAMETER["central_meridian",-165],PARAMETER["false_easting",14500000],PARAMETER["false_northing",6500000],UNIT["metre",1,AUTHORITY["EPSG","9001"]],AXIS["Easting",EAST],AXIS["Northing",NORTH],AUTHORITY["EPSG","6096"]]</t>
  </si>
  <si>
    <t xml:space="preserve">+proj=lcc +lat_1=70.33333333333333 +lat_2=67 +lat_0=68.68747555555557 +lon_0=-165 +x_0=14500000 +y_0=6500000 +ellps=GRS80 +towgs84=0,0,0,0,0,0,0 +units=m +no_defs </t>
  </si>
  <si>
    <t>PROJCS["NAD83(NSRS2007) / EPSG Arctic zone 6-16",GEOGCS["NAD83(NSRS2007)",DATUM["NAD83_National_Spatial_Reference_System_2007",SPHEROID["GRS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70.33333333333333],PARAMETER["standard_parallel_2",67],PARAMETER["latitude_of_origin",68.68747555555557],PARAMETER["central_meridian",-147],PARAMETER["false_easting",16500000],PARAMETER["false_northing",6500000],UNIT["metre",1,AUTHORITY["EPSG","9001"]],AXIS["Easting",EAST],AXIS["Northing",NORTH],AUTHORITY["EPSG","6097"]]</t>
  </si>
  <si>
    <t xml:space="preserve">+proj=lcc +lat_1=70.33333333333333 +lat_2=67 +lat_0=68.68747555555557 +lon_0=-147 +x_0=16500000 +y_0=6500000 +ellps=GRS80 +towgs84=0,0,0,0,0,0,0 +units=m +no_defs </t>
  </si>
  <si>
    <t>PROJCS["NAD83(CSRS) / EPSG Arctic zone 1-23",GEOGCS["NAD83(CSRS)",DATUM["NAD83_Canadian_Spatial_Reference_System",SPHEROID["GRS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87],PARAMETER["standard_parallel_2",83.66666666666667],PARAMETER["latitude_of_origin",85.43711833333333],PARAMETER["central_meridian",-90],PARAMETER["false_easting",23500000],PARAMETER["false_northing",1500000],UNIT["metre",1,AUTHORITY["EPSG","9001"]],AXIS["Easting",EAST],AXIS["Northing",NORTH],AUTHORITY["EPSG","6098"]]</t>
  </si>
  <si>
    <t xml:space="preserve">+proj=lcc +lat_1=87 +lat_2=83.66666666666667 +lat_0=85.43711833333333 +lon_0=-90 +x_0=23500000 +y_0=1500000 +ellps=GRS80 +towgs84=0,0,0,0,0,0,0 +units=m +no_defs </t>
  </si>
  <si>
    <t>PROJCS["NAD83(CSRS) / EPSG Arctic zone 2-14",GEOGCS["NAD83(CSRS)",DATUM["NAD83_Canadian_Spatial_Reference_System",SPHEROID["GRS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83.66666666666667],PARAMETER["standard_parallel_2",80.33333333333333],PARAMETER["latitude_of_origin",82.05842488888888],PARAMETER["central_meridian",-115],PARAMETER["false_easting",14500000],PARAMETER["false_northing",2500000],UNIT["metre",1,AUTHORITY["EPSG","9001"]],AXIS["Easting",EAST],AXIS["Northing",NORTH],AUTHORITY["EPSG","6099"]]</t>
  </si>
  <si>
    <t xml:space="preserve">+proj=lcc +lat_1=83.66666666666667 +lat_2=80.33333333333333 +lat_0=82.05842488888888 +lon_0=-115 +x_0=14500000 +y_0=2500000 +ellps=GRS80 +towgs84=0,0,0,0,0,0,0 +units=m +no_defs </t>
  </si>
  <si>
    <t>PROJCS["NAD83(CSRS) / EPSG Arctic zone 2-16",GEOGCS["NAD83(CSRS)",DATUM["NAD83_Canadian_Spatial_Reference_System",SPHEROID["GRS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83.66666666666667],PARAMETER["standard_parallel_2",80.33333333333333],PARAMETER["latitude_of_origin",82.05842488888888],PARAMETER["central_meridian",-75],PARAMETER["false_easting",16500000],PARAMETER["false_northing",2500000],UNIT["metre",1,AUTHORITY["EPSG","9001"]],AXIS["Easting",EAST],AXIS["Northing",NORTH],AUTHORITY["EPSG","6100"]]</t>
  </si>
  <si>
    <t xml:space="preserve">+proj=lcc +lat_1=83.66666666666667 +lat_2=80.33333333333333 +lat_0=82.05842488888888 +lon_0=-75 +x_0=16500000 +y_0=2500000 +ellps=GRS80 +towgs84=0,0,0,0,0,0,0 +units=m +no_defs </t>
  </si>
  <si>
    <t>PROJCS["NAD83(CSRS) / EPSG Arctic zone 3-25",GEOGCS["NAD83(CSRS)",DATUM["NAD83_Canadian_Spatial_Reference_System",SPHEROID["GRS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80.33333333333333],PARAMETER["standard_parallel_2",77],PARAMETER["latitude_of_origin",78.70733752777778],PARAMETER["central_meridian",-129],PARAMETER["false_easting",25500000],PARAMETER["false_northing",3500000],UNIT["metre",1,AUTHORITY["EPSG","9001"]],AXIS["Easting",EAST],AXIS["Northing",NORTH],AUTHORITY["EPSG","6101"]]</t>
  </si>
  <si>
    <t xml:space="preserve">+proj=lcc +lat_1=80.33333333333333 +lat_2=77 +lat_0=78.70733752777778 +lon_0=-129 +x_0=25500000 +y_0=3500000 +ellps=GRS80 +towgs84=0,0,0,0,0,0,0 +units=m +no_defs </t>
  </si>
  <si>
    <t>PROJCS["NAD83(CSRS) / EPSG Arctic zone 3-27",GEOGCS["NAD83(CSRS)",DATUM["NAD83_Canadian_Spatial_Reference_System",SPHEROID["GRS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80.33333333333333],PARAMETER["standard_parallel_2",77],PARAMETER["latitude_of_origin",78.70733752777778],PARAMETER["central_meridian",-99],PARAMETER["false_easting",27500000],PARAMETER["false_northing",3500000],UNIT["metre",1,AUTHORITY["EPSG","9001"]],AXIS["Easting",EAST],AXIS["Northing",NORTH],AUTHORITY["EPSG","6102"]]</t>
  </si>
  <si>
    <t xml:space="preserve">+proj=lcc +lat_1=80.33333333333333 +lat_2=77 +lat_0=78.70733752777778 +lon_0=-99 +x_0=27500000 +y_0=3500000 +ellps=GRS80 +towgs84=0,0,0,0,0,0,0 +units=m +no_defs </t>
  </si>
  <si>
    <t>PROJCS["NAD83(CSRS) / EPSG Arctic zone 3-29",GEOGCS["NAD83(CSRS)",DATUM["NAD83_Canadian_Spatial_Reference_System",SPHEROID["GRS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80.33333333333333],PARAMETER["standard_parallel_2",77],PARAMETER["latitude_of_origin",78.70733752777778],PARAMETER["central_meridian",-69],PARAMETER["false_easting",29500000],PARAMETER["false_northing",3500000],UNIT["metre",1,AUTHORITY["EPSG","9001"]],AXIS["Easting",EAST],AXIS["Northing",NORTH],AUTHORITY["EPSG","6103"]]</t>
  </si>
  <si>
    <t>PROJCS["NAD83(CSRS) / EPSG Arctic zone 4-14",GEOGCS["NAD83(CSRS)",DATUM["NAD83_Canadian_Spatial_Reference_System",SPHEROID["GRS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77],PARAMETER["standard_parallel_2",73.66666666666667],PARAMETER["latitude_of_origin",75.36440330555556],PARAMETER["central_meridian",-129],PARAMETER["false_easting",14500000],PARAMETER["false_northing",4500000],UNIT["metre",1,AUTHORITY["EPSG","9001"]],AXIS["Easting",EAST],AXIS["Northing",NORTH],AUTHORITY["EPSG","6104"]]</t>
  </si>
  <si>
    <t xml:space="preserve">+proj=lcc +lat_1=77 +lat_2=73.66666666666667 +lat_0=75.36440330555556 +lon_0=-129 +x_0=14500000 +y_0=4500000 +ellps=GRS80 +towgs84=0,0,0,0,0,0,0 +units=m +no_defs </t>
  </si>
  <si>
    <t>PROJCS["NAD83(CSRS) / EPSG Arctic zone 4-16",GEOGCS["NAD83(CSRS)",DATUM["NAD83_Canadian_Spatial_Reference_System",SPHEROID["GRS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77],PARAMETER["standard_parallel_2",73.66666666666667],PARAMETER["latitude_of_origin",75.36440330555556],PARAMETER["central_meridian",-104],PARAMETER["false_easting",16500000],PARAMETER["false_northing",4500000],UNIT["metre",1,AUTHORITY["EPSG","9001"]],AXIS["Easting",EAST],AXIS["Northing",NORTH],AUTHORITY["EPSG","6105"]]</t>
  </si>
  <si>
    <t xml:space="preserve">+proj=lcc +lat_1=77 +lat_2=73.66666666666667 +lat_0=75.36440330555556 +lon_0=-104 +x_0=16500000 +y_0=4500000 +ellps=GRS80 +towgs84=0,0,0,0,0,0,0 +units=m +no_defs </t>
  </si>
  <si>
    <t>PROJCS["NAD83(CSRS) / EPSG Arctic zone 4-18",GEOGCS["NAD83(CSRS)",DATUM["NAD83_Canadian_Spatial_Reference_System",SPHEROID["GRS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77],PARAMETER["standard_parallel_2",73.66666666666667],PARAMETER["latitude_of_origin",75.36440330555556],PARAMETER["central_meridian",-79],PARAMETER["false_easting",18500000],PARAMETER["false_northing",4500000],UNIT["metre",1,AUTHORITY["EPSG","9001"]],AXIS["Easting",EAST],AXIS["Northing",NORTH],AUTHORITY["EPSG","6106"]]</t>
  </si>
  <si>
    <t xml:space="preserve">+proj=lcc +lat_1=77 +lat_2=73.66666666666667 +lat_0=75.36440330555556 +lon_0=-79 +x_0=18500000 +y_0=4500000 +ellps=GRS80 +towgs84=0,0,0,0,0,0,0 +units=m +no_defs </t>
  </si>
  <si>
    <t>PROJCS["NAD83(CSRS) / EPSG Arctic zone 5-33",GEOGCS["NAD83(CSRS)",DATUM["NAD83_Canadian_Spatial_Reference_System",SPHEROID["GRS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73.66666666666667],PARAMETER["standard_parallel_2",70.33333333333333],PARAMETER["latitude_of_origin",72.02500919444445],PARAMETER["central_meridian",-131],PARAMETER["false_easting",33500000],PARAMETER["false_northing",5500000],UNIT["metre",1,AUTHORITY["EPSG","9001"]],AXIS["Easting",EAST],AXIS["Northing",NORTH],AUTHORITY["EPSG","6107"]]</t>
  </si>
  <si>
    <t xml:space="preserve">+proj=lcc +lat_1=73.66666666666667 +lat_2=70.33333333333333 +lat_0=72.02500919444445 +lon_0=-131 +x_0=33500000 +y_0=5500000 +ellps=GRS80 +towgs84=0,0,0,0,0,0,0 +units=m +no_defs </t>
  </si>
  <si>
    <t>PROJCS["NAD83(CSRS) / EPSG Arctic zone 5-35",GEOGCS["NAD83(CSRS)",DATUM["NAD83_Canadian_Spatial_Reference_System",SPHEROID["GRS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73.66666666666667],PARAMETER["standard_parallel_2",70.33333333333333],PARAMETER["latitude_of_origin",72.02500919444445],PARAMETER["central_meridian",-111],PARAMETER["false_easting",35500000],PARAMETER["false_northing",5500000],UNIT["metre",1,AUTHORITY["EPSG","9001"]],AXIS["Easting",EAST],AXIS["Northing",NORTH],AUTHORITY["EPSG","6108"]]</t>
  </si>
  <si>
    <t xml:space="preserve">+proj=lcc +lat_1=73.66666666666667 +lat_2=70.33333333333333 +lat_0=72.02500919444445 +lon_0=-111 +x_0=35500000 +y_0=5500000 +ellps=GRS80 +towgs84=0,0,0,0,0,0,0 +units=m +no_defs </t>
  </si>
  <si>
    <t>PROJCS["NAD83(CSRS) / EPSG Arctic zone 5-37",GEOGCS["NAD83(CSRS)",DATUM["NAD83_Canadian_Spatial_Reference_System",SPHEROID["GRS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73.66666666666667],PARAMETER["standard_parallel_2",70.33333333333333],PARAMETER["latitude_of_origin",72.02500919444445],PARAMETER["central_meridian",-91],PARAMETER["false_easting",37500000],PARAMETER["false_northing",5500000],UNIT["metre",1,AUTHORITY["EPSG","9001"]],AXIS["Easting",EAST],AXIS["Northing",NORTH],AUTHORITY["EPSG","6109"]]</t>
  </si>
  <si>
    <t xml:space="preserve">+proj=lcc +lat_1=73.66666666666667 +lat_2=70.33333333333333 +lat_0=72.02500919444445 +lon_0=-91 +x_0=37500000 +y_0=5500000 +ellps=GRS80 +towgs84=0,0,0,0,0,0,0 +units=m +no_defs </t>
  </si>
  <si>
    <t>PROJCS["NAD83(CSRS) / EPSG Arctic zone 5-39",GEOGCS["NAD83(CSRS)",DATUM["NAD83_Canadian_Spatial_Reference_System",SPHEROID["GRS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73.66666666666667],PARAMETER["standard_parallel_2",70.33333333333333],PARAMETER["latitude_of_origin",72.02500919444445],PARAMETER["central_meridian",-71],PARAMETER["false_easting",39500000],PARAMETER["false_northing",5500000],UNIT["metre",1,AUTHORITY["EPSG","9001"]],AXIS["Easting",EAST],AXIS["Northing",NORTH],AUTHORITY["EPSG","6110"]]</t>
  </si>
  <si>
    <t xml:space="preserve">+proj=lcc +lat_1=73.66666666666667 +lat_2=70.33333333333333 +lat_0=72.02500919444445 +lon_0=-71 +x_0=39500000 +y_0=5500000 +ellps=GRS80 +towgs84=0,0,0,0,0,0,0 +units=m +no_defs </t>
  </si>
  <si>
    <t>PROJCS["NAD83(CSRS) / EPSG Arctic zone 6-18",GEOGCS["NAD83(CSRS)",DATUM["NAD83_Canadian_Spatial_Reference_System",SPHEROID["GRS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70.33333333333333],PARAMETER["standard_parallel_2",67],PARAMETER["latitude_of_origin",68.68747555555557],PARAMETER["central_meridian",-132],PARAMETER["false_easting",18500000],PARAMETER["false_northing",6500000],UNIT["metre",1,AUTHORITY["EPSG","9001"]],AXIS["Easting",EAST],AXIS["Northing",NORTH],AUTHORITY["EPSG","6111"]]</t>
  </si>
  <si>
    <t xml:space="preserve">+proj=lcc +lat_1=70.33333333333333 +lat_2=67 +lat_0=68.68747555555557 +lon_0=-132 +x_0=18500000 +y_0=6500000 +ellps=GRS80 +towgs84=0,0,0,0,0,0,0 +units=m +no_defs </t>
  </si>
  <si>
    <t>PROJCS["NAD83(CSRS) / EPSG Arctic zone 6-20",GEOGCS["NAD83(CSRS)",DATUM["NAD83_Canadian_Spatial_Reference_System",SPHEROID["GRS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70.33333333333333],PARAMETER["standard_parallel_2",67],PARAMETER["latitude_of_origin",68.68747555555557],PARAMETER["central_meridian",-113],PARAMETER["false_easting",20500000],PARAMETER["false_northing",6500000],UNIT["metre",1,AUTHORITY["EPSG","9001"]],AXIS["Easting",EAST],AXIS["Northing",NORTH],AUTHORITY["EPSG","6112"]]</t>
  </si>
  <si>
    <t xml:space="preserve">+proj=lcc +lat_1=70.33333333333333 +lat_2=67 +lat_0=68.68747555555557 +lon_0=-113 +x_0=20500000 +y_0=6500000 +ellps=GRS80 +towgs84=0,0,0,0,0,0,0 +units=m +no_defs </t>
  </si>
  <si>
    <t>PROJCS["NAD83(CSRS) / EPSG Arctic zone 6-22",GEOGCS["NAD83(CSRS)",DATUM["NAD83_Canadian_Spatial_Reference_System",SPHEROID["GRS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70.33333333333333],PARAMETER["standard_parallel_2",67],PARAMETER["latitude_of_origin",68.68747555555557],PARAMETER["central_meridian",-94],PARAMETER["false_easting",22500000],PARAMETER["false_northing",6500000],UNIT["metre",1,AUTHORITY["EPSG","9001"]],AXIS["Easting",EAST],AXIS["Northing",NORTH],AUTHORITY["EPSG","6113"]]</t>
  </si>
  <si>
    <t xml:space="preserve">+proj=lcc +lat_1=70.33333333333333 +lat_2=67 +lat_0=68.68747555555557 +lon_0=-94 +x_0=22500000 +y_0=6500000 +ellps=GRS80 +towgs84=0,0,0,0,0,0,0 +units=m +no_defs </t>
  </si>
  <si>
    <t>PROJCS["NAD83(CSRS) / EPSG Arctic zone 6-24",GEOGCS["NAD83(CSRS)",DATUM["NAD83_Canadian_Spatial_Reference_System",SPHEROID["GRS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70.33333333333333],PARAMETER["standard_parallel_2",67],PARAMETER["latitude_of_origin",68.68747555555557],PARAMETER["central_meridian",-75],PARAMETER["false_easting",24500000],PARAMETER["false_northing",6500000],UNIT["metre",1,AUTHORITY["EPSG","9001"]],AXIS["Easting",EAST],AXIS["Northing",NORTH],AUTHORITY["EPSG","6114"]]</t>
  </si>
  <si>
    <t xml:space="preserve">+proj=lcc +lat_1=70.33333333333333 +lat_2=67 +lat_0=68.68747555555557 +lon_0=-75 +x_0=24500000 +y_0=6500000 +ellps=GRS80 +towgs84=0,0,0,0,0,0,0 +units=m +no_defs </t>
  </si>
  <si>
    <t>PROJCS["WGS 84 / EPSG Arctic zone 1-27",GEOGCS["WGS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87],PARAMETER["standard_parallel_2",83.66666666666667],PARAMETER["latitude_of_origin",85.43711833333333],PARAMETER["central_meridian",30],PARAMETER["false_easting",27500000],PARAMETER["false_northing",1500000],UNIT["metre",1,AUTHORITY["EPSG","9001"]],AXIS["Easting",EAST],AXIS["Northing",NORTH],AUTHORITY["EPSG","6115"]]</t>
  </si>
  <si>
    <t>PROJCS["WGS 84 / EPSG Arctic zone 1-29",GEOGCS["WGS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87],PARAMETER["standard_parallel_2",83.66666666666667],PARAMETER["latitude_of_origin",85.43711833333333],PARAMETER["central_meridian",90],PARAMETER["false_easting",29500000],PARAMETER["false_northing",1500000],UNIT["metre",1,AUTHORITY["EPSG","9001"]],AXIS["Easting",EAST],AXIS["Northing",NORTH],AUTHORITY["EPSG","6116"]]</t>
  </si>
  <si>
    <t>GEOCCS["PZ-90.02",DATUM["Parametry_Zemli_1990_02",SPHEROID["PZ-90",6378136,298.257839303,AUTHORITY["EPSG","7054"]],AUTHORITY["EPSG","1157"]],PRIMEM["Greenwich",0,AUTHORITY["EPSG","8901"]],UNIT["metre",1,AUTHORITY["EPSG","9001"]],AXIS["Geocentric X",OTHER],AXIS["Geocentric Y",OTHER],AXIS["Geocentric Z",NORTH],AUTHORITY["EPSG","7677"]]</t>
  </si>
  <si>
    <t>PROJCS["WGS 84 / EPSG Arctic zone 1-21",GEOGCS["WGS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87],PARAMETER["standard_parallel_2",83.66666666666667],PARAMETER["latitude_of_origin",85.43711833333333],PARAMETER["central_meridian",-150],PARAMETER["false_easting",21500000],PARAMETER["false_northing",1500000],UNIT["metre",1,AUTHORITY["EPSG","9001"]],AXIS["Easting",EAST],AXIS["Northing",NORTH],AUTHORITY["EPSG","6118"]]</t>
  </si>
  <si>
    <t>PROJCS["WGS 84 / EPSG Arctic zone 2-28",GEOGCS["WGS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133],PARAMETER["false_easting",28500000],PARAMETER["false_northing",2500000],UNIT["metre",1,AUTHORITY["EPSG","9001"]],AXIS["Easting",EAST],AXIS["Northing",NORTH],AUTHORITY["EPSG","6119"]]</t>
  </si>
  <si>
    <t>PROJCS["WGS 84 / EPSG Arctic zone 2-10",GEOGCS["WGS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166],PARAMETER["false_easting",10500000],PARAMETER["false_northing",2500000],UNIT["metre",1,AUTHORITY["EPSG","9001"]],AXIS["Easting",EAST],AXIS["Northing",NORTH],AUTHORITY["EPSG","6120"]]</t>
  </si>
  <si>
    <t>PROJCS["WGS 84 / EPSG Arctic zone 2-12",GEOGCS["WGS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83.66666666666667],PARAMETER["standard_parallel_2",80.33333333333333],PARAMETER["latitude_of_origin",82.05842488888888],PARAMETER["central_meridian",-154],PARAMETER["false_easting",12500000],PARAMETER["false_northing",2500000],UNIT["metre",1,AUTHORITY["EPSG","9001"]],AXIS["Easting",EAST],AXIS["Northing",NORTH],AUTHORITY["EPSG","6121"]]</t>
  </si>
  <si>
    <t>PROJCS["WGS 84 / EPSG Arctic zone 3-21",GEOGCS["WGS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176],PARAMETER["false_easting",21500000],PARAMETER["false_northing",3500000],UNIT["metre",1,AUTHORITY["EPSG","9001"]],AXIS["Easting",EAST],AXIS["Northing",NORTH],AUTHORITY["EPSG","6122"]]</t>
  </si>
  <si>
    <t>PROJCS["WGS 84 / EPSG Arctic zone 3-23",GEOGCS["WGS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80.33333333333333],PARAMETER["standard_parallel_2",77],PARAMETER["latitude_of_origin",78.70733752777778],PARAMETER["central_meridian",-153],PARAMETER["false_easting",23500000],PARAMETER["false_northing",3500000],UNIT["metre",1,AUTHORITY["EPSG","9001"]],AXIS["Easting",EAST],AXIS["Northing",NORTH],AUTHORITY["EPSG","6123"]]</t>
  </si>
  <si>
    <t>PROJCS["WGS 84 / EPSG Arctic zone 4-12",GEOGCS["WGS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77],PARAMETER["standard_parallel_2",73.66666666666667],PARAMETER["latitude_of_origin",75.36440330555556],PARAMETER["central_meridian",-155],PARAMETER["false_easting",12500000],PARAMETER["false_northing",4500000],UNIT["metre",1,AUTHORITY["EPSG","9001"]],AXIS["Easting",EAST],AXIS["Northing",NORTH],AUTHORITY["EPSG","6124"]]</t>
  </si>
  <si>
    <t>PROJCS["ETRS89 / EPSG Arctic zone 5-47",GEOGCS["ETRS89",DATUM["European_Terrestrial_Reference_System_1989",SPHEROID["GRS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73.66666666666667],PARAMETER["standard_parallel_2",70.33333333333333],PARAMETER["latitude_of_origin",72.02500919444445],PARAMETER["central_meridian",-5],PARAMETER["false_easting",47500000],PARAMETER["false_northing",5500000],UNIT["metre",1,AUTHORITY["EPSG","9001"]],AXIS["Easting",EAST],AXIS["Northing",NORTH],AUTHORITY["EPSG","6125"]]</t>
  </si>
  <si>
    <t xml:space="preserve">+proj=lcc +lat_1=73.66666666666667 +lat_2=70.33333333333333 +lat_0=72.02500919444445 +lon_0=-5 +x_0=47500000 +y_0=5500000 +ellps=GRS80 +towgs84=0,0,0,0,0,0,0 +units=m +no_defs </t>
  </si>
  <si>
    <t>PROJCS["NAD83(2011) / UTM zone 59N",GEOGCS["NAD83(2011)",DATUM["NAD83_National_Spatial_Reference_System_2011",SPHEROID["GRS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6328"]]</t>
  </si>
  <si>
    <t>PROJCS["Grand Cayman National Grid 1959",GEOGCS["GCGD59",DATUM["Grand_Cayman_Geodetic_Datum_1959",SPHEROID["Clarke 1866",6378206.4,294.9786982138982,AUTHORITY["EPSG","7008"]],TOWGS84[-179.483,-69.379,-27.584,-7.862,8.163,6.042,-13.925],AUTHORITY["EPSG","6723"]],PRIMEM["Greenwich",0,AUTHORITY["EPSG","8901"]],UNIT["degree",0.0174532925199433,AUTHORITY["EPSG","9122"]],AUTHORITY["EPSG","4723"]],PROJECTION["Transverse_Mercator"],PARAMETER["latitude_of_origin",0],PARAMETER["central_meridian",-81],PARAMETER["scale_factor",0.9996],PARAMETER["false_easting",1640419.9475],PARAMETER["false_northing",0],UNIT["foot",0.3048,AUTHORITY["EPSG","9002"]],AXIS["Easting",EAST],AXIS["Northing",NORTH],AUTHORITY["EPSG","6128"]]</t>
  </si>
  <si>
    <t xml:space="preserve">+proj=utm +zone=17 +ellps=clrk66 +towgs84=-179.483,-69.379,-27.584,-7.862,8.163,6.042,-13.925 +units=ft +no_defs </t>
  </si>
  <si>
    <t>PROJCS["Sister Islands National Grid 1961",GEOGCS["SIGD61",DATUM["Sister_Islands_Geodetic_Datum_1961",SPHEROID["Clarke 1866",6378206.4,294.9786982138982,AUTHORITY["EPSG","7008"]],TOWGS84[8.853,-52.644,180.304,-0.393,-2.323,2.96,-24.081],AUTHORITY["EPSG","6726"]],PRIMEM["Greenwich",0,AUTHORITY["EPSG","8901"]],UNIT["degree",0.0174532925199433,AUTHORITY["EPSG","9122"]],AUTHORITY["EPSG","4726"]],PROJECTION["Transverse_Mercator"],PARAMETER["latitude_of_origin",0],PARAMETER["central_meridian",-81],PARAMETER["scale_factor",0.9996],PARAMETER["false_easting",1640419.9475],PARAMETER["false_northing",0],UNIT["foot",0.3048,AUTHORITY["EPSG","9002"]],AXIS["Easting",EAST],AXIS["Northing",NORTH],AUTHORITY["EPSG","6129"]]</t>
  </si>
  <si>
    <t xml:space="preserve">+proj=utm +zone=17 +ellps=clrk66 +towgs84=8.853,-52.644,180.304,-0.393,-2.323,2.96,-24.081 +units=ft +no_defs </t>
  </si>
  <si>
    <t>PROJCS["Cayman Islands National Grid 2011 (deprecated)",GEOGCS["CIGD11",DATUM["Cayman_Islands_Geodetic_Datum_2011",SPHEROID["GRS 1980",6378137,298.257222101,AUTHORITY["EPSG","7019"]],TOWGS84[0,0,0,0,0,0,0],AUTHORITY["EPSG","1100"]],PRIMEM["Greenwich",0,AUTHORITY["EPSG","8901"]],UNIT["degree",0.0174532925199433,AUTHORITY["EPSG","9122"]],AUTHORITY["EPSG","6135"]],PROJECTION["Lambert_Conformal_Conic_2SP"],PARAMETER["standard_parallel_1",19.33333333333333],PARAMETER["standard_parallel_2",19.7],PARAMETER["latitude_of_origin",19.33333333333333],PARAMETER["central_meridian",80.56666666666666],PARAMETER["false_easting",2950000],PARAMETER["false_northing",1900000],UNIT["foot",0.3048,AUTHORITY["EPSG","9002"]],AXIS["Easting",EAST],AXIS["Northing",NORTH],AUTHORITY["EPSG","6141"]]</t>
  </si>
  <si>
    <t xml:space="preserve">+proj=lcc +lat_1=19.33333333333333 +lat_2=19.7 +lat_0=19.33333333333333 +lon_0=80.56666666666666 +x_0=899160 +y_0=579120 +ellps=GRS80 +towgs84=0,0,0,0,0,0,0 +units=ft +no_defs </t>
  </si>
  <si>
    <t>PROJCS["Macedonia State Coordinate System",GEOGCS["MGI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21],PARAMETER["scale_factor",0.9999],PARAMETER["false_easting",500000],PARAMETER["false_northing",0],UNIT["metre",1,AUTHORITY["EPSG","9001"]],AXIS["Y",EAST],AXIS["X",NORTH],AUTHORITY["EPSG","6204"]]</t>
  </si>
  <si>
    <t xml:space="preserve">+proj=tmerc +lat_0=0 +lon_0=21 +k=0.9999 +x_0=500000 +y_0=0 +ellps=bessel +towgs84=682,-203,480,0,0,0,0 +units=m +no_defs </t>
  </si>
  <si>
    <t>PROJCS["SIRGAS 2000 / UTM zone 23N",GEOGCS["SIRGAS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6210"]]</t>
  </si>
  <si>
    <t>PROJCS["SIRGAS 2000 / UTM zone 24N",GEOGCS["SIRGAS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6211"]]</t>
  </si>
  <si>
    <t>PROJCS["NAD83(CORS96) / Puerto Rico and Virgin Is.",GEOGCS["NAD83(CORS96)",DATUM["NAD83_Continuously_Operating_Reference_Station_1996",SPHEROID["GRS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6307"]]</t>
  </si>
  <si>
    <t>PROJCS["CGRS93 / Cyprus Local Transverse Mercator",GEOGCS["CGRS93",DATUM["Cyprus_Geodetic_Reference_System_1993",SPHEROID["WGS 84",6378137,298.257223563,AUTHORITY["EPSG","7030"]],TOWGS84[8.846,-4.394,-1.122,-0.00237,-0.146528,0.130428,0.783926],AUTHORITY["EPSG","1112"]],PRIMEM["Greenwich",0,AUTHORITY["EPSG","8901"]],UNIT["degree",0.0174532925199433,AUTHORITY["EPSG","9122"]],AUTHORITY["EPSG","6311"]],PROJECTION["Transverse_Mercator"],PARAMETER["latitude_of_origin",0],PARAMETER["central_meridian",33],PARAMETER["scale_factor",0.99995],PARAMETER["false_easting",200000],PARAMETER["false_northing",-3500000],UNIT["metre",1,AUTHORITY["EPSG","9001"]],AXIS["Easting",EAST],AXIS["Northing",NORTH],AUTHORITY["EPSG","6312"]]</t>
  </si>
  <si>
    <t xml:space="preserve">+proj=tmerc +lat_0=0 +lon_0=33 +k=0.99995 +x_0=200000 +y_0=-3500000 +ellps=WGS84 +towgs84=8.846,-4.394,-1.122,-0.00237,-0.146528,0.130428,0.783926 +units=m +no_defs </t>
  </si>
  <si>
    <t>PROJCS["Macedonia State Coordinate System zone 7",GEOGCS["MGI 1901",DATUM["MGI_1901",SPHEROID["Bessel 1841",6377397.155,299.1528128,AUTHORITY["EPSG","7004"]],TOWGS84[682,-203,480,0,0,0,0],AUTHORITY["EPSG","1031"]],PRIMEM["Greenwich",0,AUTHORITY["EPSG","8901"]],UNIT["degree",0.0174532925199433,AUTHORITY["EPSG","9122"]],AUTHORITY["EPSG","3906"]],PROJECTION["Transverse_Mercator"],PARAMETER["latitude_of_origin",0],PARAMETER["central_meridian",21],PARAMETER["scale_factor",0.9999],PARAMETER["false_easting",7500000],PARAMETER["false_northing",0],UNIT["metre",1,AUTHORITY["EPSG","9001"]],AXIS["Y",EAST],AXIS["X",NORTH],AUTHORITY["EPSG","6316"]]</t>
  </si>
  <si>
    <t>PROJCS["NAD83(2011) / UTM zone 1N",GEOGCS["NAD83(2011)",DATUM["NAD83_National_Spatial_Reference_System_2011",SPHEROID["GRS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6330"]]</t>
  </si>
  <si>
    <t>PROJCS["NAD83(2011) / UTM zone 2N",GEOGCS["NAD83(2011)",DATUM["NAD83_National_Spatial_Reference_System_2011",SPHEROID["GRS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6331"]]</t>
  </si>
  <si>
    <t>PROJCS["NAD83(2011) / UTM zone 3N",GEOGCS["NAD83(2011)",DATUM["NAD83_National_Spatial_Reference_System_2011",SPHEROID["GRS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6332"]]</t>
  </si>
  <si>
    <t>PROJCS["NAD83(2011) / UTM zone 4N",GEOGCS["NAD83(2011)",DATUM["NAD83_National_Spatial_Reference_System_2011",SPHEROID["GRS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6333"]]</t>
  </si>
  <si>
    <t>PROJCS["NAD83(2011) / UTM zone 5N",GEOGCS["NAD83(2011)",DATUM["NAD83_National_Spatial_Reference_System_2011",SPHEROID["GRS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6334"]]</t>
  </si>
  <si>
    <t>PROJCS["NAD83(2011) / UTM zone 6N",GEOGCS["NAD83(2011)",DATUM["NAD83_National_Spatial_Reference_System_2011",SPHEROID["GRS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6335"]]</t>
  </si>
  <si>
    <t>PROJCS["NAD83(2011) / UTM zone 7N",GEOGCS["NAD83(2011)",DATUM["NAD83_National_Spatial_Reference_System_2011",SPHEROID["GRS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6336"]]</t>
  </si>
  <si>
    <t>PROJCS["NAD83(2011) / UTM zone 8N",GEOGCS["NAD83(2011)",DATUM["NAD83_National_Spatial_Reference_System_2011",SPHEROID["GRS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6337"]]</t>
  </si>
  <si>
    <t>PROJCS["NAD83(2011) / UTM zone 9N",GEOGCS["NAD83(2011)",DATUM["NAD83_National_Spatial_Reference_System_2011",SPHEROID["GRS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6338"]]</t>
  </si>
  <si>
    <t>PROJCS["NAD83(2011) / UTM zone 10N",GEOGCS["NAD83(2011)",DATUM["NAD83_National_Spatial_Reference_System_2011",SPHEROID["GRS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6339"]]</t>
  </si>
  <si>
    <t>GEOCCS["ITRF94",DATUM["International_Terrestrial_Reference_Frame_1994",SPHEROID["GRS 1980",6378137,298.257222101,AUTHORITY["EPSG","7019"]],AUTHORITY["EPSG","6653"]],PRIMEM["Greenwich",0,AUTHORITY["EPSG","8901"]],UNIT["metre",1,AUTHORITY["EPSG","9001"]],AXIS["Geocentric X",OTHER],AXIS["Geocentric Y",OTHER],AXIS["Geocentric Z",NORTH],AUTHORITY["EPSG","4916"]]</t>
  </si>
  <si>
    <t>PROJCS["NAD83(2011) / UTM zone 11N",GEOGCS["NAD83(2011)",DATUM["NAD83_National_Spatial_Reference_System_2011",SPHEROID["GRS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6340"]]</t>
  </si>
  <si>
    <t>PROJCS["NAD83(2011) / UTM zone 12N",GEOGCS["NAD83(2011)",DATUM["NAD83_National_Spatial_Reference_System_2011",SPHEROID["GRS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6341"]]</t>
  </si>
  <si>
    <t>PROJCS["NAD83(2011) / UTM zone 13N",GEOGCS["NAD83(2011)",DATUM["NAD83_National_Spatial_Reference_System_2011",SPHEROID["GRS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6342"]]</t>
  </si>
  <si>
    <t>PROJCS["NAD83(2011) / UTM zone 14N",GEOGCS["NAD83(2011)",DATUM["NAD83_National_Spatial_Reference_System_2011",SPHEROID["GRS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6343"]]</t>
  </si>
  <si>
    <t>PROJCS["NAD83(2011) / UTM zone 15N",GEOGCS["NAD83(2011)",DATUM["NAD83_National_Spatial_Reference_System_2011",SPHEROID["GRS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6344"]]</t>
  </si>
  <si>
    <t>PROJCS["NAD83(2011) / UTM zone 16N",GEOGCS["NAD83(2011)",DATUM["NAD83_National_Spatial_Reference_System_2011",SPHEROID["GRS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6345"]]</t>
  </si>
  <si>
    <t>PROJCS["NAD83(2011) / UTM zone 17N",GEOGCS["NAD83(2011)",DATUM["NAD83_National_Spatial_Reference_System_2011",SPHEROID["GRS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6346"]]</t>
  </si>
  <si>
    <t>PROJCS["NAD83(2011) / UTM zone 18N",GEOGCS["NAD83(2011)",DATUM["NAD83_National_Spatial_Reference_System_2011",SPHEROID["GRS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6347"]]</t>
  </si>
  <si>
    <t>PROJCS["NAD83(2011) / UTM zone 19N",GEOGCS["NAD83(2011)",DATUM["NAD83_National_Spatial_Reference_System_2011",SPHEROID["GRS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6348"]]</t>
  </si>
  <si>
    <t>PROJCS["NAD83(2011) / Conus Albers",GEOGCS["NAD83(2011)",DATUM["NAD83_National_Spatial_Reference_System_2011",SPHEROID["GRS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29.5],PARAMETER["standard_parallel_2",45.5],PARAMETER["latitude_of_center",23],PARAMETER["longitude_of_center",-96],PARAMETER["false_easting",0],PARAMETER["false_northing",0],UNIT["metre",1,AUTHORITY["EPSG","9001"]],AXIS["X",EAST],AXIS["Y",NORTH],AUTHORITY["EPSG","6350"]]</t>
  </si>
  <si>
    <t>GEOCCS["ITRF96",DATUM["International_Terrestrial_Reference_Frame_1996",SPHEROID["GRS 1980",6378137,298.257222101,AUTHORITY["EPSG","7019"]],AUTHORITY["EPSG","6654"]],PRIMEM["Greenwich",0,AUTHORITY["EPSG","8901"]],UNIT["metre",1,AUTHORITY["EPSG","9001"]],AXIS["Geocentric X",OTHER],AXIS["Geocentric Y",OTHER],AXIS["Geocentric Z",NORTH],AUTHORITY["EPSG","4917"]]</t>
  </si>
  <si>
    <t>PROJCS["NAD83(2011) / EPSG Arctic zone 5-29",GEOGCS["NAD83(2011)",DATUM["NAD83_National_Spatial_Reference_System_2011",SPHEROID["GRS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73.66666666666667],PARAMETER["standard_parallel_2",70.33333333333333],PARAMETER["latitude_of_origin",72.02500919444445],PARAMETER["central_meridian",-163],PARAMETER["false_easting",29500000],PARAMETER["false_northing",5500000],UNIT["metre",1,AUTHORITY["EPSG","9001"]],AXIS["Easting",EAST],AXIS["Northing",NORTH],AUTHORITY["EPSG","6351"]]</t>
  </si>
  <si>
    <t>PROJCS["NAD83(2011) / EPSG Arctic zone 5-31",GEOGCS["NAD83(2011)",DATUM["NAD83_National_Spatial_Reference_System_2011",SPHEROID["GRS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73.66666666666667],PARAMETER["standard_parallel_2",70.33333333333333],PARAMETER["latitude_of_origin",72.02500919444445],PARAMETER["central_meridian",-147],PARAMETER["false_easting",31500000],PARAMETER["false_northing",5500000],UNIT["metre",1,AUTHORITY["EPSG","9001"]],AXIS["Easting",EAST],AXIS["Northing",NORTH],AUTHORITY["EPSG","6352"]]</t>
  </si>
  <si>
    <t>PROJCS["NAD83(2011) / EPSG Arctic zone 6-14",GEOGCS["NAD83(2011)",DATUM["NAD83_National_Spatial_Reference_System_2011",SPHEROID["GRS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70.33333333333333],PARAMETER["standard_parallel_2",67],PARAMETER["latitude_of_origin",68.68747555555557],PARAMETER["central_meridian",-165],PARAMETER["false_easting",14500000],PARAMETER["false_northing",6500000],UNIT["metre",1,AUTHORITY["EPSG","9001"]],AXIS["Easting",EAST],AXIS["Northing",NORTH],AUTHORITY["EPSG","6353"]]</t>
  </si>
  <si>
    <t>PROJCS["NAD83(2011) / EPSG Arctic zone 6-16",GEOGCS["NAD83(2011)",DATUM["NAD83_National_Spatial_Reference_System_2011",SPHEROID["GRS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70.33333333333333],PARAMETER["standard_parallel_2",67],PARAMETER["latitude_of_origin",68.68747555555557],PARAMETER["central_meridian",-147],PARAMETER["false_easting",16500000],PARAMETER["false_northing",6500000],UNIT["metre",1,AUTHORITY["EPSG","9001"]],AXIS["Easting",EAST],AXIS["Northing",NORTH],AUTHORITY["EPSG","6354"]]</t>
  </si>
  <si>
    <t>PROJCS["NAD83(2011) / Alabama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30.5],PARAMETER["central_meridian",-85.83333333333333],PARAMETER["scale_factor",0.99996],PARAMETER["false_easting",200000],PARAMETER["false_northing",0],UNIT["metre",1,AUTHORITY["EPSG","9001"]],AXIS["X",EAST],AXIS["Y",NORTH],AUTHORITY["EPSG","6355"]]</t>
  </si>
  <si>
    <t>PROJCS["NAD83(2011) / Alabama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-87.5],PARAMETER["scale_factor",0.999933333],PARAMETER["false_easting",600000],PARAMETER["false_northing",0],UNIT["metre",1,AUTHORITY["EPSG","9001"]],AXIS["X",EAST],AXIS["Y",NORTH],AUTHORITY["EPSG","6356"]]</t>
  </si>
  <si>
    <t>PROJCS["Mexico ITRF92 / LCC",GEOGCS["Mexico ITRF92",DATUM["Mexico_ITRF92",SPHEROID["GRS 1980",6378137,298.257222101,AUTHORITY["EPSG","7019"]],TOWGS84[0,0,0,0,0,0,0],AUTHORITY["EPSG","1042"]],PRIMEM["Greenwich",0,AUTHORITY["EPSG","8901"]],UNIT["degree",0.0174532925199433,AUTHORITY["EPSG","9122"]],AUTHORITY["EPSG","4483"]],PROJECTION["Lambert_Conformal_Conic_2SP"],PARAMETER["standard_parallel_1",17.5],PARAMETER["standard_parallel_2",29.5],PARAMETER["latitude_of_origin",12],PARAMETER["central_meridian",-102],PARAMETER["false_easting",2500000],PARAMETER["false_northing",0],UNIT["metre",1,AUTHORITY["EPSG","9001"]],AUTHORITY["EPSG","6362"]]</t>
  </si>
  <si>
    <t xml:space="preserve">+proj=lcc +lat_1=17.5 +lat_2=29.5 +lat_0=12 +lon_0=-102 +x_0=2500000 +y_0=0 +ellps=GRS80 +towgs84=0,0,0,0,0,0,0 +units=m +no_defs </t>
  </si>
  <si>
    <t>PROJCS["Mexico ITRF2008 / UTM zone 11N",GEOGCS["Mexico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6366"]]</t>
  </si>
  <si>
    <t>PROJCS["Mexico ITRF2008 / UTM zone 12N",GEOGCS["Mexico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6367"]]</t>
  </si>
  <si>
    <t>PROJCS["Mexico ITRF2008 / UTM zone 13N",GEOGCS["Mexico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6368"]]</t>
  </si>
  <si>
    <t>PROJCS["Mexico ITRF2008 / UTM zone 14N",GEOGCS["Mexico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6369"]]</t>
  </si>
  <si>
    <t>PROJCS["Mexico ITRF2008 / UTM zone 15N",GEOGCS["Mexico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6370"]]</t>
  </si>
  <si>
    <t>PROJCS["Mexico ITRF2008 / UTM zone 16N",GEOGCS["Mexico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6371"]]</t>
  </si>
  <si>
    <t>PROJCS["Mexico ITRF2008 / LCC",GEOGCS["Mexico ITRF2008",DATUM["Mexico_ITRF2008",SPHEROID["GRS 1980",6378137,298.257222101,AUTHORITY["EPSG","7019"]],TOWGS84[0,0,0,0,0,0,0],AUTHORITY["EPSG","1120"]],PRIMEM["Greenwich",0,AUTHORITY["EPSG","8901"]],UNIT["degree",0.0174532925199433,AUTHORITY["EPSG","9122"]],AUTHORITY["EPSG","6365"]],PROJECTION["Lambert_Conformal_Conic_2SP"],PARAMETER["standard_parallel_1",17.5],PARAMETER["standard_parallel_2",29.5],PARAMETER["latitude_of_origin",12],PARAMETER["central_meridian",-102],PARAMETER["false_easting",2500000],PARAMETER["false_northing",0],UNIT["metre",1,AUTHORITY["EPSG","9001"]],AUTHORITY["EPSG","6372"]]</t>
  </si>
  <si>
    <t>PROJCS["UCS-2000 / Ukraine TM zone 7",GEOGCS["UCS-2000",DATUM["Ukraine_2000",SPHEROID["Krassowsky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21],PARAMETER["scale_factor",1],PARAMETER["false_easting",300000],PARAMETER["false_northing",0],UNIT["metre",1,AUTHORITY["EPSG","9001"]],AUTHORITY["EPSG","6381"]]</t>
  </si>
  <si>
    <t xml:space="preserve">+proj=tmerc +lat_0=0 +lon_0=21 +k=1 +x_0=300000 +y_0=0 +ellps=krass +towgs84=25,-141,-78.5,0,0.35,0.736,0 +units=m +no_defs </t>
  </si>
  <si>
    <t>PROJCS["UCS-2000 / Ukraine TM zone 8",GEOGCS["UCS-2000",DATUM["Ukraine_2000",SPHEROID["Krassowsky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24],PARAMETER["scale_factor",1],PARAMETER["false_easting",300000],PARAMETER["false_northing",0],UNIT["metre",1,AUTHORITY["EPSG","9001"]],AUTHORITY["EPSG","6382"]]</t>
  </si>
  <si>
    <t xml:space="preserve">+proj=tmerc +lat_0=0 +lon_0=24 +k=1 +x_0=300000 +y_0=0 +ellps=krass +towgs84=25,-141,-78.5,0,0.35,0.736,0 +units=m +no_defs </t>
  </si>
  <si>
    <t>PROJCS["UCS-2000 / Ukraine TM zone 9",GEOGCS["UCS-2000",DATUM["Ukraine_2000",SPHEROID["Krassowsky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27],PARAMETER["scale_factor",1],PARAMETER["false_easting",300000],PARAMETER["false_northing",0],UNIT["metre",1,AUTHORITY["EPSG","9001"]],AUTHORITY["EPSG","6383"]]</t>
  </si>
  <si>
    <t xml:space="preserve">+proj=tmerc +lat_0=0 +lon_0=27 +k=1 +x_0=300000 +y_0=0 +ellps=krass +towgs84=25,-141,-78.5,0,0.35,0.736,0 +units=m +no_defs </t>
  </si>
  <si>
    <t>PROJCS["UCS-2000 / Ukraine TM zone 10",GEOGCS["UCS-2000",DATUM["Ukraine_2000",SPHEROID["Krassowsky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30],PARAMETER["scale_factor",1],PARAMETER["false_easting",300000],PARAMETER["false_northing",0],UNIT["metre",1,AUTHORITY["EPSG","9001"]],AUTHORITY["EPSG","6384"]]</t>
  </si>
  <si>
    <t xml:space="preserve">+proj=tmerc +lat_0=0 +lon_0=30 +k=1 +x_0=300000 +y_0=0 +ellps=krass +towgs84=25,-141,-78.5,0,0.35,0.736,0 +units=m +no_defs </t>
  </si>
  <si>
    <t>PROJCS["UCS-2000 / Ukraine TM zone 11",GEOGCS["UCS-2000",DATUM["Ukraine_2000",SPHEROID["Krassowsky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33],PARAMETER["scale_factor",1],PARAMETER["false_easting",300000],PARAMETER["false_northing",0],UNIT["metre",1,AUTHORITY["EPSG","9001"]],AUTHORITY["EPSG","6385"]]</t>
  </si>
  <si>
    <t xml:space="preserve">+proj=tmerc +lat_0=0 +lon_0=33 +k=1 +x_0=300000 +y_0=0 +ellps=krass +towgs84=25,-141,-78.5,0,0.35,0.736,0 +units=m +no_defs </t>
  </si>
  <si>
    <t>PROJCS["UCS-2000 / Ukraine TM zone 12",GEOGCS["UCS-2000",DATUM["Ukraine_2000",SPHEROID["Krassowsky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36],PARAMETER["scale_factor",1],PARAMETER["false_easting",300000],PARAMETER["false_northing",0],UNIT["metre",1,AUTHORITY["EPSG","9001"]],AUTHORITY["EPSG","6386"]]</t>
  </si>
  <si>
    <t xml:space="preserve">+proj=tmerc +lat_0=0 +lon_0=36 +k=1 +x_0=300000 +y_0=0 +ellps=krass +towgs84=25,-141,-78.5,0,0.35,0.736,0 +units=m +no_defs </t>
  </si>
  <si>
    <t>PROJCS["UCS-2000 / Ukraine TM zone 13",GEOGCS["UCS-2000",DATUM["Ukraine_2000",SPHEROID["Krassowsky 1940",6378245,298.3,AUTHORITY["EPSG","7024"]],TOWGS84[25,-141,-78.5,0,0.35,0.736,0],AUTHORITY["EPSG","1077"]],PRIMEM["Greenwich",0,AUTHORITY["EPSG","8901"]],UNIT["degree",0.0174532925199433,AUTHORITY["EPSG","9122"]],AUTHORITY["EPSG","5561"]],PROJECTION["Transverse_Mercator"],PARAMETER["latitude_of_origin",0],PARAMETER["central_meridian",39],PARAMETER["scale_factor",1],PARAMETER["false_easting",300000],PARAMETER["false_northing",0],UNIT["metre",1,AUTHORITY["EPSG","9001"]],AUTHORITY["EPSG","6387"]]</t>
  </si>
  <si>
    <t xml:space="preserve">+proj=tmerc +lat_0=0 +lon_0=39 +k=1 +x_0=300000 +y_0=0 +ellps=krass +towgs84=25,-141,-78.5,0,0.35,0.736,0 +units=m +no_defs </t>
  </si>
  <si>
    <t>PROJCS["Cayman Islands National Grid 2011",GEOGCS["CIGD11",DATUM["Cayman_Islands_Geodetic_Datum_2011",SPHEROID["GRS 1980",6378137,298.257222101,AUTHORITY["EPSG","7019"]],TOWGS84[0,0,0,0,0,0,0],AUTHORITY["EPSG","1100"]],PRIMEM["Greenwich",0,AUTHORITY["EPSG","8901"]],UNIT["degree",0.0174532925199433,AUTHORITY["EPSG","9122"]],AUTHORITY["EPSG","6135"]],PROJECTION["Lambert_Conformal_Conic_2SP"],PARAMETER["standard_parallel_1",19.33333333333333],PARAMETER["standard_parallel_2",19.7],PARAMETER["latitude_of_origin",19.33333333333333],PARAMETER["central_meridian",-80.56666666666666],PARAMETER["false_easting",2950000],PARAMETER["false_northing",1900000],UNIT["foot",0.3048,AUTHORITY["EPSG","9002"]],AXIS["Easting",EAST],AXIS["Northing",NORTH],AUTHORITY["EPSG","6391"]]</t>
  </si>
  <si>
    <t xml:space="preserve">+proj=lcc +lat_1=19.33333333333333 +lat_2=19.7 +lat_0=19.33333333333333 +lon_0=-80.56666666666666 +x_0=899160 +y_0=579120 +ellps=GRS80 +towgs84=0,0,0,0,0,0,0 +units=ft +no_defs </t>
  </si>
  <si>
    <t>PROJCS["NAD83(2011) / Alaska Albers",GEOGCS["NAD83(2011)",DATUM["NAD83_National_Spatial_Reference_System_2011",SPHEROID["GRS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55],PARAMETER["standard_parallel_2",65],PARAMETER["latitude_of_center",50],PARAMETER["longitude_of_center",-154],PARAMETER["false_easting",0],PARAMETER["false_northing",0],UNIT["metre",1,AUTHORITY["EPSG","9001"]],AXIS["X",EAST],AXIS["Y",NORTH],AUTHORITY["EPSG","6393"]]</t>
  </si>
  <si>
    <t>PROJCS["NAD83(2011) / Alaska zone 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57],PARAMETER["longitude_of_center",-133.6666666666667],PARAMETER["azimuth",323.1301023611111],PARAMETER["rectified_grid_angle",323.1301023611111],PARAMETER["scale_factor",0.9999],PARAMETER["false_easting",5000000],PARAMETER["false_northing",-5000000],UNIT["metre",1,AUTHORITY["EPSG","9001"]],AXIS["X",EAST],AXIS["Y",NORTH],AUTHORITY["EPSG","6394"]]</t>
  </si>
  <si>
    <t>PROJCS["NAD83(2011) / Alaska zone 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-142],PARAMETER["scale_factor",0.9999],PARAMETER["false_easting",500000],PARAMETER["false_northing",0],UNIT["metre",1,AUTHORITY["EPSG","9001"]],AXIS["X",EAST],AXIS["Y",NORTH],AUTHORITY["EPSG","6395"]]</t>
  </si>
  <si>
    <t>PROJCS["NAD83(2011) / Alaska zone 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-146],PARAMETER["scale_factor",0.9999],PARAMETER["false_easting",500000],PARAMETER["false_northing",0],UNIT["metre",1,AUTHORITY["EPSG","9001"]],AXIS["X",EAST],AXIS["Y",NORTH],AUTHORITY["EPSG","6396"]]</t>
  </si>
  <si>
    <t>PROJCS["NAD83(2011) / Alaska zone 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-150],PARAMETER["scale_factor",0.9999],PARAMETER["false_easting",500000],PARAMETER["false_northing",0],UNIT["metre",1,AUTHORITY["EPSG","9001"]],AXIS["X",EAST],AXIS["Y",NORTH],AUTHORITY["EPSG","6397"]]</t>
  </si>
  <si>
    <t>PROJCS["NAD83(2011) / Alaska zone 5",GEOGCS["NAD83(2011)",DATUM["NAD83_National_Spatial_Reference_System_2011",SPHEROID["GRS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-154],PARAMETER["scale_factor",0.9999],PARAMETER["false_easting",500000],PARAMETER["false_northing",0],UNIT["metre",1,AUTHORITY["EPSG","9001"]],AXIS["X",EAST],AXIS["Y",NORTH],AUTHORITY["EPSG","6398"]]</t>
  </si>
  <si>
    <t>GEOCCS["ITRF97",DATUM["International_Terrestrial_Reference_Frame_1997",SPHEROID["GRS 1980",6378137,298.257222101,AUTHORITY["EPSG","7019"]],AUTHORITY["EPSG","6655"]],PRIMEM["Greenwich",0,AUTHORITY["EPSG","8901"]],UNIT["metre",1,AUTHORITY["EPSG","9001"]],AXIS["Geocentric X",OTHER],AXIS["Geocentric Y",OTHER],AXIS["Geocentric Z",NORTH],AUTHORITY["EPSG","4918"]]</t>
  </si>
  <si>
    <t>PROJCS["NAD83(2011) / Alaska zone 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-158],PARAMETER["scale_factor",0.9999],PARAMETER["false_easting",500000],PARAMETER["false_northing",0],UNIT["metre",1,AUTHORITY["EPSG","9001"]],AXIS["X",EAST],AXIS["Y",NORTH],AUTHORITY["EPSG","6399"]]</t>
  </si>
  <si>
    <t>PROJCS["NAD83(2011) / Alaska zone 7",GEOGCS["NAD83(2011)",DATUM["NAD83_National_Spatial_Reference_System_2011",SPHEROID["GRS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-162],PARAMETER["scale_factor",0.9999],PARAMETER["false_easting",500000],PARAMETER["false_northing",0],UNIT["metre",1,AUTHORITY["EPSG","9001"]],AXIS["X",EAST],AXIS["Y",NORTH],AUTHORITY["EPSG","6400"]]</t>
  </si>
  <si>
    <t>PROJCS["NAD83(2011) / Alaska zone 8",GEOGCS["NAD83(2011)",DATUM["NAD83_National_Spatial_Reference_System_2011",SPHEROID["GRS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-166],PARAMETER["scale_factor",0.9999],PARAMETER["false_easting",500000],PARAMETER["false_northing",0],UNIT["metre",1,AUTHORITY["EPSG","9001"]],AXIS["X",EAST],AXIS["Y",NORTH],AUTHORITY["EPSG","6401"]]</t>
  </si>
  <si>
    <t>PROJCS["NAD83(2011) / Alaska zone 9",GEOGCS["NAD83(2011)",DATUM["NAD83_National_Spatial_Reference_System_2011",SPHEROID["GRS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54],PARAMETER["central_meridian",-170],PARAMETER["scale_factor",0.9999],PARAMETER["false_easting",500000],PARAMETER["false_northing",0],UNIT["metre",1,AUTHORITY["EPSG","9001"]],AXIS["X",EAST],AXIS["Y",NORTH],AUTHORITY["EPSG","6402"]]</t>
  </si>
  <si>
    <t>PROJCS["NAD83(2011) / Alaska zone 10",GEOGCS["NAD83(2011)",DATUM["NAD83_National_Spatial_Reference_System_2011",SPHEROID["GRS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53.83333333333334],PARAMETER["standard_parallel_2",51.83333333333334],PARAMETER["latitude_of_origin",51],PARAMETER["central_meridian",-176],PARAMETER["false_easting",1000000],PARAMETER["false_northing",0],UNIT["metre",1,AUTHORITY["EPSG","9001"]],AXIS["X",EAST],AXIS["Y",NORTH],AUTHORITY["EPSG","6403"]]</t>
  </si>
  <si>
    <t>PROJCS["NAD83(2011) / Arizona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-111.9166666666667],PARAMETER["scale_factor",0.9999],PARAMETER["false_easting",213360],PARAMETER["false_northing",0],UNIT["metre",1,AUTHORITY["EPSG","9001"]],AXIS["X",EAST],AXIS["Y",NORTH],AUTHORITY["EPSG","6404"]]</t>
  </si>
  <si>
    <t>PROJCS["NAD83(2011) / Arizona Central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-111.9166666666667],PARAMETER["scale_factor",0.9999],PARAMETER["false_easting",700000],PARAMETER["false_northing",0],UNIT["foot",0.3048,AUTHORITY["EPSG","9002"]],AXIS["X",EAST],AXIS["Y",NORTH],AUTHORITY["EPSG","6405"]]</t>
  </si>
  <si>
    <t>PROJCS["NAD83(2011) / Arizona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-110.1666666666667],PARAMETER["scale_factor",0.9999],PARAMETER["false_easting",213360],PARAMETER["false_northing",0],UNIT["metre",1,AUTHORITY["EPSG","9001"]],AXIS["X",EAST],AXIS["Y",NORTH],AUTHORITY["EPSG","6406"]]</t>
  </si>
  <si>
    <t>PROJCS["NAD83(2011) / Arizona East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-110.1666666666667],PARAMETER["scale_factor",0.9999],PARAMETER["false_easting",700000],PARAMETER["false_northing",0],UNIT["foot",0.3048,AUTHORITY["EPSG","9002"]],AXIS["X",EAST],AXIS["Y",NORTH],AUTHORITY["EPSG","6407"]]</t>
  </si>
  <si>
    <t>PROJCS["NAD83(2011) / Arizona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-113.75],PARAMETER["scale_factor",0.999933333],PARAMETER["false_easting",213360],PARAMETER["false_northing",0],UNIT["metre",1,AUTHORITY["EPSG","9001"]],AXIS["X",EAST],AXIS["Y",NORTH],AUTHORITY["EPSG","6408"]]</t>
  </si>
  <si>
    <t>PROJCS["NAD83(2011) / Arizona West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-113.75],PARAMETER["scale_factor",0.999933333],PARAMETER["false_easting",700000],PARAMETER["false_northing",0],UNIT["foot",0.3048,AUTHORITY["EPSG","9002"]],AXIS["X",EAST],AXIS["Y",NORTH],AUTHORITY["EPSG","6409"]]</t>
  </si>
  <si>
    <t>PROJCS["NAD83(2011) / Arkansas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36.23333333333333],PARAMETER["standard_parallel_2",34.93333333333333],PARAMETER["latitude_of_origin",34.33333333333334],PARAMETER["central_meridian",-92],PARAMETER["false_easting",400000],PARAMETER["false_northing",0],UNIT["metre",1,AUTHORITY["EPSG","9001"]],AXIS["X",EAST],AXIS["Y",NORTH],AUTHORITY["EPSG","6410"]]</t>
  </si>
  <si>
    <t>PROJCS["NAD83(2011) / Arkansas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36.23333333333333],PARAMETER["standard_parallel_2",34.93333333333333],PARAMETER["latitude_of_origin",34.33333333333334],PARAMETER["central_meridian",-92],PARAMETER["false_easting",1312333.3333],PARAMETER["false_northing",0],UNIT["US survey foot",0.3048006096012192,AUTHORITY["EPSG","9003"]],AXIS["X",EAST],AXIS["Y",NORTH],AUTHORITY["EPSG","6411"]]</t>
  </si>
  <si>
    <t>PROJCS["NAD83(2011) / Arkansas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34.76666666666667],PARAMETER["standard_parallel_2",33.3],PARAMETER["latitude_of_origin",32.66666666666666],PARAMETER["central_meridian",-92],PARAMETER["false_easting",400000],PARAMETER["false_northing",400000],UNIT["metre",1,AUTHORITY["EPSG","9001"]],AXIS["X",EAST],AXIS["Y",NORTH],AUTHORITY["EPSG","6412"]]</t>
  </si>
  <si>
    <t>PROJCS["NAD83(2011) / Arkansas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34.76666666666667],PARAMETER["standard_parallel_2",33.3],PARAMETER["latitude_of_origin",32.66666666666666],PARAMETER["central_meridian",-92],PARAMETER["false_easting",1312333.3333],PARAMETER["false_northing",1312333.3333],UNIT["US survey foot",0.3048006096012192,AUTHORITY["EPSG","9003"]],AXIS["X",EAST],AXIS["Y",NORTH],AUTHORITY["EPSG","6413"]]</t>
  </si>
  <si>
    <t>PROJCS["NAD83(2011) / California Albers",GEOGCS["NAD83(2011)",DATUM["NAD83_National_Spatial_Reference_System_2011",SPHEROID["GRS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34],PARAMETER["standard_parallel_2",40.5],PARAMETER["latitude_of_center",0],PARAMETER["longitude_of_center",-120],PARAMETER["false_easting",0],PARAMETER["false_northing",-4000000],UNIT["metre",1,AUTHORITY["EPSG","9001"]],AXIS["X",EAST],AXIS["Y",NORTH],AUTHORITY["EPSG","6414"]]</t>
  </si>
  <si>
    <t>PROJCS["NAD83(2011) / California zone 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500000],UNIT["metre",1,AUTHORITY["EPSG","9001"]],AXIS["X",EAST],AXIS["Y",NORTH],AUTHORITY["EPSG","6415"]]</t>
  </si>
  <si>
    <t>PROJCS["NAD83(2011) / California zone 1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41.66666666666666],PARAMETER["standard_parallel_2",40],PARAMETER["latitude_of_origin",39.33333333333334],PARAMETER["central_meridian",-122],PARAMETER["false_easting",6561666.667],PARAMETER["false_northing",1640416.667],UNIT["US survey foot",0.3048006096012192,AUTHORITY["EPSG","9003"]],AXIS["X",EAST],AXIS["Y",NORTH],AUTHORITY["EPSG","6416"]]</t>
  </si>
  <si>
    <t>PROJCS["NAD83(2011) / New Mexico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-106.25],PARAMETER["scale_factor",0.9999],PARAMETER["false_easting",500000],PARAMETER["false_northing",0],UNIT["metre",1,AUTHORITY["EPSG","9001"]],AXIS["X",EAST],AXIS["Y",NORTH],AUTHORITY["EPSG","6528"]]</t>
  </si>
  <si>
    <t>PROJCS["NAD83(2011) / California zone 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500000],UNIT["metre",1,AUTHORITY["EPSG","9001"]],AXIS["X",EAST],AXIS["Y",NORTH],AUTHORITY["EPSG","6417"]]</t>
  </si>
  <si>
    <t>PROJCS["NAD83(2011) / California zone 2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39.83333333333334],PARAMETER["standard_parallel_2",38.33333333333334],PARAMETER["latitude_of_origin",37.66666666666666],PARAMETER["central_meridian",-122],PARAMETER["false_easting",6561666.667],PARAMETER["false_northing",1640416.667],UNIT["US survey foot",0.3048006096012192,AUTHORITY["EPSG","9003"]],AXIS["X",EAST],AXIS["Y",NORTH],AUTHORITY["EPSG","6418"]]</t>
  </si>
  <si>
    <t>PROJCS["NAD83(2011) / California zone 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500000],UNIT["metre",1,AUTHORITY["EPSG","9001"]],AXIS["X",EAST],AXIS["Y",NORTH],AUTHORITY["EPSG","6419"]]</t>
  </si>
  <si>
    <t>PROJCS["NAD83(2011) / California zone 3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38.43333333333333],PARAMETER["standard_parallel_2",37.06666666666667],PARAMETER["latitude_of_origin",36.5],PARAMETER["central_meridian",-120.5],PARAMETER["false_easting",6561666.667],PARAMETER["false_northing",1640416.667],UNIT["US survey foot",0.3048006096012192,AUTHORITY["EPSG","9003"]],AXIS["X",EAST],AXIS["Y",NORTH],AUTHORITY["EPSG","6420"]]</t>
  </si>
  <si>
    <t>PROJCS["NAD83(2011) / California zone 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37.25],PARAMETER["standard_parallel_2",36],PARAMETER["latitude_of_origin",35.33333333333334],PARAMETER["central_meridian",-119],PARAMETER["false_easting",2000000],PARAMETER["false_northing",500000],UNIT["metre",1,AUTHORITY["EPSG","9001"]],AXIS["X",EAST],AXIS["Y",NORTH],AUTHORITY["EPSG","6421"]]</t>
  </si>
  <si>
    <t>PROJCS["NAD83(2011) / California zone 4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37.25],PARAMETER["standard_parallel_2",36],PARAMETER["latitude_of_origin",35.33333333333334],PARAMETER["central_meridian",-119],PARAMETER["false_easting",6561666.667],PARAMETER["false_northing",1640416.667],UNIT["US survey foot",0.3048006096012192,AUTHORITY["EPSG","9003"]],AXIS["X",EAST],AXIS["Y",NORTH],AUTHORITY["EPSG","6422"]]</t>
  </si>
  <si>
    <t>PROJCS["NAD83(2011) / California zone 5",GEOGCS["NAD83(2011)",DATUM["NAD83_National_Spatial_Reference_System_2011",SPHEROID["GRS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500000],UNIT["metre",1,AUTHORITY["EPSG","9001"]],AXIS["X",EAST],AXIS["Y",NORTH],AUTHORITY["EPSG","6423"]]</t>
  </si>
  <si>
    <t>PROJCS["NAD83(2011) / California zone 5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35.46666666666667],PARAMETER["standard_parallel_2",34.03333333333333],PARAMETER["latitude_of_origin",33.5],PARAMETER["central_meridian",-118],PARAMETER["false_easting",6561666.667],PARAMETER["false_northing",1640416.667],UNIT["US survey foot",0.3048006096012192,AUTHORITY["EPSG","9003"]],AXIS["X",EAST],AXIS["Y",NORTH],AUTHORITY["EPSG","6424"]]</t>
  </si>
  <si>
    <t>GEOCCS["ITRF2000",DATUM["International_Terrestrial_Reference_Frame_2000",SPHEROID["GRS 1980",6378137,298.257222101,AUTHORITY["EPSG","7019"]],AUTHORITY["EPSG","6656"]],PRIMEM["Greenwich",0,AUTHORITY["EPSG","8901"]],UNIT["metre",1,AUTHORITY["EPSG","9001"]],AXIS["Geocentric X",OTHER],AXIS["Geocentric Y",OTHER],AXIS["Geocentric Z",NORTH],AUTHORITY["EPSG","4919"]]</t>
  </si>
  <si>
    <t>PROJCS["NAD83(2011) / California zone 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500000],UNIT["metre",1,AUTHORITY["EPSG","9001"]],AXIS["X",EAST],AXIS["Y",NORTH],AUTHORITY["EPSG","6425"]]</t>
  </si>
  <si>
    <t>PROJCS["NAD83(2011) / California zone 6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33.88333333333333],PARAMETER["standard_parallel_2",32.78333333333333],PARAMETER["latitude_of_origin",32.16666666666666],PARAMETER["central_meridian",-116.25],PARAMETER["false_easting",6561666.667],PARAMETER["false_northing",1640416.667],UNIT["US survey foot",0.3048006096012192,AUTHORITY["EPSG","9003"]],AXIS["X",EAST],AXIS["Y",NORTH],AUTHORITY["EPSG","6426"]]</t>
  </si>
  <si>
    <t>PROJCS["NAD83(2011) / Colorado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39.75],PARAMETER["standard_parallel_2",38.45],PARAMETER["latitude_of_origin",37.83333333333334],PARAMETER["central_meridian",-105.5],PARAMETER["false_easting",914401.8289],PARAMETER["false_northing",304800.6096],UNIT["metre",1,AUTHORITY["EPSG","9001"]],AXIS["X",EAST],AXIS["Y",NORTH],AUTHORITY["EPSG","6427"]]</t>
  </si>
  <si>
    <t>PROJCS["NAD83(2011) / Colorado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39.75],PARAMETER["standard_parallel_2",38.45],PARAMETER["latitude_of_origin",37.83333333333334],PARAMETER["central_meridian",-105.5],PARAMETER["false_easting",3000000],PARAMETER["false_northing",1000000],UNIT["US survey foot",0.3048006096012192,AUTHORITY["EPSG","9003"]],AXIS["X",EAST],AXIS["Y",NORTH],AUTHORITY["EPSG","6428"]]</t>
  </si>
  <si>
    <t>PROJCS["NAD83(2011) / Colorado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40.78333333333333],PARAMETER["standard_parallel_2",39.71666666666667],PARAMETER["latitude_of_origin",39.33333333333334],PARAMETER["central_meridian",-105.5],PARAMETER["false_easting",914401.8289],PARAMETER["false_northing",304800.6096],UNIT["metre",1,AUTHORITY["EPSG","9001"]],AXIS["X",EAST],AXIS["Y",NORTH],AUTHORITY["EPSG","6429"]]</t>
  </si>
  <si>
    <t>PROJCS["NAD83(2011) / Colorado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40.78333333333333],PARAMETER["standard_parallel_2",39.71666666666667],PARAMETER["latitude_of_origin",39.33333333333334],PARAMETER["central_meridian",-105.5],PARAMETER["false_easting",3000000],PARAMETER["false_northing",1000000],UNIT["US survey foot",0.3048006096012192,AUTHORITY["EPSG","9003"]],AXIS["X",EAST],AXIS["Y",NORTH],AUTHORITY["EPSG","6430"]]</t>
  </si>
  <si>
    <t>PROJCS["NAD83(2011) / Colorado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38.43333333333333],PARAMETER["standard_parallel_2",37.23333333333333],PARAMETER["latitude_of_origin",36.66666666666666],PARAMETER["central_meridian",-105.5],PARAMETER["false_easting",914401.8289],PARAMETER["false_northing",304800.6096],UNIT["metre",1,AUTHORITY["EPSG","9001"]],AXIS["X",EAST],AXIS["Y",NORTH],AUTHORITY["EPSG","6431"]]</t>
  </si>
  <si>
    <t>PROJCS["NAD83(2011) / Colorado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38.43333333333333],PARAMETER["standard_parallel_2",37.23333333333333],PARAMETER["latitude_of_origin",36.66666666666666],PARAMETER["central_meridian",-105.5],PARAMETER["false_easting",3000000],PARAMETER["false_northing",1000000],UNIT["US survey foot",0.3048006096012192,AUTHORITY["EPSG","9003"]],AXIS["X",EAST],AXIS["Y",NORTH],AUTHORITY["EPSG","6432"]]</t>
  </si>
  <si>
    <t>PROJCS["NAD83(2011) / Connecticut",GEOGCS["NAD83(2011)",DATUM["NAD83_National_Spatial_Reference_System_2011",SPHEROID["GRS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41.86666666666667],PARAMETER["standard_parallel_2",41.2],PARAMETER["latitude_of_origin",40.83333333333334],PARAMETER["central_meridian",-72.75],PARAMETER["false_easting",304800.6096],PARAMETER["false_northing",152400.3048],UNIT["metre",1,AUTHORITY["EPSG","9001"]],AXIS["X",EAST],AXIS["Y",NORTH],AUTHORITY["EPSG","6433"]]</t>
  </si>
  <si>
    <t>PROJCS["NAD83(2011) / Connecticut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41.86666666666667],PARAMETER["standard_parallel_2",41.2],PARAMETER["latitude_of_origin",40.83333333333334],PARAMETER["central_meridian",-72.75],PARAMETER["false_easting",1000000],PARAMETER["false_northing",500000],UNIT["US survey foot",0.3048006096012192,AUTHORITY["EPSG","9003"]],AXIS["X",EAST],AXIS["Y",NORTH],AUTHORITY["EPSG","6434"]]</t>
  </si>
  <si>
    <t>PROJCS["NAD83(2011) / Delaware",GEOGCS["NAD83(2011)",DATUM["NAD83_National_Spatial_Reference_System_2011",SPHEROID["GRS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38],PARAMETER["central_meridian",-75.41666666666667],PARAMETER["scale_factor",0.999995],PARAMETER["false_easting",200000],PARAMETER["false_northing",0],UNIT["metre",1,AUTHORITY["EPSG","9001"]],AXIS["X",EAST],AXIS["Y",NORTH],AUTHORITY["EPSG","6435"]]</t>
  </si>
  <si>
    <t>PROJCS["NAD83(2011) / Delaware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38],PARAMETER["central_meridian",-75.41666666666667],PARAMETER["scale_factor",0.999995],PARAMETER["false_easting",656166.667],PARAMETER["false_northing",0],UNIT["US survey foot",0.3048006096012192,AUTHORITY["EPSG","9003"]],AXIS["X",EAST],AXIS["Y",NORTH],AUTHORITY["EPSG","6436"]]</t>
  </si>
  <si>
    <t>PROJCS["NAD83(2011) / Florida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24.33333333333333],PARAMETER["central_meridian",-81],PARAMETER["scale_factor",0.999941177],PARAMETER["false_easting",200000],PARAMETER["false_northing",0],UNIT["metre",1,AUTHORITY["EPSG","9001"]],AXIS["X",EAST],AXIS["Y",NORTH],AUTHORITY["EPSG","6437"]]</t>
  </si>
  <si>
    <t>PROJCS["NAD83(2011) / Florida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24.33333333333333],PARAMETER["central_meridian",-81],PARAMETER["scale_factor",0.999941177],PARAMETER["false_easting",656166.667],PARAMETER["false_northing",0],UNIT["US survey foot",0.3048006096012192,AUTHORITY["EPSG","9003"]],AXIS["X",EAST],AXIS["Y",NORTH],AUTHORITY["EPSG","6438"]]</t>
  </si>
  <si>
    <t>PROJCS["NAD83(2011) / Florida GDL Albers",GEOGCS["NAD83(2011)",DATUM["NAD83_National_Spatial_Reference_System_2011",SPHEROID["GRS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24],PARAMETER["standard_parallel_2",31.5],PARAMETER["latitude_of_center",24],PARAMETER["longitude_of_center",-84],PARAMETER["false_easting",400000],PARAMETER["false_northing",0],UNIT["metre",1,AUTHORITY["EPSG","9001"]],AXIS["X",EAST],AXIS["Y",NORTH],AUTHORITY["EPSG","6439"]]</t>
  </si>
  <si>
    <t>PROJCS["NAD83(2011) / Florida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30.75],PARAMETER["standard_parallel_2",29.58333333333333],PARAMETER["latitude_of_origin",29],PARAMETER["central_meridian",-84.5],PARAMETER["false_easting",600000],PARAMETER["false_northing",0],UNIT["metre",1,AUTHORITY["EPSG","9001"]],AXIS["X",EAST],AXIS["Y",NORTH],AUTHORITY["EPSG","6440"]]</t>
  </si>
  <si>
    <t>PROJCS["NAD83(2011) / Florida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30.75],PARAMETER["standard_parallel_2",29.58333333333333],PARAMETER["latitude_of_origin",29],PARAMETER["central_meridian",-84.5],PARAMETER["false_easting",1968500],PARAMETER["false_northing",0],UNIT["US survey foot",0.3048006096012192,AUTHORITY["EPSG","9003"]],AXIS["X",EAST],AXIS["Y",NORTH],AUTHORITY["EPSG","6441"]]</t>
  </si>
  <si>
    <t>PROJCS["NAD83(2011) / Florida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24.33333333333333],PARAMETER["central_meridian",-82],PARAMETER["scale_factor",0.999941177],PARAMETER["false_easting",200000],PARAMETER["false_northing",0],UNIT["metre",1,AUTHORITY["EPSG","9001"]],AXIS["X",EAST],AXIS["Y",NORTH],AUTHORITY["EPSG","6442"]]</t>
  </si>
  <si>
    <t>PROJCS["NAD83(2011) / Florida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24.33333333333333],PARAMETER["central_meridian",-82],PARAMETER["scale_factor",0.999941177],PARAMETER["false_easting",656166.667],PARAMETER["false_northing",0],UNIT["US survey foot",0.3048006096012192,AUTHORITY["EPSG","9003"]],AXIS["X",EAST],AXIS["Y",NORTH],AUTHORITY["EPSG","6443"]]</t>
  </si>
  <si>
    <t>PROJCS["NAD83(2011) / Georgia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-82.16666666666667],PARAMETER["scale_factor",0.9999],PARAMETER["false_easting",200000],PARAMETER["false_northing",0],UNIT["metre",1,AUTHORITY["EPSG","9001"]],AXIS["X",EAST],AXIS["Y",NORTH],AUTHORITY["EPSG","6444"]]</t>
  </si>
  <si>
    <t>PROJCS["NAD83(2011) / Georgia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-82.16666666666667],PARAMETER["scale_factor",0.9999],PARAMETER["false_easting",656166.667],PARAMETER["false_northing",0],UNIT["US survey foot",0.3048006096012192,AUTHORITY["EPSG","9003"]],AXIS["X",EAST],AXIS["Y",NORTH],AUTHORITY["EPSG","6445"]]</t>
  </si>
  <si>
    <t>PROJCS["NAD83(2011) / Georgia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-84.16666666666667],PARAMETER["scale_factor",0.9999],PARAMETER["false_easting",700000],PARAMETER["false_northing",0],UNIT["metre",1,AUTHORITY["EPSG","9001"]],AXIS["X",EAST],AXIS["Y",NORTH],AUTHORITY["EPSG","6446"]]</t>
  </si>
  <si>
    <t>PROJCS["NAD83(2011) / Georgia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30],PARAMETER["central_meridian",-84.16666666666667],PARAMETER["scale_factor",0.9999],PARAMETER["false_easting",2296583.333],PARAMETER["false_northing",0],UNIT["US survey foot",0.3048006096012192,AUTHORITY["EPSG","9003"]],AXIS["X",EAST],AXIS["Y",NORTH],AUTHORITY["EPSG","6447"]]</t>
  </si>
  <si>
    <t>PROJCS["NAD83(2011) / Idaho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-114],PARAMETER["scale_factor",0.999947368],PARAMETER["false_easting",500000],PARAMETER["false_northing",0],UNIT["metre",1,AUTHORITY["EPSG","9001"]],AXIS["X",EAST],AXIS["Y",NORTH],AUTHORITY["EPSG","6448"]]</t>
  </si>
  <si>
    <t>PROJCS["NAD83(2011) / Idaho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-114],PARAMETER["scale_factor",0.999947368],PARAMETER["false_easting",1640416.667],PARAMETER["false_northing",0],UNIT["US survey foot",0.3048006096012192,AUTHORITY["EPSG","9003"]],AXIS["X",EAST],AXIS["Y",NORTH],AUTHORITY["EPSG","6449"]]</t>
  </si>
  <si>
    <t>PROJCS["NAD83(2011) / Idaho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-112.1666666666667],PARAMETER["scale_factor",0.999947368],PARAMETER["false_easting",200000],PARAMETER["false_northing",0],UNIT["metre",1,AUTHORITY["EPSG","9001"]],AXIS["X",EAST],AXIS["Y",NORTH],AUTHORITY["EPSG","6450"]]</t>
  </si>
  <si>
    <t>GEOCCS["GDM2000",DATUM["Geodetic_Datum_of_Malaysia_2000",SPHEROID["GRS 1980",6378137,298.257222101,AUTHORITY["EPSG","7019"]],AUTHORITY["EPSG","6742"]],PRIMEM["Greenwich",0,AUTHORITY["EPSG","8901"]],UNIT["metre",1,AUTHORITY["EPSG","9001"]],AXIS["Geocentric X",OTHER],AXIS["Geocentric Y",OTHER],AXIS["Geocentric Z",NORTH],AUTHORITY["EPSG","4920"]]</t>
  </si>
  <si>
    <t>PROJCS["NAD83(2011) / Idaho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-112.1666666666667],PARAMETER["scale_factor",0.999947368],PARAMETER["false_easting",656166.667],PARAMETER["false_northing",0],UNIT["US survey foot",0.3048006096012192,AUTHORITY["EPSG","9003"]],AXIS["X",EAST],AXIS["Y",NORTH],AUTHORITY["EPSG","6451"]]</t>
  </si>
  <si>
    <t>PROJCS["NAD83(2011) / Idaho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-115.75],PARAMETER["scale_factor",0.999933333],PARAMETER["false_easting",800000],PARAMETER["false_northing",0],UNIT["metre",1,AUTHORITY["EPSG","9001"]],AXIS["X",EAST],AXIS["Y",NORTH],AUTHORITY["EPSG","6452"]]</t>
  </si>
  <si>
    <t>PROJCS["NAD83(2011) / Idaho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41.66666666666666],PARAMETER["central_meridian",-115.75],PARAMETER["scale_factor",0.999933333],PARAMETER["false_easting",2624666.667],PARAMETER["false_northing",0],UNIT["US survey foot",0.3048006096012192,AUTHORITY["EPSG","9003"]],AXIS["X",EAST],AXIS["Y",NORTH],AUTHORITY["EPSG","6453"]]</t>
  </si>
  <si>
    <t>PROJCS["NAD83(2011) / Illinois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36.66666666666666],PARAMETER["central_meridian",-88.33333333333333],PARAMETER["scale_factor",0.999975],PARAMETER["false_easting",300000],PARAMETER["false_northing",0],UNIT["metre",1,AUTHORITY["EPSG","9001"]],AXIS["X",EAST],AXIS["Y",NORTH],AUTHORITY["EPSG","6454"]]</t>
  </si>
  <si>
    <t>PROJCS["NAD83(2011) / Illinois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36.66666666666666],PARAMETER["central_meridian",-88.33333333333333],PARAMETER["scale_factor",0.999975],PARAMETER["false_easting",984250.0000000002],PARAMETER["false_northing",0],UNIT["US survey foot",0.3048006096012192,AUTHORITY["EPSG","9003"]],AXIS["X",EAST],AXIS["Y",NORTH],AUTHORITY["EPSG","6455"]]</t>
  </si>
  <si>
    <t>PROJCS["NAD83(2011) / Illinois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36.66666666666666],PARAMETER["central_meridian",-90.16666666666667],PARAMETER["scale_factor",0.999941177],PARAMETER["false_easting",700000],PARAMETER["false_northing",0],UNIT["metre",1,AUTHORITY["EPSG","9001"]],AXIS["X",EAST],AXIS["Y",NORTH],AUTHORITY["EPSG","6456"]]</t>
  </si>
  <si>
    <t>PROJCS["NAD83(2011) / Illinois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36.66666666666666],PARAMETER["central_meridian",-90.16666666666667],PARAMETER["scale_factor",0.999941177],PARAMETER["false_easting",2296583.333300001],PARAMETER["false_northing",0],UNIT["US survey foot",0.3048006096012192,AUTHORITY["EPSG","9003"]],AXIS["X",EAST],AXIS["Y",NORTH],AUTHORITY["EPSG","6457"]]</t>
  </si>
  <si>
    <t>PROJCS["NAD83(2011) / Indiana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-85.66666666666667],PARAMETER["scale_factor",0.999966667],PARAMETER["false_easting",100000],PARAMETER["false_northing",250000],UNIT["metre",1,AUTHORITY["EPSG","9001"]],AXIS["X",EAST],AXIS["Y",NORTH],AUTHORITY["EPSG","6458"]]</t>
  </si>
  <si>
    <t>PROJCS["NAD83(2011) / Indiana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-85.66666666666667],PARAMETER["scale_factor",0.999966667],PARAMETER["false_easting",328083.333],PARAMETER["false_northing",820208.3330000002],UNIT["US survey foot",0.3048006096012192,AUTHORITY["EPSG","9003"]],AXIS["X",EAST],AXIS["Y",NORTH],AUTHORITY["EPSG","6459"]]</t>
  </si>
  <si>
    <t>PROJCS["NAD83(2011) / Indiana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-87.08333333333333],PARAMETER["scale_factor",0.999966667],PARAMETER["false_easting",900000],PARAMETER["false_northing",250000],UNIT["metre",1,AUTHORITY["EPSG","9001"]],AXIS["X",EAST],AXIS["Y",NORTH],AUTHORITY["EPSG","6460"]]</t>
  </si>
  <si>
    <t>PROJCS["NAD83(2011) / Indiana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37.5],PARAMETER["central_meridian",-87.08333333333333],PARAMETER["scale_factor",0.999966667],PARAMETER["false_easting",2952750],PARAMETER["false_northing",820208.3330000002],UNIT["US survey foot",0.3048006096012192,AUTHORITY["EPSG","9003"]],AXIS["X",EAST],AXIS["Y",NORTH],AUTHORITY["EPSG","6461"]]</t>
  </si>
  <si>
    <t>PROJCS["NAD83(2011) / Iowa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43.26666666666667],PARAMETER["standard_parallel_2",42.06666666666667],PARAMETER["latitude_of_origin",41.5],PARAMETER["central_meridian",-93.5],PARAMETER["false_easting",1500000],PARAMETER["false_northing",1000000],UNIT["metre",1,AUTHORITY["EPSG","9001"]],AXIS["X",EAST],AXIS["Y",NORTH],AUTHORITY["EPSG","6462"]]</t>
  </si>
  <si>
    <t>PROJCS["NAD83(2011) / Iowa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43.26666666666667],PARAMETER["standard_parallel_2",42.06666666666667],PARAMETER["latitude_of_origin",41.5],PARAMETER["central_meridian",-93.5],PARAMETER["false_easting",4921250],PARAMETER["false_northing",3280833.333300001],UNIT["US survey foot",0.3048006096012192,AUTHORITY["EPSG","9003"]],AXIS["X",EAST],AXIS["Y",NORTH],AUTHORITY["EPSG","6463"]]</t>
  </si>
  <si>
    <t>PROJCS["NAD83(2011) / Iowa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41.78333333333333],PARAMETER["standard_parallel_2",40.61666666666667],PARAMETER["latitude_of_origin",40],PARAMETER["central_meridian",-93.5],PARAMETER["false_easting",500000],PARAMETER["false_northing",0],UNIT["metre",1,AUTHORITY["EPSG","9001"]],AXIS["X",EAST],AXIS["Y",NORTH],AUTHORITY["EPSG","6464"]]</t>
  </si>
  <si>
    <t>PROJCS["NAD83(2011) / Iowa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41.78333333333333],PARAMETER["standard_parallel_2",40.61666666666667],PARAMETER["latitude_of_origin",40],PARAMETER["central_meridian",-93.5],PARAMETER["false_easting",1640416.6667],PARAMETER["false_northing",0],UNIT["US survey foot",0.3048006096012192,AUTHORITY["EPSG","9003"]],AXIS["X",EAST],AXIS["Y",NORTH],AUTHORITY["EPSG","6465"]]</t>
  </si>
  <si>
    <t>PROJCS["NAD83(2011) / Kansas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39.78333333333333],PARAMETER["standard_parallel_2",38.71666666666667],PARAMETER["latitude_of_origin",38.33333333333334],PARAMETER["central_meridian",-98],PARAMETER["false_easting",400000],PARAMETER["false_northing",0],UNIT["metre",1,AUTHORITY["EPSG","9001"]],AXIS["X",EAST],AXIS["Y",NORTH],AUTHORITY["EPSG","6466"]]</t>
  </si>
  <si>
    <t>PROJCS["NAD83(2011) / Kansas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39.78333333333333],PARAMETER["standard_parallel_2",38.71666666666667],PARAMETER["latitude_of_origin",38.33333333333334],PARAMETER["central_meridian",-98],PARAMETER["false_easting",1312333.3333],PARAMETER["false_northing",0],UNIT["US survey foot",0.3048006096012192,AUTHORITY["EPSG","9003"]],AXIS["X",EAST],AXIS["Y",NORTH],AUTHORITY["EPSG","6467"]]</t>
  </si>
  <si>
    <t>PROJCS["JGD2011 / Japan Plane Rectangular CS V",GEOGCS["JGD2011",DATUM["Japanese_Geodetic_Datum_2011",SPHEROID["GRS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134.3333333333333],PARAMETER["scale_factor",0.9999],PARAMETER["false_easting",0],PARAMETER["false_northing",0],UNIT["metre",1,AUTHORITY["EPSG","9001"]],AUTHORITY["EPSG","6673"]]</t>
  </si>
  <si>
    <t>PROJCS["NAD83(2011) / Kansas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38.56666666666667],PARAMETER["standard_parallel_2",37.26666666666667],PARAMETER["latitude_of_origin",36.66666666666666],PARAMETER["central_meridian",-98.5],PARAMETER["false_easting",400000],PARAMETER["false_northing",400000],UNIT["metre",1,AUTHORITY["EPSG","9001"]],AXIS["X",EAST],AXIS["Y",NORTH],AUTHORITY["EPSG","6468"]]</t>
  </si>
  <si>
    <t>PROJCS["NAD83(2011) / Kansas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38.56666666666667],PARAMETER["standard_parallel_2",37.26666666666667],PARAMETER["latitude_of_origin",36.66666666666666],PARAMETER["central_meridian",-98.5],PARAMETER["false_easting",1312333.3333],PARAMETER["false_northing",1312333.3333],UNIT["US survey foot",0.3048006096012192,AUTHORITY["EPSG","9003"]],AXIS["X",EAST],AXIS["Y",NORTH],AUTHORITY["EPSG","6469"]]</t>
  </si>
  <si>
    <t>PROJCS["NAD83(2011) / Kentucky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37.96666666666667],PARAMETER["standard_parallel_2",38.96666666666667],PARAMETER["latitude_of_origin",37.5],PARAMETER["central_meridian",-84.25],PARAMETER["false_easting",500000],PARAMETER["false_northing",0],UNIT["metre",1,AUTHORITY["EPSG","9001"]],AXIS["X",EAST],AXIS["Y",NORTH],AUTHORITY["EPSG","6470"]]</t>
  </si>
  <si>
    <t>PROJCS["NAD83(2011) / Kentucky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37.96666666666667],PARAMETER["standard_parallel_2",38.96666666666667],PARAMETER["latitude_of_origin",37.5],PARAMETER["central_meridian",-84.25],PARAMETER["false_easting",1640416.667],PARAMETER["false_northing",0],UNIT["US survey foot",0.3048006096012192,AUTHORITY["EPSG","9003"]],AXIS["X",EAST],AXIS["Y",NORTH],AUTHORITY["EPSG","6471"]]</t>
  </si>
  <si>
    <t>PROJCS["NAD83(2011) / Kentucky Single Zone",GEOGCS["NAD83(2011)",DATUM["NAD83_National_Spatial_Reference_System_2011",SPHEROID["GRS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37.08333333333334],PARAMETER["standard_parallel_2",38.66666666666666],PARAMETER["latitude_of_origin",36.33333333333334],PARAMETER["central_meridian",-85.75],PARAMETER["false_easting",1500000],PARAMETER["false_northing",1000000],UNIT["metre",1,AUTHORITY["EPSG","9001"]],AXIS["X",EAST],AXIS["Y",NORTH],AUTHORITY["EPSG","6472"]]</t>
  </si>
  <si>
    <t>PROJCS["NAD83(2011) / Kentucky Single Zone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37.08333333333334],PARAMETER["standard_parallel_2",38.66666666666666],PARAMETER["latitude_of_origin",36.33333333333334],PARAMETER["central_meridian",-85.75],PARAMETER["false_easting",4921250],PARAMETER["false_northing",3280833.333],UNIT["US survey foot",0.3048006096012192,AUTHORITY["EPSG","9003"]],AXIS["X",EAST],AXIS["Y",NORTH],AUTHORITY["EPSG","6473"]]</t>
  </si>
  <si>
    <t>PROJCS["NAD83(2011) / Kentucky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37.93333333333333],PARAMETER["standard_parallel_2",36.73333333333333],PARAMETER["latitude_of_origin",36.33333333333334],PARAMETER["central_meridian",-85.75],PARAMETER["false_easting",500000],PARAMETER["false_northing",500000],UNIT["metre",1,AUTHORITY["EPSG","9001"]],AXIS["X",EAST],AXIS["Y",NORTH],AUTHORITY["EPSG","6474"]]</t>
  </si>
  <si>
    <t>PROJCS["NAD83(2011) / Kentucky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37.93333333333333],PARAMETER["standard_parallel_2",36.73333333333333],PARAMETER["latitude_of_origin",36.33333333333334],PARAMETER["central_meridian",-85.75],PARAMETER["false_easting",1640416.667],PARAMETER["false_northing",1640416.667],UNIT["US survey foot",0.3048006096012192,AUTHORITY["EPSG","9003"]],AXIS["X",EAST],AXIS["Y",NORTH],AUTHORITY["EPSG","6475"]]</t>
  </si>
  <si>
    <t>PROJCS["NAD83(2011) / Louisiana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32.66666666666666],PARAMETER["standard_parallel_2",31.16666666666667],PARAMETER["latitude_of_origin",30.5],PARAMETER["central_meridian",-92.5],PARAMETER["false_easting",1000000],PARAMETER["false_northing",0],UNIT["metre",1,AUTHORITY["EPSG","9001"]],AXIS["X",EAST],AXIS["Y",NORTH],AUTHORITY["EPSG","6476"]]</t>
  </si>
  <si>
    <t>PROJCS["NAD83(2011) / Louisiana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32.66666666666666],PARAMETER["standard_parallel_2",31.16666666666667],PARAMETER["latitude_of_origin",30.5],PARAMETER["central_meridian",-92.5],PARAMETER["false_easting",3280833.333300001],PARAMETER["false_northing",0],UNIT["US survey foot",0.3048006096012192,AUTHORITY["EPSG","9003"]],AXIS["X",EAST],AXIS["Y",NORTH],AUTHORITY["EPSG","6477"]]</t>
  </si>
  <si>
    <t>PROJCS["NAD83(2011) / Louisiana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30.7],PARAMETER["standard_parallel_2",29.3],PARAMETER["latitude_of_origin",28.5],PARAMETER["central_meridian",-91.33333333333333],PARAMETER["false_easting",1000000],PARAMETER["false_northing",0],UNIT["metre",1,AUTHORITY["EPSG","9001"]],AXIS["X",EAST],AXIS["Y",NORTH],AUTHORITY["EPSG","6478"]]</t>
  </si>
  <si>
    <t>PROJCS["NAD83(2011) / Louisiana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30.7],PARAMETER["standard_parallel_2",29.3],PARAMETER["latitude_of_origin",28.5],PARAMETER["central_meridian",-91.33333333333333],PARAMETER["false_easting",3280833.333300001],PARAMETER["false_northing",0],UNIT["US survey foot",0.3048006096012192,AUTHORITY["EPSG","9003"]],AXIS["X",EAST],AXIS["Y",NORTH],AUTHORITY["EPSG","6479"]]</t>
  </si>
  <si>
    <t>PROJCS["NAD83(2011) / Maine CS2000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-69.125],PARAMETER["scale_factor",0.99998],PARAMETER["false_easting",500000],PARAMETER["false_northing",0],UNIT["metre",1,AUTHORITY["EPSG","9001"]],AXIS["X",EAST],AXIS["Y",NORTH],AUTHORITY["EPSG","6480"]]</t>
  </si>
  <si>
    <t>PROJCS["NAD83(2011) / Maine CS2000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43.83333333333334],PARAMETER["central_meridian",-67.875],PARAMETER["scale_factor",0.99998],PARAMETER["false_easting",700000],PARAMETER["false_northing",0],UNIT["metre",1,AUTHORITY["EPSG","9001"]],AXIS["X",EAST],AXIS["Y",NORTH],AUTHORITY["EPSG","6481"]]</t>
  </si>
  <si>
    <t>PROJCS["NAD83(2011) / Maine CS2000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-70.375],PARAMETER["scale_factor",0.99998],PARAMETER["false_easting",300000],PARAMETER["false_northing",0],UNIT["metre",1,AUTHORITY["EPSG","9001"]],AXIS["X",EAST],AXIS["Y",NORTH],AUTHORITY["EPSG","6482"]]</t>
  </si>
  <si>
    <t>PROJCS["NAD83(2011) / Maine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6483"]]</t>
  </si>
  <si>
    <t>PROJCS["NAD83(2011) / Maine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43.66666666666666],PARAMETER["central_meridian",-68.5],PARAMETER["scale_factor",0.9999],PARAMETER["false_easting",984250.0000000002],PARAMETER["false_northing",0],UNIT["US survey foot",0.3048006096012192,AUTHORITY["EPSG","9003"]],AXIS["X",EAST],AXIS["Y",NORTH],AUTHORITY["EPSG","6484"]]</t>
  </si>
  <si>
    <t>PROJCS["NAD83(2011) / Maine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6485"]]</t>
  </si>
  <si>
    <t>PROJCS["NAD83(2011) / Maine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-70.16666666666667],PARAMETER["scale_factor",0.999966667],PARAMETER["false_easting",2952750],PARAMETER["false_northing",0],UNIT["US survey foot",0.3048006096012192,AUTHORITY["EPSG","9003"]],AXIS["X",EAST],AXIS["Y",NORTH],AUTHORITY["EPSG","6486"]]</t>
  </si>
  <si>
    <t>PROJCS["NAD83(2011) / Maryland",GEOGCS["NAD83(2011)",DATUM["NAD83_National_Spatial_Reference_System_2011",SPHEROID["GRS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39.45],PARAMETER["standard_parallel_2",38.3],PARAMETER["latitude_of_origin",37.66666666666666],PARAMETER["central_meridian",-77],PARAMETER["false_easting",400000],PARAMETER["false_northing",0],UNIT["metre",1,AUTHORITY["EPSG","9001"]],AXIS["X",EAST],AXIS["Y",NORTH],AUTHORITY["EPSG","6487"]]</t>
  </si>
  <si>
    <t>PROJCS["NAD83(2011) / Maryland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39.45],PARAMETER["standard_parallel_2",38.3],PARAMETER["latitude_of_origin",37.66666666666666],PARAMETER["central_meridian",-77],PARAMETER["false_easting",1312333.333],PARAMETER["false_northing",0],UNIT["US survey foot",0.3048006096012192,AUTHORITY["EPSG","9003"]],AXIS["X",EAST],AXIS["Y",NORTH],AUTHORITY["EPSG","6488"]]</t>
  </si>
  <si>
    <t>PROJCS["NAD83(2011) / Massachusetts Island",GEOGCS["NAD83(2011)",DATUM["NAD83_National_Spatial_Reference_System_2011",SPHEROID["GRS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41.48333333333333],PARAMETER["standard_parallel_2",41.28333333333333],PARAMETER["latitude_of_origin",41],PARAMETER["central_meridian",-70.5],PARAMETER["false_easting",500000],PARAMETER["false_northing",0],UNIT["metre",1,AUTHORITY["EPSG","9001"]],AXIS["X",EAST],AXIS["Y",NORTH],AUTHORITY["EPSG","6489"]]</t>
  </si>
  <si>
    <t>PROJCS["NAD83(2011) / Massachusetts Island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41.48333333333333],PARAMETER["standard_parallel_2",41.28333333333333],PARAMETER["latitude_of_origin",41],PARAMETER["central_meridian",-70.5],PARAMETER["false_easting",1640416.667],PARAMETER["false_northing",0],UNIT["US survey foot",0.3048006096012192,AUTHORITY["EPSG","9003"]],AXIS["X",EAST],AXIS["Y",NORTH],AUTHORITY["EPSG","6490"]]</t>
  </si>
  <si>
    <t>PROJCS["NAD83(2011) / Massachusetts Mainland",GEOGCS["NAD83(2011)",DATUM["NAD83_National_Spatial_Reference_System_2011",SPHEROID["GRS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42.68333333333333],PARAMETER["standard_parallel_2",41.71666666666667],PARAMETER["latitude_of_origin",41],PARAMETER["central_meridian",-71.5],PARAMETER["false_easting",200000],PARAMETER["false_northing",750000],UNIT["metre",1,AUTHORITY["EPSG","9001"]],AXIS["X",EAST],AXIS["Y",NORTH],AUTHORITY["EPSG","6491"]]</t>
  </si>
  <si>
    <t>PROJCS["NAD83(2011) / Massachusetts Mainland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42.68333333333333],PARAMETER["standard_parallel_2",41.71666666666667],PARAMETER["latitude_of_origin",41],PARAMETER["central_meridian",-71.5],PARAMETER["false_easting",656166.667],PARAMETER["false_northing",2460625],UNIT["US survey foot",0.3048006096012192,AUTHORITY["EPSG","9003"]],AXIS["X",EAST],AXIS["Y",NORTH],AUTHORITY["EPSG","6492"]]</t>
  </si>
  <si>
    <t>PROJCS["NAD83(2011) / Wisconsin Transverse Mercator",GEOGCS["NAD83(2011)",DATUM["NAD83_National_Spatial_Reference_System_2011",SPHEROID["GRS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0],PARAMETER["central_meridian",-90],PARAMETER["scale_factor",0.9996],PARAMETER["false_easting",520000],PARAMETER["false_northing",-4480000],UNIT["metre",1,AUTHORITY["EPSG","9001"]],AXIS["X",EAST],AXIS["Y",NORTH],AUTHORITY["EPSG","6610"]]</t>
  </si>
  <si>
    <t>PROJCS["NAD83(2011) / Michigan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45.7],PARAMETER["standard_parallel_2",44.18333333333333],PARAMETER["latitude_of_origin",43.31666666666667],PARAMETER["central_meridian",-84.36666666666666],PARAMETER["false_easting",6000000],PARAMETER["false_northing",0],UNIT["metre",1,AUTHORITY["EPSG","9001"]],AXIS["X",EAST],AXIS["Y",NORTH],AUTHORITY["EPSG","6493"]]</t>
  </si>
  <si>
    <t>PROJCS["NAD83(2011) / Michigan Central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45.7],PARAMETER["standard_parallel_2",44.18333333333333],PARAMETER["latitude_of_origin",43.31666666666667],PARAMETER["central_meridian",-84.36666666666666],PARAMETER["false_easting",19685039.37],PARAMETER["false_northing",0],UNIT["foot",0.3048,AUTHORITY["EPSG","9002"]],AXIS["X",EAST],AXIS["Y",NORTH],AUTHORITY["EPSG","6494"]]</t>
  </si>
  <si>
    <t>PROJCS["NAD83(2011) / Michigan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47.08333333333334],PARAMETER["standard_parallel_2",45.48333333333333],PARAMETER["latitude_of_origin",44.78333333333333],PARAMETER["central_meridian",-87],PARAMETER["false_easting",8000000],PARAMETER["false_northing",0],UNIT["metre",1,AUTHORITY["EPSG","9001"]],AXIS["X",EAST],AXIS["Y",NORTH],AUTHORITY["EPSG","6495"]]</t>
  </si>
  <si>
    <t>PROJCS["NAD83(2011) / Michigan North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47.08333333333334],PARAMETER["standard_parallel_2",45.48333333333333],PARAMETER["latitude_of_origin",44.78333333333333],PARAMETER["central_meridian",-87],PARAMETER["false_easting",26246719.16],PARAMETER["false_northing",0],UNIT["foot",0.3048,AUTHORITY["EPSG","9002"]],AXIS["X",EAST],AXIS["Y",NORTH],AUTHORITY["EPSG","6496"]]</t>
  </si>
  <si>
    <t>PROJCS["NAD83(2011) / Michigan Oblique Mercator",GEOGCS["NAD83(2011)",DATUM["NAD83_National_Spatial_Reference_System_2011",SPHEROID["GRS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45.30916666666666],PARAMETER["longitude_of_center",-86],PARAMETER["azimuth",337.25556],PARAMETER["rectified_grid_angle",337.25556],PARAMETER["scale_factor",0.9996],PARAMETER["false_easting",2546731.496],PARAMETER["false_northing",-4354009.816],UNIT["metre",1,AUTHORITY["EPSG","9001"]],AXIS["X",EAST],AXIS["Y",NORTH],AUTHORITY["EPSG","6497"]]</t>
  </si>
  <si>
    <t>PROJCS["NAD83(2011) / Michigan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43.66666666666666],PARAMETER["standard_parallel_2",42.1],PARAMETER["latitude_of_origin",41.5],PARAMETER["central_meridian",-84.36666666666666],PARAMETER["false_easting",4000000],PARAMETER["false_northing",0],UNIT["metre",1,AUTHORITY["EPSG","9001"]],AXIS["X",EAST],AXIS["Y",NORTH],AUTHORITY["EPSG","6498"]]</t>
  </si>
  <si>
    <t>PROJCS["NAD83(2011) / Michigan South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43.66666666666666],PARAMETER["standard_parallel_2",42.1],PARAMETER["latitude_of_origin",41.5],PARAMETER["central_meridian",-84.36666666666666],PARAMETER["false_easting",13123359.58],PARAMETER["false_northing",0],UNIT["foot",0.3048,AUTHORITY["EPSG","9002"]],AXIS["X",EAST],AXIS["Y",NORTH],AUTHORITY["EPSG","6499"]]</t>
  </si>
  <si>
    <t>PROJCS["NAD83(2011) / Minnesota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47.05],PARAMETER["standard_parallel_2",45.61666666666667],PARAMETER["latitude_of_origin",45],PARAMETER["central_meridian",-94.25],PARAMETER["false_easting",800000],PARAMETER["false_northing",100000],UNIT["metre",1,AUTHORITY["EPSG","9001"]],AXIS["X",EAST],AXIS["Y",NORTH],AUTHORITY["EPSG","6500"]]</t>
  </si>
  <si>
    <t>GEOCCS["PZ-90",DATUM["Parametry_Zemli_1990",SPHEROID["PZ-90",6378136,298.257839303,AUTHORITY["EPSG","7054"]],AUTHORITY["EPSG","6740"]],PRIMEM["Greenwich",0,AUTHORITY["EPSG","8901"]],UNIT["metre",1,AUTHORITY["EPSG","9001"]],AXIS["Geocentric X",OTHER],AXIS["Geocentric Y",OTHER],AXIS["Geocentric Z",NORTH],AUTHORITY["EPSG","4922"]]</t>
  </si>
  <si>
    <t>PROJCS["NAD83(2011) / Minnesota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47.05],PARAMETER["standard_parallel_2",45.61666666666667],PARAMETER["latitude_of_origin",45],PARAMETER["central_meridian",-94.25],PARAMETER["false_easting",2624666.6667],PARAMETER["false_northing",328083.3333],UNIT["US survey foot",0.3048006096012192,AUTHORITY["EPSG","9003"]],AXIS["X",EAST],AXIS["Y",NORTH],AUTHORITY["EPSG","6501"]]</t>
  </si>
  <si>
    <t>PROJCS["NAD83(2011) / Minnesota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48.63333333333333],PARAMETER["standard_parallel_2",47.03333333333333],PARAMETER["latitude_of_origin",46.5],PARAMETER["central_meridian",-93.1],PARAMETER["false_easting",800000],PARAMETER["false_northing",100000],UNIT["metre",1,AUTHORITY["EPSG","9001"]],AXIS["X",EAST],AXIS["Y",NORTH],AUTHORITY["EPSG","6502"]]</t>
  </si>
  <si>
    <t>PROJCS["NAD83(2011) / Minnesota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48.63333333333333],PARAMETER["standard_parallel_2",47.03333333333333],PARAMETER["latitude_of_origin",46.5],PARAMETER["central_meridian",-93.1],PARAMETER["false_easting",2624666.6667],PARAMETER["false_northing",328083.3333],UNIT["US survey foot",0.3048006096012192,AUTHORITY["EPSG","9003"]],AXIS["X",EAST],AXIS["Y",NORTH],AUTHORITY["EPSG","6503"]]</t>
  </si>
  <si>
    <t>PROJCS["NAD83(2011) / Minnesota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45.21666666666667],PARAMETER["standard_parallel_2",43.78333333333333],PARAMETER["latitude_of_origin",43],PARAMETER["central_meridian",-94],PARAMETER["false_easting",800000],PARAMETER["false_northing",100000],UNIT["metre",1,AUTHORITY["EPSG","9001"]],AXIS["X",EAST],AXIS["Y",NORTH],AUTHORITY["EPSG","6504"]]</t>
  </si>
  <si>
    <t>PROJCS["NAD83(2011) / Minnesota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45.21666666666667],PARAMETER["standard_parallel_2",43.78333333333333],PARAMETER["latitude_of_origin",43],PARAMETER["central_meridian",-94],PARAMETER["false_easting",2624666.6667],PARAMETER["false_northing",328083.3333],UNIT["US survey foot",0.3048006096012192,AUTHORITY["EPSG","9003"]],AXIS["X",EAST],AXIS["Y",NORTH],AUTHORITY["EPSG","6505"]]</t>
  </si>
  <si>
    <t>PROJCS["NAD83(2011) / Mississippi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-88.83333333333333],PARAMETER["scale_factor",0.99995],PARAMETER["false_easting",300000],PARAMETER["false_northing",0],UNIT["metre",1,AUTHORITY["EPSG","9001"]],AXIS["X",EAST],AXIS["Y",NORTH],AUTHORITY["EPSG","6506"]]</t>
  </si>
  <si>
    <t>PROJCS["NAD83(2011) / Mississippi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-88.83333333333333],PARAMETER["scale_factor",0.99995],PARAMETER["false_easting",984250.0000000002],PARAMETER["false_northing",0],UNIT["US survey foot",0.3048006096012192,AUTHORITY["EPSG","9003"]],AXIS["X",EAST],AXIS["Y",NORTH],AUTHORITY["EPSG","6507"]]</t>
  </si>
  <si>
    <t>PROJCS["NAD83(2011) / Mississippi TM",GEOGCS["NAD83(2011)",DATUM["NAD83_National_Spatial_Reference_System_2011",SPHEROID["GRS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32.5],PARAMETER["central_meridian",-89.75],PARAMETER["scale_factor",0.9998335],PARAMETER["false_easting",500000],PARAMETER["false_northing",1300000],UNIT["metre",1,AUTHORITY["EPSG","9001"]],AXIS["X",EAST],AXIS["Y",NORTH],AUTHORITY["EPSG","6508"]]</t>
  </si>
  <si>
    <t>PROJCS["NAD83(2011) / Mississippi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-90.33333333333333],PARAMETER["scale_factor",0.99995],PARAMETER["false_easting",700000],PARAMETER["false_northing",0],UNIT["metre",1,AUTHORITY["EPSG","9001"]],AXIS["X",EAST],AXIS["Y",NORTH],AUTHORITY["EPSG","6509"]]</t>
  </si>
  <si>
    <t>PROJCS["NAD83(2011) / Mississippi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29.5],PARAMETER["central_meridian",-90.33333333333333],PARAMETER["scale_factor",0.99995],PARAMETER["false_easting",2296583.333],PARAMETER["false_northing",0],UNIT["US survey foot",0.3048006096012192,AUTHORITY["EPSG","9003"]],AXIS["X",EAST],AXIS["Y",NORTH],AUTHORITY["EPSG","6510"]]</t>
  </si>
  <si>
    <t>PROJCS["NAD83(2011) / Missouri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35.83333333333334],PARAMETER["central_meridian",-92.5],PARAMETER["scale_factor",0.999933333],PARAMETER["false_easting",500000],PARAMETER["false_northing",0],UNIT["metre",1,AUTHORITY["EPSG","9001"]],AXIS["X",EAST],AXIS["Y",NORTH],AUTHORITY["EPSG","6511"]]</t>
  </si>
  <si>
    <t>PROJCS["NAD83(2011) / Missouri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35.83333333333334],PARAMETER["central_meridian",-90.5],PARAMETER["scale_factor",0.999933333],PARAMETER["false_easting",250000],PARAMETER["false_northing",0],UNIT["metre",1,AUTHORITY["EPSG","9001"]],AXIS["X",EAST],AXIS["Y",NORTH],AUTHORITY["EPSG","6512"]]</t>
  </si>
  <si>
    <t>PROJCS["NAD83(2011) / Missouri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36.16666666666666],PARAMETER["central_meridian",-94.5],PARAMETER["scale_factor",0.999941177],PARAMETER["false_easting",850000],PARAMETER["false_northing",0],UNIT["metre",1,AUTHORITY["EPSG","9001"]],AXIS["X",EAST],AXIS["Y",NORTH],AUTHORITY["EPSG","6513"]]</t>
  </si>
  <si>
    <t>PROJCS["NAD83(2011) / Montana",GEOGCS["NAD83(2011)",DATUM["NAD83_National_Spatial_Reference_System_2011",SPHEROID["GRS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49],PARAMETER["standard_parallel_2",45],PARAMETER["latitude_of_origin",44.25],PARAMETER["central_meridian",-109.5],PARAMETER["false_easting",600000],PARAMETER["false_northing",0],UNIT["metre",1,AUTHORITY["EPSG","9001"]],AXIS["X",EAST],AXIS["Y",NORTH],AUTHORITY["EPSG","6514"]]</t>
  </si>
  <si>
    <t>PROJCS["NAD83(2011) / Montana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49],PARAMETER["standard_parallel_2",45],PARAMETER["latitude_of_origin",44.25],PARAMETER["central_meridian",-109.5],PARAMETER["false_easting",1968503.937],PARAMETER["false_northing",0],UNIT["foot",0.3048,AUTHORITY["EPSG","9002"]],AXIS["X",EAST],AXIS["Y",NORTH],AUTHORITY["EPSG","6515"]]</t>
  </si>
  <si>
    <t>PROJCS["NAD83(2011) / Nebraska",GEOGCS["NAD83(2011)",DATUM["NAD83_National_Spatial_Reference_System_2011",SPHEROID["GRS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43],PARAMETER["standard_parallel_2",40],PARAMETER["latitude_of_origin",39.83333333333334],PARAMETER["central_meridian",-100],PARAMETER["false_easting",500000],PARAMETER["false_northing",0],UNIT["metre",1,AUTHORITY["EPSG","9001"]],AXIS["X",EAST],AXIS["Y",NORTH],AUTHORITY["EPSG","6516"]]</t>
  </si>
  <si>
    <t>PROJCS["NAD83(2011) / Nebraska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foot",0.3048006096012192,AUTHORITY["EPSG","9003"]],AXIS["X",EAST],AXIS["Y",NORTH],AUTHORITY["EPSG","6517"]]</t>
  </si>
  <si>
    <t xml:space="preserve">+proj=lcc +lat_1=43 +lat_2=40 +lat_0=39.83333333333334 +lon_0=-100 +x_0=500000.00001016 +y_0=0 +ellps=GRS80 +towgs84=0,0,0,0,0,0,0 +units=us-ft +no_defs </t>
  </si>
  <si>
    <t>PROJCS["NAD83(2011) / Nevada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-116.6666666666667],PARAMETER["scale_factor",0.9999],PARAMETER["false_easting",500000],PARAMETER["false_northing",6000000],UNIT["metre",1,AUTHORITY["EPSG","9001"]],AXIS["X",EAST],AXIS["Y",NORTH],AUTHORITY["EPSG","6518"]]</t>
  </si>
  <si>
    <t>GEOCCS["Mauritania 1999",DATUM["Mauritania_1999",SPHEROID["GRS 1980",6378137,298.257222101,AUTHORITY["EPSG","7019"]],AUTHORITY["EPSG","6702"]],PRIMEM["Greenwich",0,AUTHORITY["EPSG","8901"]],UNIT["metre",1,AUTHORITY["EPSG","9001"]],AXIS["Geocentric X",OTHER],AXIS["Geocentric Y",OTHER],AXIS["Geocentric Z",NORTH],AUTHORITY["EPSG","4924"]]</t>
  </si>
  <si>
    <t>PROJCS["NAD83(2011) / Nevada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-116.6666666666667],PARAMETER["scale_factor",0.9999],PARAMETER["false_easting",1640416.6667],PARAMETER["false_northing",19685000],UNIT["US survey foot",0.3048006096012192,AUTHORITY["EPSG","9003"]],AXIS["X",EAST],AXIS["Y",NORTH],AUTHORITY["EPSG","6519"]]</t>
  </si>
  <si>
    <t>PROJCS["NAD83(2011) / Nevada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-115.5833333333333],PARAMETER["scale_factor",0.9999],PARAMETER["false_easting",200000],PARAMETER["false_northing",8000000],UNIT["metre",1,AUTHORITY["EPSG","9001"]],AXIS["X",EAST],AXIS["Y",NORTH],AUTHORITY["EPSG","6520"]]</t>
  </si>
  <si>
    <t>PROJCS["NAD83(2011) / Nevada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-115.5833333333333],PARAMETER["scale_factor",0.9999],PARAMETER["false_easting",656166.6667],PARAMETER["false_northing",26246666.66670001],UNIT["US survey foot",0.3048006096012192,AUTHORITY["EPSG","9003"]],AXIS["X",EAST],AXIS["Y",NORTH],AUTHORITY["EPSG","6521"]]</t>
  </si>
  <si>
    <t>PROJCS["NAD83(2011) / Nevada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-118.5833333333333],PARAMETER["scale_factor",0.9999],PARAMETER["false_easting",800000],PARAMETER["false_northing",4000000],UNIT["metre",1,AUTHORITY["EPSG","9001"]],AXIS["X",EAST],AXIS["Y",NORTH],AUTHORITY["EPSG","6522"]]</t>
  </si>
  <si>
    <t>PROJCS["NAD83(2011) / Nevada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34.75],PARAMETER["central_meridian",-118.5833333333333],PARAMETER["scale_factor",0.9999],PARAMETER["false_easting",2624666.6667],PARAMETER["false_northing",13123333.3333],UNIT["US survey foot",0.3048006096012192,AUTHORITY["EPSG","9003"]],AXIS["X",EAST],AXIS["Y",NORTH],AUTHORITY["EPSG","6523"]]</t>
  </si>
  <si>
    <t>PROJCS["NAD83(2011) / New Hampshire",GEOGCS["NAD83(2011)",DATUM["NAD83_National_Spatial_Reference_System_2011",SPHEROID["GRS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-71.66666666666667],PARAMETER["scale_factor",0.999966667],PARAMETER["false_easting",300000],PARAMETER["false_northing",0],UNIT["metre",1,AUTHORITY["EPSG","9001"]],AXIS["X",EAST],AXIS["Y",NORTH],AUTHORITY["EPSG","6524"]]</t>
  </si>
  <si>
    <t>PROJCS["NAD83(2011) / New Hampshire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-71.66666666666667],PARAMETER["scale_factor",0.999966667],PARAMETER["false_easting",984250.0000000002],PARAMETER["false_northing",0],UNIT["US survey foot",0.3048006096012192,AUTHORITY["EPSG","9003"]],AXIS["X",EAST],AXIS["Y",NORTH],AUTHORITY["EPSG","6525"]]</t>
  </si>
  <si>
    <t>PROJCS["NAD83(2011) / New Jersey",GEOGCS["NAD83(2011)",DATUM["NAD83_National_Spatial_Reference_System_2011",SPHEROID["GRS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6526"]]</t>
  </si>
  <si>
    <t>PROJCS["NAD83(2011) / New Jersey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foot",0.3048006096012192,AUTHORITY["EPSG","9003"]],AXIS["X",EAST],AXIS["Y",NORTH],AUTHORITY["EPSG","6527"]]</t>
  </si>
  <si>
    <t>GEOCCS["Korea 2000",DATUM["Geocentric_datum_of_Korea",SPHEROID["GRS 1980",6378137,298.257222101,AUTHORITY["EPSG","7019"]],AUTHORITY["EPSG","6737"]],PRIMEM["Greenwich",0,AUTHORITY["EPSG","8901"]],UNIT["metre",1,AUTHORITY["EPSG","9001"]],AXIS["Geocentric X",OTHER],AXIS["Geocentric Y",OTHER],AXIS["Geocentric Z",NORTH],AUTHORITY["EPSG","4926"]]</t>
  </si>
  <si>
    <t>PROJCS["NAD83(2011) / New Mexico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-106.25],PARAMETER["scale_factor",0.9999],PARAMETER["false_easting",1640416.667],PARAMETER["false_northing",0],UNIT["US survey foot",0.3048006096012192,AUTHORITY["EPSG","9003"]],AXIS["X",EAST],AXIS["Y",NORTH],AUTHORITY["EPSG","6529"]]</t>
  </si>
  <si>
    <t>PROJCS["NAD83(2011) / New Mexico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-104.3333333333333],PARAMETER["scale_factor",0.999909091],PARAMETER["false_easting",165000],PARAMETER["false_northing",0],UNIT["metre",1,AUTHORITY["EPSG","9001"]],AXIS["X",EAST],AXIS["Y",NORTH],AUTHORITY["EPSG","6530"]]</t>
  </si>
  <si>
    <t>PROJCS["NAD83(2011) / New Mexico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-104.3333333333333],PARAMETER["scale_factor",0.999909091],PARAMETER["false_easting",541337.5],PARAMETER["false_northing",0],UNIT["US survey foot",0.3048006096012192,AUTHORITY["EPSG","9003"]],AXIS["X",EAST],AXIS["Y",NORTH],AUTHORITY["EPSG","6531"]]</t>
  </si>
  <si>
    <t>PROJCS["NAD83(2011) / New Mexico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-107.8333333333333],PARAMETER["scale_factor",0.999916667],PARAMETER["false_easting",830000],PARAMETER["false_northing",0],UNIT["metre",1,AUTHORITY["EPSG","9001"]],AXIS["X",EAST],AXIS["Y",NORTH],AUTHORITY["EPSG","6532"]]</t>
  </si>
  <si>
    <t>PROJCS["NAD83(2011) / New Mexico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31],PARAMETER["central_meridian",-107.8333333333333],PARAMETER["scale_factor",0.999916667],PARAMETER["false_easting",2723091.667],PARAMETER["false_northing",0],UNIT["US survey foot",0.3048006096012192,AUTHORITY["EPSG","9003"]],AXIS["X",EAST],AXIS["Y",NORTH],AUTHORITY["EPSG","6533"]]</t>
  </si>
  <si>
    <t>PROJCS["NAD83(2011) / New York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-76.58333333333333],PARAMETER["scale_factor",0.9999375],PARAMETER["false_easting",250000],PARAMETER["false_northing",0],UNIT["metre",1,AUTHORITY["EPSG","9001"]],AXIS["X",EAST],AXIS["Y",NORTH],AUTHORITY["EPSG","6534"]]</t>
  </si>
  <si>
    <t>PROJCS["NAD83(2011) / New York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-76.58333333333333],PARAMETER["scale_factor",0.9999375],PARAMETER["false_easting",820208.3330000002],PARAMETER["false_northing",0],UNIT["US survey foot",0.3048006096012192,AUTHORITY["EPSG","9003"]],AXIS["X",EAST],AXIS["Y",NORTH],AUTHORITY["EPSG","6535"]]</t>
  </si>
  <si>
    <t>PROJCS["NAD83(2011) / New York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6536"]]</t>
  </si>
  <si>
    <t>PROJCS["NAD83(2011) / New York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38.83333333333334],PARAMETER["central_meridian",-74.5],PARAMETER["scale_factor",0.9999],PARAMETER["false_easting",492125],PARAMETER["false_northing",0],UNIT["US survey foot",0.3048006096012192,AUTHORITY["EPSG","9003"]],AXIS["X",EAST],AXIS["Y",NORTH],AUTHORITY["EPSG","6537"]]</t>
  </si>
  <si>
    <t>GEOCCS["POSGAR 94",DATUM["Posiciones_Geodesicas_Argentinas_1994",SPHEROID["WGS 84",6378137,298.257223563,AUTHORITY["EPSG","7030"]],AUTHORITY["EPSG","6694"]],PRIMEM["Greenwich",0,AUTHORITY["EPSG","8901"]],UNIT["metre",1,AUTHORITY["EPSG","9001"]],AXIS["Geocentric X",OTHER],AXIS["Geocentric Y",OTHER],AXIS["Geocentric Z",NORTH],AUTHORITY["EPSG","4928"]]</t>
  </si>
  <si>
    <t>PROJCS["NAD83(2011) / New York Long Island",GEOGCS["NAD83(2011)",DATUM["NAD83_National_Spatial_Reference_System_2011",SPHEROID["GRS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41.03333333333333],PARAMETER["standard_parallel_2",40.66666666666666],PARAMETER["latitude_of_origin",40.16666666666666],PARAMETER["central_meridian",-74],PARAMETER["false_easting",300000],PARAMETER["false_northing",0],UNIT["metre",1,AUTHORITY["EPSG","9001"]],AXIS["X",EAST],AXIS["Y",NORTH],AUTHORITY["EPSG","6538"]]</t>
  </si>
  <si>
    <t>PROJCS["NAD83(2011) / New York Long Island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41.03333333333333],PARAMETER["standard_parallel_2",40.66666666666666],PARAMETER["latitude_of_origin",40.16666666666666],PARAMETER["central_meridian",-74],PARAMETER["false_easting",984250.0000000002],PARAMETER["false_northing",0],UNIT["US survey foot",0.3048006096012192,AUTHORITY["EPSG","9003"]],AXIS["X",EAST],AXIS["Y",NORTH],AUTHORITY["EPSG","6539"]]</t>
  </si>
  <si>
    <t>PROJCS["NAD83(2011) / New York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-78.58333333333333],PARAMETER["scale_factor",0.9999375],PARAMETER["false_easting",350000],PARAMETER["false_northing",0],UNIT["metre",1,AUTHORITY["EPSG","9001"]],AXIS["X",EAST],AXIS["Y",NORTH],AUTHORITY["EPSG","6540"]]</t>
  </si>
  <si>
    <t>PROJCS["NAD83(2011) / New York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40],PARAMETER["central_meridian",-78.58333333333333],PARAMETER["scale_factor",0.9999375],PARAMETER["false_easting",1148291.667],PARAMETER["false_northing",0],UNIT["US survey foot",0.3048006096012192,AUTHORITY["EPSG","9003"]],AXIS["X",EAST],AXIS["Y",NORTH],AUTHORITY["EPSG","6541"]]</t>
  </si>
  <si>
    <t>PROJCS["NAD83(2011) / North Carolina",GEOGCS["NAD83(2011)",DATUM["NAD83_National_Spatial_Reference_System_2011",SPHEROID["GRS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36.16666666666666],PARAMETER["standard_parallel_2",34.33333333333334],PARAMETER["latitude_of_origin",33.75],PARAMETER["central_meridian",-79],PARAMETER["false_easting",609601.22],PARAMETER["false_northing",0],UNIT["metre",1,AUTHORITY["EPSG","9001"]],AXIS["X",EAST],AXIS["Y",NORTH],AUTHORITY["EPSG","6542"]]</t>
  </si>
  <si>
    <t>PROJCS["NAD83(2011) / North Carolina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36.16666666666666],PARAMETER["standard_parallel_2",34.33333333333334],PARAMETER["latitude_of_origin",33.75],PARAMETER["central_meridian",-79],PARAMETER["false_easting",2000000],PARAMETER["false_northing",0],UNIT["US survey foot",0.3048006096012192,AUTHORITY["EPSG","9003"]],AXIS["X",EAST],AXIS["Y",NORTH],AUTHORITY["EPSG","6543"]]</t>
  </si>
  <si>
    <t>PROJCS["NAD83(2011) / North Dakota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48.73333333333333],PARAMETER["standard_parallel_2",47.43333333333333],PARAMETER["latitude_of_origin",47],PARAMETER["central_meridian",-100.5],PARAMETER["false_easting",600000],PARAMETER["false_northing",0],UNIT["metre",1,AUTHORITY["EPSG","9001"]],AXIS["X",EAST],AXIS["Y",NORTH],AUTHORITY["EPSG","6544"]]</t>
  </si>
  <si>
    <t>PROJCS["NAD83(2011) / North Dakota North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48.73333333333333],PARAMETER["standard_parallel_2",47.43333333333333],PARAMETER["latitude_of_origin",47],PARAMETER["central_meridian",-100.5],PARAMETER["false_easting",1968503.937],PARAMETER["false_northing",0],UNIT["foot",0.3048,AUTHORITY["EPSG","9002"]],AXIS["X",EAST],AXIS["Y",NORTH],AUTHORITY["EPSG","6545"]]</t>
  </si>
  <si>
    <t>PROJCS["NAD83(2011) / Wyoming East",GEOGCS["NAD83(2011)",DATUM["NAD83_National_Spatial_Reference_System_2011",SPHEROID["GRS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-105.1666666666667],PARAMETER["scale_factor",0.9999375],PARAMETER["false_easting",200000],PARAMETER["false_northing",0],UNIT["metre",1,AUTHORITY["EPSG","9001"]],AXIS["X",EAST],AXIS["Y",NORTH],AUTHORITY["EPSG","6611"]]</t>
  </si>
  <si>
    <t>PROJCS["NAD83(2011) / North Dakota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47.48333333333333],PARAMETER["standard_parallel_2",46.18333333333333],PARAMETER["latitude_of_origin",45.66666666666666],PARAMETER["central_meridian",-100.5],PARAMETER["false_easting",600000],PARAMETER["false_northing",0],UNIT["metre",1,AUTHORITY["EPSG","9001"]],AXIS["X",EAST],AXIS["Y",NORTH],AUTHORITY["EPSG","6546"]]</t>
  </si>
  <si>
    <t>PROJCS["NAD83(2011) / North Dakota South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47.48333333333333],PARAMETER["standard_parallel_2",46.18333333333333],PARAMETER["latitude_of_origin",45.66666666666666],PARAMETER["central_meridian",-100.5],PARAMETER["false_easting",1968503.937],PARAMETER["false_northing",0],UNIT["foot",0.3048,AUTHORITY["EPSG","9002"]],AXIS["X",EAST],AXIS["Y",NORTH],AUTHORITY["EPSG","6547"]]</t>
  </si>
  <si>
    <t>PROJCS["NAD83(2011) / Ohio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41.7],PARAMETER["standard_parallel_2",40.43333333333333],PARAMETER["latitude_of_origin",39.66666666666666],PARAMETER["central_meridian",-82.5],PARAMETER["false_easting",600000],PARAMETER["false_northing",0],UNIT["metre",1,AUTHORITY["EPSG","9001"]],AXIS["X",EAST],AXIS["Y",NORTH],AUTHORITY["EPSG","6548"]]</t>
  </si>
  <si>
    <t>PROJCS["NAD83(2011) / Ohio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41.7],PARAMETER["standard_parallel_2",40.43333333333333],PARAMETER["latitude_of_origin",39.66666666666666],PARAMETER["central_meridian",-82.5],PARAMETER["false_easting",1968500],PARAMETER["false_northing",0],UNIT["US survey foot",0.3048006096012192,AUTHORITY["EPSG","9003"]],AXIS["X",EAST],AXIS["Y",NORTH],AUTHORITY["EPSG","6549"]]</t>
  </si>
  <si>
    <t>PROJCS["NAD83(2011) / Ohio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40.03333333333333],PARAMETER["standard_parallel_2",38.73333333333333],PARAMETER["latitude_of_origin",38],PARAMETER["central_meridian",-82.5],PARAMETER["false_easting",600000],PARAMETER["false_northing",0],UNIT["metre",1,AUTHORITY["EPSG","9001"]],AXIS["X",EAST],AXIS["Y",NORTH],AUTHORITY["EPSG","6550"]]</t>
  </si>
  <si>
    <t>PROJCS["NAD83(2011) / Ohio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40.03333333333333],PARAMETER["standard_parallel_2",38.73333333333333],PARAMETER["latitude_of_origin",38],PARAMETER["central_meridian",-82.5],PARAMETER["false_easting",1968500],PARAMETER["false_northing",0],UNIT["US survey foot",0.3048006096012192,AUTHORITY["EPSG","9003"]],AXIS["X",EAST],AXIS["Y",NORTH],AUTHORITY["EPSG","6551"]]</t>
  </si>
  <si>
    <t>PROJCS["NAD83(2011) / Oklahoma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36.76666666666667],PARAMETER["standard_parallel_2",35.56666666666667],PARAMETER["latitude_of_origin",35],PARAMETER["central_meridian",-98],PARAMETER["false_easting",600000],PARAMETER["false_northing",0],UNIT["metre",1,AUTHORITY["EPSG","9001"]],AXIS["X",EAST],AXIS["Y",NORTH],AUTHORITY["EPSG","6552"]]</t>
  </si>
  <si>
    <t>PROJCS["NAD83(2011) / Oklahoma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36.76666666666667],PARAMETER["standard_parallel_2",35.56666666666667],PARAMETER["latitude_of_origin",35],PARAMETER["central_meridian",-98],PARAMETER["false_easting",1968500],PARAMETER["false_northing",0],UNIT["US survey foot",0.3048006096012192,AUTHORITY["EPSG","9003"]],AXIS["X",EAST],AXIS["Y",NORTH],AUTHORITY["EPSG","6553"]]</t>
  </si>
  <si>
    <t>PROJCS["JGD2011 / Japan Plane Rectangular CS VI",GEOGCS["JGD2011",DATUM["Japanese_Geodetic_Datum_2011",SPHEROID["GRS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136],PARAMETER["scale_factor",0.9999],PARAMETER["false_easting",0],PARAMETER["false_northing",0],UNIT["metre",1,AUTHORITY["EPSG","9001"]],AUTHORITY["EPSG","6674"]]</t>
  </si>
  <si>
    <t>PROJCS["NAD83(2011) / Oklahoma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35.23333333333333],PARAMETER["standard_parallel_2",33.93333333333333],PARAMETER["latitude_of_origin",33.33333333333334],PARAMETER["central_meridian",-98],PARAMETER["false_easting",600000],PARAMETER["false_northing",0],UNIT["metre",1,AUTHORITY["EPSG","9001"]],AXIS["X",EAST],AXIS["Y",NORTH],AUTHORITY["EPSG","6554"]]</t>
  </si>
  <si>
    <t>PROJCS["NAD83(2011) / Oklahoma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35.23333333333333],PARAMETER["standard_parallel_2",33.93333333333333],PARAMETER["latitude_of_origin",33.33333333333334],PARAMETER["central_meridian",-98],PARAMETER["false_easting",1968500],PARAMETER["false_northing",0],UNIT["US survey foot",0.3048006096012192,AUTHORITY["EPSG","9003"]],AXIS["X",EAST],AXIS["Y",NORTH],AUTHORITY["EPSG","6555"]]</t>
  </si>
  <si>
    <t>PROJCS["NAD83(2011) / Oregon LCC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6556"]]</t>
  </si>
  <si>
    <t>PROJCS["NAD83(2011) / Oregon GIC Lambert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6557"]]</t>
  </si>
  <si>
    <t>PROJCS["NAD83(2011) / Oregon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6558"]]</t>
  </si>
  <si>
    <t>PROJCS["NAD83(2011) / Oregon North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6559"]]</t>
  </si>
  <si>
    <t>PROJCS["NAD83(2011) / Oregon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6560"]]</t>
  </si>
  <si>
    <t>PROJCS["NAD83(2011) / Oregon South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6561"]]</t>
  </si>
  <si>
    <t>PROJCS["NAD83(2011) / Wyoming East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-105.1666666666667],PARAMETER["scale_factor",0.9999375],PARAMETER["false_easting",656166.6667],PARAMETER["false_northing",0],UNIT["US survey foot",0.3048006096012192,AUTHORITY["EPSG","9003"]],AXIS["X",EAST],AXIS["Y",NORTH],AUTHORITY["EPSG","6612"]]</t>
  </si>
  <si>
    <t>PROJCS["NAD83(2011) / Pennsylvania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41.95],PARAMETER["standard_parallel_2",40.88333333333333],PARAMETER["latitude_of_origin",40.16666666666666],PARAMETER["central_meridian",-77.75],PARAMETER["false_easting",600000],PARAMETER["false_northing",0],UNIT["metre",1,AUTHORITY["EPSG","9001"]],AXIS["X",EAST],AXIS["Y",NORTH],AUTHORITY["EPSG","6562"]]</t>
  </si>
  <si>
    <t>PROJCS["NAD83(2011) / Pennsylvania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41.95],PARAMETER["standard_parallel_2",40.88333333333333],PARAMETER["latitude_of_origin",40.16666666666666],PARAMETER["central_meridian",-77.75],PARAMETER["false_easting",1968500],PARAMETER["false_northing",0],UNIT["US survey foot",0.3048006096012192,AUTHORITY["EPSG","9003"]],AXIS["X",EAST],AXIS["Y",NORTH],AUTHORITY["EPSG","6563"]]</t>
  </si>
  <si>
    <t>PROJCS["NAD83(2011) / Pennsylvania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40.96666666666667],PARAMETER["standard_parallel_2",39.93333333333333],PARAMETER["latitude_of_origin",39.33333333333334],PARAMETER["central_meridian",-77.75],PARAMETER["false_easting",600000],PARAMETER["false_northing",0],UNIT["metre",1,AUTHORITY["EPSG","9001"]],AXIS["X",EAST],AXIS["Y",NORTH],AUTHORITY["EPSG","6564"]]</t>
  </si>
  <si>
    <t>PROJCS["NAD83(2011) / Pennsylvania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40.96666666666667],PARAMETER["standard_parallel_2",39.93333333333333],PARAMETER["latitude_of_origin",39.33333333333334],PARAMETER["central_meridian",-77.75],PARAMETER["false_easting",1968500],PARAMETER["false_northing",0],UNIT["US survey foot",0.3048006096012192,AUTHORITY["EPSG","9003"]],AXIS["X",EAST],AXIS["Y",NORTH],AUTHORITY["EPSG","6565"]]</t>
  </si>
  <si>
    <t>PROJCS["NAD83(2011) / Puerto Rico and Virgin Is.",GEOGCS["NAD83(2011)",DATUM["NAD83_National_Spatial_Reference_System_2011",SPHEROID["GRS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6566"]]</t>
  </si>
  <si>
    <t>PROJCS["NAD83(2011) / Rhode Island",GEOGCS["NAD83(2011)",DATUM["NAD83_National_Spatial_Reference_System_2011",SPHEROID["GRS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41.08333333333334],PARAMETER["central_meridian",-71.5],PARAMETER["scale_factor",0.99999375],PARAMETER["false_easting",100000],PARAMETER["false_northing",0],UNIT["metre",1,AUTHORITY["EPSG","9001"]],AXIS["X",EAST],AXIS["Y",NORTH],AUTHORITY["EPSG","6567"]]</t>
  </si>
  <si>
    <t>PROJCS["NAD83(2011) / Rhode Island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41.08333333333334],PARAMETER["central_meridian",-71.5],PARAMETER["scale_factor",0.99999375],PARAMETER["false_easting",328083.3333],PARAMETER["false_northing",0],UNIT["US survey foot",0.3048006096012192,AUTHORITY["EPSG","9003"]],AXIS["X",EAST],AXIS["Y",NORTH],AUTHORITY["EPSG","6568"]]</t>
  </si>
  <si>
    <t>PROJCS["NAD83(2011) / South Carolina",GEOGCS["NAD83(2011)",DATUM["NAD83_National_Spatial_Reference_System_2011",SPHEROID["GRS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34.83333333333334],PARAMETER["standard_parallel_2",32.5],PARAMETER["latitude_of_origin",31.83333333333333],PARAMETER["central_meridian",-81],PARAMETER["false_easting",609600],PARAMETER["false_northing",0],UNIT["metre",1,AUTHORITY["EPSG","9001"]],AXIS["X",EAST],AXIS["Y",NORTH],AUTHORITY["EPSG","6569"]]</t>
  </si>
  <si>
    <t>PROJCS["JGD2011 / Japan Plane Rectangular CS III",GEOGCS["JGD2011",DATUM["Japanese_Geodetic_Datum_2011",SPHEROID["GRS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132.1666666666667],PARAMETER["scale_factor",0.9999],PARAMETER["false_easting",0],PARAMETER["false_northing",0],UNIT["metre",1,AUTHORITY["EPSG","9001"]],AUTHORITY["EPSG","6671"]]</t>
  </si>
  <si>
    <t>PROJCS["NAD83(2011) / South Carolina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34.83333333333334],PARAMETER["standard_parallel_2",32.5],PARAMETER["latitude_of_origin",31.83333333333333],PARAMETER["central_meridian",-81],PARAMETER["false_easting",2000000],PARAMETER["false_northing",0],UNIT["foot",0.3048,AUTHORITY["EPSG","9002"]],AXIS["X",EAST],AXIS["Y",NORTH],AUTHORITY["EPSG","6570"]]</t>
  </si>
  <si>
    <t>PROJCS["NAD83(2011) / South Dakota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45.68333333333333],PARAMETER["standard_parallel_2",44.41666666666666],PARAMETER["latitude_of_origin",43.83333333333334],PARAMETER["central_meridian",-100],PARAMETER["false_easting",600000],PARAMETER["false_northing",0],UNIT["metre",1,AUTHORITY["EPSG","9001"]],AXIS["X",EAST],AXIS["Y",NORTH],AUTHORITY["EPSG","6571"]]</t>
  </si>
  <si>
    <t>PROJCS["NAD83(2011) / South Dakota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45.68333333333333],PARAMETER["standard_parallel_2",44.41666666666666],PARAMETER["latitude_of_origin",43.83333333333334],PARAMETER["central_meridian",-100],PARAMETER["false_easting",1968500],PARAMETER["false_northing",0],UNIT["US survey foot",0.3048006096012192,AUTHORITY["EPSG","9003"]],AXIS["X",EAST],AXIS["Y",NORTH],AUTHORITY["EPSG","6572"]]</t>
  </si>
  <si>
    <t>PROJCS["NAD83(2011) / South Dakota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44.4],PARAMETER["standard_parallel_2",42.83333333333334],PARAMETER["latitude_of_origin",42.33333333333334],PARAMETER["central_meridian",-100.3333333333333],PARAMETER["false_easting",600000],PARAMETER["false_northing",0],UNIT["metre",1,AUTHORITY["EPSG","9001"]],AXIS["X",EAST],AXIS["Y",NORTH],AUTHORITY["EPSG","6573"]]</t>
  </si>
  <si>
    <t>PROJCS["NAD83(2011) / South Dakota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44.4],PARAMETER["standard_parallel_2",42.83333333333334],PARAMETER["latitude_of_origin",42.33333333333334],PARAMETER["central_meridian",-100.3333333333333],PARAMETER["false_easting",1968500],PARAMETER["false_northing",0],UNIT["US survey foot",0.3048006096012192,AUTHORITY["EPSG","9003"]],AXIS["X",EAST],AXIS["Y",NORTH],AUTHORITY["EPSG","6574"]]</t>
  </si>
  <si>
    <t>PROJCS["NAD83(2011) / Tennessee",GEOGCS["NAD83(2011)",DATUM["NAD83_National_Spatial_Reference_System_2011",SPHEROID["GRS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36.41666666666666],PARAMETER["standard_parallel_2",35.25],PARAMETER["latitude_of_origin",34.33333333333334],PARAMETER["central_meridian",-86],PARAMETER["false_easting",600000],PARAMETER["false_northing",0],UNIT["metre",1,AUTHORITY["EPSG","9001"]],AXIS["X",EAST],AXIS["Y",NORTH],AUTHORITY["EPSG","6575"]]</t>
  </si>
  <si>
    <t>PROJCS["NAD83(2011) / Tennessee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36.41666666666666],PARAMETER["standard_parallel_2",35.25],PARAMETER["latitude_of_origin",34.33333333333334],PARAMETER["central_meridian",-86],PARAMETER["false_easting",1968500],PARAMETER["false_northing",0],UNIT["US survey foot",0.3048006096012192,AUTHORITY["EPSG","9003"]],AXIS["X",EAST],AXIS["Y",NORTH],AUTHORITY["EPSG","6576"]]</t>
  </si>
  <si>
    <t>PROJCS["NAD83(2011) / Texas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31.88333333333333],PARAMETER["standard_parallel_2",30.11666666666667],PARAMETER["latitude_of_origin",29.66666666666667],PARAMETER["central_meridian",-100.3333333333333],PARAMETER["false_easting",700000],PARAMETER["false_northing",3000000],UNIT["metre",1,AUTHORITY["EPSG","9001"]],AXIS["X",EAST],AXIS["Y",NORTH],AUTHORITY["EPSG","6577"]]</t>
  </si>
  <si>
    <t>GEOCCS["Australian Antarctic",DATUM["Australian_Antarctic_Datum_1998",SPHEROID["GRS 1980",6378137,298.257222101,AUTHORITY["EPSG","7019"]],AUTHORITY["EPSG","6176"]],PRIMEM["Greenwich",0,AUTHORITY["EPSG","8901"]],UNIT["metre",1,AUTHORITY["EPSG","9001"]],AXIS["Geocentric X",OTHER],AXIS["Geocentric Y",OTHER],AXIS["Geocentric Z",NORTH],AUTHORITY["EPSG","4930"]]</t>
  </si>
  <si>
    <t>PROJCS["NAD83(2011) / Texas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31.88333333333333],PARAMETER["standard_parallel_2",30.11666666666667],PARAMETER["latitude_of_origin",29.66666666666667],PARAMETER["central_meridian",-100.3333333333333],PARAMETER["false_easting",2296583.333],PARAMETER["false_northing",9842500.000000002],UNIT["US survey foot",0.3048006096012192,AUTHORITY["EPSG","9003"]],AXIS["X",EAST],AXIS["Y",NORTH],AUTHORITY["EPSG","6578"]]</t>
  </si>
  <si>
    <t>PROJCS["NAD83(2011) / Texas Centric Albers Equal Area",GEOGCS["NAD83(2011)",DATUM["NAD83_National_Spatial_Reference_System_2011",SPHEROID["GRS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Albers_Conic_Equal_Area"],PARAMETER["standard_parallel_1",27.5],PARAMETER["standard_parallel_2",35],PARAMETER["latitude_of_center",18],PARAMETER["longitude_of_center",-100],PARAMETER["false_easting",1500000],PARAMETER["false_northing",6000000],UNIT["metre",1,AUTHORITY["EPSG","9001"]],AXIS["X",EAST],AXIS["Y",NORTH],AUTHORITY["EPSG","6579"]]</t>
  </si>
  <si>
    <t>PROJCS["NAD83(2011) / Texas Centric Lambert Conformal",GEOGCS["NAD83(2011)",DATUM["NAD83_National_Spatial_Reference_System_2011",SPHEROID["GRS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27.5],PARAMETER["standard_parallel_2",35],PARAMETER["latitude_of_origin",18],PARAMETER["central_meridian",-100],PARAMETER["false_easting",1500000],PARAMETER["false_northing",5000000],UNIT["metre",1,AUTHORITY["EPSG","9001"]],AXIS["X",EAST],AXIS["Y",NORTH],AUTHORITY["EPSG","6580"]]</t>
  </si>
  <si>
    <t>PROJCS["NAD83(2011) / Texas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36.18333333333333],PARAMETER["standard_parallel_2",34.65],PARAMETER["latitude_of_origin",34],PARAMETER["central_meridian",-101.5],PARAMETER["false_easting",200000],PARAMETER["false_northing",1000000],UNIT["metre",1,AUTHORITY["EPSG","9001"]],AXIS["X",EAST],AXIS["Y",NORTH],AUTHORITY["EPSG","6581"]]</t>
  </si>
  <si>
    <t>PROJCS["NAD83(2011) / Texas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36.18333333333333],PARAMETER["standard_parallel_2",34.65],PARAMETER["latitude_of_origin",34],PARAMETER["central_meridian",-101.5],PARAMETER["false_easting",656166.667],PARAMETER["false_northing",3280833.333],UNIT["US survey foot",0.3048006096012192,AUTHORITY["EPSG","9003"]],AXIS["X",EAST],AXIS["Y",NORTH],AUTHORITY["EPSG","6582"]]</t>
  </si>
  <si>
    <t>PROJCS["NAD83(2011) / Texas North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33.96666666666667],PARAMETER["standard_parallel_2",32.13333333333333],PARAMETER["latitude_of_origin",31.66666666666667],PARAMETER["central_meridian",-98.5],PARAMETER["false_easting",600000],PARAMETER["false_northing",2000000],UNIT["metre",1,AUTHORITY["EPSG","9001"]],AXIS["X",EAST],AXIS["Y",NORTH],AUTHORITY["EPSG","6583"]]</t>
  </si>
  <si>
    <t>PROJCS["NAD83(2011) / Texas North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33.96666666666667],PARAMETER["standard_parallel_2",32.13333333333333],PARAMETER["latitude_of_origin",31.66666666666667],PARAMETER["central_meridian",-98.5],PARAMETER["false_easting",1968500],PARAMETER["false_northing",6561666.667],UNIT["US survey foot",0.3048006096012192,AUTHORITY["EPSG","9003"]],AXIS["X",EAST],AXIS["Y",NORTH],AUTHORITY["EPSG","6584"]]</t>
  </si>
  <si>
    <t>PROJCS["NAD83(2011) / Texas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27.83333333333333],PARAMETER["standard_parallel_2",26.16666666666667],PARAMETER["latitude_of_origin",25.66666666666667],PARAMETER["central_meridian",-98.5],PARAMETER["false_easting",300000],PARAMETER["false_northing",5000000],UNIT["metre",1,AUTHORITY["EPSG","9001"]],AXIS["X",EAST],AXIS["Y",NORTH],AUTHORITY["EPSG","6585"]]</t>
  </si>
  <si>
    <t>GEOCCS["CHTRF95",DATUM["Swiss_Terrestrial_Reference_Frame_1995",SPHEROID["GRS 1980",6378137,298.257222101,AUTHORITY["EPSG","7019"]],AUTHORITY["EPSG","6151"]],PRIMEM["Greenwich",0,AUTHORITY["EPSG","8901"]],UNIT["metre",1,AUTHORITY["EPSG","9001"]],AXIS["Geocentric X",OTHER],AXIS["Geocentric Y",OTHER],AXIS["Geocentric Z",NORTH],AUTHORITY["EPSG","4932"]]</t>
  </si>
  <si>
    <t>PROJCS["NAD83(2011) / Texas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27.83333333333333],PARAMETER["standard_parallel_2",26.16666666666667],PARAMETER["latitude_of_origin",25.66666666666667],PARAMETER["central_meridian",-98.5],PARAMETER["false_easting",984250.0000000002],PARAMETER["false_northing",16404166.667],UNIT["US survey foot",0.3048006096012192,AUTHORITY["EPSG","9003"]],AXIS["X",EAST],AXIS["Y",NORTH],AUTHORITY["EPSG","6586"]]</t>
  </si>
  <si>
    <t>PROJCS["NAD83(2011) / Texas South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30.28333333333333],PARAMETER["standard_parallel_2",28.38333333333333],PARAMETER["latitude_of_origin",27.83333333333333],PARAMETER["central_meridian",-99],PARAMETER["false_easting",600000],PARAMETER["false_northing",4000000],UNIT["metre",1,AUTHORITY["EPSG","9001"]],AXIS["X",EAST],AXIS["Y",NORTH],AUTHORITY["EPSG","6587"]]</t>
  </si>
  <si>
    <t>PROJCS["NAD83(2011) / Texas South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30.28333333333333],PARAMETER["standard_parallel_2",28.38333333333333],PARAMETER["latitude_of_origin",27.83333333333333],PARAMETER["central_meridian",-99],PARAMETER["false_easting",1968500],PARAMETER["false_northing",13123333.333],UNIT["US survey foot",0.3048006096012192,AUTHORITY["EPSG","9003"]],AXIS["X",EAST],AXIS["Y",NORTH],AUTHORITY["EPSG","6588"]]</t>
  </si>
  <si>
    <t>PROJCS["NAD83(2011) / Vermont",GEOGCS["NAD83(2011)",DATUM["NAD83_National_Spatial_Reference_System_2011",SPHEROID["GRS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-72.5],PARAMETER["scale_factor",0.999964286],PARAMETER["false_easting",500000],PARAMETER["false_northing",0],UNIT["metre",1,AUTHORITY["EPSG","9001"]],AXIS["X",EAST],AXIS["Y",NORTH],AUTHORITY["EPSG","6589"]]</t>
  </si>
  <si>
    <t>PROJCS["NAD83(2011) / Vermont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-72.5],PARAMETER["scale_factor",0.999964286],PARAMETER["false_easting",1640416.6667],PARAMETER["false_northing",0],UNIT["US survey foot",0.3048006096012192,AUTHORITY["EPSG","9003"]],AXIS["X",EAST],AXIS["Y",NORTH],AUTHORITY["EPSG","6590"]]</t>
  </si>
  <si>
    <t>PROJCS["NAD83(2011) / Virginia Lambert",GEOGCS["NAD83(2011)",DATUM["NAD83_National_Spatial_Reference_System_2011",SPHEROID["GRS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37],PARAMETER["standard_parallel_2",39.5],PARAMETER["latitude_of_origin",36],PARAMETER["central_meridian",-79.5],PARAMETER["false_easting",0],PARAMETER["false_northing",0],UNIT["metre",1,AUTHORITY["EPSG","9001"]],AXIS["X",EAST],AXIS["Y",NORTH],AUTHORITY["EPSG","6591"]]</t>
  </si>
  <si>
    <t>PROJCS["NAD83(2011) / Virginia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39.2],PARAMETER["standard_parallel_2",38.03333333333333],PARAMETER["latitude_of_origin",37.66666666666666],PARAMETER["central_meridian",-78.5],PARAMETER["false_easting",3500000],PARAMETER["false_northing",2000000],UNIT["metre",1,AUTHORITY["EPSG","9001"]],AXIS["X",EAST],AXIS["Y",NORTH],AUTHORITY["EPSG","6592"]]</t>
  </si>
  <si>
    <t>PROJCS["NAD83(2011) / Virginia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39.2],PARAMETER["standard_parallel_2",38.03333333333333],PARAMETER["latitude_of_origin",37.66666666666666],PARAMETER["central_meridian",-78.5],PARAMETER["false_easting",11482916.667],PARAMETER["false_northing",6561666.667],UNIT["US survey foot",0.3048006096012192,AUTHORITY["EPSG","9003"]],AXIS["X",EAST],AXIS["Y",NORTH],AUTHORITY["EPSG","6593"]]</t>
  </si>
  <si>
    <t>PROJCS["JGD2011 / Japan Plane Rectangular CS IV",GEOGCS["JGD2011",DATUM["Japanese_Geodetic_Datum_2011",SPHEROID["GRS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33],PARAMETER["central_meridian",133.5],PARAMETER["scale_factor",0.9999],PARAMETER["false_easting",0],PARAMETER["false_northing",0],UNIT["metre",1,AUTHORITY["EPSG","9001"]],AUTHORITY["EPSG","6672"]]</t>
  </si>
  <si>
    <t>PROJCS["NAD83(2011) / Virginia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37.96666666666667],PARAMETER["standard_parallel_2",36.76666666666667],PARAMETER["latitude_of_origin",36.33333333333334],PARAMETER["central_meridian",-78.5],PARAMETER["false_easting",3500000],PARAMETER["false_northing",1000000],UNIT["metre",1,AUTHORITY["EPSG","9001"]],AXIS["X",EAST],AXIS["Y",NORTH],AUTHORITY["EPSG","6594"]]</t>
  </si>
  <si>
    <t>PROJCS["NAD83(2011) / Virginia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37.96666666666667],PARAMETER["standard_parallel_2",36.76666666666667],PARAMETER["latitude_of_origin",36.33333333333334],PARAMETER["central_meridian",-78.5],PARAMETER["false_easting",11482916.667],PARAMETER["false_northing",3280833.333],UNIT["US survey foot",0.3048006096012192,AUTHORITY["EPSG","9003"]],AXIS["X",EAST],AXIS["Y",NORTH],AUTHORITY["EPSG","6595"]]</t>
  </si>
  <si>
    <t>PROJCS["NAD83(2011) / Washington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48.73333333333333],PARAMETER["standard_parallel_2",47.5],PARAMETER["latitude_of_origin",47],PARAMETER["central_meridian",-120.8333333333333],PARAMETER["false_easting",500000],PARAMETER["false_northing",0],UNIT["metre",1,AUTHORITY["EPSG","9001"]],AXIS["X",EAST],AXIS["Y",NORTH],AUTHORITY["EPSG","6596"]]</t>
  </si>
  <si>
    <t>PROJCS["NAD83(2011) / Washington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48.73333333333333],PARAMETER["standard_parallel_2",47.5],PARAMETER["latitude_of_origin",47],PARAMETER["central_meridian",-120.8333333333333],PARAMETER["false_easting",1640416.667],PARAMETER["false_northing",0],UNIT["US survey foot",0.3048006096012192,AUTHORITY["EPSG","9003"]],AXIS["X",EAST],AXIS["Y",NORTH],AUTHORITY["EPSG","6597"]]</t>
  </si>
  <si>
    <t>PROJCS["NAD83(2011) / Washington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47.33333333333334],PARAMETER["standard_parallel_2",45.83333333333334],PARAMETER["latitude_of_origin",45.33333333333334],PARAMETER["central_meridian",-120.5],PARAMETER["false_easting",500000],PARAMETER["false_northing",0],UNIT["metre",1,AUTHORITY["EPSG","9001"]],AXIS["X",EAST],AXIS["Y",NORTH],AUTHORITY["EPSG","6598"]]</t>
  </si>
  <si>
    <t>PROJCS["NAD83(2011) / Washington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47.33333333333334],PARAMETER["standard_parallel_2",45.83333333333334],PARAMETER["latitude_of_origin",45.33333333333334],PARAMETER["central_meridian",-120.5],PARAMETER["false_easting",1640416.667],PARAMETER["false_northing",0],UNIT["US survey foot",0.3048006096012192,AUTHORITY["EPSG","9003"]],AXIS["X",EAST],AXIS["Y",NORTH],AUTHORITY["EPSG","6599"]]</t>
  </si>
  <si>
    <t>PROJCS["NAD83(2011) / West Virginia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40.25],PARAMETER["standard_parallel_2",39],PARAMETER["latitude_of_origin",38.5],PARAMETER["central_meridian",-79.5],PARAMETER["false_easting",600000],PARAMETER["false_northing",0],UNIT["metre",1,AUTHORITY["EPSG","9001"]],AXIS["X",EAST],AXIS["Y",NORTH],AUTHORITY["EPSG","6600"]]</t>
  </si>
  <si>
    <t>PROJCS["NAD83(2011) / West Virginia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40.25],PARAMETER["standard_parallel_2",39],PARAMETER["latitude_of_origin",38.5],PARAMETER["central_meridian",-79.5],PARAMETER["false_easting",1968500],PARAMETER["false_northing",0],UNIT["US survey foot",0.3048006096012192,AUTHORITY["EPSG","9003"]],AXIS["X",EAST],AXIS["Y",NORTH],AUTHORITY["EPSG","6601"]]</t>
  </si>
  <si>
    <t>GEOCCS["EST97",DATUM["Estonia_1997",SPHEROID["GRS 1980",6378137,298.257222101,AUTHORITY["EPSG","7019"]],AUTHORITY["EPSG","6180"]],PRIMEM["Greenwich",0,AUTHORITY["EPSG","8901"]],UNIT["metre",1,AUTHORITY["EPSG","9001"]],AXIS["Geocentric X",OTHER],AXIS["Geocentric Y",OTHER],AXIS["Geocentric Z",NORTH],AUTHORITY["EPSG","4934"]]</t>
  </si>
  <si>
    <t>PROJCS["NAD83(2011) / West Virginia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38.88333333333333],PARAMETER["standard_parallel_2",37.48333333333333],PARAMETER["latitude_of_origin",37],PARAMETER["central_meridian",-81],PARAMETER["false_easting",600000],PARAMETER["false_northing",0],UNIT["metre",1,AUTHORITY["EPSG","9001"]],AXIS["X",EAST],AXIS["Y",NORTH],AUTHORITY["EPSG","6602"]]</t>
  </si>
  <si>
    <t>PROJCS["NAD83(2011) / West Virginia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US survey foot",0.3048006096012192,AUTHORITY["EPSG","9003"]],AXIS["X",EAST],AXIS["Y",NORTH],AUTHORITY["EPSG","6603"]]</t>
  </si>
  <si>
    <t>PROJCS["NAD83(2011) / Wisconsin Central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6604"]]</t>
  </si>
  <si>
    <t>PROJCS["NAD83(2011) / Wisconsin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45.5],PARAMETER["standard_parallel_2",44.25],PARAMETER["latitude_of_origin",43.83333333333334],PARAMETER["central_meridian",-90],PARAMETER["false_easting",1968500],PARAMETER["false_northing",0],UNIT["US survey foot",0.3048006096012192,AUTHORITY["EPSG","9003"]],AXIS["X",EAST],AXIS["Y",NORTH],AUTHORITY["EPSG","6605"]]</t>
  </si>
  <si>
    <t>PROJCS["NAD83(2011) / Wisconsin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46.76666666666667],PARAMETER["standard_parallel_2",45.56666666666667],PARAMETER["latitude_of_origin",45.16666666666666],PARAMETER["central_meridian",-90],PARAMETER["false_easting",600000],PARAMETER["false_northing",0],UNIT["metre",1,AUTHORITY["EPSG","9001"]],AXIS["X",EAST],AXIS["Y",NORTH],AUTHORITY["EPSG","6606"]]</t>
  </si>
  <si>
    <t>PROJCS["NAD83(2011) / Wisconsin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46.76666666666667],PARAMETER["standard_parallel_2",45.56666666666667],PARAMETER["latitude_of_origin",45.16666666666666],PARAMETER["central_meridian",-90],PARAMETER["false_easting",1968500],PARAMETER["false_northing",0],UNIT["US survey foot",0.3048006096012192,AUTHORITY["EPSG","9003"]],AXIS["X",EAST],AXIS["Y",NORTH],AUTHORITY["EPSG","6607"]]</t>
  </si>
  <si>
    <t>PROJCS["NAD83(2011) / Wisconsin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44.06666666666667],PARAMETER["standard_parallel_2",42.73333333333333],PARAMETER["latitude_of_origin",42],PARAMETER["central_meridian",-90],PARAMETER["false_easting",600000],PARAMETER["false_northing",0],UNIT["metre",1,AUTHORITY["EPSG","9001"]],AXIS["X",EAST],AXIS["Y",NORTH],AUTHORITY["EPSG","6608"]]</t>
  </si>
  <si>
    <t>PROJCS["NAD83(2011) / Wisconsin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44.06666666666667],PARAMETER["standard_parallel_2",42.73333333333333],PARAMETER["latitude_of_origin",42],PARAMETER["central_meridian",-90],PARAMETER["false_easting",1968500],PARAMETER["false_northing",0],UNIT["US survey foot",0.3048006096012192,AUTHORITY["EPSG","9003"]],AXIS["X",EAST],AXIS["Y",NORTH],AUTHORITY["EPSG","6609"]]</t>
  </si>
  <si>
    <t>PROJCS["WGS 84 / UTM zone 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32606"]]</t>
  </si>
  <si>
    <t>PROJCS["NAD83(2011) / Wyoming East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-107.3333333333333],PARAMETER["scale_factor",0.9999375],PARAMETER["false_easting",400000],PARAMETER["false_northing",100000],UNIT["metre",1,AUTHORITY["EPSG","9001"]],AXIS["X",EAST],AXIS["Y",NORTH],AUTHORITY["EPSG","6613"]]</t>
  </si>
  <si>
    <t>PROJCS["NAD83(2011) / Wyoming East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-107.3333333333333],PARAMETER["scale_factor",0.9999375],PARAMETER["false_easting",1312333.3333],PARAMETER["false_northing",328083.3333],UNIT["US survey foot",0.3048006096012192,AUTHORITY["EPSG","9003"]],AXIS["X",EAST],AXIS["Y",NORTH],AUTHORITY["EPSG","6614"]]</t>
  </si>
  <si>
    <t>PROJCS["NAD83(2011) / Wyoming West",GEOGCS["NAD83(2011)",DATUM["NAD83_National_Spatial_Reference_System_2011",SPHEROID["GRS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-110.0833333333333],PARAMETER["scale_factor",0.9999375],PARAMETER["false_easting",800000],PARAMETER["false_northing",100000],UNIT["metre",1,AUTHORITY["EPSG","9001"]],AXIS["X",EAST],AXIS["Y",NORTH],AUTHORITY["EPSG","6615"]]</t>
  </si>
  <si>
    <t>PROJCS["NAD83(2011) / Wyoming West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-110.0833333333333],PARAMETER["scale_factor",0.9999375],PARAMETER["false_easting",2624666.6667],PARAMETER["false_northing",328083.3333],UNIT["US survey foot",0.3048006096012192,AUTHORITY["EPSG","9003"]],AXIS["X",EAST],AXIS["Y",NORTH],AUTHORITY["EPSG","6616"]]</t>
  </si>
  <si>
    <t>PROJCS["NAD83(2011) / Wyoming West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-108.75],PARAMETER["scale_factor",0.9999375],PARAMETER["false_easting",600000],PARAMETER["false_northing",0],UNIT["metre",1,AUTHORITY["EPSG","9001"]],AXIS["X",EAST],AXIS["Y",NORTH],AUTHORITY["EPSG","6617"]]</t>
  </si>
  <si>
    <t>PROJCS["NAD83(2011) / Wyoming West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40.5],PARAMETER["central_meridian",-108.75],PARAMETER["scale_factor",0.9999375],PARAMETER["false_easting",1968500],PARAMETER["false_northing",0],UNIT["US survey foot",0.3048006096012192,AUTHORITY["EPSG","9003"]],AXIS["X",EAST],AXIS["Y",NORTH],AUTHORITY["EPSG","6618"]]</t>
  </si>
  <si>
    <t>PROJCS["NAD83(2011) / Utah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40.65],PARAMETER["standard_parallel_2",39.01666666666667],PARAMETER["latitude_of_origin",38.33333333333334],PARAMETER["central_meridian",-111.5],PARAMETER["false_easting",500000],PARAMETER["false_northing",2000000],UNIT["metre",1,AUTHORITY["EPSG","9001"]],AXIS["X",EAST],AXIS["Y",NORTH],AUTHORITY["EPSG","6619"]]</t>
  </si>
  <si>
    <t>PROJCS["NAD83(2011) / Utah North",GEOGCS["NAD83(2011)",DATUM["NAD83_National_Spatial_Reference_System_2011",SPHEROID["GRS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41.78333333333333],PARAMETER["standard_parallel_2",40.71666666666667],PARAMETER["latitude_of_origin",40.33333333333334],PARAMETER["central_meridian",-111.5],PARAMETER["false_easting",500000],PARAMETER["false_northing",1000000],UNIT["metre",1,AUTHORITY["EPSG","9001"]],AXIS["X",EAST],AXIS["Y",NORTH],AUTHORITY["EPSG","6620"]]</t>
  </si>
  <si>
    <t>PROJCS["NAD83(2011) / Utah South",GEOGCS["NAD83(2011)",DATUM["NAD83_National_Spatial_Reference_System_2011",SPHEROID["GRS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38.35],PARAMETER["standard_parallel_2",37.21666666666667],PARAMETER["latitude_of_origin",36.66666666666666],PARAMETER["central_meridian",-111.5],PARAMETER["false_easting",500000],PARAMETER["false_northing",3000000],UNIT["metre",1,AUTHORITY["EPSG","9001"]],AXIS["X",EAST],AXIS["Y",NORTH],AUTHORITY["EPSG","6621"]]</t>
  </si>
  <si>
    <t>PROJCS["NAD83(CSRS) / Quebec Lambert",GEOGCS["NAD83(CSRS)",DATUM["NAD83_Canadian_Spatial_Reference_System",SPHEROID["GRS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Lambert_Conformal_Conic_2SP"],PARAMETER["standard_parallel_1",60],PARAMETER["standard_parallel_2",46],PARAMETER["latitude_of_origin",44],PARAMETER["central_meridian",-68.5],PARAMETER["false_easting",0],PARAMETER["false_northing",0],UNIT["metre",1,AUTHORITY["EPSG","9001"]],AXIS["X",EAST],AXIS["Y",NORTH],AUTHORITY["EPSG","6622"]]</t>
  </si>
  <si>
    <t xml:space="preserve">+proj=lcc +lat_1=60 +lat_2=46 +lat_0=44 +lon_0=-68.5 +x_0=0 +y_0=0 +ellps=GRS80 +towgs84=0,0,0,0,0,0,0 +units=m +no_defs </t>
  </si>
  <si>
    <t>PROJCS["NAD83 / Quebec Albers",GEOGCS["NAD83",DATUM["North_American_Datum_1983",SPHEROID["GRS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Albers_Conic_Equal_Area"],PARAMETER["standard_parallel_1",60],PARAMETER["standard_parallel_2",46],PARAMETER["latitude_of_center",44],PARAMETER["longitude_of_center",-68.5],PARAMETER["false_easting",0],PARAMETER["false_northing",0],UNIT["metre",1,AUTHORITY["EPSG","9001"]],AXIS["X",EAST],AXIS["Y",NORTH],AUTHORITY["EPSG","6623"]]</t>
  </si>
  <si>
    <t>PROJCS["NAD83(CSRS) / Quebec Albers",GEOGCS["NAD83(CSRS)",DATUM["NAD83_Canadian_Spatial_Reference_System",SPHEROID["GRS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Albers_Conic_Equal_Area"],PARAMETER["standard_parallel_1",60],PARAMETER["standard_parallel_2",46],PARAMETER["latitude_of_center",44],PARAMETER["longitude_of_center",-68.5],PARAMETER["false_easting",0],PARAMETER["false_northing",0],UNIT["metre",1,AUTHORITY["EPSG","9001"]],AXIS["X",EAST],AXIS["Y",NORTH],AUTHORITY["EPSG","6624"]]</t>
  </si>
  <si>
    <t xml:space="preserve">+proj=aea +lat_1=60 +lat_2=46 +lat_0=44 +lon_0=-68.5 +x_0=0 +y_0=0 +ellps=GRS80 +towgs84=0,0,0,0,0,0,0 +units=m +no_defs </t>
  </si>
  <si>
    <t>PROJCS["NAD83(2011) / Utah Central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40.65],PARAMETER["standard_parallel_2",39.01666666666667],PARAMETER["latitude_of_origin",38.33333333333334],PARAMETER["central_meridian",-111.5],PARAMETER["false_easting",1640416.6667],PARAMETER["false_northing",6561666.666700001],UNIT["US survey foot",0.3048006096012192,AUTHORITY["EPSG","9003"]],AXIS["X",EAST],AXIS["Y",NORTH],AUTHORITY["EPSG","6625"]]</t>
  </si>
  <si>
    <t>PROJCS["NAD83(2011) / Utah North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41.78333333333333],PARAMETER["standard_parallel_2",40.71666666666667],PARAMETER["latitude_of_origin",40.33333333333334],PARAMETER["central_meridian",-111.5],PARAMETER["false_easting",1640416.6667],PARAMETER["false_northing",3280833.333300001],UNIT["US survey foot",0.3048006096012192,AUTHORITY["EPSG","9003"]],AXIS["X",EAST],AXIS["Y",NORTH],AUTHORITY["EPSG","6626"]]</t>
  </si>
  <si>
    <t>PROJCS["NAD83(2011) / Utah South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38.35],PARAMETER["standard_parallel_2",37.21666666666667],PARAMETER["latitude_of_origin",36.66666666666666],PARAMETER["central_meridian",-111.5],PARAMETER["false_easting",1640416.6667],PARAMETER["false_northing",9842500.000000002],UNIT["US survey foot",0.3048006096012192,AUTHORITY["EPSG","9003"]],AXIS["X",EAST],AXIS["Y",NORTH],AUTHORITY["EPSG","6627"]]</t>
  </si>
  <si>
    <t>PROJCS["NAD83(PA11) / Hawaii zone 1",GEOGCS["NAD83(PA11)",DATUM["NAD83_National_Spatial_Reference_System_PA11",SPHEROID["GRS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18.83333333333333],PARAMETER["central_meridian",-155.5],PARAMETER["scale_factor",0.999966667],PARAMETER["false_easting",500000],PARAMETER["false_northing",0],UNIT["metre",1,AUTHORITY["EPSG","9001"]],AXIS["X",EAST],AXIS["Y",NORTH],AUTHORITY["EPSG","6628"]]</t>
  </si>
  <si>
    <t>PROJCS["NAD83(PA11) / Hawaii zone 2",GEOGCS["NAD83(PA11)",DATUM["NAD83_National_Spatial_Reference_System_PA11",SPHEROID["GRS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20.33333333333333],PARAMETER["central_meridian",-156.6666666666667],PARAMETER["scale_factor",0.999966667],PARAMETER["false_easting",500000],PARAMETER["false_northing",0],UNIT["metre",1,AUTHORITY["EPSG","9001"]],AXIS["X",EAST],AXIS["Y",NORTH],AUTHORITY["EPSG","6629"]]</t>
  </si>
  <si>
    <t>PROJCS["NAD83(PA11) / Hawaii zone 3",GEOGCS["NAD83(PA11)",DATUM["NAD83_National_Spatial_Reference_System_PA11",SPHEROID["GRS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21.16666666666667],PARAMETER["central_meridian",-158],PARAMETER["scale_factor",0.99999],PARAMETER["false_easting",500000],PARAMETER["false_northing",0],UNIT["metre",1,AUTHORITY["EPSG","9001"]],AXIS["X",EAST],AXIS["Y",NORTH],AUTHORITY["EPSG","6630"]]</t>
  </si>
  <si>
    <t>PROJCS["NAD83(PA11) / Hawaii zone 4",GEOGCS["NAD83(PA11)",DATUM["NAD83_National_Spatial_Reference_System_PA11",SPHEROID["GRS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21.83333333333333],PARAMETER["central_meridian",-159.5],PARAMETER["scale_factor",0.99999],PARAMETER["false_easting",500000],PARAMETER["false_northing",0],UNIT["metre",1,AUTHORITY["EPSG","9001"]],AXIS["X",EAST],AXIS["Y",NORTH],AUTHORITY["EPSG","6631"]]</t>
  </si>
  <si>
    <t>PROJCS["NAD83(PA11) / Hawaii zone 5",GEOGCS["NAD83(PA11)",DATUM["NAD83_National_Spatial_Reference_System_PA11",SPHEROID["GRS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21.66666666666667],PARAMETER["central_meridian",-160.1666666666667],PARAMETER["scale_factor",1],PARAMETER["false_easting",500000],PARAMETER["false_northing",0],UNIT["metre",1,AUTHORITY["EPSG","9001"]],AXIS["X",EAST],AXIS["Y",NORTH],AUTHORITY["EPSG","6632"]]</t>
  </si>
  <si>
    <t>PROJCS["NAD83(PA11) / Hawaii zone 3 (ftUS)",GEOGCS["NAD83(PA11)",DATUM["NAD83_National_Spatial_Reference_System_PA11",SPHEROID["GRS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21.16666666666667],PARAMETER["central_meridian",-158],PARAMETER["scale_factor",0.99999],PARAMETER["false_easting",1640416.6667],PARAMETER["false_northing",0],UNIT["US survey foot",0.3048006096012192,AUTHORITY["EPSG","9003"]],AXIS["X",EAST],AXIS["Y",NORTH],AUTHORITY["EPSG","6633"]]</t>
  </si>
  <si>
    <t>PROJCS["NAD83(PA11) / UTM zone 4N",GEOGCS["NAD83(PA11)",DATUM["NAD83_National_Spatial_Reference_System_PA11",SPHEROID["GRS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6634"]]</t>
  </si>
  <si>
    <t>PROJCS["NAD83(PA11) / UTM zone 5N",GEOGCS["NAD83(PA11)",DATUM["NAD83_National_Spatial_Reference_System_PA11",SPHEROID["GRS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6635"]]</t>
  </si>
  <si>
    <t>PROJCS["NAD83(PA11) / UTM zone 2S",GEOGCS["NAD83(PA11)",DATUM["NAD83_National_Spatial_Reference_System_PA11",SPHEROID["GRS 1980",6378137,298.257222101,AUTHORITY["EPSG","7019"]],AUTHORITY["EPSG","1117"]],PRIMEM["Greenwich",0,AUTHORITY["EPSG","8901"]],UNIT["degree",0.0174532925199433,AUTHORITY["EPSG","9122"]],AUTHORITY["EPSG","6322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6636"]]</t>
  </si>
  <si>
    <t>PROJCS["NAD83(MA11) / Guam Map Grid",GEOGCS["NAD83(MA11)",DATUM["NAD83_National_Spatial_Reference_System_MA11",SPHEROID["GRS 1980",6378137,298.257222101,AUTHORITY["EPSG","7019"]],AUTHORITY["EPSG","1118"]],PRIMEM["Greenwich",0,AUTHORITY["EPSG","8901"]],UNIT["degree",0.0174532925199433,AUTHORITY["EPSG","9122"]],AUTHORITY["EPSG","6325"]],PROJECTION["Transverse_Mercator"],PARAMETER["latitude_of_origin",13.5],PARAMETER["central_meridian",144.75],PARAMETER["scale_factor",1],PARAMETER["false_easting",100000],PARAMETER["false_northing",200000],UNIT["metre",1,AUTHORITY["EPSG","9001"]],AXIS["X",EAST],AXIS["Y",NORTH],AUTHORITY["EPSG","6637"]]</t>
  </si>
  <si>
    <t>PROJCS["Karbala 1979 / Iraq National Grid",GEOGCS["Karbala 1979",DATUM["Karbala_1979",SPHEROID["Clarke 1880 (RGS)",6378249.145,293.465,AUTHORITY["EPSG","7012"]],TOWGS84[70.995,-335.916,262.898,0,0,0,0],AUTHORITY["EPSG","6743"]],PRIMEM["Greenwich",0,AUTHORITY["EPSG","8901"]],UNIT["degree",0.0174532925199433,AUTHORITY["EPSG","9122"]],AUTHORITY["EPSG","4743"]],PROJECTION["Transverse_Mercator"],PARAMETER["latitude_of_origin",29.02626833333333],PARAMETER["central_meridian",46.5],PARAMETER["scale_factor",0.9994],PARAMETER["false_easting",800000],PARAMETER["false_northing",0],UNIT["metre",1,AUTHORITY["EPSG","9001"]],AXIS["Easting",EAST],AXIS["Northing",NORTH],AUTHORITY["EPSG","6646"]]</t>
  </si>
  <si>
    <t xml:space="preserve">+proj=tmerc +lat_0=29.02626833333333 +lon_0=46.5 +k=0.9994 +x_0=800000 +y_0=0 +ellps=clrk80 +towgs84=70.995,-335.916,262.898,0,0,0,0 +units=m +no_defs </t>
  </si>
  <si>
    <t>PROJCS["JGD2011 / Japan Plane Rectangular CS 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33],PARAMETER["central_meridian",129.5],PARAMETER["scale_factor",0.9999],PARAMETER["false_easting",0],PARAMETER["false_northing",0],UNIT["metre",1,AUTHORITY["EPSG","9001"]],AUTHORITY["EPSG","6669"]]</t>
  </si>
  <si>
    <t>PROJCS["JGD2011 / Japan Plane Rectangular CS 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33],PARAMETER["central_meridian",131],PARAMETER["scale_factor",0.9999],PARAMETER["false_easting",0],PARAMETER["false_northing",0],UNIT["metre",1,AUTHORITY["EPSG","9001"]],AUTHORITY["EPSG","6670"]]</t>
  </si>
  <si>
    <t>PROJCS["JGD2011 / Japan Plane Rectangular CS VII",GEOGCS["JGD2011",DATUM["Japanese_Geodetic_Datum_2011",SPHEROID["GRS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137.1666666666667],PARAMETER["scale_factor",0.9999],PARAMETER["false_easting",0],PARAMETER["false_northing",0],UNIT["metre",1,AUTHORITY["EPSG","9001"]],AUTHORITY["EPSG","6675"]]</t>
  </si>
  <si>
    <t>PROJCS["JGD2011 / Japan Plane Rectangular CS VIII",GEOGCS["JGD2011",DATUM["Japanese_Geodetic_Datum_2011",SPHEROID["GRS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138.5],PARAMETER["scale_factor",0.9999],PARAMETER["false_easting",0],PARAMETER["false_northing",0],UNIT["metre",1,AUTHORITY["EPSG","9001"]],AUTHORITY["EPSG","6676"]]</t>
  </si>
  <si>
    <t>PROJCS["JGD2011 / Japan Plane Rectangular CS IX",GEOGCS["JGD2011",DATUM["Japanese_Geodetic_Datum_2011",SPHEROID["GRS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36],PARAMETER["central_meridian",139.8333333333333],PARAMETER["scale_factor",0.9999],PARAMETER["false_easting",0],PARAMETER["false_northing",0],UNIT["metre",1,AUTHORITY["EPSG","9001"]],AUTHORITY["EPSG","6677"]]</t>
  </si>
  <si>
    <t>PROJCS["JGD2011 / Japan Plane Rectangular CS X",GEOGCS["JGD2011",DATUM["Japanese_Geodetic_Datum_2011",SPHEROID["GRS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40],PARAMETER["central_meridian",140.8333333333333],PARAMETER["scale_factor",0.9999],PARAMETER["false_easting",0],PARAMETER["false_northing",0],UNIT["metre",1,AUTHORITY["EPSG","9001"]],AUTHORITY["EPSG","6678"]]</t>
  </si>
  <si>
    <t>PROJCS["JGD2011 / Japan Plane Rectangular CS XI",GEOGCS["JGD2011",DATUM["Japanese_Geodetic_Datum_2011",SPHEROID["GRS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44],PARAMETER["central_meridian",140.25],PARAMETER["scale_factor",0.9999],PARAMETER["false_easting",0],PARAMETER["false_northing",0],UNIT["metre",1,AUTHORITY["EPSG","9001"]],AUTHORITY["EPSG","6679"]]</t>
  </si>
  <si>
    <t>PROJCS["JGD2011 / Japan Plane Rectangular CS XII",GEOGCS["JGD2011",DATUM["Japanese_Geodetic_Datum_2011",SPHEROID["GRS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44],PARAMETER["central_meridian",142.25],PARAMETER["scale_factor",0.9999],PARAMETER["false_easting",0],PARAMETER["false_northing",0],UNIT["metre",1,AUTHORITY["EPSG","9001"]],AUTHORITY["EPSG","6680"]]</t>
  </si>
  <si>
    <t>PROJCS["JGD2011 / Japan Plane Rectangular CS XIII",GEOGCS["JGD2011",DATUM["Japanese_Geodetic_Datum_2011",SPHEROID["GRS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44],PARAMETER["central_meridian",144.25],PARAMETER["scale_factor",0.9999],PARAMETER["false_easting",0],PARAMETER["false_northing",0],UNIT["metre",1,AUTHORITY["EPSG","9001"]],AUTHORITY["EPSG","6681"]]</t>
  </si>
  <si>
    <t>PROJCS["JGD2011 / Japan Plane Rectangular CS XIV",GEOGCS["JGD2011",DATUM["Japanese_Geodetic_Datum_2011",SPHEROID["GRS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142],PARAMETER["scale_factor",0.9999],PARAMETER["false_easting",0],PARAMETER["false_northing",0],UNIT["metre",1,AUTHORITY["EPSG","9001"]],AUTHORITY["EPSG","6682"]]</t>
  </si>
  <si>
    <t>PROJCS["JGD2011 / Japan Plane Rectangular CS XV",GEOGCS["JGD2011",DATUM["Japanese_Geodetic_Datum_2011",SPHEROID["GRS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127.5],PARAMETER["scale_factor",0.9999],PARAMETER["false_easting",0],PARAMETER["false_northing",0],UNIT["metre",1,AUTHORITY["EPSG","9001"]],AUTHORITY["EPSG","6683"]]</t>
  </si>
  <si>
    <t>PROJCS["JGD2011 / Japan Plane Rectangular CS XVI",GEOGCS["JGD2011",DATUM["Japanese_Geodetic_Datum_2011",SPHEROID["GRS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124],PARAMETER["scale_factor",0.9999],PARAMETER["false_easting",0],PARAMETER["false_northing",0],UNIT["metre",1,AUTHORITY["EPSG","9001"]],AUTHORITY["EPSG","6684"]]</t>
  </si>
  <si>
    <t>PROJCS["JGD2011 / Japan Plane Rectangular CS XVII",GEOGCS["JGD2011",DATUM["Japanese_Geodetic_Datum_2011",SPHEROID["GRS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131],PARAMETER["scale_factor",0.9999],PARAMETER["false_easting",0],PARAMETER["false_northing",0],UNIT["metre",1,AUTHORITY["EPSG","9001"]],AUTHORITY["EPSG","6685"]]</t>
  </si>
  <si>
    <t>PROJCS["JGD2011 / Japan Plane Rectangular CS XIX",GEOGCS["JGD2011",DATUM["Japanese_Geodetic_Datum_2011",SPHEROID["GRS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26],PARAMETER["central_meridian",154],PARAMETER["scale_factor",0.9999],PARAMETER["false_easting",0],PARAMETER["false_northing",0],UNIT["metre",1,AUTHORITY["EPSG","9001"]],AUTHORITY["EPSG","6687"]]</t>
  </si>
  <si>
    <t>PROJCS["JGD2011 / UTM zone 51N",GEOGCS["JGD2011",DATUM["Japanese_Geodetic_Datum_2011",SPHEROID["GRS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6688"]]</t>
  </si>
  <si>
    <t>PROJCS["JGD2011 / UTM zone 52N",GEOGCS["JGD2011",DATUM["Japanese_Geodetic_Datum_2011",SPHEROID["GRS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6689"]]</t>
  </si>
  <si>
    <t>PROJCS["JGD2011 / UTM zone 53N",GEOGCS["JGD2011",DATUM["Japanese_Geodetic_Datum_2011",SPHEROID["GRS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6690"]]</t>
  </si>
  <si>
    <t>PROJCS["JGD2011 / UTM zone 54N",GEOGCS["JGD2011",DATUM["Japanese_Geodetic_Datum_2011",SPHEROID["GRS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6691"]]</t>
  </si>
  <si>
    <t>PROJCS["JGD2011 / UTM zone 55N",GEOGCS["JGD2011",DATUM["Japanese_Geodetic_Datum_2011",SPHEROID["GRS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6692"]]</t>
  </si>
  <si>
    <t>PROJCS["WGS 84 / TM 60 SW",GEOGCS["WGS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-60],PARAMETER["scale_factor",0.9996],PARAMETER["false_easting",500000],PARAMETER["false_northing",10000000],UNIT["metre",1,AUTHORITY["EPSG","9001"]],AXIS["Easting",EAST],AXIS["Northing",NORTH],AUTHORITY["EPSG","6703"]]</t>
  </si>
  <si>
    <t>PROJCS["RDN2008 / UTM zone 32N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9],PARAMETER["scale_factor",0.9996],PARAMETER["false_easting",500000],PARAMETER["false_northing",0],UNIT["metre",1,AUTHORITY["EPSG","9001"]],AUTHORITY["EPSG","6707"]]</t>
  </si>
  <si>
    <t>PROJCS["RDN2008 / UTM zone 33N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15],PARAMETER["scale_factor",0.9996],PARAMETER["false_easting",500000],PARAMETER["false_northing",0],UNIT["metre",1,AUTHORITY["EPSG","9001"]],AUTHORITY["EPSG","6708"]]</t>
  </si>
  <si>
    <t>PROJCS["RDN2008 / UTM zone 34N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21],PARAMETER["scale_factor",0.9996],PARAMETER["false_easting",500000],PARAMETER["false_northing",0],UNIT["metre",1,AUTHORITY["EPSG","9001"]],AUTHORITY["EPSG","6709"]]</t>
  </si>
  <si>
    <t>PROJCS["WGS 84 / CIG92",GEOGCS["WGS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105.625],PARAMETER["scale_factor",1.000024],PARAMETER["false_easting",50000],PARAMETER["false_northing",1300000],UNIT["metre",1,AUTHORITY["EPSG","9001"]],AXIS["Easting",EAST],AXIS["Northing",NORTH],AUTHORITY["EPSG","6720"]]</t>
  </si>
  <si>
    <t>PROJCS["GDA94 / CIG94",GEOGCS["GDA94",DATUM["Geocentric_Datum_of_Australia_1994",SPHEROID["GRS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105.625],PARAMETER["scale_factor",1.00002514],PARAMETER["false_easting",50000],PARAMETER["false_northing",1300000],UNIT["metre",1,AUTHORITY["EPSG","9001"]],AXIS["Easting",EAST],AXIS["Northing",NORTH],AUTHORITY["EPSG","6721"]]</t>
  </si>
  <si>
    <t xml:space="preserve">+proj=tmerc +lat_0=0 +lon_0=105.625 +k=1.00002514 +x_0=50000 +y_0=1300000 +ellps=GRS80 +towgs84=0,0,0,0,0,0,0 +units=m +no_defs </t>
  </si>
  <si>
    <t>PROJCS["WGS 84 / CKIG92",GEOGCS["WGS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96.875],PARAMETER["scale_factor",1],PARAMETER["false_easting",50000],PARAMETER["false_northing",1400000],UNIT["metre",1,AUTHORITY["EPSG","9001"]],AXIS["Easting",EAST],AXIS["Northing",NORTH],AUTHORITY["EPSG","6722"]]</t>
  </si>
  <si>
    <t>PROJCS["GDA94 / CKIG94",GEOGCS["GDA94",DATUM["Geocentric_Datum_of_Australia_1994",SPHEROID["GRS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96.875],PARAMETER["scale_factor",0.99999387],PARAMETER["false_easting",50000],PARAMETER["false_northing",1500000],UNIT["metre",1,AUTHORITY["EPSG","9001"]],AXIS["Easting",EAST],AXIS["Northing",NORTH],AUTHORITY["EPSG","6723"]]</t>
  </si>
  <si>
    <t xml:space="preserve">+proj=tmerc +lat_0=0 +lon_0=96.875 +k=0.99999387 +x_0=50000 +y_0=1500000 +ellps=GRS80 +towgs84=0,0,0,0,0,0,0 +units=m +no_defs </t>
  </si>
  <si>
    <t>PROJCS["GDA94 / MGA zone 41 (deprecated)",GEOGCS["GDA94",DATUM["Geocentric_Datum_of_Australia_1994",SPHEROID["GRS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6732"]]</t>
  </si>
  <si>
    <t xml:space="preserve">+proj=utm +zone=41 +south +ellps=GRS80 +towgs84=0,0,0,0,0,0,0 +units=m +no_defs </t>
  </si>
  <si>
    <t>PROJCS["GDA94 / MGA zone 42 (deprecated)",GEOGCS["GDA94",DATUM["Geocentric_Datum_of_Australia_1994",SPHEROID["GRS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6733"]]</t>
  </si>
  <si>
    <t xml:space="preserve">+proj=utm +zone=42 +south +ellps=GRS80 +towgs84=0,0,0,0,0,0,0 +units=m +no_defs </t>
  </si>
  <si>
    <t>PROJCS["GDA94 / MGA zone 43 (deprecated)",GEOGCS["GDA94",DATUM["Geocentric_Datum_of_Australia_1994",SPHEROID["GRS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6734"]]</t>
  </si>
  <si>
    <t xml:space="preserve">+proj=utm +zone=43 +south +ellps=GRS80 +towgs84=0,0,0,0,0,0,0 +units=m +no_defs </t>
  </si>
  <si>
    <t>PROJCS["GDA94 / MGA zone 44 (deprecated)",GEOGCS["GDA94",DATUM["Geocentric_Datum_of_Australia_1994",SPHEROID["GRS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6735"]]</t>
  </si>
  <si>
    <t xml:space="preserve">+proj=utm +zone=44 +south +ellps=GRS80 +towgs84=0,0,0,0,0,0,0 +units=m +no_defs </t>
  </si>
  <si>
    <t>PROJCS["GDA94 / MGA zone 46",GEOGCS["GDA94",DATUM["Geocentric_Datum_of_Australia_1994",SPHEROID["GRS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6736"]]</t>
  </si>
  <si>
    <t xml:space="preserve">+proj=utm +zone=46 +south +ellps=GRS80 +towgs84=0,0,0,0,0,0,0 +units=m +no_defs </t>
  </si>
  <si>
    <t>PROJCS["GDA94 / MGA zone 47",GEOGCS["GDA94",DATUM["Geocentric_Datum_of_Australia_1994",SPHEROID["GRS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6737"]]</t>
  </si>
  <si>
    <t xml:space="preserve">+proj=utm +zone=47 +south +ellps=GRS80 +towgs84=0,0,0,0,0,0,0 +units=m +no_defs </t>
  </si>
  <si>
    <t>PROJCS["GDA94 / MGA zone 59",GEOGCS["GDA94",DATUM["Geocentric_Datum_of_Australia_1994",SPHEROID["GRS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6738"]]</t>
  </si>
  <si>
    <t>PROJCS["NAD83(CORS96) / Oregon Baker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-117.8333333333333],PARAMETER["scale_factor",1.00016],PARAMETER["false_easting",40000],PARAMETER["false_northing",0],UNIT["metre",1,AUTHORITY["EPSG","9001"]],AXIS["X",EAST],AXIS["Y",NORTH],AUTHORITY["EPSG","6784"]]</t>
  </si>
  <si>
    <t>PROJCS["NAD83(CORS96) / Oregon Baker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-117.8333333333333],PARAMETER["scale_factor",1.00016],PARAMETER["false_easting",131233.5958],PARAMETER["false_northing",0],UNIT["foot",0.3048,AUTHORITY["EPSG","9002"]],AXIS["X",EAST],AXIS["Y",NORTH],AUTHORITY["EPSG","6785"]]</t>
  </si>
  <si>
    <t>PROJCS["NAD83(2011) / Oregon Baker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44.5],PARAMETER["central_meridian",-117.8333333333333],PARAMETER["scale_factor",1.00016],PARAMETER["false_easting",40000],PARAMETER["false_northing",0],UNIT["metre",1,AUTHORITY["EPSG","9001"]],AXIS["X",EAST],AXIS["Y",NORTH],AUTHORITY["EPSG","6786"]]</t>
  </si>
  <si>
    <t>PROJCS["NAD83(2011) / Oregon Baker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44.5],PARAMETER["central_meridian",-117.8333333333333],PARAMETER["scale_factor",1.00016],PARAMETER["false_easting",131233.5958],PARAMETER["false_northing",0],UNIT["foot",0.3048,AUTHORITY["EPSG","9002"]],AXIS["X",EAST],AXIS["Y",NORTH],AUTHORITY["EPSG","6787"]]</t>
  </si>
  <si>
    <t>PROJCS["NAD83(CORS96) / Oregon Bend-Klamath Falls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-121.75],PARAMETER["scale_factor",1.0002],PARAMETER["false_easting",80000],PARAMETER["false_northing",0],UNIT["metre",1,AUTHORITY["EPSG","9001"]],AXIS["X",EAST],AXIS["Y",NORTH],AUTHORITY["EPSG","6788"]]</t>
  </si>
  <si>
    <t>PROJCS["NAD83(CORS96) / Oregon Bend-Klamath Falls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-121.75],PARAMETER["scale_factor",1.0002],PARAMETER["false_easting",262467.1916],PARAMETER["false_northing",0],UNIT["foot",0.3048,AUTHORITY["EPSG","9002"]],AXIS["X",EAST],AXIS["Y",NORTH],AUTHORITY["EPSG","6789"]]</t>
  </si>
  <si>
    <t>PROJCS["NAD83(2011) / Oregon Bend-Klamath Falls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-121.75],PARAMETER["scale_factor",1.0002],PARAMETER["false_easting",80000],PARAMETER["false_northing",0],UNIT["metre",1,AUTHORITY["EPSG","9001"]],AXIS["X",EAST],AXIS["Y",NORTH],AUTHORITY["EPSG","6790"]]</t>
  </si>
  <si>
    <t>PROJCS["NAD83(2011) / Oregon Bend-Klamath Falls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-121.75],PARAMETER["scale_factor",1.0002],PARAMETER["false_easting",262467.1916],PARAMETER["false_northing",0],UNIT["foot",0.3048,AUTHORITY["EPSG","9002"]],AXIS["X",EAST],AXIS["Y",NORTH],AUTHORITY["EPSG","6791"]]</t>
  </si>
  <si>
    <t>PROJCS["NAD83(CORS96) / Oregon Bend-Redmond-Prineville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44.66666666666666],PARAMETER["central_meridian",-121.25],PARAMETER["scale_factor",1.00012],PARAMETER["false_easting",80000],PARAMETER["false_northing",130000],UNIT["metre",1,AUTHORITY["EPSG","9001"]],AXIS["X",EAST],AXIS["Y",NORTH],AUTHORITY["EPSG","6792"]]</t>
  </si>
  <si>
    <t>GEOCCS["ETRS89",DATUM["European_Terrestrial_Reference_System_1989",SPHEROID["GRS 1980",6378137,298.257222101,AUTHORITY["EPSG","7019"]],AUTHORITY["EPSG","6258"]],PRIMEM["Greenwich",0,AUTHORITY["EPSG","8901"]],UNIT["metre",1,AUTHORITY["EPSG","9001"]],AXIS["Geocentric X",OTHER],AXIS["Geocentric Y",OTHER],AXIS["Geocentric Z",NORTH],AUTHORITY["EPSG","4936"]]</t>
  </si>
  <si>
    <t>PROJCS["NAD83(CORS96) / Oregon Bend-Redmond-Prineville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44.66666666666666],PARAMETER["central_meridian",-121.25],PARAMETER["scale_factor",1.00012],PARAMETER["false_easting",262467.1916],PARAMETER["false_northing",426509.1864],UNIT["foot",0.3048,AUTHORITY["EPSG","9002"]],AXIS["X",EAST],AXIS["Y",NORTH],AUTHORITY["EPSG","6793"]]</t>
  </si>
  <si>
    <t>PROJCS["NAD83(2011) / Oregon Bend-Redmond-Prineville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44.66666666666666],PARAMETER["central_meridian",-121.25],PARAMETER["scale_factor",1.00012],PARAMETER["false_easting",80000],PARAMETER["false_northing",130000],UNIT["metre",1,AUTHORITY["EPSG","9001"]],AXIS["X",EAST],AXIS["Y",NORTH],AUTHORITY["EPSG","6794"]]</t>
  </si>
  <si>
    <t>PROJCS["NAD83(2011) / Oregon Bend-Redmond-Prineville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44.66666666666666],PARAMETER["central_meridian",-121.25],PARAMETER["scale_factor",1.00012],PARAMETER["false_easting",262467.1916],PARAMETER["false_northing",426509.1864],UNIT["foot",0.3048,AUTHORITY["EPSG","9002"]],AXIS["X",EAST],AXIS["Y",NORTH],AUTHORITY["EPSG","6795"]]</t>
  </si>
  <si>
    <t>PROJCS["NAD83(CORS96) / Oregon Bend-Burns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43.66666666666666],PARAMETER["central_meridian",-119.75],PARAMETER["scale_factor",1.0002],PARAMETER["false_easting",120000],PARAMETER["false_northing",60000],UNIT["metre",1,AUTHORITY["EPSG","9001"]],AXIS["X",EAST],AXIS["Y",NORTH],AUTHORITY["EPSG","6796"]]</t>
  </si>
  <si>
    <t>PROJCS["NAD83(CORS96) / Oregon Bend-Burns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43.66666666666666],PARAMETER["central_meridian",-119.75],PARAMETER["scale_factor",1.0002],PARAMETER["false_easting",393700.7874],PARAMETER["false_northing",196850.3937],UNIT["foot",0.3048,AUTHORITY["EPSG","9002"]],AXIS["X",EAST],AXIS["Y",NORTH],AUTHORITY["EPSG","6797"]]</t>
  </si>
  <si>
    <t>PROJCS["NAD83(2011) / Oregon Bend-Burns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43.66666666666666],PARAMETER["central_meridian",-119.75],PARAMETER["scale_factor",1.0002],PARAMETER["false_easting",120000],PARAMETER["false_northing",60000],UNIT["metre",1,AUTHORITY["EPSG","9001"]],AXIS["X",EAST],AXIS["Y",NORTH],AUTHORITY["EPSG","6798"]]</t>
  </si>
  <si>
    <t>PROJCS["NAD83(2011) / Oregon Bend-Burns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43.66666666666666],PARAMETER["central_meridian",-119.75],PARAMETER["scale_factor",1.0002],PARAMETER["false_easting",393700.7874],PARAMETER["false_northing",196850.3937],UNIT["foot",0.3048,AUTHORITY["EPSG","9002"]],AXIS["X",EAST],AXIS["Y",NORTH],AUTHORITY["EPSG","6799"]]</t>
  </si>
  <si>
    <t>PROJCS["NAD83(CORS96) / Oregon Canyonville-Grants Pass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42.5],PARAMETER["central_meridian",-123.3333333333333],PARAMETER["scale_factor",1.00007],PARAMETER["false_easting",40000],PARAMETER["false_northing",0],UNIT["metre",1,AUTHORITY["EPSG","9001"]],AXIS["X",EAST],AXIS["Y",NORTH],AUTHORITY["EPSG","6800"]]</t>
  </si>
  <si>
    <t>PROJCS["NAD83(CORS96) / Oregon Canyonville-Grants Pass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42.5],PARAMETER["central_meridian",-123.3333333333333],PARAMETER["scale_factor",1.00007],PARAMETER["false_easting",131233.5958],PARAMETER["false_northing",0],UNIT["foot",0.3048,AUTHORITY["EPSG","9002"]],AXIS["X",EAST],AXIS["Y",NORTH],AUTHORITY["EPSG","6801"]]</t>
  </si>
  <si>
    <t>PROJCS["NAD83(2011) / Oregon Canyonville-Grants Pass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-123.3333333333333],PARAMETER["scale_factor",1.00007],PARAMETER["false_easting",40000],PARAMETER["false_northing",0],UNIT["metre",1,AUTHORITY["EPSG","9001"]],AXIS["X",EAST],AXIS["Y",NORTH],AUTHORITY["EPSG","6802"]]</t>
  </si>
  <si>
    <t>PROJCS["NAD83(2011) / Oregon Canyonville-Grants Pass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42.5],PARAMETER["central_meridian",-123.3333333333333],PARAMETER["scale_factor",1.00007],PARAMETER["false_easting",131233.5958],PARAMETER["false_northing",0],UNIT["foot",0.3048,AUTHORITY["EPSG","9002"]],AXIS["X",EAST],AXIS["Y",NORTH],AUTHORITY["EPSG","6803"]]</t>
  </si>
  <si>
    <t>PROJCS["NAD83(CORS96) / Oregon Columbia River East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45.66666666666666],PARAMETER["central_meridian",-120.5],PARAMETER["scale_factor",1.000008],PARAMETER["false_easting",150000],PARAMETER["false_northing",30000],UNIT["metre",1,AUTHORITY["EPSG","9001"]],AXIS["X",EAST],AXIS["Y",NORTH],AUTHORITY["EPSG","6804"]]</t>
  </si>
  <si>
    <t>PROJCS["NAD83(CORS96) / Oregon Columbia River East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45.66666666666666],PARAMETER["central_meridian",-120.5],PARAMETER["scale_factor",1.000008],PARAMETER["false_easting",492125.9843],PARAMETER["false_northing",98425.1969],UNIT["foot",0.3048,AUTHORITY["EPSG","9002"]],AXIS["X",EAST],AXIS["Y",NORTH],AUTHORITY["EPSG","6805"]]</t>
  </si>
  <si>
    <t>PROJCS["NAD83(2011) / Oregon Columbia River East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45.66666666666666],PARAMETER["central_meridian",-120.5],PARAMETER["scale_factor",1.000008],PARAMETER["false_easting",150000],PARAMETER["false_northing",30000],UNIT["metre",1,AUTHORITY["EPSG","9001"]],AXIS["X",EAST],AXIS["Y",NORTH],AUTHORITY["EPSG","6806"]]</t>
  </si>
  <si>
    <t>PROJCS["NAD83(2011) / Oregon Columbia River East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45.66666666666666],PARAMETER["central_meridian",-120.5],PARAMETER["scale_factor",1.000008],PARAMETER["false_easting",492125.9843],PARAMETER["false_northing",98425.1969],UNIT["foot",0.3048,AUTHORITY["EPSG","9002"]],AXIS["X",EAST],AXIS["Y",NORTH],AUTHORITY["EPSG","6807"]]</t>
  </si>
  <si>
    <t>PROJCS["NAD83(CORS96) / Oregon Columbia River West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45.91666666666666],PARAMETER["longitude_of_center",-123],PARAMETER["azimuth",295],PARAMETER["rectified_grid_angle",295],PARAMETER["scale_factor",1],PARAMETER["false_easting",7000000],PARAMETER["false_northing",-3000000],UNIT["metre",1,AUTHORITY["EPSG","9001"]],AXIS["X",EAST],AXIS["Y",NORTH],AUTHORITY["EPSG","6808"]]</t>
  </si>
  <si>
    <t>PROJCS["NAD83(CORS96) / Oregon Columbia River West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45.91666666666666],PARAMETER["longitude_of_center",-123],PARAMETER["azimuth",295],PARAMETER["rectified_grid_angle",295],PARAMETER["scale_factor",1],PARAMETER["false_easting",22965879.2651],PARAMETER["false_northing",-9842519.685],UNIT["foot",0.3048,AUTHORITY["EPSG","9002"]],AXIS["X",EAST],AXIS["Y",NORTH],AUTHORITY["EPSG","6809"]]</t>
  </si>
  <si>
    <t>PROJCS["NAD83(2011) / Oregon Dufur-Madras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44.5],PARAMETER["central_meridian",-121],PARAMETER["scale_factor",1.00011],PARAMETER["false_easting",262467.1916],PARAMETER["false_northing",0],UNIT["foot",0.3048,AUTHORITY["EPSG","9002"]],AXIS["X",EAST],AXIS["Y",NORTH],AUTHORITY["EPSG","6819"]]</t>
  </si>
  <si>
    <t>PROJCS["NAD83(2011) / Oregon Columbia River West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45.91666666666666],PARAMETER["longitude_of_center",-123],PARAMETER["azimuth",295],PARAMETER["rectified_grid_angle",295],PARAMETER["scale_factor",1],PARAMETER["false_easting",7000000],PARAMETER["false_northing",-3000000],UNIT["metre",1,AUTHORITY["EPSG","9001"]],AXIS["X",EAST],AXIS["Y",NORTH],AUTHORITY["EPSG","6810"]]</t>
  </si>
  <si>
    <t>PROJCS["NAD83(2011) / Oregon Columbia River West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45.91666666666666],PARAMETER["longitude_of_center",-123],PARAMETER["azimuth",295],PARAMETER["rectified_grid_angle",295],PARAMETER["scale_factor",1],PARAMETER["false_easting",22965879.2651],PARAMETER["false_northing",-9842519.685],UNIT["foot",0.3048,AUTHORITY["EPSG","9002"]],AXIS["X",EAST],AXIS["Y",NORTH],AUTHORITY["EPSG","6811"]]</t>
  </si>
  <si>
    <t>PROJCS["NAD83(CORS96) / Oregon Cottage Grove-Canyonville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42.83333333333334],PARAMETER["central_meridian",-123.3333333333333],PARAMETER["scale_factor",1.000023],PARAMETER["false_easting",50000],PARAMETER["false_northing",0],UNIT["metre",1,AUTHORITY["EPSG","9001"]],AXIS["X",EAST],AXIS["Y",NORTH],AUTHORITY["EPSG","6812"]]</t>
  </si>
  <si>
    <t>PROJCS["NAD83(CORS96) / Oregon Cottage Grove-Canyonville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42.83333333333334],PARAMETER["central_meridian",-123.3333333333333],PARAMETER["scale_factor",1.000023],PARAMETER["false_easting",164041.9948],PARAMETER["false_northing",0],UNIT["foot",0.3048,AUTHORITY["EPSG","9002"]],AXIS["X",EAST],AXIS["Y",NORTH],AUTHORITY["EPSG","6813"]]</t>
  </si>
  <si>
    <t>PROJCS["NAD83(2011) / Oregon Cottage Grove-Canyonville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-123.3333333333333],PARAMETER["scale_factor",1.000023],PARAMETER["false_easting",50000],PARAMETER["false_northing",0],UNIT["metre",1,AUTHORITY["EPSG","9001"]],AXIS["X",EAST],AXIS["Y",NORTH],AUTHORITY["EPSG","6814"]]</t>
  </si>
  <si>
    <t>PROJCS["NAD83(2011) / Oregon Cottage Grove-Canyonville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42.83333333333334],PARAMETER["central_meridian",-123.3333333333333],PARAMETER["scale_factor",1.000023],PARAMETER["false_easting",164041.9948],PARAMETER["false_northing",0],UNIT["foot",0.3048,AUTHORITY["EPSG","9002"]],AXIS["X",EAST],AXIS["Y",NORTH],AUTHORITY["EPSG","6815"]]</t>
  </si>
  <si>
    <t>PROJCS["NAD83(CORS96) / Oregon Dufur-Madras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-121],PARAMETER["scale_factor",1.00011],PARAMETER["false_easting",80000],PARAMETER["false_northing",0],UNIT["metre",1,AUTHORITY["EPSG","9001"]],AXIS["X",EAST],AXIS["Y",NORTH],AUTHORITY["EPSG","6816"]]</t>
  </si>
  <si>
    <t>PROJCS["NAD83(CORS96) / Oregon Dufur-Madras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44.5],PARAMETER["central_meridian",-121],PARAMETER["scale_factor",1.00011],PARAMETER["false_easting",262467.1916],PARAMETER["false_northing",0],UNIT["foot",0.3048,AUTHORITY["EPSG","9002"]],AXIS["X",EAST],AXIS["Y",NORTH],AUTHORITY["EPSG","6817"]]</t>
  </si>
  <si>
    <t>PROJCS["NAD83(2011) / Oregon Dufur-Madras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44.5],PARAMETER["central_meridian",-121],PARAMETER["scale_factor",1.00011],PARAMETER["false_easting",80000],PARAMETER["false_northing",0],UNIT["metre",1,AUTHORITY["EPSG","9001"]],AXIS["X",EAST],AXIS["Y",NORTH],AUTHORITY["EPSG","6818"]]</t>
  </si>
  <si>
    <t>PROJCS["NAD83(CORS96) / Oregon Eugene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43.75],PARAMETER["central_meridian",-123.1666666666667],PARAMETER["scale_factor",1.000015],PARAMETER["false_easting",50000],PARAMETER["false_northing",0],UNIT["metre",1,AUTHORITY["EPSG","9001"]],AXIS["X",EAST],AXIS["Y",NORTH],AUTHORITY["EPSG","6820"]]</t>
  </si>
  <si>
    <t>PROJCS["NAD83(CORS96) / Oregon Eugene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43.75],PARAMETER["central_meridian",-123.1666666666667],PARAMETER["scale_factor",1.000015],PARAMETER["false_easting",164041.9948],PARAMETER["false_northing",0],UNIT["foot",0.3048,AUTHORITY["EPSG","9002"]],AXIS["X",EAST],AXIS["Y",NORTH],AUTHORITY["EPSG","6821"]]</t>
  </si>
  <si>
    <t>PROJCS["NAD83(2011) / Oregon Eugene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43.75],PARAMETER["central_meridian",-123.1666666666667],PARAMETER["scale_factor",1.000015],PARAMETER["false_easting",50000],PARAMETER["false_northing",0],UNIT["metre",1,AUTHORITY["EPSG","9001"]],AXIS["X",EAST],AXIS["Y",NORTH],AUTHORITY["EPSG","6822"]]</t>
  </si>
  <si>
    <t>PROJCS["NAD83(2011) / Oregon Eugene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43.75],PARAMETER["central_meridian",-123.1666666666667],PARAMETER["scale_factor",1.000015],PARAMETER["false_easting",164041.9948],PARAMETER["false_northing",0],UNIT["foot",0.3048,AUTHORITY["EPSG","9002"]],AXIS["X",EAST],AXIS["Y",NORTH],AUTHORITY["EPSG","6823"]]</t>
  </si>
  <si>
    <t>PROJCS["NAD83(CORS96) / Oregon Grants Pass-Ashland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-123.3333333333333],PARAMETER["scale_factor",1.000043],PARAMETER["false_easting",50000],PARAMETER["false_northing",0],UNIT["metre",1,AUTHORITY["EPSG","9001"]],AXIS["X",EAST],AXIS["Y",NORTH],AUTHORITY["EPSG","6824"]]</t>
  </si>
  <si>
    <t>PROJCS["NAD83(CORS96) / Oregon Grants Pass-Ashland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41.75],PARAMETER["central_meridian",-123.3333333333333],PARAMETER["scale_factor",1.000043],PARAMETER["false_easting",164041.9948],PARAMETER["false_northing",0],UNIT["foot",0.3048,AUTHORITY["EPSG","9002"]],AXIS["X",EAST],AXIS["Y",NORTH],AUTHORITY["EPSG","6825"]]</t>
  </si>
  <si>
    <t>PROJCS["NAD83(2011) / Oregon Grants Pass-Ashland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-123.3333333333333],PARAMETER["scale_factor",1.000043],PARAMETER["false_easting",50000],PARAMETER["false_northing",0],UNIT["metre",1,AUTHORITY["EPSG","9001"]],AXIS["X",EAST],AXIS["Y",NORTH],AUTHORITY["EPSG","6826"]]</t>
  </si>
  <si>
    <t>PROJCS["NAD83(2011) / Oregon Grants Pass-Ashland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-123.3333333333333],PARAMETER["scale_factor",1.000043],PARAMETER["false_easting",164041.9948],PARAMETER["false_northing",0],UNIT["foot",0.3048,AUTHORITY["EPSG","9002"]],AXIS["X",EAST],AXIS["Y",NORTH],AUTHORITY["EPSG","6827"]]</t>
  </si>
  <si>
    <t>PROJCS["NAD83(CORS96) / Oregon Gresham-Warm Springs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-122.3333333333333],PARAMETER["scale_factor",1.00005],PARAMETER["false_easting",10000],PARAMETER["false_northing",0],UNIT["metre",1,AUTHORITY["EPSG","9001"]],AXIS["X",EAST],AXIS["Y",NORTH],AUTHORITY["EPSG","6828"]]</t>
  </si>
  <si>
    <t>GEOCCS["GDA94",DATUM["Geocentric_Datum_of_Australia_1994",SPHEROID["GRS 1980",6378137,298.257222101,AUTHORITY["EPSG","7019"]],AUTHORITY["EPSG","6283"]],PRIMEM["Greenwich",0,AUTHORITY["EPSG","8901"]],UNIT["metre",1,AUTHORITY["EPSG","9001"]],AXIS["Geocentric X",OTHER],AXIS["Geocentric Y",OTHER],AXIS["Geocentric Z",NORTH],AUTHORITY["EPSG","4938"]]</t>
  </si>
  <si>
    <t>PROJCS["NAD83(CORS96) / Oregon Gresham-Warm Springs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-122.3333333333333],PARAMETER["scale_factor",1.00005],PARAMETER["false_easting",32808.399],PARAMETER["false_northing",0],UNIT["foot",0.3048,AUTHORITY["EPSG","9002"]],AXIS["X",EAST],AXIS["Y",NORTH],AUTHORITY["EPSG","6829"]]</t>
  </si>
  <si>
    <t>PROJCS["NAD83(2011) / Oregon Gresham-Warm Springs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45],PARAMETER["central_meridian",-122.3333333333333],PARAMETER["scale_factor",1.00005],PARAMETER["false_easting",10000],PARAMETER["false_northing",0],UNIT["metre",1,AUTHORITY["EPSG","9001"]],AXIS["X",EAST],AXIS["Y",NORTH],AUTHORITY["EPSG","6830"]]</t>
  </si>
  <si>
    <t>PROJCS["NAD83(2011) / Oregon Gresham-Warm Springs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45],PARAMETER["central_meridian",-122.3333333333333],PARAMETER["scale_factor",1.00005],PARAMETER["false_easting",32808.399],PARAMETER["false_northing",0],UNIT["foot",0.3048,AUTHORITY["EPSG","9002"]],AXIS["X",EAST],AXIS["Y",NORTH],AUTHORITY["EPSG","6831"]]</t>
  </si>
  <si>
    <t>PROJCS["NAD83(CORS96) / Oregon La Grande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-118],PARAMETER["scale_factor",1.00013],PARAMETER["false_easting",40000],PARAMETER["false_northing",0],UNIT["metre",1,AUTHORITY["EPSG","9001"]],AXIS["X",EAST],AXIS["Y",NORTH],AUTHORITY["EPSG","6832"]]</t>
  </si>
  <si>
    <t>PROJCS["NAD83(CORS96) / Oregon La Grande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45],PARAMETER["central_meridian",-118],PARAMETER["scale_factor",1.00013],PARAMETER["false_easting",131233.5958],PARAMETER["false_northing",0],UNIT["foot",0.3048,AUTHORITY["EPSG","9002"]],AXIS["X",EAST],AXIS["Y",NORTH],AUTHORITY["EPSG","6833"]]</t>
  </si>
  <si>
    <t>PROJCS["NAD83(2011) / Oregon La Grande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45],PARAMETER["central_meridian",-118],PARAMETER["scale_factor",1.00013],PARAMETER["false_easting",40000],PARAMETER["false_northing",0],UNIT["metre",1,AUTHORITY["EPSG","9001"]],AXIS["X",EAST],AXIS["Y",NORTH],AUTHORITY["EPSG","6834"]]</t>
  </si>
  <si>
    <t>PROJCS["NAD83(2011) / Oregon La Grande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45],PARAMETER["central_meridian",-118],PARAMETER["scale_factor",1.00013],PARAMETER["false_easting",131233.5958],PARAMETER["false_northing",0],UNIT["foot",0.3048,AUTHORITY["EPSG","9002"]],AXIS["X",EAST],AXIS["Y",NORTH],AUTHORITY["EPSG","6835"]]</t>
  </si>
  <si>
    <t>PROJCS["NAD83(CORS96) / Oregon Ontario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43.25],PARAMETER["central_meridian",-117],PARAMETER["scale_factor",1.0001],PARAMETER["false_easting",80000],PARAMETER["false_northing",0],UNIT["metre",1,AUTHORITY["EPSG","9001"]],AXIS["X",EAST],AXIS["Y",NORTH],AUTHORITY["EPSG","6836"]]</t>
  </si>
  <si>
    <t>PROJCS["NAD83(CORS96) / Oregon Ontario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43.25],PARAMETER["central_meridian",-117],PARAMETER["scale_factor",1.0001],PARAMETER["false_easting",262467.1916],PARAMETER["false_northing",0],UNIT["foot",0.3048,AUTHORITY["EPSG","9002"]],AXIS["X",EAST],AXIS["Y",NORTH],AUTHORITY["EPSG","6837"]]</t>
  </si>
  <si>
    <t>PROJCS["GDA2020 / MGA zone 47",GEOGCS["GDA2020",DATUM["Geocentric_Datum_of_Australia_2020",SPHEROID["GRS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7847"]]</t>
  </si>
  <si>
    <t>PROJCS["NAD83(2011) / Oregon Ontario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43.25],PARAMETER["central_meridian",-117],PARAMETER["scale_factor",1.0001],PARAMETER["false_easting",80000],PARAMETER["false_northing",0],UNIT["metre",1,AUTHORITY["EPSG","9001"]],AXIS["X",EAST],AXIS["Y",NORTH],AUTHORITY["EPSG","6838"]]</t>
  </si>
  <si>
    <t>PROJCS["NAD83(2011) / Oregon Ontario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43.25],PARAMETER["central_meridian",-117],PARAMETER["scale_factor",1.0001],PARAMETER["false_easting",262467.1916],PARAMETER["false_northing",0],UNIT["foot",0.3048,AUTHORITY["EPSG","9002"]],AXIS["X",EAST],AXIS["Y",NORTH],AUTHORITY["EPSG","6839"]]</t>
  </si>
  <si>
    <t>PROJCS["NAD83(CORS96) / Oregon Coast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44.75],PARAMETER["longitude_of_center",-124.05],PARAMETER["azimuth",5],PARAMETER["rectified_grid_angle",5],PARAMETER["scale_factor",1],PARAMETER["false_easting",-300000],PARAMETER["false_northing",-4600000],UNIT["metre",1,AUTHORITY["EPSG","9001"]],AXIS["X",EAST],AXIS["Y",NORTH],AUTHORITY["EPSG","6840"]]</t>
  </si>
  <si>
    <t>PROJCS["NAD83(CORS96) / Oregon Coast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Hotine_Oblique_Mercator"],PARAMETER["latitude_of_center",44.75],PARAMETER["longitude_of_center",-124.05],PARAMETER["azimuth",5],PARAMETER["rectified_grid_angle",5],PARAMETER["scale_factor",1],PARAMETER["false_easting",-984251.9685],PARAMETER["false_northing",-15091863.5171],UNIT["foot",0.3048,AUTHORITY["EPSG","9002"]],AXIS["X",EAST],AXIS["Y",NORTH],AUTHORITY["EPSG","6841"]]</t>
  </si>
  <si>
    <t>PROJCS["NAD83(2011) / Oregon Coast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44.75],PARAMETER["longitude_of_center",-124.05],PARAMETER["azimuth",5],PARAMETER["rectified_grid_angle",5],PARAMETER["scale_factor",1],PARAMETER["false_easting",-300000],PARAMETER["false_northing",-4600000],UNIT["metre",1,AUTHORITY["EPSG","9001"]],AXIS["X",EAST],AXIS["Y",NORTH],AUTHORITY["EPSG","6842"]]</t>
  </si>
  <si>
    <t>PROJCS["NAD83(2011) / Oregon Coast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"],PARAMETER["latitude_of_center",44.75],PARAMETER["longitude_of_center",-124.05],PARAMETER["azimuth",5],PARAMETER["rectified_grid_angle",5],PARAMETER["scale_factor",1],PARAMETER["false_easting",-984251.9685],PARAMETER["false_northing",-15091863.5171],UNIT["foot",0.3048,AUTHORITY["EPSG","9002"]],AXIS["X",EAST],AXIS["Y",NORTH],AUTHORITY["EPSG","6843"]]</t>
  </si>
  <si>
    <t>PROJCS["NAD83(CORS96) / Oregon Pendleton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45.25],PARAMETER["central_meridian",-119.1666666666667],PARAMETER["scale_factor",1.000045],PARAMETER["false_easting",60000],PARAMETER["false_northing",0],UNIT["metre",1,AUTHORITY["EPSG","9001"]],AXIS["X",EAST],AXIS["Y",NORTH],AUTHORITY["EPSG","6844"]]</t>
  </si>
  <si>
    <t>PROJCS["NAD83(CORS96) / Oregon Pendleton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45.25],PARAMETER["central_meridian",-119.1666666666667],PARAMETER["scale_factor",1.000045],PARAMETER["false_easting",196850.3937],PARAMETER["false_northing",0],UNIT["foot",0.3048,AUTHORITY["EPSG","9002"]],AXIS["X",EAST],AXIS["Y",NORTH],AUTHORITY["EPSG","6845"]]</t>
  </si>
  <si>
    <t>PROJCS["NAD83(2011) / Oregon Pendleton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45.25],PARAMETER["central_meridian",-119.1666666666667],PARAMETER["scale_factor",1.000045],PARAMETER["false_easting",60000],PARAMETER["false_northing",0],UNIT["metre",1,AUTHORITY["EPSG","9001"]],AXIS["X",EAST],AXIS["Y",NORTH],AUTHORITY["EPSG","6846"]]</t>
  </si>
  <si>
    <t>PROJCS["NAD83(2011) / Oregon Pendleton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45.25],PARAMETER["central_meridian",-119.1666666666667],PARAMETER["scale_factor",1.000045],PARAMETER["false_easting",196850.3937],PARAMETER["false_northing",0],UNIT["foot",0.3048,AUTHORITY["EPSG","9002"]],AXIS["X",EAST],AXIS["Y",NORTH],AUTHORITY["EPSG","6847"]]</t>
  </si>
  <si>
    <t>PROJCS["NAD83(CORS96) / Oregon Pendleton-La Grande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45.08333333333334],PARAMETER["central_meridian",-118.3333333333333],PARAMETER["scale_factor",1.000175],PARAMETER["false_easting",30000],PARAMETER["false_northing",0],UNIT["metre",1,AUTHORITY["EPSG","9001"]],AXIS["X",EAST],AXIS["Y",NORTH],AUTHORITY["EPSG","6848"]]</t>
  </si>
  <si>
    <t>PROJCS["NAD83(CORS96) / Oregon Pendleton-La Grande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45.08333333333334],PARAMETER["central_meridian",-118.3333333333333],PARAMETER["scale_factor",1.000175],PARAMETER["false_easting",98425.1969],PARAMETER["false_northing",0],UNIT["foot",0.3048,AUTHORITY["EPSG","9002"]],AXIS["X",EAST],AXIS["Y",NORTH],AUTHORITY["EPSG","6849"]]</t>
  </si>
  <si>
    <t>PROJCS["NAD83(2011) / Oregon Pendleton-La Grande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45.08333333333334],PARAMETER["central_meridian",-118.3333333333333],PARAMETER["scale_factor",1.000175],PARAMETER["false_easting",30000],PARAMETER["false_northing",0],UNIT["metre",1,AUTHORITY["EPSG","9001"]],AXIS["X",EAST],AXIS["Y",NORTH],AUTHORITY["EPSG","6850"]]</t>
  </si>
  <si>
    <t>PROJCS["NAD83(2011) / Oregon Pendleton-La Grande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45.08333333333334],PARAMETER["central_meridian",-118.3333333333333],PARAMETER["scale_factor",1.000175],PARAMETER["false_easting",98425.1969],PARAMETER["false_northing",0],UNIT["foot",0.3048,AUTHORITY["EPSG","9002"]],AXIS["X",EAST],AXIS["Y",NORTH],AUTHORITY["EPSG","6851"]]</t>
  </si>
  <si>
    <t>PROJCS["NAD83(CORS96) / Oregon Portland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45.5],PARAMETER["central_meridian",-122.75],PARAMETER["scale_factor",1.000002],PARAMETER["false_easting",100000],PARAMETER["false_northing",50000],UNIT["metre",1,AUTHORITY["EPSG","9001"]],AXIS["X",EAST],AXIS["Y",NORTH],AUTHORITY["EPSG","6852"]]</t>
  </si>
  <si>
    <t>PROJCS["NAD83(CORS96) / Oregon Portland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1SP"],PARAMETER["latitude_of_origin",45.5],PARAMETER["central_meridian",-122.75],PARAMETER["scale_factor",1.000002],PARAMETER["false_easting",328083.9895],PARAMETER["false_northing",164041.9948],UNIT["foot",0.3048,AUTHORITY["EPSG","9002"]],AXIS["X",EAST],AXIS["Y",NORTH],AUTHORITY["EPSG","6853"]]</t>
  </si>
  <si>
    <t>PROJCS["NAD83(2011) / Oregon Portland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45.5],PARAMETER["central_meridian",-122.75],PARAMETER["scale_factor",1.000002],PARAMETER["false_easting",100000],PARAMETER["false_northing",50000],UNIT["metre",1,AUTHORITY["EPSG","9001"]],AXIS["X",EAST],AXIS["Y",NORTH],AUTHORITY["EPSG","6854"]]</t>
  </si>
  <si>
    <t>PROJCS["NAD83(2011) / Oregon Portland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45.5],PARAMETER["central_meridian",-122.75],PARAMETER["scale_factor",1.000002],PARAMETER["false_easting",328083.9895],PARAMETER["false_northing",164041.9948],UNIT["foot",0.3048,AUTHORITY["EPSG","9002"]],AXIS["X",EAST],AXIS["Y",NORTH],AUTHORITY["EPSG","6855"]]</t>
  </si>
  <si>
    <t>PROJCS["NAD83(CORS96) / Oregon Salem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44.33333333333334],PARAMETER["central_meridian",-123.0833333333333],PARAMETER["scale_factor",1.00001],PARAMETER["false_easting",50000],PARAMETER["false_northing",0],UNIT["metre",1,AUTHORITY["EPSG","9001"]],AXIS["X",EAST],AXIS["Y",NORTH],AUTHORITY["EPSG","6856"]]</t>
  </si>
  <si>
    <t>PROJCS["NAD83(CORS96) / Oregon Salem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44.33333333333334],PARAMETER["central_meridian",-123.0833333333333],PARAMETER["scale_factor",1.00001],PARAMETER["false_easting",164041.9948],PARAMETER["false_northing",0],UNIT["foot",0.3048,AUTHORITY["EPSG","9002"]],AXIS["X",EAST],AXIS["Y",NORTH],AUTHORITY["EPSG","6857"]]</t>
  </si>
  <si>
    <t>PROJCS["NAD83(2011) / Oregon Salem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44.33333333333334],PARAMETER["central_meridian",-123.0833333333333],PARAMETER["scale_factor",1.00001],PARAMETER["false_easting",50000],PARAMETER["false_northing",0],UNIT["metre",1,AUTHORITY["EPSG","9001"]],AXIS["X",EAST],AXIS["Y",NORTH],AUTHORITY["EPSG","6858"]]</t>
  </si>
  <si>
    <t>PROJCS["NAD83(2011) / Oregon Salem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44.33333333333334],PARAMETER["central_meridian",-123.0833333333333],PARAMETER["scale_factor",1.00001],PARAMETER["false_easting",164041.9948],PARAMETER["false_northing",0],UNIT["foot",0.3048,AUTHORITY["EPSG","9002"]],AXIS["X",EAST],AXIS["Y",NORTH],AUTHORITY["EPSG","6859"]]</t>
  </si>
  <si>
    <t>PROJCS["NAD83(CORS96) / Oregon Santiam Pass zone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44.08333333333334],PARAMETER["central_meridian",-122.5],PARAMETER["scale_factor",1.000155],PARAMETER["false_easting",0],PARAMETER["false_northing",0],UNIT["metre",1,AUTHORITY["EPSG","9001"]],AXIS["X",EAST],AXIS["Y",NORTH],AUTHORITY["EPSG","6860"]]</t>
  </si>
  <si>
    <t>PROJCS["NAD83(CORS96) / Oregon Santiam Pass zone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Transverse_Mercator"],PARAMETER["latitude_of_origin",44.08333333333334],PARAMETER["central_meridian",-122.5],PARAMETER["scale_factor",1.000155],PARAMETER["false_easting",0],PARAMETER["false_northing",0],UNIT["foot",0.3048,AUTHORITY["EPSG","9002"]],AXIS["X",EAST],AXIS["Y",NORTH],AUTHORITY["EPSG","6861"]]</t>
  </si>
  <si>
    <t>PROJCS["NAD83(2011) / Oregon Santiam Pass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44.08333333333334],PARAMETER["central_meridian",-122.5],PARAMETER["scale_factor",1.000155],PARAMETER["false_easting",0],PARAMETER["false_northing",0],UNIT["metre",1,AUTHORITY["EPSG","9001"]],AXIS["X",EAST],AXIS["Y",NORTH],AUTHORITY["EPSG","6862"]]</t>
  </si>
  <si>
    <t>PROJCS["NAD83(2011) / Oregon Santiam Pass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44.08333333333334],PARAMETER["central_meridian",-122.5],PARAMETER["scale_factor",1.000155],PARAMETER["false_easting",0],PARAMETER["false_northing",0],UNIT["foot",0.3048,AUTHORITY["EPSG","9002"]],AXIS["X",EAST],AXIS["Y",NORTH],AUTHORITY["EPSG","6863"]]</t>
  </si>
  <si>
    <t>PROJCS["NAD83(CORS96) / Oregon LCC (m)",GEOGCS["NAD83(CORS96)",DATUM["NAD83_Continuously_Operating_Reference_Station_1996",SPHEROID["GRS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43],PARAMETER["standard_parallel_2",45.5],PARAMETER["latitude_of_origin",41.75],PARAMETER["central_meridian",-120.5],PARAMETER["false_easting",400000],PARAMETER["false_northing",0],UNIT["metre",1,AUTHORITY["EPSG","9001"]],AXIS["X",EAST],AXIS["Y",NORTH],AUTHORITY["EPSG","6867"]]</t>
  </si>
  <si>
    <t>GEOCCS["Hartebeesthoek94",DATUM["Hartebeesthoek94",SPHEROID["WGS 84",6378137,298.257223563,AUTHORITY["EPSG","7030"]],AUTHORITY["EPSG","6148"]],PRIMEM["Greenwich",0,AUTHORITY["EPSG","8901"]],UNIT["metre",1,AUTHORITY["EPSG","9001"]],AXIS["Geocentric X",OTHER],AXIS["Geocentric Y",OTHER],AXIS["Geocentric Z",NORTH],AUTHORITY["EPSG","4940"]]</t>
  </si>
  <si>
    <t>PROJCS["NAD83(CORS96) / Oregon GIC Lambert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43],PARAMETER["standard_parallel_2",45.5],PARAMETER["latitude_of_origin",41.75],PARAMETER["central_meridian",-120.5],PARAMETER["false_easting",1312335.958],PARAMETER["false_northing",0],UNIT["foot",0.3048,AUTHORITY["EPSG","9002"]],AXIS["X",EAST],AXIS["Y",NORTH],AUTHORITY["EPSG","6868"]]</t>
  </si>
  <si>
    <t>PROJCS["ETRS89 / Albania TM 2010",GEOGCS["ETRS89",DATUM["European_Terrestrial_Reference_System_1989",SPHEROID["GRS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20],PARAMETER["scale_factor",1],PARAMETER["false_easting",500000],PARAMETER["false_northing",0],UNIT["metre",1,AUTHORITY["EPSG","9001"]],AUTHORITY["EPSG","6870"]]</t>
  </si>
  <si>
    <t>PROJCS["RDN2008 / Italy zone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12],PARAMETER["scale_factor",0.9985],PARAMETER["false_easting",7000000],PARAMETER["false_northing",0],UNIT["metre",1,AUTHORITY["EPSG","9001"]],AUTHORITY["EPSG","6875"]]</t>
  </si>
  <si>
    <t xml:space="preserve">+proj=tmerc +lat_0=0 +lon_0=12 +k=0.9985000000000001 +x_0=7000000 +y_0=0 +ellps=GRS80 +towgs84=0,0,0,0,0,0,0 +units=m +no_defs </t>
  </si>
  <si>
    <t>PROJCS["RDN2008 / Zone 12 (N-E)",GEOGCS["RDN2008",DATUM["Rete_Dinamica_Nazionale_2008",SPHEROID["GRS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12],PARAMETER["scale_factor",1],PARAMETER["false_easting",3000000],PARAMETER["false_northing",0],UNIT["metre",1,AUTHORITY["EPSG","9001"]],AUTHORITY["EPSG","6876"]]</t>
  </si>
  <si>
    <t xml:space="preserve">+proj=tmerc +lat_0=0 +lon_0=12 +k=1 +x_0=3000000 +y_0=0 +ellps=GRS80 +towgs84=0,0,0,0,0,0,0 +units=m +no_defs </t>
  </si>
  <si>
    <t>PROJCS["NAD83(2011) / Wisconsin Central",GEOGCS["NAD83(2011)",DATUM["NAD83_National_Spatial_Reference_System_2011",SPHEROID["GRS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6879"]]</t>
  </si>
  <si>
    <t>PROJCS["NAD83(2011) / Nebraska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foot",0.3048006096012192,AUTHORITY["EPSG","9003"]],AXIS["X",EAST],AXIS["Y",NORTH],AUTHORITY["EPSG","6880"]]</t>
  </si>
  <si>
    <t>PROJCS["NAD83(CORS96) / Oregon North",GEOGCS["NAD83(CORS96)",DATUM["NAD83_Continuously_Operating_Reference_Station_1996",SPHEROID["GRS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6884"]]</t>
  </si>
  <si>
    <t>PROJCS["NAD83(CORS96) / Oregon North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46],PARAMETER["standard_parallel_2",44.33333333333334],PARAMETER["latitude_of_origin",43.66666666666666],PARAMETER["central_meridian",-120.5],PARAMETER["false_easting",8202099.738],PARAMETER["false_northing",0],UNIT["foot",0.3048,AUTHORITY["EPSG","9002"]],AXIS["X",EAST],AXIS["Y",NORTH],AUTHORITY["EPSG","6885"]]</t>
  </si>
  <si>
    <t>PROJCS["NAD83(CORS96) / Oregon South",GEOGCS["NAD83(CORS96)",DATUM["NAD83_Continuously_Operating_Reference_Station_1996",SPHEROID["GRS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6886"]]</t>
  </si>
  <si>
    <t>PROJCS["NAD83(CORS96) / Oregon South (ft)",GEOGCS["NAD83(CORS96)",DATUM["NAD83_Continuously_Operating_Reference_Station_1996",SPHEROID["GRS 1980",6378137,298.257222101,AUTHORITY["EPSG","7019"]],AUTHORITY["EPSG","1133"]],PRIMEM["Greenwich",0,AUTHORITY["EPSG","8901"]],UNIT["degree",0.0174532925199433,AUTHORITY["EPSG","9122"]],AUTHORITY["EPSG","6783"]],PROJECTION["Lambert_Conformal_Conic_2SP"],PARAMETER["standard_parallel_1",44],PARAMETER["standard_parallel_2",42.33333333333334],PARAMETER["latitude_of_origin",41.66666666666666],PARAMETER["central_meridian",-120.5],PARAMETER["false_easting",4921259.843],PARAMETER["false_northing",0],UNIT["foot",0.3048,AUTHORITY["EPSG","9002"]],AXIS["X",EAST],AXIS["Y",NORTH],AUTHORITY["EPSG","6887"]]</t>
  </si>
  <si>
    <t>PROJCS["South East Island 1943 / UTM zone 40N",GEOGCS["South East Island 1943",DATUM["South_East_Island_1943",SPHEROID["Clarke 1880 (RGS)",6378249.145,293.465,AUTHORITY["EPSG","7012"]],TOWGS84[-43.685,-179.785,-267.721,0,0,0,0],AUTHORITY["EPSG","1138"]],PRIMEM["Greenwich",0,AUTHORITY["EPSG","8901"]],UNIT["degree",0.0174532925199433,AUTHORITY["EPSG","9122"]],AUTHORITY["EPSG","6892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6915"]]</t>
  </si>
  <si>
    <t xml:space="preserve">+proj=utm +zone=40 +ellps=clrk80 +towgs84=-43.685,-179.785,-267.721,0,0,0,0 +units=m +no_defs </t>
  </si>
  <si>
    <t>PROJCS["NAD83 / Kansas LCC",GEOGCS["NAD83",DATUM["North_American_Datum_1983",SPHEROID["GRS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39.5],PARAMETER["standard_parallel_2",37.5],PARAMETER["latitude_of_origin",36],PARAMETER["central_meridian",-98.25],PARAMETER["false_easting",400000],PARAMETER["false_northing",0],UNIT["metre",1,AUTHORITY["EPSG","9001"]],AXIS["X",EAST],AXIS["Y",NORTH],AUTHORITY["EPSG","6922"]]</t>
  </si>
  <si>
    <t>PROJCS["NAD83 / Kansas LCC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39.5],PARAMETER["standard_parallel_2",37.5],PARAMETER["latitude_of_origin",36],PARAMETER["central_meridian",-98.25],PARAMETER["false_easting",1312333.3333],PARAMETER["false_northing",0],UNIT["US survey foot",0.3048006096012192,AUTHORITY["EPSG","9003"]],AXIS["X",EAST],AXIS["Y",NORTH],AUTHORITY["EPSG","6923"]]</t>
  </si>
  <si>
    <t>PROJCS["NAD83(2011) / Kansas LCC",GEOGCS["NAD83(2011)",DATUM["NAD83_National_Spatial_Reference_System_2011",SPHEROID["GRS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39.5],PARAMETER["standard_parallel_2",37.5],PARAMETER["latitude_of_origin",36],PARAMETER["central_meridian",-98.25],PARAMETER["false_easting",400000],PARAMETER["false_northing",0],UNIT["metre",1,AUTHORITY["EPSG","9001"]],AXIS["X",EAST],AXIS["Y",NORTH],AUTHORITY["EPSG","6924"]]</t>
  </si>
  <si>
    <t>PROJCS["NAD83(2011) / Kansas LCC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2SP"],PARAMETER["standard_parallel_1",39.5],PARAMETER["standard_parallel_2",37.5],PARAMETER["latitude_of_origin",36],PARAMETER["central_meridian",-98.25],PARAMETER["false_easting",1312333.3333],PARAMETER["false_northing",0],UNIT["US survey foot",0.3048006096012192,AUTHORITY["EPSG","9003"]],AXIS["X",EAST],AXIS["Y",NORTH],AUTHORITY["EPSG","6925"]]</t>
  </si>
  <si>
    <t>PROJCS["WGS 84 / NSIDC EASE-Grid 2.0 North",GEOGCS["WGS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90],PARAMETER["longitude_of_center",0],PARAMETER["false_easting",0],PARAMETER["false_northing",0],UNIT["metre",1,AUTHORITY["EPSG","9001"]],AXIS["X",EAST],AXIS["Y",NORTH],AUTHORITY["EPSG","6931"]]</t>
  </si>
  <si>
    <t>PROJCS["WGS 84 / NSIDC EASE-Grid 2.0 South",GEOGCS["WGS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Azimuthal_Equal_Area"],PARAMETER["latitude_of_center",-90],PARAMETER["longitude_of_center",0],PARAMETER["false_easting",0],PARAMETER["false_northing",0],UNIT["metre",1,AUTHORITY["EPSG","9001"]],AXIS["X",EAST],AXIS["Y",NORTH],AUTHORITY["EPSG","6932"]]</t>
  </si>
  <si>
    <t>PROJCS["WGS 84 / NSIDC EASE-Grid 2.0 Global",GEOGCS["WGS 84",DATUM["WGS_1984",SPHEROID["WGS 84",6378137,298.257223563,AUTHORITY["EPSG","7030"]],AUTHORITY["EPSG","6326"]],PRIMEM["Greenwich",0,AUTHORITY["EPSG","8901"]],UNIT["degree",0.0174532925199433,AUTHORITY["EPSG","9122"]],AUTHORITY["EPSG","4326"]],PROJECTION["Cylindrical_Equal_Area"],PARAMETER["standard_parallel_1",30],PARAMETER["central_meridian",0],PARAMETER["false_easting",0],PARAMETER["false_northing",0],UNIT["metre",1,AUTHORITY["EPSG","9001"]],AXIS["X",EAST],AXIS["Y",NORTH],AUTHORITY["EPSG","6933"]]</t>
  </si>
  <si>
    <t>PROJCS["Nahrwan 1934 / UTM zone 37N",GEOGCS["Nahrwan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7005"]]</t>
  </si>
  <si>
    <t xml:space="preserve">+proj=utm +zone=37 +ellps=clrk80 +towgs84=-242.2,-144.9,370.3,0,0,0,0 +units=m +no_defs </t>
  </si>
  <si>
    <t>PROJCS["VN-2000 / TM-3 zone 481",GEOGCS["VN-2000",DATUM["Vietnam_2000",SPHEROID["WGS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102],PARAMETER["scale_factor",0.9999],PARAMETER["false_easting",0],PARAMETER["false_northing",500000],UNIT["metre",1,AUTHORITY["EPSG","9001"]],AXIS["Easting",EAST],AXIS["Northing",NORTH],AUTHORITY["EPSG","6956"]]</t>
  </si>
  <si>
    <t xml:space="preserve">+proj=tmerc +lat_0=0 +lon_0=102 +k=0.9999 +x_0=0 +y_0=500000 +ellps=WGS84 +towgs84=-191.90441429,-39.30318279,-111.45032835,0.00928836,-0.01975479,0.00427372,0.252906278 +units=m +no_defs </t>
  </si>
  <si>
    <t>PROJCS["VN-2000 / TM-3 zone 482",GEOGCS["VN-2000",DATUM["Vietnam_2000",SPHEROID["WGS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105],PARAMETER["scale_factor",0.9999],PARAMETER["false_easting",0],PARAMETER["false_northing",500000],UNIT["metre",1,AUTHORITY["EPSG","9001"]],AXIS["Easting",EAST],AXIS["Northing",NORTH],AUTHORITY["EPSG","6957"]]</t>
  </si>
  <si>
    <t xml:space="preserve">+proj=tmerc +lat_0=0 +lon_0=105 +k=0.9999 +x_0=0 +y_0=500000 +ellps=WGS84 +towgs84=-191.90441429,-39.30318279,-111.45032835,0.00928836,-0.01975479,0.00427372,0.252906278 +units=m +no_defs </t>
  </si>
  <si>
    <t>PROJCS["VN-2000 / TM-3 zone 491",GEOGCS["VN-2000",DATUM["Vietnam_2000",SPHEROID["WGS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108],PARAMETER["scale_factor",0.9999],PARAMETER["false_easting",0],PARAMETER["false_northing",500000],UNIT["metre",1,AUTHORITY["EPSG","9001"]],AXIS["Easting",EAST],AXIS["Northing",NORTH],AUTHORITY["EPSG","6958"]]</t>
  </si>
  <si>
    <t xml:space="preserve">+proj=tmerc +lat_0=0 +lon_0=108 +k=0.9999 +x_0=0 +y_0=500000 +ellps=WGS84 +towgs84=-191.90441429,-39.30318279,-111.45032835,0.00928836,-0.01975479,0.00427372,0.252906278 +units=m +no_defs </t>
  </si>
  <si>
    <t>PROJCS["VN-2000 / TM-3 Da Nang zone",GEOGCS["VN-2000",DATUM["Vietnam_2000",SPHEROID["WGS 84",6378137,298.257223563,AUTHORITY["EPSG","7030"]],TOWGS84[-191.90441429,-39.30318279,-111.45032835,0.00928836,-0.01975479,0.00427372,0.252906278],AUTHORITY["EPSG","6756"]],PRIMEM["Greenwich",0,AUTHORITY["EPSG","8901"]],UNIT["degree",0.0174532925199433,AUTHORITY["EPSG","9122"]],AUTHORITY["EPSG","4756"]],PROJECTION["Transverse_Mercator"],PARAMETER["latitude_of_origin",0],PARAMETER["central_meridian",107.75],PARAMETER["scale_factor",0.9999],PARAMETER["false_easting",0],PARAMETER["false_northing",500000],UNIT["metre",1,AUTHORITY["EPSG","9001"]],AXIS["Easting",EAST],AXIS["Northing",NORTH],AUTHORITY["EPSG","6959"]]</t>
  </si>
  <si>
    <t xml:space="preserve">+proj=tmerc +lat_0=0 +lon_0=107.75 +k=0.9999 +x_0=0 +y_0=500000 +ellps=WGS84 +towgs84=-191.90441429,-39.30318279,-111.45032835,0.00928836,-0.01975479,0.00427372,0.252906278 +units=m +no_defs </t>
  </si>
  <si>
    <t>PROJCS["ETRS89 / Albania LCC 2010",GEOGCS["ETRS89",DATUM["European_Terrestrial_Reference_System_1989",SPHEROID["GRS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Lambert_Conformal_Conic_2SP"],PARAMETER["standard_parallel_1",39],PARAMETER["standard_parallel_2",43],PARAMETER["latitude_of_origin",41],PARAMETER["central_meridian",20],PARAMETER["false_easting",0],PARAMETER["false_northing",0],UNIT["metre",1,AUTHORITY["EPSG","9001"]],AUTHORITY["EPSG","6962"]]</t>
  </si>
  <si>
    <t xml:space="preserve">+proj=lcc +lat_1=39 +lat_2=43 +lat_0=41 +lon_0=20 +x_0=0 +y_0=0 +ellps=GRS80 +towgs84=0,0,0,0,0,0,0 +units=m +no_defs </t>
  </si>
  <si>
    <t>PROJCS["Israeli Grid 05",GEOGCS["IG05 Intermediate CRS",DATUM["IG05_Intermediate_Datum",SPHEROID["GRS 1980",6378137,298.257222101,AUTHORITY["EPSG","7019"]],AUTHORITY["EPSG","1142"]],PRIMEM["Greenwich",0,AUTHORITY["EPSG","8901"]],UNIT["degree",0.0174532925199433,AUTHORITY["EPSG","9122"]],AUTHORITY["EPSG","6983"]],PROJECTION["Transverse_Mercator"],PARAMETER["latitude_of_origin",31.73439361111111],PARAMETER["central_meridian",35.20451694444445],PARAMETER["scale_factor",1.0000067],PARAMETER["false_easting",219529.584],PARAMETER["false_northing",626907.39],UNIT["metre",1,AUTHORITY["EPSG","9001"]],AXIS["Easting",EAST],AXIS["Northing",NORTH],AUTHORITY["EPSG","6984"]]</t>
  </si>
  <si>
    <t>PROJCS["Israeli Grid 05/12",GEOGCS["IG05/12 Intermediate CRS",DATUM["IG05_12_Intermediate_Datum",SPHEROID["GRS 1980",6378137,298.257222101,AUTHORITY["EPSG","7019"]],AUTHORITY["EPSG","1144"]],PRIMEM["Greenwich",0,AUTHORITY["EPSG","8901"]],UNIT["degree",0.0174532925199433,AUTHORITY["EPSG","9122"]],AUTHORITY["EPSG","6990"]],PROJECTION["Transverse_Mercator"],PARAMETER["latitude_of_origin",31.73439361111111],PARAMETER["central_meridian",35.20451694444445],PARAMETER["scale_factor",1.0000067],PARAMETER["false_easting",219529.584],PARAMETER["false_northing",626907.39],UNIT["metre",1,AUTHORITY["EPSG","9001"]],AXIS["Easting",EAST],AXIS["Northing",NORTH],AUTHORITY["EPSG","6991"]]</t>
  </si>
  <si>
    <t>PROJCS["NAD83(2011) / San Francisco CS13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-122.45],PARAMETER["scale_factor",1.000007],PARAMETER["false_easting",48000],PARAMETER["false_northing",24000],UNIT["metre",1,AUTHORITY["EPSG","9001"]],AXIS["X",EAST],AXIS["Y",NORTH],AUTHORITY["EPSG","6996"]]</t>
  </si>
  <si>
    <t>PROJCS["NAD83(2011) / San Francisco CS13 (ftUS) (deprecated)",GEOGCS["NAD83(2011)",DATUM["NAD83_National_Spatial_Reference_System_2011",SPHEROID["GRS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-122.45],PARAMETER["scale_factor",1.000007],PARAMETER["false_easting",157480],PARAMETER["false_northing",78740],UNIT["US survey foot",0.3048006096012192,AUTHORITY["EPSG","9003"]],AXIS["X",EAST],AXIS["Y",NORTH],AUTHORITY["EPSG","6997"]]</t>
  </si>
  <si>
    <t>PROJCS["Nahrwan 1934 / UTM zone 38N",GEOGCS["Nahrwan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7006"]]</t>
  </si>
  <si>
    <t xml:space="preserve">+proj=utm +zone=38 +ellps=clrk80 +towgs84=-242.2,-144.9,370.3,0,0,0,0 +units=m +no_defs </t>
  </si>
  <si>
    <t>PROJCS["Nahrwan 1934 / UTM zone 39N",GEOGCS["Nahrwan 1934",DATUM["Nahrwan_1934",SPHEROID["Clarke 1880 (RGS)",6378249.145,293.465,AUTHORITY["EPSG","7012"]],TOWGS84[-242.2,-144.9,370.3,0,0,0,0],AUTHORITY["EPSG","6744"]],PRIMEM["Greenwich",0,AUTHORITY["EPSG","8901"]],UNIT["degree",0.0174532925199433,AUTHORITY["EPSG","9122"]],AUTHORITY["EPSG","4744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7007"]]</t>
  </si>
  <si>
    <t xml:space="preserve">+proj=utm +zone=39 +ellps=clrk80 +towgs84=-242.2,-144.9,370.3,0,0,0,0 +units=m +no_defs </t>
  </si>
  <si>
    <t>PROJCS["NAD83(2011) / IaRCS zone 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43.2],PARAMETER["central_meridian",-95.25],PARAMETER["scale_factor",1.000052],PARAMETER["false_easting",11500000],PARAMETER["false_northing",9600000.000000002],UNIT["US survey foot",0.3048006096012192,AUTHORITY["EPSG","9003"]],AXIS["X",EAST],AXIS["Y",NORTH],AUTHORITY["EPSG","7057"]]</t>
  </si>
  <si>
    <t>PROJCS["NAD83(2011) / IaRCS zone 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43.16666666666666],PARAMETER["central_meridian",-92.75],PARAMETER["scale_factor",1.000043],PARAMETER["false_easting",12500000],PARAMETER["false_northing",9800000.000000002],UNIT["US survey foot",0.3048006096012192,AUTHORITY["EPSG","9003"]],AXIS["X",EAST],AXIS["Y",NORTH],AUTHORITY["EPSG","7058"]]</t>
  </si>
  <si>
    <t>PROJCS["NAD83(2011) / IaRCS zone 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-91.2],PARAMETER["scale_factor",1.000035],PARAMETER["false_easting",13500000],PARAMETER["false_northing",8300000.000000002],UNIT["US survey foot",0.3048006096012192,AUTHORITY["EPSG","9003"]],AXIS["X",EAST],AXIS["Y",NORTH],AUTHORITY["EPSG","7059"]]</t>
  </si>
  <si>
    <t>PROJCS["NAD83(2011) / IaRCS zone 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42.53333333333333],PARAMETER["central_meridian",-94.83333333333333],PARAMETER["scale_factor",1.000045],PARAMETER["false_easting",14500000],PARAMETER["false_northing",8600000.000000002],UNIT["US survey foot",0.3048006096012192,AUTHORITY["EPSG","9003"]],AXIS["X",EAST],AXIS["Y",NORTH],AUTHORITY["EPSG","7060"]]</t>
  </si>
  <si>
    <t>PROJCS["NAD83(2011) / IaRCS zone 5",GEOGCS["NAD83(2011)",DATUM["NAD83_National_Spatial_Reference_System_2011",SPHEROID["GRS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42.65],PARAMETER["central_meridian",-92.25],PARAMETER["scale_factor",1.000032],PARAMETER["false_easting",15500000],PARAMETER["false_northing",8900000.000000002],UNIT["US survey foot",0.3048006096012192,AUTHORITY["EPSG","9003"]],AXIS["X",EAST],AXIS["Y",NORTH],AUTHORITY["EPSG","7061"]]</t>
  </si>
  <si>
    <t>PROJCS["NAD83(2011) / IaRCS zone 6",GEOGCS["NAD83(2011)",DATUM["NAD83_National_Spatial_Reference_System_2011",SPHEROID["GRS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-95.73333333333333],PARAMETER["scale_factor",1.000039],PARAMETER["false_easting",16500000],PARAMETER["false_northing",6600000.000000002],UNIT["US survey foot",0.3048006096012192,AUTHORITY["EPSG","9003"]],AXIS["X",EAST],AXIS["Y",NORTH],AUTHORITY["EPSG","7062"]]</t>
  </si>
  <si>
    <t>PROJCS["NAD83(2011) / IaRCS zone 7",GEOGCS["NAD83(2011)",DATUM["NAD83_National_Spatial_Reference_System_2011",SPHEROID["GRS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-94.63333333333334],PARAMETER["scale_factor",1.000045],PARAMETER["false_easting",17500000],PARAMETER["false_northing",6800000.000000002],UNIT["US survey foot",0.3048006096012192,AUTHORITY["EPSG","9003"]],AXIS["X",EAST],AXIS["Y",NORTH],AUTHORITY["EPSG","7063"]]</t>
  </si>
  <si>
    <t>PROJCS["NAD83(2011) / IaRCS zone 8",GEOGCS["NAD83(2011)",DATUM["NAD83_National_Spatial_Reference_System_2011",SPHEROID["GRS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-93.71666666666667],PARAMETER["scale_factor",1.000033],PARAMETER["false_easting",18500000],PARAMETER["false_northing",7000000.000000002],UNIT["US survey foot",0.3048006096012192,AUTHORITY["EPSG","9003"]],AXIS["X",EAST],AXIS["Y",NORTH],AUTHORITY["EPSG","7064"]]</t>
  </si>
  <si>
    <t>PROJCS["NAD83(2011) / IaRCS zone 9",GEOGCS["NAD83(2011)",DATUM["NAD83_National_Spatial_Reference_System_2011",SPHEROID["GRS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-92.81666666666666],PARAMETER["scale_factor",1.000027],PARAMETER["false_easting",19500000],PARAMETER["false_northing",7200000.000000002],UNIT["US survey foot",0.3048006096012192,AUTHORITY["EPSG","9003"]],AXIS["X",EAST],AXIS["Y",NORTH],AUTHORITY["EPSG","7065"]]</t>
  </si>
  <si>
    <t>PROJCS["NAD83(2011) / IaRCS zone 10",GEOGCS["NAD83(2011)",DATUM["NAD83_National_Spatial_Reference_System_2011",SPHEROID["GRS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41.83333333333334],PARAMETER["central_meridian",-91.66666666666667],PARAMETER["scale_factor",1.00002],PARAMETER["false_easting",20500000],PARAMETER["false_northing",8000000.000000002],UNIT["US survey foot",0.3048006096012192,AUTHORITY["EPSG","9003"]],AXIS["X",EAST],AXIS["Y",NORTH],AUTHORITY["EPSG","7066"]]</t>
  </si>
  <si>
    <t>PROJCS["NAD83(2011) / IaRCS zone 11",GEOGCS["NAD83(2011)",DATUM["NAD83_National_Spatial_Reference_System_2011",SPHEROID["GRS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-90.53333333333333],PARAMETER["scale_factor",1.000027],PARAMETER["false_easting",21500000],PARAMETER["false_northing",7600000.000000002],UNIT["US survey foot",0.3048006096012192,AUTHORITY["EPSG","9003"]],AXIS["X",EAST],AXIS["Y",NORTH],AUTHORITY["EPSG","7067"]]</t>
  </si>
  <si>
    <t>PROJCS["NAD83(2011) / IaRCS zone 12",GEOGCS["NAD83(2011)",DATUM["NAD83_National_Spatial_Reference_System_2011",SPHEROID["GRS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40.91666666666666],PARAMETER["central_meridian",-93.75],PARAMETER["scale_factor",1.000037],PARAMETER["false_easting",22500000],PARAMETER["false_northing",6200000.000000002],UNIT["US survey foot",0.3048006096012192,AUTHORITY["EPSG","9003"]],AXIS["X",EAST],AXIS["Y",NORTH],AUTHORITY["EPSG","7068"]]</t>
  </si>
  <si>
    <t>PROJCS["NAD83(2011) / IaRCS zone 13",GEOGCS["NAD83(2011)",DATUM["NAD83_National_Spatial_Reference_System_2011",SPHEROID["GRS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-91.91666666666667],PARAMETER["scale_factor",1.00002],PARAMETER["false_easting",23500000],PARAMETER["false_northing",6400000.000000002],UNIT["US survey foot",0.3048006096012192,AUTHORITY["EPSG","9003"]],AXIS["X",EAST],AXIS["Y",NORTH],AUTHORITY["EPSG","7069"]]</t>
  </si>
  <si>
    <t>PROJCS["NAD83(2011) / IaRCS zone 14",GEOGCS["NAD83(2011)",DATUM["NAD83_National_Spatial_Reference_System_2011",SPHEROID["GRS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40.25],PARAMETER["central_meridian",-91.25],PARAMETER["scale_factor",1.000018],PARAMETER["false_easting",24500000],PARAMETER["false_northing",6200000.000000002],UNIT["US survey foot",0.3048006096012192,AUTHORITY["EPSG","9003"]],AXIS["X",EAST],AXIS["Y",NORTH],AUTHORITY["EPSG","7070"]]</t>
  </si>
  <si>
    <t>PROJCS["RGTAAF07 / UTM zone 37S",GEOGCS["RGTAAF07",DATUM["Reseau_Geodesique_des_Terres_Australes_et_Antarctiques_Francaises_2007",SPHEROID["GRS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7074"]]</t>
  </si>
  <si>
    <t>PROJCS["RGTAAF07 / UTM zone 38S",GEOGCS["RGTAAF07",DATUM["Reseau_Geodesique_des_Terres_Australes_et_Antarctiques_Francaises_2007",SPHEROID["GRS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7075"]]</t>
  </si>
  <si>
    <t>PROJCS["RGTAAF07 / UTM zone 39S",GEOGCS["RGTAAF07",DATUM["Reseau_Geodesique_des_Terres_Australes_et_Antarctiques_Francaises_2007",SPHEROID["GRS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7076"]]</t>
  </si>
  <si>
    <t>PROJCS["RGTAAF07 / UTM zone 40S",GEOGCS["RGTAAF07",DATUM["Reseau_Geodesique_des_Terres_Australes_et_Antarctiques_Francaises_2007",SPHEROID["GRS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7077"]]</t>
  </si>
  <si>
    <t>PROJCS["RGTAAF07 / UTM zone 41S",GEOGCS["RGTAAF07",DATUM["Reseau_Geodesique_des_Terres_Australes_et_Antarctiques_Francaises_2007",SPHEROID["GRS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7078"]]</t>
  </si>
  <si>
    <t>PROJCS["RGTAAF07 / UTM zone 42S",GEOGCS["RGTAAF07",DATUM["Reseau_Geodesique_des_Terres_Australes_et_Antarctiques_Francaises_2007",SPHEROID["GRS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7079"]]</t>
  </si>
  <si>
    <t>PROJCS["RGTAAF07 / UTM zone 43S",GEOGCS["RGTAAF07",DATUM["Reseau_Geodesique_des_Terres_Australes_et_Antarctiques_Francaises_2007",SPHEROID["GRS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7080"]]</t>
  </si>
  <si>
    <t>PROJCS["RGTAAF07 / UTM zone 44S",GEOGCS["RGTAAF07",DATUM["Reseau_Geodesique_des_Terres_Australes_et_Antarctiques_Francaises_2007",SPHEROID["GRS 1980",6378137,298.257222101,AUTHORITY["EPSG","7019"]],AUTHORITY["EPSG","1113"]],PRIMEM["Greenwich",0,AUTHORITY["EPSG","8901"]],UNIT["degree",0.0174532925199433,AUTHORITY["EPSG","9122"]],AUTHORITY["EPSG","7073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7081"]]</t>
  </si>
  <si>
    <t>PROJCS["NAD83(2011) / RMTCRS St Mary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48.5],PARAMETER["central_meridian",-112.5],PARAMETER["scale_factor",1.00016],PARAMETER["false_easting",150000],PARAMETER["false_northing",0],UNIT["metre",1,AUTHORITY["EPSG","9001"]],AXIS["X",EAST],AXIS["Y",NORTH],AUTHORITY["EPSG","7109"]]</t>
  </si>
  <si>
    <t>PROJCS["NAD83(2011) / RMTCRS Blackfeet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48],PARAMETER["central_meridian",-112.5],PARAMETER["scale_factor",1.00019],PARAMETER["false_easting",100000],PARAMETER["false_northing",0],UNIT["metre",1,AUTHORITY["EPSG","9001"]],AXIS["X",EAST],AXIS["Y",NORTH],AUTHORITY["EPSG","7110"]]</t>
  </si>
  <si>
    <t>PROJCS["NAD83(2011) / RMTCRS Milk River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48.5],PARAMETER["central_meridian",-111],PARAMETER["scale_factor",1.000145],PARAMETER["false_easting",150000],PARAMETER["false_northing",200000],UNIT["metre",1,AUTHORITY["EPSG","9001"]],AXIS["X",EAST],AXIS["Y",NORTH],AUTHORITY["EPSG","7111"]]</t>
  </si>
  <si>
    <t>PROJCS["NAD83(2011) / RMTCRS Fort Belknap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48.5],PARAMETER["central_meridian",-108.5],PARAMETER["scale_factor",1.00012],PARAMETER["false_easting",200000],PARAMETER["false_northing",150000],UNIT["metre",1,AUTHORITY["EPSG","9001"]],AXIS["X",EAST],AXIS["Y",NORTH],AUTHORITY["EPSG","7112"]]</t>
  </si>
  <si>
    <t>PROJCS["NAD83(2011) / RMTCRS Fort Peck Assiniboine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48.33333333333334],PARAMETER["central_meridian",-105.5],PARAMETER["scale_factor",1.00012],PARAMETER["false_easting",200000],PARAMETER["false_northing",100000],UNIT["metre",1,AUTHORITY["EPSG","9001"]],AXIS["X",EAST],AXIS["Y",NORTH],AUTHORITY["EPSG","7113"]]</t>
  </si>
  <si>
    <t>PROJCS["NAD83(2011) / RMTCRS Fort Peck Sioux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48.33333333333334],PARAMETER["central_meridian",-105.5],PARAMETER["scale_factor",1.00009],PARAMETER["false_easting",100000],PARAMETER["false_northing",50000],UNIT["metre",1,AUTHORITY["EPSG","9001"]],AXIS["X",EAST],AXIS["Y",NORTH],AUTHORITY["EPSG","7114"]]</t>
  </si>
  <si>
    <t>PROJCS["NAD83(2011) / RMTCRS Crow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44.75],PARAMETER["central_meridian",-107.75],PARAMETER["scale_factor",1.000148],PARAMETER["false_easting",200000],PARAMETER["false_northing",0],UNIT["metre",1,AUTHORITY["EPSG","9001"]],AXIS["X",EAST],AXIS["Y",NORTH],AUTHORITY["EPSG","7115"]]</t>
  </si>
  <si>
    <t>PROJCS["NAD83(2011) / RMTCRS Bobcat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46.25],PARAMETER["central_meridian",-111.25],PARAMETER["scale_factor",1.000185],PARAMETER["false_easting",100000],PARAMETER["false_northing",100000],UNIT["metre",1,AUTHORITY["EPSG","9001"]],AXIS["X",EAST],AXIS["Y",NORTH],AUTHORITY["EPSG","7116"]]</t>
  </si>
  <si>
    <t>PROJCS["NAD83(2011) / RMTCRS Billings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45.78333333333333],PARAMETER["central_meridian",-108.4166666666667],PARAMETER["scale_factor",1.0001515],PARAMETER["false_easting",200000],PARAMETER["false_northing",50000],UNIT["metre",1,AUTHORITY["EPSG","9001"]],AXIS["X",EAST],AXIS["Y",NORTH],AUTHORITY["EPSG","7117"]]</t>
  </si>
  <si>
    <t>PROJCS["NAD83(2011) / RMTCRS Wind River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42.66666666666666],PARAMETER["central_meridian",-108.3333333333333],PARAMETER["scale_factor",1.00024],PARAMETER["false_easting",100000],PARAMETER["false_northing",0],UNIT["metre",1,AUTHORITY["EPSG","9001"]],AXIS["X",EAST],AXIS["Y",NORTH],AUTHORITY["EPSG","7118"]]</t>
  </si>
  <si>
    <t>PROJCS["NAD83(2011) / RMTCRS St Mary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48.5],PARAMETER["central_meridian",-112.5],PARAMETER["scale_factor",1.00016],PARAMETER["false_easting",492125.9843],PARAMETER["false_northing",0],UNIT["foot",0.3048,AUTHORITY["EPSG","9002"]],AXIS["X",EAST],AXIS["Y",NORTH],AUTHORITY["EPSG","7119"]]</t>
  </si>
  <si>
    <t>PROJCS["NAD83(2011) / RMTCRS Blackfeet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48],PARAMETER["central_meridian",-112.5],PARAMETER["scale_factor",1.00019],PARAMETER["false_easting",328083.9895],PARAMETER["false_northing",0],UNIT["foot",0.3048,AUTHORITY["EPSG","9002"]],AXIS["X",EAST],AXIS["Y",NORTH],AUTHORITY["EPSG","7120"]]</t>
  </si>
  <si>
    <t>PROJCS["NAD83(2011) / RMTCRS Milk River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48.5],PARAMETER["central_meridian",-111],PARAMETER["scale_factor",1.000145],PARAMETER["false_easting",492125.9843],PARAMETER["false_northing",656167.979],UNIT["foot",0.3048,AUTHORITY["EPSG","9002"]],AXIS["X",EAST],AXIS["Y",NORTH],AUTHORITY["EPSG","7121"]]</t>
  </si>
  <si>
    <t>GEOCCS["IRENET95",DATUM["IRENET95",SPHEROID["GRS 1980",6378137,298.257222101,AUTHORITY["EPSG","7019"]],AUTHORITY["EPSG","6173"]],PRIMEM["Greenwich",0,AUTHORITY["EPSG","8901"]],UNIT["metre",1,AUTHORITY["EPSG","9001"]],AXIS["Geocentric X",OTHER],AXIS["Geocentric Y",OTHER],AXIS["Geocentric Z",NORTH],AUTHORITY["EPSG","4942"]]</t>
  </si>
  <si>
    <t>PROJCS["NAD83(2011) / RMTCRS Fort Belknap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48.5],PARAMETER["central_meridian",-108.5],PARAMETER["scale_factor",1.00012],PARAMETER["false_easting",656167.979],PARAMETER["false_northing",492125.9843],UNIT["foot",0.3048,AUTHORITY["EPSG","9002"]],AXIS["X",EAST],AXIS["Y",NORTH],AUTHORITY["EPSG","7122"]]</t>
  </si>
  <si>
    <t>PROJCS["NAD83(2011) / RMTCRS Fort Peck Assiniboine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48.33333333333334],PARAMETER["central_meridian",-105.5],PARAMETER["scale_factor",1.00012],PARAMETER["false_easting",656167.979],PARAMETER["false_northing",328083.9895],UNIT["foot",0.3048,AUTHORITY["EPSG","9002"]],AXIS["X",EAST],AXIS["Y",NORTH],AUTHORITY["EPSG","7123"]]</t>
  </si>
  <si>
    <t>PROJCS["NAD83(2011) / RMTCRS Fort Peck Sioux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48.33333333333334],PARAMETER["central_meridian",-105.5],PARAMETER["scale_factor",1.00009],PARAMETER["false_easting",328083.9895],PARAMETER["false_northing",164041.9938],UNIT["foot",0.3048,AUTHORITY["EPSG","9002"]],AXIS["X",EAST],AXIS["Y",NORTH],AUTHORITY["EPSG","7124"]]</t>
  </si>
  <si>
    <t>PROJCS["NAD83(2011) / RMTCRS Crow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44.75],PARAMETER["central_meridian",-107.75],PARAMETER["scale_factor",1.000148],PARAMETER["false_easting",656167.979],PARAMETER["false_northing",0],UNIT["foot",0.3048,AUTHORITY["EPSG","9002"]],AXIS["X",EAST],AXIS["Y",NORTH],AUTHORITY["EPSG","7125"]]</t>
  </si>
  <si>
    <t>PROJCS["NAD83(2011) / RMTCRS Bobcat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46.25],PARAMETER["central_meridian",-111.25],PARAMETER["scale_factor",1.000185],PARAMETER["false_easting",328083.9895],PARAMETER["false_northing",328083.9895],UNIT["foot",0.3048,AUTHORITY["EPSG","9002"]],AXIS["X",EAST],AXIS["Y",NORTH],AUTHORITY["EPSG","7126"]]</t>
  </si>
  <si>
    <t>PROJCS["NAD83(2011) / RMTCRS Billings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45.78333333333333],PARAMETER["central_meridian",-108.4166666666667],PARAMETER["scale_factor",1.0001515],PARAMETER["false_easting",656167.979],PARAMETER["false_northing",164041.9948],UNIT["foot",0.3048,AUTHORITY["EPSG","9002"]],AXIS["X",EAST],AXIS["Y",NORTH],AUTHORITY["EPSG","7127"]]</t>
  </si>
  <si>
    <t>PROJCS["NAD83(2011) / RMTCRS Wind River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42.66666666666666],PARAMETER["central_meridian",-108.3333333333333],PARAMETER["scale_factor",1.00024],PARAMETER["false_easting",328083.3333],PARAMETER["false_northing",0],UNIT["US survey foot",0.3048006096012192,AUTHORITY["EPSG","9003"]],AXIS["X",EAST],AXIS["Y",NORTH],AUTHORITY["EPSG","7128"]]</t>
  </si>
  <si>
    <t>PROJCS["NAD83(2011) / San Francisco CS13",GEOGCS["NAD83(2011)",DATUM["NAD83_National_Spatial_Reference_System_2011",SPHEROID["GRS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-122.45],PARAMETER["scale_factor",1.000007],PARAMETER["false_easting",48000],PARAMETER["false_northing",24000],UNIT["metre",1,AUTHORITY["EPSG","9001"]],AXIS["X",EAST],AXIS["Y",NORTH],AUTHORITY["EPSG","7131"]]</t>
  </si>
  <si>
    <t>PROJCS["NAD83(2011) / San Francisco CS13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-122.45],PARAMETER["scale_factor",1.000007],PARAMETER["false_easting",157480],PARAMETER["false_northing",78740],UNIT["US survey foot",0.3048006096012192,AUTHORITY["EPSG","9003"]],AXIS["X",EAST],AXIS["Y",NORTH],AUTHORITY["EPSG","7132"]]</t>
  </si>
  <si>
    <t>PROJCS["Palestine 1923 / Palestine Grid modified",GEOGCS["Palestine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,PROJECTION["Transverse_Mercator"],PARAMETER["latitude_of_origin",31.73409694444445],PARAMETER["central_meridian",35.21208055555556],PARAMETER["scale_factor",1],PARAMETER["false_easting",170251.555],PARAMETER["false_northing",126867.909],UNIT["metre",1,AUTHORITY["EPSG","9001"]],AXIS["Easting",EAST],AXIS["Northing",NORTH],AUTHORITY["EPSG","7142"]]</t>
  </si>
  <si>
    <t xml:space="preserve">+proj=tmerc +lat_0=31.73409694444445 +lon_0=35.21208055555556 +k=1 +x_0=170251.555 +y_0=126867.909 +a=6378300.789 +b=6356566.435 +towgs84=-275.7224,94.7824,340.8944,-8.001,-4.42,-11.821,1 +units=m +no_defs </t>
  </si>
  <si>
    <t>PROJCS["NAD83(2011) / InGCS Adams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-84.95],PARAMETER["scale_factor",1.000034],PARAMETER["false_easting",240000],PARAMETER["false_northing",36000],UNIT["metre",1,AUTHORITY["EPSG","9001"]],AXIS["X",EAST],AXIS["Y",NORTH],AUTHORITY["EPSG","7257"]]</t>
  </si>
  <si>
    <t>PROJCS["NAD83(2011) / InGCS Adams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-84.95],PARAMETER["scale_factor",1.000034],PARAMETER["false_easting",787400],PARAMETER["false_northing",118110],UNIT["US survey foot",0.3048006096012192,AUTHORITY["EPSG","9003"]],AXIS["X",EAST],AXIS["Y",NORTH],AUTHORITY["EPSG","7258"]]</t>
  </si>
  <si>
    <t>PROJCS["NAD83(2011) / InGCS Allen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-85.05],PARAMETER["scale_factor",1.000031],PARAMETER["false_easting",240000],PARAMETER["false_northing",36000],UNIT["metre",1,AUTHORITY["EPSG","9001"]],AXIS["X",EAST],AXIS["Y",NORTH],AUTHORITY["EPSG","7259"]]</t>
  </si>
  <si>
    <t>PROJCS["NAD83(2011) / InGCS Allen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-85.05],PARAMETER["scale_factor",1.000031],PARAMETER["false_easting",787400],PARAMETER["false_northing",118110],UNIT["US survey foot",0.3048006096012192,AUTHORITY["EPSG","9003"]],AXIS["X",EAST],AXIS["Y",NORTH],AUTHORITY["EPSG","7260"]]</t>
  </si>
  <si>
    <t>PROJCS["NAD83(2011) / InGCS Bartholomew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39],PARAMETER["central_meridian",-85.85],PARAMETER["scale_factor",1.000026],PARAMETER["false_easting",240000],PARAMETER["false_northing",36000],UNIT["metre",1,AUTHORITY["EPSG","9001"]],AXIS["X",EAST],AXIS["Y",NORTH],AUTHORITY["EPSG","7261"]]</t>
  </si>
  <si>
    <t>PROJCS["NAD83(2011) / InGCS Bartholomew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39],PARAMETER["central_meridian",-85.85],PARAMETER["scale_factor",1.000026],PARAMETER["false_easting",787400],PARAMETER["false_northing",118110],UNIT["US survey foot",0.3048006096012192,AUTHORITY["EPSG","9003"]],AXIS["X",EAST],AXIS["Y",NORTH],AUTHORITY["EPSG","7262"]]</t>
  </si>
  <si>
    <t>PROJCS["NAD83(2011) / InGCS Benton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40.45],PARAMETER["central_meridian",-87.3],PARAMETER["scale_factor",1.000029],PARAMETER["false_easting",240000],PARAMETER["false_northing",36000],UNIT["metre",1,AUTHORITY["EPSG","9001"]],AXIS["X",EAST],AXIS["Y",NORTH],AUTHORITY["EPSG","7263"]]</t>
  </si>
  <si>
    <t>PROJCS["NAD83(2011) / InGCS Benton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40.45],PARAMETER["central_meridian",-87.3],PARAMETER["scale_factor",1.000029],PARAMETER["false_easting",787400],PARAMETER["false_northing",118110],UNIT["US survey foot",0.3048006096012192,AUTHORITY["EPSG","9003"]],AXIS["X",EAST],AXIS["Y",NORTH],AUTHORITY["EPSG","7264"]]</t>
  </si>
  <si>
    <t>GEOCCS["ISN93",DATUM["Islands_Net_1993",SPHEROID["GRS 1980",6378137,298.257222101,AUTHORITY["EPSG","7019"]],AUTHORITY["EPSG","6659"]],PRIMEM["Greenwich",0,AUTHORITY["EPSG","8901"]],UNIT["metre",1,AUTHORITY["EPSG","9001"]],AXIS["Geocentric X",OTHER],AXIS["Geocentric Y",OTHER],AXIS["Geocentric Z",NORTH],AUTHORITY["EPSG","4944"]]</t>
  </si>
  <si>
    <t>PROJCS["NAD83(2011) / InGCS Blackford-Delaware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40.05],PARAMETER["central_meridian",-85.4],PARAMETER["scale_factor",1.000038],PARAMETER["false_easting",240000],PARAMETER["false_northing",36000],UNIT["metre",1,AUTHORITY["EPSG","9001"]],AXIS["X",EAST],AXIS["Y",NORTH],AUTHORITY["EPSG","7265"]]</t>
  </si>
  <si>
    <t>PROJCS["NAD83(2011) / InGCS Blackford-Delaware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40.05],PARAMETER["central_meridian",-85.4],PARAMETER["scale_factor",1.000038],PARAMETER["false_easting",787400],PARAMETER["false_northing",118110],UNIT["US survey foot",0.3048006096012192,AUTHORITY["EPSG","9003"]],AXIS["X",EAST],AXIS["Y",NORTH],AUTHORITY["EPSG","7266"]]</t>
  </si>
  <si>
    <t>PROJCS["NAD83(2011) / InGCS Boone-Hendricks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39.6],PARAMETER["central_meridian",-86.5],PARAMETER["scale_factor",1.000036],PARAMETER["false_easting",240000],PARAMETER["false_northing",36000],UNIT["metre",1,AUTHORITY["EPSG","9001"]],AXIS["X",EAST],AXIS["Y",NORTH],AUTHORITY["EPSG","7267"]]</t>
  </si>
  <si>
    <t>PROJCS["NAD83(2011) / InGCS Boone-Hendricks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39.6],PARAMETER["central_meridian",-86.5],PARAMETER["scale_factor",1.000036],PARAMETER["false_easting",787400],PARAMETER["false_northing",118110],UNIT["US survey foot",0.3048006096012192,AUTHORITY["EPSG","9003"]],AXIS["X",EAST],AXIS["Y",NORTH],AUTHORITY["EPSG","7268"]]</t>
  </si>
  <si>
    <t>PROJCS["NAD83(2011) / InGCS Brown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39],PARAMETER["central_meridian",-86.3],PARAMETER["scale_factor",1.00003],PARAMETER["false_easting",240000],PARAMETER["false_northing",36000],UNIT["metre",1,AUTHORITY["EPSG","9001"]],AXIS["X",EAST],AXIS["Y",NORTH],AUTHORITY["EPSG","7269"]]</t>
  </si>
  <si>
    <t>PROJCS["NAD83(2011) / InGCS Brown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39],PARAMETER["central_meridian",-86.3],PARAMETER["scale_factor",1.00003],PARAMETER["false_easting",787400],PARAMETER["false_northing",118110],UNIT["US survey foot",0.3048006096012192,AUTHORITY["EPSG","9003"]],AXIS["X",EAST],AXIS["Y",NORTH],AUTHORITY["EPSG","7270"]]</t>
  </si>
  <si>
    <t>PROJCS["NAD83(2011) / InGCS Carroll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40.4],PARAMETER["central_meridian",-86.65],PARAMETER["scale_factor",1.000026],PARAMETER["false_easting",240000],PARAMETER["false_northing",36000],UNIT["metre",1,AUTHORITY["EPSG","9001"]],AXIS["X",EAST],AXIS["Y",NORTH],AUTHORITY["EPSG","7271"]]</t>
  </si>
  <si>
    <t>PROJCS["NAD83(2011) / InGCS Carroll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40.4],PARAMETER["central_meridian",-86.65],PARAMETER["scale_factor",1.000026],PARAMETER["false_easting",787400],PARAMETER["false_northing",118110],UNIT["US survey foot",0.3048006096012192,AUTHORITY["EPSG","9003"]],AXIS["X",EAST],AXIS["Y",NORTH],AUTHORITY["EPSG","7272"]]</t>
  </si>
  <si>
    <t>PROJCS["NAD83(2011) / InGCS Cass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-86.4],PARAMETER["scale_factor",1.000028],PARAMETER["false_easting",240000],PARAMETER["false_northing",36000],UNIT["metre",1,AUTHORITY["EPSG","9001"]],AXIS["X",EAST],AXIS["Y",NORTH],AUTHORITY["EPSG","7273"]]</t>
  </si>
  <si>
    <t>PROJCS["WGS 84 / UTM zone 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32607"]]</t>
  </si>
  <si>
    <t>PROJCS["NAD83(2011) / InGCS Cass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-86.4],PARAMETER["scale_factor",1.000028],PARAMETER["false_easting",787400],PARAMETER["false_northing",118110],UNIT["US survey foot",0.3048006096012192,AUTHORITY["EPSG","9003"]],AXIS["X",EAST],AXIS["Y",NORTH],AUTHORITY["EPSG","7274"]]</t>
  </si>
  <si>
    <t>PROJCS["NAD83(2011) / InGCS Clark-Floyd-Scott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38.15],PARAMETER["central_meridian",-85.6],PARAMETER["scale_factor",1.000021],PARAMETER["false_easting",240000],PARAMETER["false_northing",36000],UNIT["metre",1,AUTHORITY["EPSG","9001"]],AXIS["X",EAST],AXIS["Y",NORTH],AUTHORITY["EPSG","7275"]]</t>
  </si>
  <si>
    <t>PROJCS["NAD83(2011) / InGCS Clark-Floyd-Scott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38.15],PARAMETER["central_meridian",-85.6],PARAMETER["scale_factor",1.000021],PARAMETER["false_easting",787400],PARAMETER["false_northing",118110],UNIT["US survey foot",0.3048006096012192,AUTHORITY["EPSG","9003"]],AXIS["X",EAST],AXIS["Y",NORTH],AUTHORITY["EPSG","7276"]]</t>
  </si>
  <si>
    <t>PROJCS["NAD83(2011) / InGCS Clay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39.15],PARAMETER["central_meridian",-87.15],PARAMETER["scale_factor",1.000024],PARAMETER["false_easting",240000],PARAMETER["false_northing",36000],UNIT["metre",1,AUTHORITY["EPSG","9001"]],AXIS["X",EAST],AXIS["Y",NORTH],AUTHORITY["EPSG","7277"]]</t>
  </si>
  <si>
    <t>PROJCS["NAD83(2011) / InGCS Clay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39.15],PARAMETER["central_meridian",-87.15],PARAMETER["scale_factor",1.000024],PARAMETER["false_easting",787400],PARAMETER["false_northing",118110],UNIT["US survey foot",0.3048006096012192,AUTHORITY["EPSG","9003"]],AXIS["X",EAST],AXIS["Y",NORTH],AUTHORITY["EPSG","7278"]]</t>
  </si>
  <si>
    <t>PROJCS["NAD83(2011) / InGCS Clinton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40.15],PARAMETER["central_meridian",-86.6],PARAMETER["scale_factor",1.000032],PARAMETER["false_easting",240000],PARAMETER["false_northing",36000],UNIT["metre",1,AUTHORITY["EPSG","9001"]],AXIS["X",EAST],AXIS["Y",NORTH],AUTHORITY["EPSG","7279"]]</t>
  </si>
  <si>
    <t>PROJCS["NAD83(2011) / InGCS Clinton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40.15],PARAMETER["central_meridian",-86.6],PARAMETER["scale_factor",1.000032],PARAMETER["false_easting",787400],PARAMETER["false_northing",118110],UNIT["US survey foot",0.3048006096012192,AUTHORITY["EPSG","9003"]],AXIS["X",EAST],AXIS["Y",NORTH],AUTHORITY["EPSG","7280"]]</t>
  </si>
  <si>
    <t>PROJCS["NAD83(2011) / InGCS Crawford-Lawrence-Orange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38.1],PARAMETER["central_meridian",-86.5],PARAMETER["scale_factor",1.000025],PARAMETER["false_easting",240000],PARAMETER["false_northing",36000],UNIT["metre",1,AUTHORITY["EPSG","9001"]],AXIS["X",EAST],AXIS["Y",NORTH],AUTHORITY["EPSG","7281"]]</t>
  </si>
  <si>
    <t>PROJCS["NAD83(2011) / InGCS Crawford-Lawrence-Orange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38.1],PARAMETER["central_meridian",-86.5],PARAMETER["scale_factor",1.000025],PARAMETER["false_easting",787400],PARAMETER["false_northing",118110],UNIT["US survey foot",0.3048006096012192,AUTHORITY["EPSG","9003"]],AXIS["X",EAST],AXIS["Y",NORTH],AUTHORITY["EPSG","7282"]]</t>
  </si>
  <si>
    <t>GEOCCS["JGD2000",DATUM["Japanese_Geodetic_Datum_2000",SPHEROID["GRS 1980",6378137,298.257222101,AUTHORITY["EPSG","7019"]],AUTHORITY["EPSG","6612"]],PRIMEM["Greenwich",0,AUTHORITY["EPSG","8901"]],UNIT["metre",1,AUTHORITY["EPSG","9001"]],AXIS["Geocentric X",OTHER],AXIS["Geocentric Y",OTHER],AXIS["Geocentric Z",NORTH],AUTHORITY["EPSG","4946"]]</t>
  </si>
  <si>
    <t>PROJCS["NAD83(2011) / InGCS Daviess-Greene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38.45],PARAMETER["central_meridian",-87.1],PARAMETER["scale_factor",1.000018],PARAMETER["false_easting",240000],PARAMETER["false_northing",36000],UNIT["metre",1,AUTHORITY["EPSG","9001"]],AXIS["X",EAST],AXIS["Y",NORTH],AUTHORITY["EPSG","7283"]]</t>
  </si>
  <si>
    <t>PROJCS["NAD83(2011) / InGCS Daviess-Greene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38.45],PARAMETER["central_meridian",-87.1],PARAMETER["scale_factor",1.000018],PARAMETER["false_easting",787400],PARAMETER["false_northing",118110],UNIT["US survey foot",0.3048006096012192,AUTHORITY["EPSG","9003"]],AXIS["X",EAST],AXIS["Y",NORTH],AUTHORITY["EPSG","7284"]]</t>
  </si>
  <si>
    <t>PROJCS["NAD83(2011) / InGCS Dearborn-Ohio-Switzerland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38.65],PARAMETER["central_meridian",-84.9],PARAMETER["scale_factor",1.000029],PARAMETER["false_easting",240000],PARAMETER["false_northing",36000],UNIT["metre",1,AUTHORITY["EPSG","9001"]],AXIS["X",EAST],AXIS["Y",NORTH],AUTHORITY["EPSG","7285"]]</t>
  </si>
  <si>
    <t>PROJCS["NAD83(2011) / InGCS Dearborn-Ohio-Switzerland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38.65],PARAMETER["central_meridian",-84.9],PARAMETER["scale_factor",1.000029],PARAMETER["false_easting",787400],PARAMETER["false_northing",118110],UNIT["US survey foot",0.3048006096012192,AUTHORITY["EPSG","9003"]],AXIS["X",EAST],AXIS["Y",NORTH],AUTHORITY["EPSG","7286"]]</t>
  </si>
  <si>
    <t>PROJCS["NAD83(2011) / InGCS Decatur-Rush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39.1],PARAMETER["central_meridian",-85.65],PARAMETER["scale_factor",1.000036],PARAMETER["false_easting",240000],PARAMETER["false_northing",36000],UNIT["metre",1,AUTHORITY["EPSG","9001"]],AXIS["X",EAST],AXIS["Y",NORTH],AUTHORITY["EPSG","7287"]]</t>
  </si>
  <si>
    <t>PROJCS["NAD83(2011) / InGCS Decatur-Rush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39.1],PARAMETER["central_meridian",-85.65],PARAMETER["scale_factor",1.000036],PARAMETER["false_easting",787400],PARAMETER["false_northing",118110],UNIT["US survey foot",0.3048006096012192,AUTHORITY["EPSG","9003"]],AXIS["X",EAST],AXIS["Y",NORTH],AUTHORITY["EPSG","7288"]]</t>
  </si>
  <si>
    <t>PROJCS["NAD83(2011) / InGCS DeKalb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41.25],PARAMETER["central_meridian",-84.95],PARAMETER["scale_factor",1.000036],PARAMETER["false_easting",240000],PARAMETER["false_northing",36000],UNIT["metre",1,AUTHORITY["EPSG","9001"]],AXIS["X",EAST],AXIS["Y",NORTH],AUTHORITY["EPSG","7289"]]</t>
  </si>
  <si>
    <t>PROJCS["NAD83(2011) / InGCS DeKalb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41.25],PARAMETER["central_meridian",-84.95],PARAMETER["scale_factor",1.000036],PARAMETER["false_easting",787400],PARAMETER["false_northing",118110],UNIT["US survey foot",0.3048006096012192,AUTHORITY["EPSG","9003"]],AXIS["X",EAST],AXIS["Y",NORTH],AUTHORITY["EPSG","7290"]]</t>
  </si>
  <si>
    <t>PROJCS["NAD83(2011) / InGCS Dubois-Martin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38.2],PARAMETER["central_meridian",-86.95],PARAMETER["scale_factor",1.00002],PARAMETER["false_easting",240000],PARAMETER["false_northing",36000],UNIT["metre",1,AUTHORITY["EPSG","9001"]],AXIS["X",EAST],AXIS["Y",NORTH],AUTHORITY["EPSG","7291"]]</t>
  </si>
  <si>
    <t>GEOCCS["LKS92",DATUM["Latvia_1992",SPHEROID["GRS 1980",6378137,298.257222101,AUTHORITY["EPSG","7019"]],AUTHORITY["EPSG","6661"]],PRIMEM["Greenwich",0,AUTHORITY["EPSG","8901"]],UNIT["metre",1,AUTHORITY["EPSG","9001"]],AXIS["Geocentric X",OTHER],AXIS["Geocentric Y",OTHER],AXIS["Geocentric Z",NORTH],AUTHORITY["EPSG","4948"]]</t>
  </si>
  <si>
    <t>PROJCS["NAD83(2011) / InGCS Dubois-Martin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38.2],PARAMETER["central_meridian",-86.95],PARAMETER["scale_factor",1.00002],PARAMETER["false_easting",787400],PARAMETER["false_northing",118110],UNIT["US survey foot",0.3048006096012192,AUTHORITY["EPSG","9003"]],AXIS["X",EAST],AXIS["Y",NORTH],AUTHORITY["EPSG","7292"]]</t>
  </si>
  <si>
    <t>PROJCS["NAD83(2011) / InGCS Elkhart-Kosciusko-Wabash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40.65],PARAMETER["central_meridian",-85.85],PARAMETER["scale_factor",1.000033],PARAMETER["false_easting",240000],PARAMETER["false_northing",36000],UNIT["metre",1,AUTHORITY["EPSG","9001"]],AXIS["X",EAST],AXIS["Y",NORTH],AUTHORITY["EPSG","7293"]]</t>
  </si>
  <si>
    <t>PROJCS["NAD83(2011) / InGCS Elkhart-Kosciusko-Wabash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40.65],PARAMETER["central_meridian",-85.85],PARAMETER["scale_factor",1.000033],PARAMETER["false_easting",787400],PARAMETER["false_northing",118110],UNIT["US survey foot",0.3048006096012192,AUTHORITY["EPSG","9003"]],AXIS["X",EAST],AXIS["Y",NORTH],AUTHORITY["EPSG","7294"]]</t>
  </si>
  <si>
    <t>PROJCS["NAD83(2011) / InGCS Fayette-Franklin-Union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39.25],PARAMETER["central_meridian",-85.05],PARAMETER["scale_factor",1.000038],PARAMETER["false_easting",240000],PARAMETER["false_northing",36000],UNIT["metre",1,AUTHORITY["EPSG","9001"]],AXIS["X",EAST],AXIS["Y",NORTH],AUTHORITY["EPSG","7295"]]</t>
  </si>
  <si>
    <t>PROJCS["NAD83(2011) / InGCS Fayette-Franklin-Union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39.25],PARAMETER["central_meridian",-85.05],PARAMETER["scale_factor",1.000038],PARAMETER["false_easting",787400],PARAMETER["false_northing",118110],UNIT["US survey foot",0.3048006096012192,AUTHORITY["EPSG","9003"]],AXIS["X",EAST],AXIS["Y",NORTH],AUTHORITY["EPSG","7296"]]</t>
  </si>
  <si>
    <t>PROJCS["NAD83(2011) / InGCS Fountain-Warren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39.95],PARAMETER["central_meridian",-87.3],PARAMETER["scale_factor",1.000025],PARAMETER["false_easting",240000],PARAMETER["false_northing",36000],UNIT["metre",1,AUTHORITY["EPSG","9001"]],AXIS["X",EAST],AXIS["Y",NORTH],AUTHORITY["EPSG","7297"]]</t>
  </si>
  <si>
    <t>PROJCS["NAD83(2011) / InGCS Fountain-Warren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39.95],PARAMETER["central_meridian",-87.3],PARAMETER["scale_factor",1.000025],PARAMETER["false_easting",787400],PARAMETER["false_northing",118110],UNIT["US survey foot",0.3048006096012192,AUTHORITY["EPSG","9003"]],AXIS["X",EAST],AXIS["Y",NORTH],AUTHORITY["EPSG","7298"]]</t>
  </si>
  <si>
    <t>PROJCS["NAD83(2011) / InGCS Fulton-Marshall-St. Joseph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-86.3],PARAMETER["scale_factor",1.000031],PARAMETER["false_easting",240000],PARAMETER["false_northing",36000],UNIT["metre",1,AUTHORITY["EPSG","9001"]],AXIS["X",EAST],AXIS["Y",NORTH],AUTHORITY["EPSG","7299"]]</t>
  </si>
  <si>
    <t>PROJCS["NAD83(2011) / InGCS Fulton-Marshall-St. Joseph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-86.3],PARAMETER["scale_factor",1.000031],PARAMETER["false_easting",787400],PARAMETER["false_northing",118110],UNIT["US survey foot",0.3048006096012192,AUTHORITY["EPSG","9003"]],AXIS["X",EAST],AXIS["Y",NORTH],AUTHORITY["EPSG","7300"]]</t>
  </si>
  <si>
    <t>GEOCCS["LKS94",DATUM["Lithuania_1994_ETRS89",SPHEROID["GRS 1980",6378137,298.257222101,AUTHORITY["EPSG","7019"]],AUTHORITY["EPSG","6126"]],PRIMEM["Greenwich",0,AUTHORITY["EPSG","8901"]],UNIT["metre",1,AUTHORITY["EPSG","9001"]],AXIS["Geocentric X",OTHER],AXIS["Geocentric Y",OTHER],AXIS["Geocentric Z",NORTH],AUTHORITY["EPSG","4950"]]</t>
  </si>
  <si>
    <t>PROJCS["NAD83(2011) / InGCS Gibson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38.15],PARAMETER["central_meridian",-87.65],PARAMETER["scale_factor",1.000013],PARAMETER["false_easting",240000],PARAMETER["false_northing",36000],UNIT["metre",1,AUTHORITY["EPSG","9001"]],AXIS["X",EAST],AXIS["Y",NORTH],AUTHORITY["EPSG","7301"]]</t>
  </si>
  <si>
    <t>PROJCS["NAD83(2011) / InGCS Gibson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38.15],PARAMETER["central_meridian",-87.65],PARAMETER["scale_factor",1.000013],PARAMETER["false_easting",787400],PARAMETER["false_northing",118110],UNIT["US survey foot",0.3048006096012192,AUTHORITY["EPSG","9003"]],AXIS["X",EAST],AXIS["Y",NORTH],AUTHORITY["EPSG","7302"]]</t>
  </si>
  <si>
    <t>PROJCS["NAD83(2011) / InGCS Grant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40.35],PARAMETER["central_meridian",-85.7],PARAMETER["scale_factor",1.000034],PARAMETER["false_easting",240000],PARAMETER["false_northing",36000],UNIT["metre",1,AUTHORITY["EPSG","9001"]],AXIS["X",EAST],AXIS["Y",NORTH],AUTHORITY["EPSG","7303"]]</t>
  </si>
  <si>
    <t>PROJCS["NAD83(2011) / InGCS Grant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40.35],PARAMETER["central_meridian",-85.7],PARAMETER["scale_factor",1.000034],PARAMETER["false_easting",787400],PARAMETER["false_northing",118110],UNIT["US survey foot",0.3048006096012192,AUTHORITY["EPSG","9003"]],AXIS["X",EAST],AXIS["Y",NORTH],AUTHORITY["EPSG","7304"]]</t>
  </si>
  <si>
    <t>PROJCS["NAD83(2011) / InGCS Hamilton-Tipton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39.9],PARAMETER["central_meridian",-86],PARAMETER["scale_factor",1.000034],PARAMETER["false_easting",240000],PARAMETER["false_northing",36000],UNIT["metre",1,AUTHORITY["EPSG","9001"]],AXIS["X",EAST],AXIS["Y",NORTH],AUTHORITY["EPSG","7305"]]</t>
  </si>
  <si>
    <t>PROJCS["NAD83(2011) / InGCS Hamilton-Tipton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39.9],PARAMETER["central_meridian",-86],PARAMETER["scale_factor",1.000034],PARAMETER["false_easting",787400],PARAMETER["false_northing",118110],UNIT["US survey foot",0.3048006096012192,AUTHORITY["EPSG","9003"]],AXIS["X",EAST],AXIS["Y",NORTH],AUTHORITY["EPSG","7306"]]</t>
  </si>
  <si>
    <t>PROJCS["NAD83(2011) / InGCS Hancock-Madison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39.65],PARAMETER["central_meridian",-85.8],PARAMETER["scale_factor",1.000036],PARAMETER["false_easting",240000],PARAMETER["false_northing",36000],UNIT["metre",1,AUTHORITY["EPSG","9001"]],AXIS["X",EAST],AXIS["Y",NORTH],AUTHORITY["EPSG","7307"]]</t>
  </si>
  <si>
    <t>PROJCS["NAD83(2011) / InGCS Hancock-Madison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39.65],PARAMETER["central_meridian",-85.8],PARAMETER["scale_factor",1.000036],PARAMETER["false_easting",787400],PARAMETER["false_northing",118110],UNIT["US survey foot",0.3048006096012192,AUTHORITY["EPSG","9003"]],AXIS["X",EAST],AXIS["Y",NORTH],AUTHORITY["EPSG","7308"]]</t>
  </si>
  <si>
    <t>PROJCS["NAD83(2011) / InGCS Harrison-Washington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37.95],PARAMETER["central_meridian",-86.15],PARAMETER["scale_factor",1.000027],PARAMETER["false_easting",240000],PARAMETER["false_northing",36000],UNIT["metre",1,AUTHORITY["EPSG","9001"]],AXIS["X",EAST],AXIS["Y",NORTH],AUTHORITY["EPSG","7309"]]</t>
  </si>
  <si>
    <t>PROJCS["WGS 84 / UTM zone 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32608"]]</t>
  </si>
  <si>
    <t>PROJCS["NAD83(2011) / InGCS Harrison-Washington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37.95],PARAMETER["central_meridian",-86.15],PARAMETER["scale_factor",1.000027],PARAMETER["false_easting",787400],PARAMETER["false_northing",118110],UNIT["US survey foot",0.3048006096012192,AUTHORITY["EPSG","9003"]],AXIS["X",EAST],AXIS["Y",NORTH],AUTHORITY["EPSG","7310"]]</t>
  </si>
  <si>
    <t>PROJCS["NAD83(2011) / InGCS Henry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39.75],PARAMETER["central_meridian",-85.45],PARAMETER["scale_factor",1.000043],PARAMETER["false_easting",240000],PARAMETER["false_northing",36000],UNIT["metre",1,AUTHORITY["EPSG","9001"]],AXIS["X",EAST],AXIS["Y",NORTH],AUTHORITY["EPSG","7311"]]</t>
  </si>
  <si>
    <t>PROJCS["NAD83(2011) / InGCS Henry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39.75],PARAMETER["central_meridian",-85.45],PARAMETER["scale_factor",1.000043],PARAMETER["false_easting",787400],PARAMETER["false_northing",118110],UNIT["US survey foot",0.3048006096012192,AUTHORITY["EPSG","9003"]],AXIS["X",EAST],AXIS["Y",NORTH],AUTHORITY["EPSG","7312"]]</t>
  </si>
  <si>
    <t>PROJCS["NAD83(2011) / InGCS Howard-Miami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40.35],PARAMETER["central_meridian",-86.15],PARAMETER["scale_factor",1.000031],PARAMETER["false_easting",240000],PARAMETER["false_northing",36000],UNIT["metre",1,AUTHORITY["EPSG","9001"]],AXIS["X",EAST],AXIS["Y",NORTH],AUTHORITY["EPSG","7313"]]</t>
  </si>
  <si>
    <t>PROJCS["NAD83(2011) / InGCS Howard-Miami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40.35],PARAMETER["central_meridian",-86.15],PARAMETER["scale_factor",1.000031],PARAMETER["false_easting",787400],PARAMETER["false_northing",118110],UNIT["US survey foot",0.3048006096012192,AUTHORITY["EPSG","9003"]],AXIS["X",EAST],AXIS["Y",NORTH],AUTHORITY["EPSG","7314"]]</t>
  </si>
  <si>
    <t>PROJCS["NAD83(2011) / InGCS Huntington-Whitley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40.65],PARAMETER["central_meridian",-85.5],PARAMETER["scale_factor",1.000034],PARAMETER["false_easting",240000],PARAMETER["false_northing",36000],UNIT["metre",1,AUTHORITY["EPSG","9001"]],AXIS["X",EAST],AXIS["Y",NORTH],AUTHORITY["EPSG","7315"]]</t>
  </si>
  <si>
    <t>PROJCS["NAD83(2011) / InGCS Huntington-Whitley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40.65],PARAMETER["central_meridian",-85.5],PARAMETER["scale_factor",1.000034],PARAMETER["false_easting",787400],PARAMETER["false_northing",118110],UNIT["US survey foot",0.3048006096012192,AUTHORITY["EPSG","9003"]],AXIS["X",EAST],AXIS["Y",NORTH],AUTHORITY["EPSG","7316"]]</t>
  </si>
  <si>
    <t>PROJCS["NAD83(2011) / InGCS Jackson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38.7],PARAMETER["central_meridian",-85.95],PARAMETER["scale_factor",1.000022],PARAMETER["false_easting",240000],PARAMETER["false_northing",36000],UNIT["metre",1,AUTHORITY["EPSG","9001"]],AXIS["X",EAST],AXIS["Y",NORTH],AUTHORITY["EPSG","7317"]]</t>
  </si>
  <si>
    <t>PROJCS["NAD83(2011) / InGCS Jackson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38.7],PARAMETER["central_meridian",-85.95],PARAMETER["scale_factor",1.000022],PARAMETER["false_easting",787400],PARAMETER["false_northing",118110],UNIT["US survey foot",0.3048006096012192,AUTHORITY["EPSG","9003"]],AXIS["X",EAST],AXIS["Y",NORTH],AUTHORITY["EPSG","7318"]]</t>
  </si>
  <si>
    <t>GEOCCS["Moznet",DATUM["Moznet_ITRF94",SPHEROID["WGS 84",6378137,298.257223563,AUTHORITY["EPSG","7030"]],AUTHORITY["EPSG","6130"]],PRIMEM["Greenwich",0,AUTHORITY["EPSG","8901"]],UNIT["metre",1,AUTHORITY["EPSG","9001"]],AXIS["Geocentric X",OTHER],AXIS["Geocentric Y",OTHER],AXIS["Geocentric Z",NORTH],AUTHORITY["EPSG","4952"]]</t>
  </si>
  <si>
    <t>PROJCS["NAD83(2011) / InGCS Jasper-Porter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40.7],PARAMETER["central_meridian",-87.1],PARAMETER["scale_factor",1.000027],PARAMETER["false_easting",240000],PARAMETER["false_northing",36000],UNIT["metre",1,AUTHORITY["EPSG","9001"]],AXIS["X",EAST],AXIS["Y",NORTH],AUTHORITY["EPSG","7319"]]</t>
  </si>
  <si>
    <t>PROJCS["NAD83(2011) / InGCS Jasper-Porter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40.7],PARAMETER["central_meridian",-87.1],PARAMETER["scale_factor",1.000027],PARAMETER["false_easting",787400],PARAMETER["false_northing",118110],UNIT["US survey foot",0.3048006096012192,AUTHORITY["EPSG","9003"]],AXIS["X",EAST],AXIS["Y",NORTH],AUTHORITY["EPSG","7320"]]</t>
  </si>
  <si>
    <t>PROJCS["NAD83(2011) / InGCS Jay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40.3],PARAMETER["central_meridian",-85],PARAMETER["scale_factor",1.000038],PARAMETER["false_easting",240000],PARAMETER["false_northing",36000],UNIT["metre",1,AUTHORITY["EPSG","9001"]],AXIS["X",EAST],AXIS["Y",NORTH],AUTHORITY["EPSG","7321"]]</t>
  </si>
  <si>
    <t>PROJCS["NAD83(2011) / InGCS Jay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40.3],PARAMETER["central_meridian",-85],PARAMETER["scale_factor",1.000038],PARAMETER["false_easting",787400],PARAMETER["false_northing",118110],UNIT["US survey foot",0.3048006096012192,AUTHORITY["EPSG","9003"]],AXIS["X",EAST],AXIS["Y",NORTH],AUTHORITY["EPSG","7322"]]</t>
  </si>
  <si>
    <t>PROJCS["NAD83(2011) / InGCS Jefferson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38.55],PARAMETER["central_meridian",-85.35],PARAMETER["scale_factor",1.000028],PARAMETER["false_easting",240000],PARAMETER["false_northing",36000],UNIT["metre",1,AUTHORITY["EPSG","9001"]],AXIS["X",EAST],AXIS["Y",NORTH],AUTHORITY["EPSG","7323"]]</t>
  </si>
  <si>
    <t>PROJCS["NAD83(2011) / InGCS Jefferson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38.55],PARAMETER["central_meridian",-85.35],PARAMETER["scale_factor",1.000028],PARAMETER["false_easting",787400],PARAMETER["false_northing",118110],UNIT["US survey foot",0.3048006096012192,AUTHORITY["EPSG","9003"]],AXIS["X",EAST],AXIS["Y",NORTH],AUTHORITY["EPSG","7324"]]</t>
  </si>
  <si>
    <t>PROJCS["NAD83(2011) / InGCS Jennings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38.8],PARAMETER["central_meridian",-85.8],PARAMETER["scale_factor",1.000025],PARAMETER["false_easting",240000],PARAMETER["false_northing",36000],UNIT["metre",1,AUTHORITY["EPSG","9001"]],AXIS["X",EAST],AXIS["Y",NORTH],AUTHORITY["EPSG","7325"]]</t>
  </si>
  <si>
    <t>PROJCS["NAD83(2011) / InGCS Jennings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38.8],PARAMETER["central_meridian",-85.8],PARAMETER["scale_factor",1.000025],PARAMETER["false_easting",787400],PARAMETER["false_northing",118110],UNIT["US survey foot",0.3048006096012192,AUTHORITY["EPSG","9003"]],AXIS["X",EAST],AXIS["Y",NORTH],AUTHORITY["EPSG","7326"]]</t>
  </si>
  <si>
    <t>PROJCS["NAD83(2011) / InGCS Johnson-Marion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39.3],PARAMETER["central_meridian",-86.15],PARAMETER["scale_factor",1.000031],PARAMETER["false_easting",240000],PARAMETER["false_northing",36000],UNIT["metre",1,AUTHORITY["EPSG","9001"]],AXIS["X",EAST],AXIS["Y",NORTH],AUTHORITY["EPSG","7327"]]</t>
  </si>
  <si>
    <t>PROJCS["WGS 84 / UTM zone 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32609"]]</t>
  </si>
  <si>
    <t>PROJCS["NAD83(2011) / InGCS Johnson-Marion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39.3],PARAMETER["central_meridian",-86.15],PARAMETER["scale_factor",1.000031],PARAMETER["false_easting",787400],PARAMETER["false_northing",118110],UNIT["US survey foot",0.3048006096012192,AUTHORITY["EPSG","9003"]],AXIS["X",EAST],AXIS["Y",NORTH],AUTHORITY["EPSG","7328"]]</t>
  </si>
  <si>
    <t>PROJCS["NAD83(2011) / InGCS Knox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38.4],PARAMETER["central_meridian",-87.45],PARAMETER["scale_factor",1.000015],PARAMETER["false_easting",240000],PARAMETER["false_northing",36000],UNIT["metre",1,AUTHORITY["EPSG","9001"]],AXIS["X",EAST],AXIS["Y",NORTH],AUTHORITY["EPSG","7329"]]</t>
  </si>
  <si>
    <t>PROJCS["NAD83(2011) / InGCS Knox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38.4],PARAMETER["central_meridian",-87.45],PARAMETER["scale_factor",1.000015],PARAMETER["false_easting",787400],PARAMETER["false_northing",118110],UNIT["US survey foot",0.3048006096012192,AUTHORITY["EPSG","9003"]],AXIS["X",EAST],AXIS["Y",NORTH],AUTHORITY["EPSG","7330"]]</t>
  </si>
  <si>
    <t>PROJCS["NAD83(2011) / InGCS LaGrange-Noble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41.25],PARAMETER["central_meridian",-85.45],PARAMETER["scale_factor",1.000037],PARAMETER["false_easting",240000],PARAMETER["false_northing",36000],UNIT["metre",1,AUTHORITY["EPSG","9001"]],AXIS["X",EAST],AXIS["Y",NORTH],AUTHORITY["EPSG","7331"]]</t>
  </si>
  <si>
    <t>PROJCS["NAD83(2011) / InGCS LaGrange-Noble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41.25],PARAMETER["central_meridian",-85.45],PARAMETER["scale_factor",1.000037],PARAMETER["false_easting",787400],PARAMETER["false_northing",118110],UNIT["US survey foot",0.3048006096012192,AUTHORITY["EPSG","9003"]],AXIS["X",EAST],AXIS["Y",NORTH],AUTHORITY["EPSG","7332"]]</t>
  </si>
  <si>
    <t>PROJCS["NAD83(2011) / InGCS Lake-Newton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40.7],PARAMETER["central_meridian",-87.4],PARAMETER["scale_factor",1.000026],PARAMETER["false_easting",240000],PARAMETER["false_northing",36000],UNIT["metre",1,AUTHORITY["EPSG","9001"]],AXIS["X",EAST],AXIS["Y",NORTH],AUTHORITY["EPSG","7333"]]</t>
  </si>
  <si>
    <t>PROJCS["NAD83(2011) / InGCS Lake-Newton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40.7],PARAMETER["central_meridian",-87.4],PARAMETER["scale_factor",1.000026],PARAMETER["false_easting",787400],PARAMETER["false_northing",118110],UNIT["US survey foot",0.3048006096012192,AUTHORITY["EPSG","9003"]],AXIS["X",EAST],AXIS["Y",NORTH],AUTHORITY["EPSG","7334"]]</t>
  </si>
  <si>
    <t>PROJCS["NAD83(2011) / InGCS LaPorte-Pulaski-Starke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-86.75],PARAMETER["scale_factor",1.000027],PARAMETER["false_easting",240000],PARAMETER["false_northing",36000],UNIT["metre",1,AUTHORITY["EPSG","9001"]],AXIS["X",EAST],AXIS["Y",NORTH],AUTHORITY["EPSG","7335"]]</t>
  </si>
  <si>
    <t>PROJCS["NAD83(2011) / InGCS LaPorte-Pulaski-Starke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40.9],PARAMETER["central_meridian",-86.75],PARAMETER["scale_factor",1.000027],PARAMETER["false_easting",787400],PARAMETER["false_northing",118110],UNIT["US survey foot",0.3048006096012192,AUTHORITY["EPSG","9003"]],AXIS["X",EAST],AXIS["Y",NORTH],AUTHORITY["EPSG","7336"]]</t>
  </si>
  <si>
    <t>GEOCCS["NAD83(CSRS)",DATUM["NAD83_Canadian_Spatial_Reference_System",SPHEROID["GRS 1980",6378137,298.257222101,AUTHORITY["EPSG","7019"]],AUTHORITY["EPSG","6140"]],PRIMEM["Greenwich",0,AUTHORITY["EPSG","8901"]],UNIT["metre",1,AUTHORITY["EPSG","9001"]],AXIS["Geocentric X",OTHER],AXIS["Geocentric Y",OTHER],AXIS["Geocentric Z",NORTH],AUTHORITY["EPSG","4954"]]</t>
  </si>
  <si>
    <t>PROJCS["NAD83(2011) / InGCS Monroe-Morgan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38.95],PARAMETER["central_meridian",-86.5],PARAMETER["scale_factor",1.000028],PARAMETER["false_easting",240000],PARAMETER["false_northing",36000],UNIT["metre",1,AUTHORITY["EPSG","9001"]],AXIS["X",EAST],AXIS["Y",NORTH],AUTHORITY["EPSG","7337"]]</t>
  </si>
  <si>
    <t>PROJCS["NAD83(2011) / InGCS Monroe-Morgan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38.95],PARAMETER["central_meridian",-86.5],PARAMETER["scale_factor",1.000028],PARAMETER["false_easting",787400],PARAMETER["false_northing",118110],UNIT["US survey foot",0.3048006096012192,AUTHORITY["EPSG","9003"]],AXIS["X",EAST],AXIS["Y",NORTH],AUTHORITY["EPSG","7338"]]</t>
  </si>
  <si>
    <t>PROJCS["NAD83(2011) / InGCS Montgomery-Putnam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39.45],PARAMETER["central_meridian",-86.95],PARAMETER["scale_factor",1.000031],PARAMETER["false_easting",240000],PARAMETER["false_northing",36000],UNIT["metre",1,AUTHORITY["EPSG","9001"]],AXIS["X",EAST],AXIS["Y",NORTH],AUTHORITY["EPSG","7339"]]</t>
  </si>
  <si>
    <t>PROJCS["NAD83(2011) / InGCS Montgomery-Putnam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39.45],PARAMETER["central_meridian",-86.95],PARAMETER["scale_factor",1.000031],PARAMETER["false_easting",787400],PARAMETER["false_northing",118110],UNIT["US survey foot",0.3048006096012192,AUTHORITY["EPSG","9003"]],AXIS["X",EAST],AXIS["Y",NORTH],AUTHORITY["EPSG","7340"]]</t>
  </si>
  <si>
    <t>PROJCS["NAD83(2011) / InGCS Owen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39.15],PARAMETER["central_meridian",-86.9],PARAMETER["scale_factor",1.000026],PARAMETER["false_easting",240000],PARAMETER["false_northing",36000],UNIT["metre",1,AUTHORITY["EPSG","9001"]],AXIS["X",EAST],AXIS["Y",NORTH],AUTHORITY["EPSG","7341"]]</t>
  </si>
  <si>
    <t>PROJCS["NAD83(2011) / InGCS Owen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39.15],PARAMETER["central_meridian",-86.9],PARAMETER["scale_factor",1.000026],PARAMETER["false_easting",787400],PARAMETER["false_northing",118110],UNIT["US survey foot",0.3048006096012192,AUTHORITY["EPSG","9003"]],AXIS["X",EAST],AXIS["Y",NORTH],AUTHORITY["EPSG","7342"]]</t>
  </si>
  <si>
    <t>PROJCS["NAD83(2011) / InGCS Parke-Vermillion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39.6],PARAMETER["central_meridian",-87.35],PARAMETER["scale_factor",1.000022],PARAMETER["false_easting",240000],PARAMETER["false_northing",36000],UNIT["metre",1,AUTHORITY["EPSG","9001"]],AXIS["X",EAST],AXIS["Y",NORTH],AUTHORITY["EPSG","7343"]]</t>
  </si>
  <si>
    <t>PROJCS["NAD83(2011) / InGCS Parke-Vermillion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39.6],PARAMETER["central_meridian",-87.35],PARAMETER["scale_factor",1.000022],PARAMETER["false_easting",787400],PARAMETER["false_northing",118110],UNIT["US survey foot",0.3048006096012192,AUTHORITY["EPSG","9003"]],AXIS["X",EAST],AXIS["Y",NORTH],AUTHORITY["EPSG","7344"]]</t>
  </si>
  <si>
    <t>PROJCS["NAD83(2011) / InGCS Perry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37.8],PARAMETER["central_meridian",-86.7],PARAMETER["scale_factor",1.00002],PARAMETER["false_easting",240000],PARAMETER["false_northing",36000],UNIT["metre",1,AUTHORITY["EPSG","9001"]],AXIS["X",EAST],AXIS["Y",NORTH],AUTHORITY["EPSG","7345"]]</t>
  </si>
  <si>
    <t>GEOCCS["NAD83(HARN)",DATUM["NAD83_High_Accuracy_Reference_Network",SPHEROID["GRS 1980",6378137,298.257222101,AUTHORITY["EPSG","7019"]],AUTHORITY["EPSG","6152"]],PRIMEM["Greenwich",0,AUTHORITY["EPSG","8901"]],UNIT["metre",1,AUTHORITY["EPSG","9001"]],AXIS["Geocentric X",OTHER],AXIS["Geocentric Y",OTHER],AXIS["Geocentric Z",NORTH],AUTHORITY["EPSG","4956"]]</t>
  </si>
  <si>
    <t>PROJCS["NAD83(2011) / InGCS Perry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37.8],PARAMETER["central_meridian",-86.7],PARAMETER["scale_factor",1.00002],PARAMETER["false_easting",787400],PARAMETER["false_northing",118110],UNIT["US survey foot",0.3048006096012192,AUTHORITY["EPSG","9003"]],AXIS["X",EAST],AXIS["Y",NORTH],AUTHORITY["EPSG","7346"]]</t>
  </si>
  <si>
    <t>PROJCS["NAD83(2011) / InGCS Pike-Warrick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37.85],PARAMETER["central_meridian",-87.3],PARAMETER["scale_factor",1.000015],PARAMETER["false_easting",240000],PARAMETER["false_northing",36000],UNIT["metre",1,AUTHORITY["EPSG","9001"]],AXIS["X",EAST],AXIS["Y",NORTH],AUTHORITY["EPSG","7347"]]</t>
  </si>
  <si>
    <t>PROJCS["NAD83(2011) / InGCS Pike-Warrick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37.85],PARAMETER["central_meridian",-87.3],PARAMETER["scale_factor",1.000015],PARAMETER["false_easting",787400],PARAMETER["false_northing",118110],UNIT["US survey foot",0.3048006096012192,AUTHORITY["EPSG","9003"]],AXIS["X",EAST],AXIS["Y",NORTH],AUTHORITY["EPSG","7348"]]</t>
  </si>
  <si>
    <t>PROJCS["NAD83(2011) / InGCS Posey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-87.95],PARAMETER["scale_factor",1.000013],PARAMETER["false_easting",240000],PARAMETER["false_northing",36000],UNIT["metre",1,AUTHORITY["EPSG","9001"]],AXIS["X",EAST],AXIS["Y",NORTH],AUTHORITY["EPSG","7349"]]</t>
  </si>
  <si>
    <t>PROJCS["NAD83(2011) / InGCS Posey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-87.95],PARAMETER["scale_factor",1.000013],PARAMETER["false_easting",787400],PARAMETER["false_northing",118110],UNIT["US survey foot",0.3048006096012192,AUTHORITY["EPSG","9003"]],AXIS["X",EAST],AXIS["Y",NORTH],AUTHORITY["EPSG","7350"]]</t>
  </si>
  <si>
    <t>PROJCS["NAD83(2011) / InGCS Randolph-Wayne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39.7],PARAMETER["central_meridian",-85.05],PARAMETER["scale_factor",1.000044],PARAMETER["false_easting",240000],PARAMETER["false_northing",36000],UNIT["metre",1,AUTHORITY["EPSG","9001"]],AXIS["X",EAST],AXIS["Y",NORTH],AUTHORITY["EPSG","7351"]]</t>
  </si>
  <si>
    <t>PROJCS["NAD83(2011) / InGCS Randolph-Wayne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39.7],PARAMETER["central_meridian",-85.05],PARAMETER["scale_factor",1.000044],PARAMETER["false_easting",787400],PARAMETER["false_northing",118110],UNIT["US survey foot",0.3048006096012192,AUTHORITY["EPSG","9003"]],AXIS["X",EAST],AXIS["Y",NORTH],AUTHORITY["EPSG","7352"]]</t>
  </si>
  <si>
    <t>PROJCS["NAD83(2011) / InGCS Ripley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38.9],PARAMETER["central_meridian",-85.3],PARAMETER["scale_factor",1.000038],PARAMETER["false_easting",240000],PARAMETER["false_northing",36000],UNIT["metre",1,AUTHORITY["EPSG","9001"]],AXIS["X",EAST],AXIS["Y",NORTH],AUTHORITY["EPSG","7353"]]</t>
  </si>
  <si>
    <t>PROJCS["NAD83(2011) / InGCS Ripley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38.9],PARAMETER["central_meridian",-85.3],PARAMETER["scale_factor",1.000038],PARAMETER["false_easting",787400],PARAMETER["false_northing",118110],UNIT["US survey foot",0.3048006096012192,AUTHORITY["EPSG","9003"]],AXIS["X",EAST],AXIS["Y",NORTH],AUTHORITY["EPSG","7354"]]</t>
  </si>
  <si>
    <t>PROJCS["GDA2020 / MGA zone 48",GEOGCS["GDA2020",DATUM["Geocentric_Datum_of_Australia_2020",SPHEROID["GRS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7848"]]</t>
  </si>
  <si>
    <t>PROJCS["NAD83(2011) / InGCS Shelby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39.3],PARAMETER["central_meridian",-85.9],PARAMETER["scale_factor",1.00003],PARAMETER["false_easting",240000],PARAMETER["false_northing",36000],UNIT["metre",1,AUTHORITY["EPSG","9001"]],AXIS["X",EAST],AXIS["Y",NORTH],AUTHORITY["EPSG","7355"]]</t>
  </si>
  <si>
    <t>PROJCS["NAD83(2011) / InGCS Shelby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39.3],PARAMETER["central_meridian",-85.9],PARAMETER["scale_factor",1.00003],PARAMETER["false_easting",787400],PARAMETER["false_northing",118110],UNIT["US survey foot",0.3048006096012192,AUTHORITY["EPSG","9003"]],AXIS["X",EAST],AXIS["Y",NORTH],AUTHORITY["EPSG","7356"]]</t>
  </si>
  <si>
    <t>PROJCS["NAD83(2011) / InGCS Spencer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-87.05],PARAMETER["scale_factor",1.000014],PARAMETER["false_easting",240000],PARAMETER["false_northing",36000],UNIT["metre",1,AUTHORITY["EPSG","9001"]],AXIS["X",EAST],AXIS["Y",NORTH],AUTHORITY["EPSG","7357"]]</t>
  </si>
  <si>
    <t>PROJCS["NAD83(2011) / InGCS Spencer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37.75],PARAMETER["central_meridian",-87.05],PARAMETER["scale_factor",1.000014],PARAMETER["false_easting",787400],PARAMETER["false_northing",118110],UNIT["US survey foot",0.3048006096012192,AUTHORITY["EPSG","9003"]],AXIS["X",EAST],AXIS["Y",NORTH],AUTHORITY["EPSG","7358"]]</t>
  </si>
  <si>
    <t>PROJCS["NAD83(2011) / InGCS Steuben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41.5],PARAMETER["central_meridian",-85],PARAMETER["scale_factor",1.000041],PARAMETER["false_easting",240000],PARAMETER["false_northing",36000],UNIT["metre",1,AUTHORITY["EPSG","9001"]],AXIS["X",EAST],AXIS["Y",NORTH],AUTHORITY["EPSG","7359"]]</t>
  </si>
  <si>
    <t>PROJCS["NAD83(2011) / InGCS Steuben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41.5],PARAMETER["central_meridian",-85],PARAMETER["scale_factor",1.000041],PARAMETER["false_easting",787400],PARAMETER["false_northing",118110],UNIT["US survey foot",0.3048006096012192,AUTHORITY["EPSG","9003"]],AXIS["X",EAST],AXIS["Y",NORTH],AUTHORITY["EPSG","7360"]]</t>
  </si>
  <si>
    <t>PROJCS["NAD83(2011) / InGCS Sullivan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38.9],PARAMETER["central_meridian",-87.5],PARAMETER["scale_factor",1.000017],PARAMETER["false_easting",240000],PARAMETER["false_northing",36000],UNIT["metre",1,AUTHORITY["EPSG","9001"]],AXIS["X",EAST],AXIS["Y",NORTH],AUTHORITY["EPSG","7361"]]</t>
  </si>
  <si>
    <t>PROJCS["NAD83(2011) / InGCS Sullivan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38.9],PARAMETER["central_meridian",-87.5],PARAMETER["scale_factor",1.000017],PARAMETER["false_easting",787400],PARAMETER["false_northing",118110],UNIT["US survey foot",0.3048006096012192,AUTHORITY["EPSG","9003"]],AXIS["X",EAST],AXIS["Y",NORTH],AUTHORITY["EPSG","7362"]]</t>
  </si>
  <si>
    <t>PROJCS["NAD83(2011) / InGCS Tippecanoe-White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40.2],PARAMETER["central_meridian",-86.9],PARAMETER["scale_factor",1.000026],PARAMETER["false_easting",240000],PARAMETER["false_northing",36000],UNIT["metre",1,AUTHORITY["EPSG","9001"]],AXIS["X",EAST],AXIS["Y",NORTH],AUTHORITY["EPSG","7363"]]</t>
  </si>
  <si>
    <t>PROJCS["GDA2020 / MGA zone 49",GEOGCS["GDA2020",DATUM["Geocentric_Datum_of_Australia_2020",SPHEROID["GRS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7849"]]</t>
  </si>
  <si>
    <t>PROJCS["NAD83(2011) / InGCS Tippecanoe-White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40.2],PARAMETER["central_meridian",-86.9],PARAMETER["scale_factor",1.000026],PARAMETER["false_easting",787400],PARAMETER["false_northing",118110],UNIT["US survey foot",0.3048006096012192,AUTHORITY["EPSG","9003"]],AXIS["X",EAST],AXIS["Y",NORTH],AUTHORITY["EPSG","7364"]]</t>
  </si>
  <si>
    <t>PROJCS["NAD83(2011) / InGCS Vanderburgh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37.8],PARAMETER["central_meridian",-87.55],PARAMETER["scale_factor",1.000015],PARAMETER["false_easting",240000],PARAMETER["false_northing",36000],UNIT["metre",1,AUTHORITY["EPSG","9001"]],AXIS["X",EAST],AXIS["Y",NORTH],AUTHORITY["EPSG","7365"]]</t>
  </si>
  <si>
    <t>PROJCS["NAD83(2011) / InGCS Vanderburgh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37.8],PARAMETER["central_meridian",-87.55],PARAMETER["scale_factor",1.000015],PARAMETER["false_easting",787400],PARAMETER["false_northing",118110],UNIT["US survey foot",0.3048006096012192,AUTHORITY["EPSG","9003"]],AXIS["X",EAST],AXIS["Y",NORTH],AUTHORITY["EPSG","7366"]]</t>
  </si>
  <si>
    <t>PROJCS["NAD83(2011) / InGCS Vigo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39.25],PARAMETER["central_meridian",-87.45],PARAMETER["scale_factor",1.00002],PARAMETER["false_easting",240000],PARAMETER["false_northing",36000],UNIT["metre",1,AUTHORITY["EPSG","9001"]],AXIS["X",EAST],AXIS["Y",NORTH],AUTHORITY["EPSG","7367"]]</t>
  </si>
  <si>
    <t>PROJCS["NAD83(2011) / InGCS Vigo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39.25],PARAMETER["central_meridian",-87.45],PARAMETER["scale_factor",1.00002],PARAMETER["false_easting",787400],PARAMETER["false_northing",118110],UNIT["US survey foot",0.3048006096012192,AUTHORITY["EPSG","9003"]],AXIS["X",EAST],AXIS["Y",NORTH],AUTHORITY["EPSG","7368"]]</t>
  </si>
  <si>
    <t>PROJCS["NAD83(2011) / InGCS Wells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-85.25],PARAMETER["scale_factor",1.000034],PARAMETER["false_easting",240000],PARAMETER["false_northing",36000],UNIT["metre",1,AUTHORITY["EPSG","9001"]],AXIS["X",EAST],AXIS["Y",NORTH],AUTHORITY["EPSG","7369"]]</t>
  </si>
  <si>
    <t>PROJCS["NAD83(2011) / InGCS Wells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40.55],PARAMETER["central_meridian",-85.25],PARAMETER["scale_factor",1.000034],PARAMETER["false_easting",787400],PARAMETER["false_northing",118110],UNIT["US survey foot",0.3048006096012192,AUTHORITY["EPSG","9003"]],AXIS["X",EAST],AXIS["Y",NORTH],AUTHORITY["EPSG","7370"]]</t>
  </si>
  <si>
    <t>PROJCS["ONGD14 / UTM zone 39N",GEOGCS["ONGD14",DATUM["Oman_National_Geodetic_Datum_2014",SPHEROID["GRS 1980",6378137,298.257222101,AUTHORITY["EPSG","7019"]],TOWGS84[0,0,0,0,0,0,0],AUTHORITY["EPSG","1147"]],PRIMEM["Greenwich",0,AUTHORITY["EPSG","8901"]],UNIT["degree",0.0174532925199433,AUTHORITY["EPSG","9122"]],AUTHORITY["EPSG","7373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7374"]]</t>
  </si>
  <si>
    <t>PROJCS["ONGD14 / UTM zone 40N",GEOGCS["ONGD14",DATUM["Oman_National_Geodetic_Datum_2014",SPHEROID["GRS 1980",6378137,298.257222101,AUTHORITY["EPSG","7019"]],TOWGS84[0,0,0,0,0,0,0],AUTHORITY["EPSG","1147"]],PRIMEM["Greenwich",0,AUTHORITY["EPSG","8901"]],UNIT["degree",0.0174532925199433,AUTHORITY["EPSG","9122"]],AUTHORITY["EPSG","7373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7375"]]</t>
  </si>
  <si>
    <t xml:space="preserve">+proj=utm +zone=40 +ellps=GRS80 +towgs84=0,0,0,0,0,0,0 +units=m +no_defs </t>
  </si>
  <si>
    <t>PROJCS["ONGD14 / UTM zone 41N",GEOGCS["ONGD14",DATUM["Oman_National_Geodetic_Datum_2014",SPHEROID["GRS 1980",6378137,298.257222101,AUTHORITY["EPSG","7019"]],TOWGS84[0,0,0,0,0,0,0],AUTHORITY["EPSG","1147"]],PRIMEM["Greenwich",0,AUTHORITY["EPSG","8901"]],UNIT["degree",0.0174532925199433,AUTHORITY["EPSG","9122"]],AUTHORITY["EPSG","7373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7376"]]</t>
  </si>
  <si>
    <t xml:space="preserve">+proj=utm +zone=41 +ellps=GRS80 +towgs84=0,0,0,0,0,0,0 +units=m +no_defs </t>
  </si>
  <si>
    <t>PROJCS["NAD83(2011) / WISCRS Adams and Juneau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43.36666666666667],PARAMETER["central_meridian",-90],PARAMETER["scale_factor",1.0000365285],PARAMETER["false_easting",147218.6942],PARAMETER["false_northing",0.0037],UNIT["metre",1,AUTHORITY["EPSG","9001"]],AXIS["X",EAST],AXIS["Y",NORTH],AUTHORITY["EPSG","7528"]]</t>
  </si>
  <si>
    <t>PROJCS["NAD83(2011) / WISCRS Ashland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45.70611111111111],PARAMETER["central_meridian",-90.62222222222222],PARAMETER["scale_factor",1.0000495683],PARAMETER["false_easting",172821.9461],PARAMETER["false_northing",0.0017],UNIT["metre",1,AUTHORITY["EPSG","9001"]],AXIS["X",EAST],AXIS["Y",NORTH],AUTHORITY["EPSG","7529"]]</t>
  </si>
  <si>
    <t>PROJCS["NAD83(2011) / WISCRS Barron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45.13333333333333],PARAMETER["central_meridian",-91.85],PARAMETER["scale_factor",1.0000486665],PARAMETER["false_easting",93150],PARAMETER["false_northing",0.0029],UNIT["metre",1,AUTHORITY["EPSG","9001"]],AXIS["X",EAST],AXIS["Y",NORTH],AUTHORITY["EPSG","7530"]]</t>
  </si>
  <si>
    <t>PROJCS["NAD83(2011) / WISCRS Bayfield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46.66964837722222],PARAMETER["central_meridian",-91.15277777777779],PARAMETER["scale_factor",1.0000331195],PARAMETER["false_easting",228600.4575],PARAMETER["false_northing",148551.4837],UNIT["metre",1,AUTHORITY["EPSG","9001"]],AXIS["X",EAST],AXIS["Y",NORTH],AUTHORITY["EPSG","7531"]]</t>
  </si>
  <si>
    <t>PROJCS["NAD83(2011) / WISCRS Brown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43],PARAMETER["central_meridian",-88],PARAMETER["scale_factor",1.00002],PARAMETER["false_easting",31600],PARAMETER["false_northing",4600],UNIT["metre",1,AUTHORITY["EPSG","9001"]],AXIS["X",EAST],AXIS["Y",NORTH],AUTHORITY["EPSG","7532"]]</t>
  </si>
  <si>
    <t>PROJCS["NAD83(2011) / WISCRS Buffalo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43.48138888888889],PARAMETER["central_meridian",-91.79722222222222],PARAMETER["scale_factor",1.0000382778],PARAMETER["false_easting",175260.3502],PARAMETER["false_northing",0.0048],UNIT["metre",1,AUTHORITY["EPSG","9001"]],AXIS["X",EAST],AXIS["Y",NORTH],AUTHORITY["EPSG","7533"]]</t>
  </si>
  <si>
    <t>PROJCS["NAD83(2011) / WISCRS Burnett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45.89871486583333],PARAMETER["central_meridian",-92.45777777777778],PARAMETER["scale_factor",1.0000383841],PARAMETER["false_easting",64008.1276],PARAMETER["false_northing",59445.9043],UNIT["metre",1,AUTHORITY["EPSG","9001"]],AXIS["X",EAST],AXIS["Y",NORTH],AUTHORITY["EPSG","7534"]]</t>
  </si>
  <si>
    <t>PROJCS["NAD83(2011) / WISCRS Calumet, Fond du Lac, Outagamie and Winnebago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42.71944444444445],PARAMETER["central_meridian",-88.5],PARAMETER["scale_factor",1.0000286569],PARAMETER["false_easting",244754.8893],PARAMETER["false_northing",0.0049],UNIT["metre",1,AUTHORITY["EPSG","9001"]],AXIS["X",EAST],AXIS["Y",NORTH],AUTHORITY["EPSG","7535"]]</t>
  </si>
  <si>
    <t>PROJCS["NAD83(2011) / WISCRS Chippewa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44.97785689861112],PARAMETER["central_meridian",-91.29444444444444],PARAMETER["scale_factor",1.0000391127],PARAMETER["false_easting",60045.72],PARAMETER["false_northing",44091.4346],UNIT["metre",1,AUTHORITY["EPSG","9001"]],AXIS["X",EAST],AXIS["Y",NORTH],AUTHORITY["EPSG","7536"]]</t>
  </si>
  <si>
    <t>PROJCS["NAD83(2011) / WISCRS Clark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43.6],PARAMETER["central_meridian",-90.70833333333334],PARAMETER["scale_factor",1.0000463003],PARAMETER["false_easting",199949.1989],PARAMETER["false_northing",0.0086],UNIT["metre",1,AUTHORITY["EPSG","9001"]],AXIS["X",EAST],AXIS["Y",NORTH],AUTHORITY["EPSG","7537"]]</t>
  </si>
  <si>
    <t>PROJCS["NAD83(2011) / WISCRS Columbia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43.46254664583333],PARAMETER["central_meridian",-89.39444444444445],PARAMETER["scale_factor",1.00003498],PARAMETER["false_easting",169164.3381],PARAMETER["false_northing",111569.6134],UNIT["metre",1,AUTHORITY["EPSG","9001"]],AXIS["X",EAST],AXIS["Y",NORTH],AUTHORITY["EPSG","7538"]]</t>
  </si>
  <si>
    <t>PROJCS["NAD83(2011) / WISCRS Crawford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43.200055605],PARAMETER["central_meridian",-90.9388888888889],PARAMETER["scale_factor",1.0000349151],PARAMETER["false_easting",113690.6274],PARAMETER["false_northing",53703.1201],UNIT["metre",1,AUTHORITY["EPSG","9001"]],AXIS["X",EAST],AXIS["Y",NORTH],AUTHORITY["EPSG","7539"]]</t>
  </si>
  <si>
    <t>PROJCS["NAD83(2011) / WISCRS Dane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43.0695160375],PARAMETER["central_meridian",-89.42222222222223],PARAMETER["scale_factor",1.0000384786],PARAMETER["false_easting",247193.2944],PARAMETER["false_northing",146591.9896],UNIT["metre",1,AUTHORITY["EPSG","9001"]],AXIS["X",EAST],AXIS["Y",NORTH],AUTHORITY["EPSG","7540"]]</t>
  </si>
  <si>
    <t>PROJCS["NAD83(2011) / WISCRS Dodge and Jefferson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41.47222222222222],PARAMETER["central_meridian",-88.775],PARAMETER["scale_factor",1.0000346418],PARAMETER["false_easting",263347.7263],PARAMETER["false_northing",0.0076],UNIT["metre",1,AUTHORITY["EPSG","9001"]],AXIS["X",EAST],AXIS["Y",NORTH],AUTHORITY["EPSG","7541"]]</t>
  </si>
  <si>
    <t>PROJCS["NAD83(2011) / WISCRS Door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44.4],PARAMETER["central_meridian",-87.27222222222223],PARAMETER["scale_factor",1.0000187521],PARAMETER["false_easting",158801.1176],PARAMETER["false_northing",0.0023],UNIT["metre",1,AUTHORITY["EPSG","9001"]],AXIS["X",EAST],AXIS["Y",NORTH],AUTHORITY["EPSG","7542"]]</t>
  </si>
  <si>
    <t>PROJCS["NAD83(2011) / WISCRS Douglas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45.88333333333333],PARAMETER["central_meridian",-91.91666666666667],PARAMETER["scale_factor",1.0000385418],PARAMETER["false_easting",59131.3183],PARAMETER["false_northing",0.0041],UNIT["metre",1,AUTHORITY["EPSG","9001"]],AXIS["X",EAST],AXIS["Y",NORTH],AUTHORITY["EPSG","7543"]]</t>
  </si>
  <si>
    <t>PROJCS["NAD83(2011) / WISCRS Dunn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44.40833333333333],PARAMETER["central_meridian",-91.89444444444445],PARAMETER["scale_factor",1.0000410324],PARAMETER["false_easting",51816.104],PARAMETER["false_northing",0.003],UNIT["metre",1,AUTHORITY["EPSG","9001"]],AXIS["X",EAST],AXIS["Y",NORTH],AUTHORITY["EPSG","7544"]]</t>
  </si>
  <si>
    <t>PROJCS["NAD83(2011) / WISCRS Eau Claire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44.87228112638889],PARAMETER["central_meridian",-91.28888888888889],PARAMETER["scale_factor",1.000035079],PARAMETER["false_easting",120091.4402],PARAMETER["false_northing",91687.9239],UNIT["metre",1,AUTHORITY["EPSG","9001"]],AXIS["X",EAST],AXIS["Y",NORTH],AUTHORITY["EPSG","7545"]]</t>
  </si>
  <si>
    <t>PROJCS["NAD83(2011) / WISCRS Florence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45.43888888888888],PARAMETER["central_meridian",-88.14166666666668],PARAMETER["scale_factor",1.0000552095],PARAMETER["false_easting",133502.6683],PARAMETER["false_northing",0.0063],UNIT["metre",1,AUTHORITY["EPSG","9001"]],AXIS["X",EAST],AXIS["Y",NORTH],AUTHORITY["EPSG","7546"]]</t>
  </si>
  <si>
    <t>PROJCS["NAD83(2011) / WISCRS Forest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44.00555555555555],PARAMETER["central_meridian",-88.63333333333334],PARAMETER["scale_factor",1.0000673004],PARAMETER["false_easting",275844.5533],PARAMETER["false_northing",0.0157],UNIT["metre",1,AUTHORITY["EPSG","9001"]],AXIS["X",EAST],AXIS["Y",NORTH],AUTHORITY["EPSG","7547"]]</t>
  </si>
  <si>
    <t>PROJCS["NAD83(2011) / WISCRS Grant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41.41111111111111],PARAMETER["central_meridian",-90.8],PARAMETER["scale_factor",1.0000349452],PARAMETER["false_easting",242316.4841],PARAMETER["false_northing",0.01],UNIT["metre",1,AUTHORITY["EPSG","9001"]],AXIS["X",EAST],AXIS["Y",NORTH],AUTHORITY["EPSG","7548"]]</t>
  </si>
  <si>
    <t>PROJCS["NAD83(2011) / WISCRS Green and Lafayette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42.63756227694444],PARAMETER["central_meridian",-89.83888888888889],PARAMETER["scale_factor",1.0000390487],PARAMETER["false_easting",170078.7403],PARAMETER["false_northing",45830.2947],UNIT["metre",1,AUTHORITY["EPSG","9001"]],AXIS["X",EAST],AXIS["Y",NORTH],AUTHORITY["EPSG","7549"]]</t>
  </si>
  <si>
    <t>PROJCS["NAD83(2011) / WISCRS Green Lake and Marquette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43.80700011777778],PARAMETER["central_meridian",-89.24166666666667],PARAMETER["scale_factor",1.0000344057],PARAMETER["false_easting",150876.3018],PARAMETER["false_northing",79170.7795],UNIT["metre",1,AUTHORITY["EPSG","9001"]],AXIS["X",EAST],AXIS["Y",NORTH],AUTHORITY["EPSG","7550"]]</t>
  </si>
  <si>
    <t>PROJCS["NAD83(2011) / WISCRS Iowa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42.53888888888888],PARAMETER["central_meridian",-90.16111111111111],PARAMETER["scale_factor",1.0000394961],PARAMETER["false_easting",113081.0261],PARAMETER["false_northing",0.0045],UNIT["metre",1,AUTHORITY["EPSG","9001"]],AXIS["X",EAST],AXIS["Y",NORTH],AUTHORITY["EPSG","7551"]]</t>
  </si>
  <si>
    <t>PROJCS["NAD83(2011) / WISCRS Iron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45.43333333333333],PARAMETER["central_meridian",-90.25555555555556],PARAMETER["scale_factor",1.0000677153],PARAMETER["false_easting",220980.4419],PARAMETER["false_northing",0.0085],UNIT["metre",1,AUTHORITY["EPSG","9001"]],AXIS["X",EAST],AXIS["Y",NORTH],AUTHORITY["EPSG","7552"]]</t>
  </si>
  <si>
    <t>PROJCS["NAD83(2011) / WISCRS Jackson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44.25333512777778],PARAMETER["central_meridian",-90.84429651944444],PARAMETER["scale_factor",1.0000353],PARAMETER["false_easting",27000],PARAMETER["false_northing",25000],UNIT["metre",1,AUTHORITY["EPSG","9001"]],AXIS["X",EAST],AXIS["Y",NORTH],AUTHORITY["EPSG","7553"]]</t>
  </si>
  <si>
    <t>PROJCS["NAD83(2011) / WISCRS Kenosha, Milwaukee, Ozaukee and Racine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42.21666666666667],PARAMETER["central_meridian",-87.89444444444445],PARAMETER["scale_factor",1.0000260649],PARAMETER["false_easting",185928.3728],PARAMETER["false_northing",0.0009],UNIT["metre",1,AUTHORITY["EPSG","9001"]],AXIS["X",EAST],AXIS["Y",NORTH],AUTHORITY["EPSG","7554"]]</t>
  </si>
  <si>
    <t>PROJCS["NAD83(2011) / WISCRS Kewaunee, Manitowoc and Sheboygan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43.26666666666667],PARAMETER["central_meridian",-87.55],PARAMETER["scale_factor",1.0000233704],PARAMETER["false_easting",79857.7614],PARAMETER["false_northing",0.0012],UNIT["metre",1,AUTHORITY["EPSG","9001"]],AXIS["X",EAST],AXIS["Y",NORTH],AUTHORITY["EPSG","7555"]]</t>
  </si>
  <si>
    <t>PROJCS["NAD83(2011) / WISCRS La Crosse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43.45111111111111],PARAMETER["central_meridian",-91.31666666666666],PARAMETER["scale_factor",1.0000319985],PARAMETER["false_easting",130454.6598],PARAMETER["false_northing",0.0033],UNIT["metre",1,AUTHORITY["EPSG","9001"]],AXIS["X",EAST],AXIS["Y",NORTH],AUTHORITY["EPSG","7556"]]</t>
  </si>
  <si>
    <t>PROJCS["NAD83(2011) / WISCRS Langlade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45.15423710527778],PARAMETER["central_meridian",-89.03333333333333],PARAMETER["scale_factor",1.0000627024],PARAMETER["false_easting",198425.197],PARAMETER["false_northing",105279.7829],UNIT["metre",1,AUTHORITY["EPSG","9001"]],AXIS["X",EAST],AXIS["Y",NORTH],AUTHORITY["EPSG","7557"]]</t>
  </si>
  <si>
    <t>PROJCS["NAD83(2011) / WISCRS Lincoln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44.84444444444445],PARAMETER["central_meridian",-89.73333333333333],PARAMETER["scale_factor",1.0000599003],PARAMETER["false_easting",116129.0323],PARAMETER["false_northing",0.0058],UNIT["metre",1,AUTHORITY["EPSG","9001"]],AXIS["X",EAST],AXIS["Y",NORTH],AUTHORITY["EPSG","7558"]]</t>
  </si>
  <si>
    <t>PROJCS["NAD83(2011) / WISCRS Marathon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44.90090442361111],PARAMETER["central_meridian",-89.77],PARAMETER["scale_factor",1.000053289],PARAMETER["false_easting",74676.1493],PARAMETER["false_northing",55049.2669],UNIT["metre",1,AUTHORITY["EPSG","9001"]],AXIS["X",EAST],AXIS["Y",NORTH],AUTHORITY["EPSG","7559"]]</t>
  </si>
  <si>
    <t>PROJCS["NAD83(2011) / WISCRS Marinette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44.69166666666666],PARAMETER["central_meridian",-87.71111111111111],PARAMETER["scale_factor",1.0000234982],PARAMETER["false_easting",238658.8794],PARAMETER["false_northing",0.0032],UNIT["metre",1,AUTHORITY["EPSG","9001"]],AXIS["X",EAST],AXIS["Y",NORTH],AUTHORITY["EPSG","7560"]]</t>
  </si>
  <si>
    <t>PROJCS["NAD83(2011) / WISCRS Menominee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44.71666666666667],PARAMETER["central_meridian",-88.41666666666667],PARAMETER["scale_factor",1.0000362499],PARAMETER["false_easting",105461.0121],PARAMETER["false_northing",0.0029],UNIT["metre",1,AUTHORITY["EPSG","9001"]],AXIS["X",EAST],AXIS["Y",NORTH],AUTHORITY["EPSG","7561"]]</t>
  </si>
  <si>
    <t>PROJCS["NAD83(2011) / WISCRS Monroe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44.00007392861111],PARAMETER["central_meridian",-90.64166666666668],PARAMETER["scale_factor",1.0000434122],PARAMETER["false_easting",204521.209],PARAMETER["false_northing",121923.9861],UNIT["metre",1,AUTHORITY["EPSG","9001"]],AXIS["X",EAST],AXIS["Y",NORTH],AUTHORITY["EPSG","7562"]]</t>
  </si>
  <si>
    <t>PROJCS["NAD83(2011) / WISCRS Oconto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44.39722222222222],PARAMETER["central_meridian",-87.90833333333335],PARAMETER["scale_factor",1.0000236869],PARAMETER["false_easting",182880.3676],PARAMETER["false_northing",0.0033],UNIT["metre",1,AUTHORITY["EPSG","9001"]],AXIS["X",EAST],AXIS["Y",NORTH],AUTHORITY["EPSG","7563"]]</t>
  </si>
  <si>
    <t>PROJCS["NAD83(2011) / WISCRS Oneida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45.70422377027778],PARAMETER["central_meridian",-89.54444444444444],PARAMETER["scale_factor",1.0000686968],PARAMETER["false_easting",70104.1401],PARAMETER["false_northing",57588.0346],UNIT["metre",1,AUTHORITY["EPSG","9001"]],AXIS["X",EAST],AXIS["Y",NORTH],AUTHORITY["EPSG","7564"]]</t>
  </si>
  <si>
    <t>PROJCS["NAD83(2011) / WISCRS Pepin and Pierce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44.63614887194444],PARAMETER["central_meridian",-92.22777777777777],PARAMETER["scale_factor",1.0000362977],PARAMETER["false_easting",167640.3354],PARAMETER["false_northing",86033.0876],UNIT["metre",1,AUTHORITY["EPSG","9001"]],AXIS["X",EAST],AXIS["Y",NORTH],AUTHORITY["EPSG","7565"]]</t>
  </si>
  <si>
    <t>PROJCS["NAD83(2011) / WISCRS Polk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44.66111111111111],PARAMETER["central_meridian",-92.63333333333334],PARAMETER["scale_factor",1.0000433849],PARAMETER["false_easting",141732.2823],PARAMETER["false_northing",0.0059],UNIT["metre",1,AUTHORITY["EPSG","9001"]],AXIS["X",EAST],AXIS["Y",NORTH],AUTHORITY["EPSG","7566"]]</t>
  </si>
  <si>
    <t>PROJCS["NAD83(2011) / WISCRS Portage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44.41682397527777],PARAMETER["central_meridian",-89.5],PARAMETER["scale_factor",1.000039936],PARAMETER["false_easting",56388.1128],PARAMETER["false_northing",50022.1874],UNIT["metre",1,AUTHORITY["EPSG","9001"]],AXIS["X",EAST],AXIS["Y",NORTH],AUTHORITY["EPSG","7567"]]</t>
  </si>
  <si>
    <t>PROJCS["NAD83(2011) / WISCRS Price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44.55555555555555],PARAMETER["central_meridian",-90.48888888888889],PARAMETER["scale_factor",1.0000649554],PARAMETER["false_easting",227990.8546],PARAMETER["false_northing",0.0109],UNIT["metre",1,AUTHORITY["EPSG","9001"]],AXIS["X",EAST],AXIS["Y",NORTH],AUTHORITY["EPSG","7568"]]</t>
  </si>
  <si>
    <t>PROJCS["NAD83(2011) / WISCRS Richland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43.3223129275],PARAMETER["central_meridian",-90.43055555555556],PARAMETER["scale_factor",1.0000375653],PARAMETER["false_easting",202387.6048],PARAMETER["false_northing",134255.4253],UNIT["metre",1,AUTHORITY["EPSG","9001"]],AXIS["X",EAST],AXIS["Y",NORTH],AUTHORITY["EPSG","7569"]]</t>
  </si>
  <si>
    <t>PROJCS["NAD83(2011) / WISCRS Rock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41.94444444444444],PARAMETER["central_meridian",-89.07222222222222],PARAMETER["scale_factor",1.0000337311],PARAMETER["false_easting",146304.2926],PARAMETER["false_northing",0.0068],UNIT["metre",1,AUTHORITY["EPSG","9001"]],AXIS["X",EAST],AXIS["Y",NORTH],AUTHORITY["EPSG","7570"]]</t>
  </si>
  <si>
    <t>PROJCS["NAD83(2011) / WISCRS Rusk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43.91944444444444],PARAMETER["central_meridian",-91.06666666666666],PARAMETER["scale_factor",1.0000495976],PARAMETER["false_easting",250546.1013],PARAMETER["false_northing",0.0234],UNIT["metre",1,AUTHORITY["EPSG","9001"]],AXIS["X",EAST],AXIS["Y",NORTH],AUTHORITY["EPSG","7571"]]</t>
  </si>
  <si>
    <t>PROJCS["NAD83(2011) / WISCRS Sauk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42.81944444444445],PARAMETER["central_meridian",-89.9],PARAMETER["scale_factor",1.0000373868],PARAMETER["false_easting",185623.5716],PARAMETER["false_northing",0.0051],UNIT["metre",1,AUTHORITY["EPSG","9001"]],AXIS["X",EAST],AXIS["Y",NORTH],AUTHORITY["EPSG","7572"]]</t>
  </si>
  <si>
    <t>PROJCS["NAD83(2011) / WISCRS Sawyer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45.90009913138888],PARAMETER["central_meridian",-91.11666666666666],PARAMETER["scale_factor",1.0000573461],PARAMETER["false_easting",216713.2336],PARAMETER["false_northing",120734.1631],UNIT["metre",1,AUTHORITY["EPSG","9001"]],AXIS["X",EAST],AXIS["Y",NORTH],AUTHORITY["EPSG","7573"]]</t>
  </si>
  <si>
    <t>PROJCS["NAD83(2011) / WISCRS Shawano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44.03611111111111],PARAMETER["central_meridian",-88.60555555555555],PARAMETER["scale_factor",1.000032144],PARAMETER["false_easting",262433.3253],PARAMETER["false_northing",0.0096],UNIT["metre",1,AUTHORITY["EPSG","9001"]],AXIS["X",EAST],AXIS["Y",NORTH],AUTHORITY["EPSG","7574"]]</t>
  </si>
  <si>
    <t>PROJCS["NAD83(2011) / WISCRS St. Croix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44.03611111111111],PARAMETER["central_meridian",-92.63333333333334],PARAMETER["scale_factor",1.0000381803],PARAMETER["false_easting",165506.7302],PARAMETER["false_northing",0.0103],UNIT["metre",1,AUTHORITY["EPSG","9001"]],AXIS["X",EAST],AXIS["Y",NORTH],AUTHORITY["EPSG","7575"]]</t>
  </si>
  <si>
    <t>PROJCS["NAD83(2011) / WISCRS Taylor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45.17782208583333],PARAMETER["central_meridian",-90.48333333333333],PARAMETER["scale_factor",1.0000597566],PARAMETER["false_easting",187147.5744],PARAMETER["false_northing",107746.7522],UNIT["metre",1,AUTHORITY["EPSG","9001"]],AXIS["X",EAST],AXIS["Y",NORTH],AUTHORITY["EPSG","7576"]]</t>
  </si>
  <si>
    <t>PROJCS["NAD83(2011) / WISCRS Trempealeau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43.16111111111111],PARAMETER["central_meridian",-91.36666666666666],PARAMETER["scale_factor",1.0000361538],PARAMETER["false_easting",256946.9138],PARAMETER["false_northing",0.0041],UNIT["metre",1,AUTHORITY["EPSG","9001"]],AXIS["X",EAST],AXIS["Y",NORTH],AUTHORITY["EPSG","7577"]]</t>
  </si>
  <si>
    <t>PROJCS["NAD83(2011) / WISCRS Vernon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43.57503293972223],PARAMETER["central_meridian",-90.78333333333333],PARAMETER["scale_factor",1.0000408158],PARAMETER["false_easting",222504.4451],PARAMETER["false_northing",47532.0602],UNIT["metre",1,AUTHORITY["EPSG","9001"]],AXIS["X",EAST],AXIS["Y",NORTH],AUTHORITY["EPSG","7578"]]</t>
  </si>
  <si>
    <t>PROJCS["NAD83(2011) / WISCRS Vilas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46.07784409055556],PARAMETER["central_meridian",-89.48888888888889],PARAMETER["scale_factor",1.0000730142],PARAMETER["false_easting",134417.0689],PARAMETER["false_northing",50337.1092],UNIT["metre",1,AUTHORITY["EPSG","9001"]],AXIS["X",EAST],AXIS["Y",NORTH],AUTHORITY["EPSG","7579"]]</t>
  </si>
  <si>
    <t>PROJCS["NAD83(2011) / WISCRS Walworth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42.66946209694444],PARAMETER["central_meridian",-88.54166666666667],PARAMETER["scale_factor",1.0000367192],PARAMETER["false_easting",232562.8651],PARAMETER["false_northing",111088.2224],UNIT["metre",1,AUTHORITY["EPSG","9001"]],AXIS["X",EAST],AXIS["Y",NORTH],AUTHORITY["EPSG","7580"]]</t>
  </si>
  <si>
    <t>PROJCS["Kyrg-06 / zone 1",GEOGCS["Kyrg-06",DATUM["Kyrgyzstan_Geodetic_Datum_2006",SPHEROID["GRS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68.51666666666667],PARAMETER["scale_factor",1],PARAMETER["false_easting",1300000],PARAMETER["false_northing",14743.5],UNIT["metre",1,AUTHORITY["EPSG","9001"]],AXIS["Easting",EAST],AXIS["Northing",NORTH],AUTHORITY["EPSG","7692"]]</t>
  </si>
  <si>
    <t>PROJCS["NAD83(2011) / WISCRS Washburn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45.96121983333334],PARAMETER["central_meridian",-91.78333333333333],PARAMETER["scale_factor",1.0000475376],PARAMETER["false_easting",234086.8682],PARAMETER["false_northing",188358.6058],UNIT["metre",1,AUTHORITY["EPSG","9001"]],AXIS["X",EAST],AXIS["Y",NORTH],AUTHORITY["EPSG","7581"]]</t>
  </si>
  <si>
    <t>PROJCS["NAD83(2011) / WISCRS Washington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42.91805555555555],PARAMETER["central_meridian",-88.06388888888888],PARAMETER["scale_factor",1.00003738],PARAMETER["false_easting",120091.4415],PARAMETER["false_northing",0.003],UNIT["metre",1,AUTHORITY["EPSG","9001"]],AXIS["X",EAST],AXIS["Y",NORTH],AUTHORITY["EPSG","7582"]]</t>
  </si>
  <si>
    <t>PROJCS["NAD83(2011) / WISCRS Waukesha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42.56944444444445],PARAMETER["central_meridian",-88.225],PARAMETER["scale_factor",1.0000346179],PARAMETER["false_easting",208788.418],PARAMETER["false_northing",0.0034],UNIT["metre",1,AUTHORITY["EPSG","9001"]],AXIS["X",EAST],AXIS["Y",NORTH],AUTHORITY["EPSG","7583"]]</t>
  </si>
  <si>
    <t>PROJCS["NAD83(2011) / WISCRS Waupaca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43.42027777777778],PARAMETER["central_meridian",-88.81666666666666],PARAMETER["scale_factor",1.0000333645],PARAMETER["false_easting",185013.9709],PARAMETER["false_northing",0.007],UNIT["metre",1,AUTHORITY["EPSG","9001"]],AXIS["X",EAST],AXIS["Y",NORTH],AUTHORITY["EPSG","7584"]]</t>
  </si>
  <si>
    <t>PROJCS["NAD83(2011) / WISCRS Waushara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44.11394404583334],PARAMETER["central_meridian",-89.24166666666667],PARAMETER["scale_factor",1.0000392096],PARAMETER["false_easting",120091.4402],PARAMETER["false_northing",45069.7587],UNIT["metre",1,AUTHORITY["EPSG","9001"]],AXIS["X",EAST],AXIS["Y",NORTH],AUTHORITY["EPSG","7585"]]</t>
  </si>
  <si>
    <t>PROJCS["NAD83(2011) / WISCRS Wood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44.36259546944444],PARAMETER["central_meridian",-90],PARAMETER["scale_factor",1.0000421209],PARAMETER["false_easting",208483.6173],PARAMETER["false_northing",134589.754],UNIT["metre",1,AUTHORITY["EPSG","9001"]],AXIS["X",EAST],AXIS["Y",NORTH],AUTHORITY["EPSG","7586"]]</t>
  </si>
  <si>
    <t>PROJCS["NAD83(2011) / WISCRS Adams and Juneau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43.36666666666667],PARAMETER["central_meridian",-90],PARAMETER["scale_factor",1.0000365285],PARAMETER["false_easting",482999.999],PARAMETER["false_northing",0.012],UNIT["US survey foot",0.3048006096012192,AUTHORITY["EPSG","9003"]],AXIS["X",EAST],AXIS["Y",NORTH],AUTHORITY["EPSG","7587"]]</t>
  </si>
  <si>
    <t>PROJCS["NAD83(2011) / WISCRS Ashland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45.70611111111111],PARAMETER["central_meridian",-90.62222222222222],PARAMETER["scale_factor",1.0000495683],PARAMETER["false_easting",567000.0010000002],PARAMETER["false_northing",0.006],UNIT["US survey foot",0.3048006096012192,AUTHORITY["EPSG","9003"]],AXIS["X",EAST],AXIS["Y",NORTH],AUTHORITY["EPSG","7588"]]</t>
  </si>
  <si>
    <t>PROJCS["NAD83(2011) / WISCRS Barron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45.13333333333333],PARAMETER["central_meridian",-91.85],PARAMETER["scale_factor",1.0000486665],PARAMETER["false_easting",305609.625],PARAMETER["false_northing",0.01],UNIT["US survey foot",0.3048006096012192,AUTHORITY["EPSG","9003"]],AXIS["X",EAST],AXIS["Y",NORTH],AUTHORITY["EPSG","7589"]]</t>
  </si>
  <si>
    <t>PROJCS["NAD83(2011) / WISCRS Bayfield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46.66964837722222],PARAMETER["central_meridian",-91.15277777777779],PARAMETER["scale_factor",1.0000331195],PARAMETER["false_easting",750000.0010000002],PARAMETER["false_northing",487372.659],UNIT["US survey foot",0.3048006096012192,AUTHORITY["EPSG","9003"]],AXIS["X",EAST],AXIS["Y",NORTH],AUTHORITY["EPSG","7590"]]</t>
  </si>
  <si>
    <t>PROJCS["NAD83(2011) / WISCRS Brown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43],PARAMETER["central_meridian",-88],PARAMETER["scale_factor",1.00002],PARAMETER["false_easting",103674.333],PARAMETER["false_northing",15091.833],UNIT["US survey foot",0.3048006096012192,AUTHORITY["EPSG","9003"]],AXIS["X",EAST],AXIS["Y",NORTH],AUTHORITY["EPSG","7591"]]</t>
  </si>
  <si>
    <t>PROJCS["NAD83(2011) / WISCRS Buffalo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43.48138888888889],PARAMETER["central_meridian",-91.79722222222222],PARAMETER["scale_factor",1.0000382778],PARAMETER["false_easting",574999.999],PARAMETER["false_northing",0.016],UNIT["US survey foot",0.3048006096012192,AUTHORITY["EPSG","9003"]],AXIS["X",EAST],AXIS["Y",NORTH],AUTHORITY["EPSG","7592"]]</t>
  </si>
  <si>
    <t>PROJCS["NAD83(2011) / WISCRS Burnett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45.89871486583333],PARAMETER["central_meridian",-92.45777777777778],PARAMETER["scale_factor",1.0000383841],PARAMETER["false_easting",209999.999],PARAMETER["false_northing",195032.104],UNIT["US survey foot",0.3048006096012192,AUTHORITY["EPSG","9003"]],AXIS["X",EAST],AXIS["Y",NORTH],AUTHORITY["EPSG","7593"]]</t>
  </si>
  <si>
    <t>PROJCS["NAD83(2011) / WISCRS Calumet, Fond du Lac, Outagamie and Winnebago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42.71944444444445],PARAMETER["central_meridian",-88.5],PARAMETER["scale_factor",1.0000286569],PARAMETER["false_easting",802999.999],PARAMETER["false_northing",0.016],UNIT["US survey foot",0.3048006096012192,AUTHORITY["EPSG","9003"]],AXIS["X",EAST],AXIS["Y",NORTH],AUTHORITY["EPSG","7594"]]</t>
  </si>
  <si>
    <t>PROJCS["NAD83(2011) / WISCRS Chippewa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44.97785689861112],PARAMETER["central_meridian",-91.29444444444444],PARAMETER["scale_factor",1.0000391127],PARAMETER["false_easting",197000],PARAMETER["false_northing",144656.648],UNIT["US survey foot",0.3048006096012192,AUTHORITY["EPSG","9003"]],AXIS["X",EAST],AXIS["Y",NORTH],AUTHORITY["EPSG","7595"]]</t>
  </si>
  <si>
    <t>PROJCS["NAD83(2011) / WISCRS Clark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43.6],PARAMETER["central_meridian",-90.70833333333334],PARAMETER["scale_factor",1.0000463003],PARAMETER["false_easting",655999.997],PARAMETER["false_northing",0.028],UNIT["US survey foot",0.3048006096012192,AUTHORITY["EPSG","9003"]],AXIS["X",EAST],AXIS["Y",NORTH],AUTHORITY["EPSG","7596"]]</t>
  </si>
  <si>
    <t>PROJCS["NAD83(2011) / WISCRS Columbia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43.46254664583333],PARAMETER["central_meridian",-89.39444444444445],PARAMETER["scale_factor",1.00003498],PARAMETER["false_easting",554999.999],PARAMETER["false_northing",366041.307],UNIT["US survey foot",0.3048006096012192,AUTHORITY["EPSG","9003"]],AXIS["X",EAST],AXIS["Y",NORTH],AUTHORITY["EPSG","7597"]]</t>
  </si>
  <si>
    <t>GEOCCS["NZGD2000",DATUM["New_Zealand_Geodetic_Datum_2000",SPHEROID["GRS 1980",6378137,298.257222101,AUTHORITY["EPSG","7019"]],AUTHORITY["EPSG","6167"]],PRIMEM["Greenwich",0,AUTHORITY["EPSG","8901"]],UNIT["metre",1,AUTHORITY["EPSG","9001"]],AXIS["Geocentric X",OTHER],AXIS["Geocentric Y",OTHER],AXIS["Geocentric Z",NORTH],AUTHORITY["EPSG","4958"]]</t>
  </si>
  <si>
    <t>PROJCS["NAD83(2011) / WISCRS Crawford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43.200055605],PARAMETER["central_meridian",-90.9388888888889],PARAMETER["scale_factor",1.0000349151],PARAMETER["false_easting",373000],PARAMETER["false_northing",176190.987],UNIT["US survey foot",0.3048006096012192,AUTHORITY["EPSG","9003"]],AXIS["X",EAST],AXIS["Y",NORTH],AUTHORITY["EPSG","7598"]]</t>
  </si>
  <si>
    <t>PROJCS["NAD83(2011) / WISCRS Dane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43.0695160375],PARAMETER["central_meridian",-89.42222222222223],PARAMETER["scale_factor",1.0000384786],PARAMETER["false_easting",811000],PARAMETER["false_northing",480943.886],UNIT["US survey foot",0.3048006096012192,AUTHORITY["EPSG","9003"]],AXIS["X",EAST],AXIS["Y",NORTH],AUTHORITY["EPSG","7599"]]</t>
  </si>
  <si>
    <t>PROJCS["NAD83(2011) / WISCRS Dodge and Jefferson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41.47222222222222],PARAMETER["central_meridian",-88.775],PARAMETER["scale_factor",1.0000346418],PARAMETER["false_easting",863999.9990000002],PARAMETER["false_northing",0.025],UNIT["US survey foot",0.3048006096012192,AUTHORITY["EPSG","9003"]],AXIS["X",EAST],AXIS["Y",NORTH],AUTHORITY["EPSG","7600"]]</t>
  </si>
  <si>
    <t>PROJCS["NAD83(2011) / WISCRS Door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44.4],PARAMETER["central_meridian",-87.27222222222223],PARAMETER["scale_factor",1.0000187521],PARAMETER["false_easting",521000],PARAMETER["false_northing",0.008000000000000002],UNIT["US survey foot",0.3048006096012192,AUTHORITY["EPSG","9003"]],AXIS["X",EAST],AXIS["Y",NORTH],AUTHORITY["EPSG","7601"]]</t>
  </si>
  <si>
    <t>PROJCS["NAD83(2011) / WISCRS Douglas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45.88333333333333],PARAMETER["central_meridian",-91.91666666666667],PARAMETER["scale_factor",1.0000385418],PARAMETER["false_easting",194000],PARAMETER["false_northing",0.013],UNIT["US survey foot",0.3048006096012192,AUTHORITY["EPSG","9003"]],AXIS["X",EAST],AXIS["Y",NORTH],AUTHORITY["EPSG","7602"]]</t>
  </si>
  <si>
    <t>PROJCS["NAD83(2011) / WISCRS Dunn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44.40833333333333],PARAMETER["central_meridian",-91.89444444444445],PARAMETER["scale_factor",1.0000410324],PARAMETER["false_easting",170000.001],PARAMETER["false_northing",0.01],UNIT["US survey foot",0.3048006096012192,AUTHORITY["EPSG","9003"]],AXIS["X",EAST],AXIS["Y",NORTH],AUTHORITY["EPSG","7603"]]</t>
  </si>
  <si>
    <t>PROJCS["NAD83(2011) / WISCRS Eau Claire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44.87228112638889],PARAMETER["central_meridian",-91.28888888888889],PARAMETER["scale_factor",1.000035079],PARAMETER["false_easting",394000],PARAMETER["false_northing",300812.797],UNIT["US survey foot",0.3048006096012192,AUTHORITY["EPSG","9003"]],AXIS["X",EAST],AXIS["Y",NORTH],AUTHORITY["EPSG","7604"]]</t>
  </si>
  <si>
    <t>PROJCS["NAD83(2011) / WISCRS Florence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45.43888888888888],PARAMETER["central_meridian",-88.14166666666668],PARAMETER["scale_factor",1.0000552095],PARAMETER["false_easting",438000.004],PARAMETER["false_northing",0.021],UNIT["US survey foot",0.3048006096012192,AUTHORITY["EPSG","9003"]],AXIS["X",EAST],AXIS["Y",NORTH],AUTHORITY["EPSG","7605"]]</t>
  </si>
  <si>
    <t>GEOCCS["POSGAR 98",DATUM["Posiciones_Geodesicas_Argentinas_1998",SPHEROID["GRS 1980",6378137,298.257222101,AUTHORITY["EPSG","7019"]],AUTHORITY["EPSG","6190"]],PRIMEM["Greenwich",0,AUTHORITY["EPSG","8901"]],UNIT["metre",1,AUTHORITY["EPSG","9001"]],AXIS["Geocentric X",OTHER],AXIS["Geocentric Y",OTHER],AXIS["Geocentric Z",NORTH],AUTHORITY["EPSG","4960"]]</t>
  </si>
  <si>
    <t>PROJCS["NAD83(2011) / WISCRS Forest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44.00555555555555],PARAMETER["central_meridian",-88.63333333333334],PARAMETER["scale_factor",1.0000673004],PARAMETER["false_easting",905000.0050000002],PARAMETER["false_northing",0.052],UNIT["US survey foot",0.3048006096012192,AUTHORITY["EPSG","9003"]],AXIS["X",EAST],AXIS["Y",NORTH],AUTHORITY["EPSG","7606"]]</t>
  </si>
  <si>
    <t>PROJCS["NAD83(2011) / WISCRS Grant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41.41111111111111],PARAMETER["central_meridian",-90.8],PARAMETER["scale_factor",1.0000349452],PARAMETER["false_easting",794999.998],PARAMETER["false_northing",0.033],UNIT["US survey foot",0.3048006096012192,AUTHORITY["EPSG","9003"]],AXIS["X",EAST],AXIS["Y",NORTH],AUTHORITY["EPSG","7607"]]</t>
  </si>
  <si>
    <t>PROJCS["NAD83(2011) / WISCRS Green and Lafayette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42.63756227694444],PARAMETER["central_meridian",-89.83888888888889],PARAMETER["scale_factor",1.0000390487],PARAMETER["false_easting",558000],PARAMETER["false_northing",150361.559],UNIT["US survey foot",0.3048006096012192,AUTHORITY["EPSG","9003"]],AXIS["X",EAST],AXIS["Y",NORTH],AUTHORITY["EPSG","7608"]]</t>
  </si>
  <si>
    <t>PROJCS["NAD83(2011) / WISCRS Green Lake and Marquette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43.80700011777778],PARAMETER["central_meridian",-89.24166666666667],PARAMETER["scale_factor",1.0000344057],PARAMETER["false_easting",495000],PARAMETER["false_northing",259746.132],UNIT["US survey foot",0.3048006096012192,AUTHORITY["EPSG","9003"]],AXIS["X",EAST],AXIS["Y",NORTH],AUTHORITY["EPSG","7609"]]</t>
  </si>
  <si>
    <t>PROJCS["NAD83(2011) / WISCRS Iowa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42.53888888888888],PARAMETER["central_meridian",-90.16111111111111],PARAMETER["scale_factor",1.0000394961],PARAMETER["false_easting",371000],PARAMETER["false_northing",0.015],UNIT["US survey foot",0.3048006096012192,AUTHORITY["EPSG","9003"]],AXIS["X",EAST],AXIS["Y",NORTH],AUTHORITY["EPSG","7610"]]</t>
  </si>
  <si>
    <t>PROJCS["NAD83(2011) / WISCRS Iron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45.43333333333333],PARAMETER["central_meridian",-90.25555555555556],PARAMETER["scale_factor",1.0000677153],PARAMETER["false_easting",725000],PARAMETER["false_northing",0.028],UNIT["US survey foot",0.3048006096012192,AUTHORITY["EPSG","9003"]],AXIS["X",EAST],AXIS["Y",NORTH],AUTHORITY["EPSG","7611"]]</t>
  </si>
  <si>
    <t>PROJCS["NAD83(2011) / WISCRS Jackson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44.25333512777778],PARAMETER["central_meridian",-90.84429651944444],PARAMETER["scale_factor",1.0000353],PARAMETER["false_easting",88582.5],PARAMETER["false_northing",82020.833],UNIT["US survey foot",0.3048006096012192,AUTHORITY["EPSG","9003"]],AXIS["X",EAST],AXIS["Y",NORTH],AUTHORITY["EPSG","7612"]]</t>
  </si>
  <si>
    <t>PROJCS["NAD83(2011) / WISCRS Kenosha, Milwaukee, Ozaukee and Racine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42.21666666666667],PARAMETER["central_meridian",-87.89444444444445],PARAMETER["scale_factor",1.0000260649],PARAMETER["false_easting",610000.003],PARAMETER["false_northing",0.003],UNIT["US survey foot",0.3048006096012192,AUTHORITY["EPSG","9003"]],AXIS["X",EAST],AXIS["Y",NORTH],AUTHORITY["EPSG","7613"]]</t>
  </si>
  <si>
    <t>GEOCCS["REGVEN",DATUM["Red_Geodesica_Venezolana",SPHEROID["GRS 1980",6378137,298.257222101,AUTHORITY["EPSG","7019"]],AUTHORITY["EPSG","6189"]],PRIMEM["Greenwich",0,AUTHORITY["EPSG","8901"]],UNIT["metre",1,AUTHORITY["EPSG","9001"]],AXIS["Geocentric X",OTHER],AXIS["Geocentric Y",OTHER],AXIS["Geocentric Z",NORTH],AUTHORITY["EPSG","4962"]]</t>
  </si>
  <si>
    <t>PROJCS["NAD83(2011) / WISCRS Kewaunee, Manitowoc and Sheboygan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43.26666666666667],PARAMETER["central_meridian",-87.55],PARAMETER["scale_factor",1.0000233704],PARAMETER["false_easting",262000.006],PARAMETER["false_northing",0.004],UNIT["US survey foot",0.3048006096012192,AUTHORITY["EPSG","9003"]],AXIS["X",EAST],AXIS["Y",NORTH],AUTHORITY["EPSG","7614"]]</t>
  </si>
  <si>
    <t>PROJCS["NAD83(2011) / WISCRS La Crosse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43.45111111111111],PARAMETER["central_meridian",-91.31666666666666],PARAMETER["scale_factor",1.0000319985],PARAMETER["false_easting",427999.996],PARAMETER["false_northing",0.011],UNIT["US survey foot",0.3048006096012192,AUTHORITY["EPSG","9003"]],AXIS["X",EAST],AXIS["Y",NORTH],AUTHORITY["EPSG","7615"]]</t>
  </si>
  <si>
    <t>PROJCS["NAD83(2011) / WISCRS Langlade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45.15423710527778],PARAMETER["central_meridian",-89.03333333333333],PARAMETER["scale_factor",1.0000627024],PARAMETER["false_easting",651000],PARAMETER["false_northing",345405.421],UNIT["US survey foot",0.3048006096012192,AUTHORITY["EPSG","9003"]],AXIS["X",EAST],AXIS["Y",NORTH],AUTHORITY["EPSG","7616"]]</t>
  </si>
  <si>
    <t>PROJCS["NAD83(2011) / WISCRS Lincoln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44.84444444444445],PARAMETER["central_meridian",-89.73333333333333],PARAMETER["scale_factor",1.0000599003],PARAMETER["false_easting",381000],PARAMETER["false_northing",0.019],UNIT["US survey foot",0.3048006096012192,AUTHORITY["EPSG","9003"]],AXIS["X",EAST],AXIS["Y",NORTH],AUTHORITY["EPSG","7617"]]</t>
  </si>
  <si>
    <t>PROJCS["NAD83(2011) / WISCRS Marathon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44.90090442361111],PARAMETER["central_meridian",-89.77],PARAMETER["scale_factor",1.000053289],PARAMETER["false_easting",245000],PARAMETER["false_northing",180607.47],UNIT["US survey foot",0.3048006096012192,AUTHORITY["EPSG","9003"]],AXIS["X",EAST],AXIS["Y",NORTH],AUTHORITY["EPSG","7618"]]</t>
  </si>
  <si>
    <t>PROJCS["NAD83(2011) / WISCRS Marinette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44.69166666666666],PARAMETER["central_meridian",-87.71111111111111],PARAMETER["scale_factor",1.0000234982],PARAMETER["false_easting",783000.007],PARAMETER["false_northing",0.01],UNIT["US survey foot",0.3048006096012192,AUTHORITY["EPSG","9003"]],AXIS["X",EAST],AXIS["Y",NORTH],AUTHORITY["EPSG","7619"]]</t>
  </si>
  <si>
    <t>PROJCS["NAD83(2011) / WISCRS Menominee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44.71666666666667],PARAMETER["central_meridian",-88.41666666666667],PARAMETER["scale_factor",1.0000362499],PARAMETER["false_easting",346000.004],PARAMETER["false_northing",0.01],UNIT["US survey foot",0.3048006096012192,AUTHORITY["EPSG","9003"]],AXIS["X",EAST],AXIS["Y",NORTH],AUTHORITY["EPSG","7620"]]</t>
  </si>
  <si>
    <t>PROJCS["NAD83(2011) / WISCRS Monroe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44.00007392861111],PARAMETER["central_meridian",-90.64166666666668],PARAMETER["scale_factor",1.0000434122],PARAMETER["false_easting",671000],PARAMETER["false_northing",400012.278],UNIT["US survey foot",0.3048006096012192,AUTHORITY["EPSG","9003"]],AXIS["X",EAST],AXIS["Y",NORTH],AUTHORITY["EPSG","7621"]]</t>
  </si>
  <si>
    <t>GEOCCS["RGF93",DATUM["Reseau_Geodesique_Francais_1993",SPHEROID["GRS 1980",6378137,298.257222101,AUTHORITY["EPSG","7019"]],AUTHORITY["EPSG","6171"]],PRIMEM["Greenwich",0,AUTHORITY["EPSG","8901"]],UNIT["metre",1,AUTHORITY["EPSG","9001"]],AXIS["Geocentric X",OTHER],AXIS["Geocentric Y",OTHER],AXIS["Geocentric Z",NORTH],AUTHORITY["EPSG","4964"]]</t>
  </si>
  <si>
    <t>PROJCS["NAD83(2011) / WISCRS Oconto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44.39722222222222],PARAMETER["central_meridian",-87.90833333333335],PARAMETER["scale_factor",1.0000236869],PARAMETER["false_easting",600000.0060000002],PARAMETER["false_northing",0.011],UNIT["US survey foot",0.3048006096012192,AUTHORITY["EPSG","9003"]],AXIS["X",EAST],AXIS["Y",NORTH],AUTHORITY["EPSG","7622"]]</t>
  </si>
  <si>
    <t>PROJCS["NAD83(2011) / WISCRS Oneida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45.70422377027778],PARAMETER["central_meridian",-89.54444444444444],PARAMETER["scale_factor",1.0000686968],PARAMETER["false_easting",230000],PARAMETER["false_northing",188936.744],UNIT["US survey foot",0.3048006096012192,AUTHORITY["EPSG","9003"]],AXIS["X",EAST],AXIS["Y",NORTH],AUTHORITY["EPSG","7623"]]</t>
  </si>
  <si>
    <t>PROJCS["NAD83(2011) / WISCRS Pepin and Pierce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44.63614887194444],PARAMETER["central_meridian",-92.22777777777777],PARAMETER["scale_factor",1.0000362977],PARAMETER["false_easting",550000],PARAMETER["false_northing",282260.222],UNIT["US survey foot",0.3048006096012192,AUTHORITY["EPSG","9003"]],AXIS["X",EAST],AXIS["Y",NORTH],AUTHORITY["EPSG","7624"]]</t>
  </si>
  <si>
    <t>PROJCS["NAD83(2011) / WISCRS Polk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44.66111111111111],PARAMETER["central_meridian",-92.63333333333334],PARAMETER["scale_factor",1.0000433849],PARAMETER["false_easting",464999.996],PARAMETER["false_northing",0.019],UNIT["US survey foot",0.3048006096012192,AUTHORITY["EPSG","9003"]],AXIS["X",EAST],AXIS["Y",NORTH],AUTHORITY["EPSG","7625"]]</t>
  </si>
  <si>
    <t>PROJCS["NAD83(2011) / WISCRS Portage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44.41682397527777],PARAMETER["central_meridian",-89.5],PARAMETER["scale_factor",1.000039936],PARAMETER["false_easting",185000],PARAMETER["false_northing",164114.46],UNIT["US survey foot",0.3048006096012192,AUTHORITY["EPSG","9003"]],AXIS["X",EAST],AXIS["Y",NORTH],AUTHORITY["EPSG","7626"]]</t>
  </si>
  <si>
    <t>PROJCS["NAD83(2011) / WISCRS Price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44.55555555555555],PARAMETER["central_meridian",-90.48888888888889],PARAMETER["scale_factor",1.0000649554],PARAMETER["false_easting",747999.995],PARAMETER["false_northing",0.036],UNIT["US survey foot",0.3048006096012192,AUTHORITY["EPSG","9003"]],AXIS["X",EAST],AXIS["Y",NORTH],AUTHORITY["EPSG","7627"]]</t>
  </si>
  <si>
    <t>PROJCS["NAD83(2011) / WISCRS Richland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43.3223129275],PARAMETER["central_meridian",-90.43055555555556],PARAMETER["scale_factor",1.0000375653],PARAMETER["false_easting",664000],PARAMETER["false_northing",440469.675],UNIT["US survey foot",0.3048006096012192,AUTHORITY["EPSG","9003"]],AXIS["X",EAST],AXIS["Y",NORTH],AUTHORITY["EPSG","7628"]]</t>
  </si>
  <si>
    <t>PROJCS["NAD83(2011) / WISCRS Rock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41.94444444444444],PARAMETER["central_meridian",-89.07222222222222],PARAMETER["scale_factor",1.0000337311],PARAMETER["false_easting",480000],PARAMETER["false_northing",0.022],UNIT["US survey foot",0.3048006096012192,AUTHORITY["EPSG","9003"]],AXIS["X",EAST],AXIS["Y",NORTH],AUTHORITY["EPSG","7629"]]</t>
  </si>
  <si>
    <t>GEOCCS["RGFG95",DATUM["Reseau_Geodesique_Francais_Guyane_1995",SPHEROID["GRS 1980",6378137,298.257222101,AUTHORITY["EPSG","7019"]],AUTHORITY["EPSG","6624"]],PRIMEM["Greenwich",0,AUTHORITY["EPSG","8901"]],UNIT["metre",1,AUTHORITY["EPSG","9001"]],AXIS["Geocentric X",OTHER],AXIS["Geocentric Y",OTHER],AXIS["Geocentric Z",NORTH],AUTHORITY["EPSG","4966"]]</t>
  </si>
  <si>
    <t>PROJCS["NAD83(2011) / WISCRS Rusk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43.91944444444444],PARAMETER["central_meridian",-91.06666666666666],PARAMETER["scale_factor",1.0000495976],PARAMETER["false_easting",822000.0010000002],PARAMETER["false_northing",0.077],UNIT["US survey foot",0.3048006096012192,AUTHORITY["EPSG","9003"]],AXIS["X",EAST],AXIS["Y",NORTH],AUTHORITY["EPSG","7630"]]</t>
  </si>
  <si>
    <t>PROJCS["NAD83(2011) / WISCRS Sauk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42.81944444444445],PARAMETER["central_meridian",-89.9],PARAMETER["scale_factor",1.0000373868],PARAMETER["false_easting",609000.0010000002],PARAMETER["false_northing",0.017],UNIT["US survey foot",0.3048006096012192,AUTHORITY["EPSG","9003"]],AXIS["X",EAST],AXIS["Y",NORTH],AUTHORITY["EPSG","7631"]]</t>
  </si>
  <si>
    <t>PROJCS["NAD83(2011) / WISCRS Sawyer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45.90009913138888],PARAMETER["central_meridian",-91.11666666666666],PARAMETER["scale_factor",1.0000573461],PARAMETER["false_easting",711000.0010000002],PARAMETER["false_northing",396108.667],UNIT["US survey foot",0.3048006096012192,AUTHORITY["EPSG","9003"]],AXIS["X",EAST],AXIS["Y",NORTH],AUTHORITY["EPSG","7632"]]</t>
  </si>
  <si>
    <t>PROJCS["NAD83(2011) / WISCRS Shawano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44.03611111111111],PARAMETER["central_meridian",-88.60555555555555],PARAMETER["scale_factor",1.000032144],PARAMETER["false_easting",861000.0010000002],PARAMETER["false_northing",0.031],UNIT["US survey foot",0.3048006096012192,AUTHORITY["EPSG","9003"]],AXIS["X",EAST],AXIS["Y",NORTH],AUTHORITY["EPSG","7633"]]</t>
  </si>
  <si>
    <t>PROJCS["NAD83(2011) / WISCRS St. Croix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44.03611111111111],PARAMETER["central_meridian",-92.63333333333334],PARAMETER["scale_factor",1.0000381803],PARAMETER["false_easting",542999.997],PARAMETER["false_northing",0.034],UNIT["US survey foot",0.3048006096012192,AUTHORITY["EPSG","9003"]],AXIS["X",EAST],AXIS["Y",NORTH],AUTHORITY["EPSG","7634"]]</t>
  </si>
  <si>
    <t>PROJCS["NAD83(2011) / WISCRS Taylor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45.17782208583333],PARAMETER["central_meridian",-90.48333333333333],PARAMETER["scale_factor",1.0000597566],PARAMETER["false_easting",614000],PARAMETER["false_northing",353499.136],UNIT["US survey foot",0.3048006096012192,AUTHORITY["EPSG","9003"]],AXIS["X",EAST],AXIS["Y",NORTH],AUTHORITY["EPSG","7635"]]</t>
  </si>
  <si>
    <t>PROJCS["NAD83(2011) / WISCRS Trempealeau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43.16111111111111],PARAMETER["central_meridian",-91.36666666666666],PARAMETER["scale_factor",1.0000361538],PARAMETER["false_easting",843000],PARAMETER["false_northing",0.013],UNIT["US survey foot",0.3048006096012192,AUTHORITY["EPSG","9003"]],AXIS["X",EAST],AXIS["Y",NORTH],AUTHORITY["EPSG","7636"]]</t>
  </si>
  <si>
    <t>PROJCS["NAD83(2011) / WISCRS Vernon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43.57503293972223],PARAMETER["central_meridian",-90.78333333333333],PARAMETER["scale_factor",1.0000408158],PARAMETER["false_easting",730000],PARAMETER["false_northing",155944.768],UNIT["US survey foot",0.3048006096012192,AUTHORITY["EPSG","9003"]],AXIS["X",EAST],AXIS["Y",NORTH],AUTHORITY["EPSG","7637"]]</t>
  </si>
  <si>
    <t>GEOCCS["RGNC 1991",DATUM["Reseau_Geodesique_Nouvelle_Caledonie_1991",SPHEROID["International 1924",6378388,297,AUTHORITY["EPSG","7022"]],AUTHORITY["EPSG","6645"]],PRIMEM["Greenwich",0,AUTHORITY["EPSG","8901"]],UNIT["metre",1,AUTHORITY["EPSG","9001"]],AXIS["Geocentric X",OTHER],AXIS["Geocentric Y",OTHER],AXIS["Geocentric Z",NORTH],AUTHORITY["EPSG","4968"]]</t>
  </si>
  <si>
    <t>PROJCS["NAD83(2011) / WISCRS Vilas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46.07784409055556],PARAMETER["central_meridian",-89.48888888888889],PARAMETER["scale_factor",1.0000730142],PARAMETER["false_easting",441000],PARAMETER["false_northing",165147.666],UNIT["US survey foot",0.3048006096012192,AUTHORITY["EPSG","9003"]],AXIS["X",EAST],AXIS["Y",NORTH],AUTHORITY["EPSG","7638"]]</t>
  </si>
  <si>
    <t>PROJCS["NAD83(2011) / WISCRS Walworth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42.66946209694444],PARAMETER["central_meridian",-88.54166666666667],PARAMETER["scale_factor",1.0000367192],PARAMETER["false_easting",763000],PARAMETER["false_northing",364461.943],UNIT["US survey foot",0.3048006096012192,AUTHORITY["EPSG","9003"]],AXIS["X",EAST],AXIS["Y",NORTH],AUTHORITY["EPSG","7639"]]</t>
  </si>
  <si>
    <t>PROJCS["NAD83(2011) / WISCRS Washburn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45.96121983333334],PARAMETER["central_meridian",-91.78333333333333],PARAMETER["scale_factor",1.0000475376],PARAMETER["false_easting",768000],PARAMETER["false_northing",617973.193],UNIT["US survey foot",0.3048006096012192,AUTHORITY["EPSG","9003"]],AXIS["X",EAST],AXIS["Y",NORTH],AUTHORITY["EPSG","7640"]]</t>
  </si>
  <si>
    <t>PROJCS["NAD83(2011) / WISCRS Washington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42.91805555555555],PARAMETER["central_meridian",-88.06388888888888],PARAMETER["scale_factor",1.00003738],PARAMETER["false_easting",394000.004],PARAMETER["false_northing",0.01],UNIT["US survey foot",0.3048006096012192,AUTHORITY["EPSG","9003"]],AXIS["X",EAST],AXIS["Y",NORTH],AUTHORITY["EPSG","7641"]]</t>
  </si>
  <si>
    <t>PROJCS["NAD83(2011) / WISCRS Waukesha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42.56944444444445],PARAMETER["central_meridian",-88.225],PARAMETER["scale_factor",1.0000346179],PARAMETER["false_easting",685000.0010000002],PARAMETER["false_northing",0.011],UNIT["US survey foot",0.3048006096012192,AUTHORITY["EPSG","9003"]],AXIS["X",EAST],AXIS["Y",NORTH],AUTHORITY["EPSG","7642"]]</t>
  </si>
  <si>
    <t>PROJCS["NAD83(2011) / WISCRS Waupaca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43.42027777777778],PARAMETER["central_meridian",-88.81666666666666],PARAMETER["scale_factor",1.0000333645],PARAMETER["false_easting",607000.003],PARAMETER["false_northing",0.023],UNIT["US survey foot",0.3048006096012192,AUTHORITY["EPSG","9003"]],AXIS["X",EAST],AXIS["Y",NORTH],AUTHORITY["EPSG","7643"]]</t>
  </si>
  <si>
    <t>PROJCS["NAD83(2011) / WISCRS Waushara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44.11394404583334],PARAMETER["central_meridian",-89.24166666666667],PARAMETER["scale_factor",1.0000392096],PARAMETER["false_easting",394000],PARAMETER["false_northing",147866.367],UNIT["US survey foot",0.3048006096012192,AUTHORITY["EPSG","9003"]],AXIS["X",EAST],AXIS["Y",NORTH],AUTHORITY["EPSG","7644"]]</t>
  </si>
  <si>
    <t>PROJCS["NAD83(2011) / WISCRS Wood (ftUS)",GEOGCS["NAD83(2011)",DATUM["NAD83_National_Spatial_Reference_System_2011",SPHEROID["GRS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44.36259546944444],PARAMETER["central_meridian",-90],PARAMETER["scale_factor",1.0000421209],PARAMETER["false_easting",684000.0010000002],PARAMETER["false_northing",441566.551],UNIT["US survey foot",0.3048006096012192,AUTHORITY["EPSG","9003"]],AXIS["X",EAST],AXIS["Y",NORTH],AUTHORITY["EPSG","7645"]]</t>
  </si>
  <si>
    <t>GEOCCS["RGR92",DATUM["Reseau_Geodesique_de_la_Reunion_1992",SPHEROID["GRS 1980",6378137,298.257222101,AUTHORITY["EPSG","7019"]],AUTHORITY["EPSG","6627"]],PRIMEM["Greenwich",0,AUTHORITY["EPSG","8901"]],UNIT["metre",1,AUTHORITY["EPSG","9001"]],AXIS["Geocentric X",OTHER],AXIS["Geocentric Y",OTHER],AXIS["Geocentric Z",NORTH],AUTHORITY["EPSG","4970"]]</t>
  </si>
  <si>
    <t>PROJCS["Kyrg-06 / zone 2",GEOGCS["Kyrg-06",DATUM["Kyrgyzstan_Geodetic_Datum_2006",SPHEROID["GRS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71.51666666666667],PARAMETER["scale_factor",1],PARAMETER["false_easting",2300000],PARAMETER["false_northing",14743.5],UNIT["metre",1,AUTHORITY["EPSG","9001"]],AXIS["Easting",EAST],AXIS["Northing",NORTH],AUTHORITY["EPSG","7693"]]</t>
  </si>
  <si>
    <t>PROJCS["Kyrg-06 / zone 3",GEOGCS["Kyrg-06",DATUM["Kyrgyzstan_Geodetic_Datum_2006",SPHEROID["GRS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74.51666666666667],PARAMETER["scale_factor",1],PARAMETER["false_easting",3300000],PARAMETER["false_northing",14743.5],UNIT["metre",1,AUTHORITY["EPSG","9001"]],AXIS["Easting",EAST],AXIS["Northing",NORTH],AUTHORITY["EPSG","7694"]]</t>
  </si>
  <si>
    <t>PROJCS["Kyrg-06 / zone 4",GEOGCS["Kyrg-06",DATUM["Kyrgyzstan_Geodetic_Datum_2006",SPHEROID["GRS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77.51666666666667],PARAMETER["scale_factor",1],PARAMETER["false_easting",4300000],PARAMETER["false_northing",14743.5],UNIT["metre",1,AUTHORITY["EPSG","9001"]],AXIS["Easting",EAST],AXIS["Northing",NORTH],AUTHORITY["EPSG","7695"]]</t>
  </si>
  <si>
    <t>PROJCS["Kyrg-06 / zone 5",GEOGCS["Kyrg-06",DATUM["Kyrgyzstan_Geodetic_Datum_2006",SPHEROID["GRS 1980",6378137,298.257222101,AUTHORITY["EPSG","7019"]],AUTHORITY["EPSG","1160"]],PRIMEM["Greenwich",0,AUTHORITY["EPSG","8901"]],UNIT["degree",0.0174532925199433,AUTHORITY["EPSG","9122"]],AUTHORITY["EPSG","7686"]],PROJECTION["Transverse_Mercator"],PARAMETER["latitude_of_origin",0],PARAMETER["central_meridian",80.51666666666667],PARAMETER["scale_factor",1],PARAMETER["false_easting",5300000],PARAMETER["false_northing",14743.5],UNIT["metre",1,AUTHORITY["EPSG","9001"]],AXIS["Easting",EAST],AXIS["Northing",NORTH],AUTHORITY["EPSG","7696"]]</t>
  </si>
  <si>
    <t>PROJCS["WGS 84 / India NSF LCC",GEOGCS["WGS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12.472955],PARAMETER["standard_parallel_2",35.17280444444444],PARAMETER["latitude_of_origin",24],PARAMETER["central_meridian",80],PARAMETER["false_easting",4000000],PARAMETER["false_northing",4000000],UNIT["metre",1,AUTHORITY["EPSG","9001"]],AXIS["X",EAST],AXIS["Y",NORTH],AUTHORITY["EPSG","7755"]]</t>
  </si>
  <si>
    <t>PROJCS["WGS 84 / Andhra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13.75],PARAMETER["standard_parallel_2",18.75],PARAMETER["latitude_of_origin",16.25543298],PARAMETER["central_meridian",80.875],PARAMETER["false_easting",1000000],PARAMETER["false_northing",1000000],UNIT["metre",1,AUTHORITY["EPSG","9001"]],AXIS["X",EAST],AXIS["Y",NORTH],AUTHORITY["EPSG","7756"]]</t>
  </si>
  <si>
    <t>PROJCS["WGS 84 / Arunachal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27],PARAMETER["standard_parallel_2",29],PARAMETER["latitude_of_origin",28.00157897],PARAMETER["central_meridian",94.5],PARAMETER["false_easting",1000000],PARAMETER["false_northing",1000000],UNIT["metre",1,AUTHORITY["EPSG","9001"]],AXIS["X",EAST],AXIS["Y",NORTH],AUTHORITY["EPSG","7757"]]</t>
  </si>
  <si>
    <t>PROJCS["WGS 84 / Assam",GEOGCS["WGS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24.66666666666667],PARAMETER["standard_parallel_2",27.33333333333333],PARAMETER["latitude_of_origin",26.00257703],PARAMETER["central_meridian",92.75],PARAMETER["false_easting",1000000],PARAMETER["false_northing",1000000],UNIT["metre",1,AUTHORITY["EPSG","9001"]],AXIS["X",EAST],AXIS["Y",NORTH],AUTHORITY["EPSG","7758"]]</t>
  </si>
  <si>
    <t>PROJCS["WGS 84 / Bihar",GEOGCS["WGS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24.625],PARAMETER["standard_parallel_2",27.125],PARAMETER["latitude_of_origin",25.87725247],PARAMETER["central_meridian",85.875],PARAMETER["false_easting",1000000],PARAMETER["false_northing",1000000],UNIT["metre",1,AUTHORITY["EPSG","9001"]],AXIS["X",EAST],AXIS["Y",NORTH],AUTHORITY["EPSG","7759"]]</t>
  </si>
  <si>
    <t>PROJCS["BGS2005 / UTM zone 36N",GEOGCS["BGS2005",DATUM["Bulgaria_Geodetic_System_2005",SPHEROID["GRS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7805"]]</t>
  </si>
  <si>
    <t>PROJCS["WGS 84 / Delhi",GEOGCS["WGS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28.375],PARAMETER["standard_parallel_2",28.875],PARAMETER["latitude_of_origin",28.62510126],PARAMETER["central_meridian",77],PARAMETER["false_easting",1000000],PARAMETER["false_northing",1000000],UNIT["metre",1,AUTHORITY["EPSG","9001"]],AXIS["X",EAST],AXIS["Y",NORTH],AUTHORITY["EPSG","7760"]]</t>
  </si>
  <si>
    <t>PROJCS["WGS 84 / Gujarat",GEOGCS["WGS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20.79166666666667],PARAMETER["standard_parallel_2",23.95833333333333],PARAMETER["latitude_of_origin",22.37807121],PARAMETER["central_meridian",71.375],PARAMETER["false_easting",1000000],PARAMETER["false_northing",1000000],UNIT["metre",1,AUTHORITY["EPSG","9001"]],AXIS["X",EAST],AXIS["Y",NORTH],AUTHORITY["EPSG","7761"]]</t>
  </si>
  <si>
    <t>PROJCS["WGS 84 / Haryana",GEOGCS["WGS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28.08333333333333],PARAMETER["standard_parallel_2",30.41666666666667],PARAMETER["latitude_of_origin",29.25226266],PARAMETER["central_meridian",76],PARAMETER["false_easting",1000000],PARAMETER["false_northing",1000000],UNIT["metre",1,AUTHORITY["EPSG","9001"]],AXIS["X",EAST],AXIS["Y",NORTH],AUTHORITY["EPSG","7762"]]</t>
  </si>
  <si>
    <t>PROJCS["WGS 84 / Himachal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30.75],PARAMETER["standard_parallel_2",32.75],PARAMETER["latitude_of_origin",31.75183497],PARAMETER["central_meridian",77.375],PARAMETER["false_easting",1000000],PARAMETER["false_northing",1000000],UNIT["metre",1,AUTHORITY["EPSG","9001"]],AXIS["X",EAST],AXIS["Y",NORTH],AUTHORITY["EPSG","7763"]]</t>
  </si>
  <si>
    <t>PROJCS["WGS 84 / Jammu and Kashmir",GEOGCS["WGS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33.08333333333334],PARAMETER["standard_parallel_2",36.41666666666666],PARAMETER["latitude_of_origin",34.75570874],PARAMETER["central_meridian",76.5],PARAMETER["false_easting",1000000],PARAMETER["false_northing",1000000],UNIT["metre",1,AUTHORITY["EPSG","9001"]],AXIS["X",EAST],AXIS["Y",NORTH],AUTHORITY["EPSG","7764"]]</t>
  </si>
  <si>
    <t>PROJCS["WGS 84 / Jharkhand",GEOGCS["WGS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22.54166666666667],PARAMETER["standard_parallel_2",24.70833333333333],PARAMETER["latitude_of_origin",23.62652682],PARAMETER["central_meridian",85.625],PARAMETER["false_easting",1000000],PARAMETER["false_northing",1000000],UNIT["metre",1,AUTHORITY["EPSG","9001"]],AXIS["X",EAST],AXIS["Y",NORTH],AUTHORITY["EPSG","7765"]]</t>
  </si>
  <si>
    <t>PROJCS["WGS 84 / Madhya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22],PARAMETER["standard_parallel_2",26],PARAMETER["latitude_of_origin",24.00529821],PARAMETER["central_meridian",78.375],PARAMETER["false_easting",1000000],PARAMETER["false_northing",1000000],UNIT["metre",1,AUTHORITY["EPSG","9001"]],AXIS["X",EAST],AXIS["Y",NORTH],AUTHORITY["EPSG","7766"]]</t>
  </si>
  <si>
    <t>PROJCS["WGS 84 / Maharashtra",GEOGCS["WGS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16.625],PARAMETER["standard_parallel_2",21.125],PARAMETER["latitude_of_origin",18.88015774],PARAMETER["central_meridian",76.75],PARAMETER["false_easting",1000000],PARAMETER["false_northing",1000000],UNIT["metre",1,AUTHORITY["EPSG","9001"]],AXIS["X",EAST],AXIS["Y",NORTH],AUTHORITY["EPSG","7767"]]</t>
  </si>
  <si>
    <t>PROJCS["WGS 84 / Manipur",GEOGCS["WGS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24.08333333333333],PARAMETER["standard_parallel_2",25.41666666666667],PARAMETER["latitude_of_origin",24.75060911],PARAMETER["central_meridian",94],PARAMETER["false_easting",1000000],PARAMETER["false_northing",1000000],UNIT["metre",1,AUTHORITY["EPSG","9001"]],AXIS["X",EAST],AXIS["Y",NORTH],AUTHORITY["EPSG","7768"]]</t>
  </si>
  <si>
    <t>PROJCS["WGS 84 / Meghalaya",GEOGCS["WGS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25.20833333333333],PARAMETER["standard_parallel_2",26.04166666666667],PARAMETER["latitude_of_origin",25.62524747],PARAMETER["central_meridian",91.375],PARAMETER["false_easting",1000000],PARAMETER["false_northing",1000000],UNIT["metre",1,AUTHORITY["EPSG","9001"]],AXIS["X",EAST],AXIS["Y",NORTH],AUTHORITY["EPSG","7769"]]</t>
  </si>
  <si>
    <t>PROJCS["WGS 84 / Nagaland",GEOGCS["WGS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25.375],PARAMETER["standard_parallel_2",26.875],PARAMETER["latitude_of_origin",26.12581974],PARAMETER["central_meridian",94.375],PARAMETER["false_easting",1000000],PARAMETER["false_northing",1000000],UNIT["metre",1,AUTHORITY["EPSG","9001"]],AXIS["X",EAST],AXIS["Y",NORTH],AUTHORITY["EPSG","7770"]]</t>
  </si>
  <si>
    <t>PROJCS["WGS 84 / India Northeast",GEOGCS["WGS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23.04166666666667],PARAMETER["standard_parallel_2",28.20833333333333],PARAMETER["latitude_of_origin",25.63452135],PARAMETER["central_meridian",93.5],PARAMETER["false_easting",1000000],PARAMETER["false_northing",1000000],UNIT["metre",1,AUTHORITY["EPSG","9001"]],AXIS["X",EAST],AXIS["Y",NORTH],AUTHORITY["EPSG","7771"]]</t>
  </si>
  <si>
    <t>PROJCS["WGS 84 / Orissa",GEOGCS["WGS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18.58333333333333],PARAMETER["standard_parallel_2",21.91666666666667],PARAMETER["latitude_of_origin",20.25305174],PARAMETER["central_meridian",84.375],PARAMETER["false_easting",1000000],PARAMETER["false_northing",1000000],UNIT["metre",1,AUTHORITY["EPSG","9001"]],AXIS["X",EAST],AXIS["Y",NORTH],AUTHORITY["EPSG","7772"]]</t>
  </si>
  <si>
    <t>PROJCS["WGS 84 / Punjab",GEOGCS["WGS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30],PARAMETER["standard_parallel_2",32],PARAMETER["latitude_of_origin",31.00178226],PARAMETER["central_meridian",75.375],PARAMETER["false_easting",1000000],PARAMETER["false_northing",1000000],UNIT["metre",1,AUTHORITY["EPSG","9001"]],AXIS["X",EAST],AXIS["Y",NORTH],AUTHORITY["EPSG","7773"]]</t>
  </si>
  <si>
    <t>PROJCS["WGS 84 / Rajasthan",GEOGCS["WGS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24.29166666666667],PARAMETER["standard_parallel_2",29.45833333333333],PARAMETER["latitude_of_origin",26.88505546],PARAMETER["central_meridian",73.875],PARAMETER["false_easting",1000000],PARAMETER["false_northing",1000000],UNIT["metre",1,AUTHORITY["EPSG","9001"]],AXIS["X",EAST],AXIS["Y",NORTH],AUTHORITY["EPSG","7774"]]</t>
  </si>
  <si>
    <t>PROJCS["WGS 84 / Uttar Pradesh",GEOGCS["WGS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24.875],PARAMETER["standard_parallel_2",29.375],PARAMETER["latitude_of_origin",27.13270823],PARAMETER["central_meridian",80.875],PARAMETER["false_easting",1000000],PARAMETER["false_northing",1000000],UNIT["metre",1,AUTHORITY["EPSG","9001"]],AXIS["X",EAST],AXIS["Y",NORTH],AUTHORITY["EPSG","7775"]]</t>
  </si>
  <si>
    <t>PROJCS["WGS 84 / Uttaranchal",GEOGCS["WGS 84",DATUM["WGS_1984",SPHEROID["WGS 84",6378137,298.257223563,AUTHORITY["EPSG","7030"]],AUTHORITY["EPSG","6326"]],PRIMEM["Greenwich",0,AUTHORITY["EPSG","8901"]],UNIT["degree",0.0174532925199433,AUTHORITY["EPSG","9122"]],AUTHORITY["EPSG","4326"]],PROJECTION["Lambert_Conformal_Conic_2SP"],PARAMETER["standard_parallel_1",29],PARAMETER["standard_parallel_2",31],PARAMETER["latitude_of_origin",30.0017132],PARAMETER["central_meridian",79.375],PARAMETER["false_easting",1000000],PARAMETER["false_northing",1000000],UNIT["metre",1,AUTHORITY["EPSG","9001"]],AXIS["X",EAST],AXIS["Y",NORTH],AUTHORITY["EPSG","7776"]]</t>
  </si>
  <si>
    <t>PROJCS["WGS 84 / Andaman and Nicobar",GEOGCS["WGS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10.25],PARAMETER["central_meridian",93.25],PARAMETER["scale_factor",0.9999428],PARAMETER["false_easting",1000000],PARAMETER["false_northing",1000000],UNIT["metre",1,AUTHORITY["EPSG","9001"]],AXIS["X",EAST],AXIS["Y",NORTH],AUTHORITY["EPSG","7777"]]</t>
  </si>
  <si>
    <t>GEOCCS["RRAF 1991",DATUM["Reseau_de_Reference_des_Antilles_Francaises_1991",SPHEROID["WGS 84",6378137,298.257223563,AUTHORITY["EPSG","7030"]],AUTHORITY["EPSG","6640"]],PRIMEM["Greenwich",0,AUTHORITY["EPSG","8901"]],UNIT["metre",1,AUTHORITY["EPSG","9001"]],AXIS["Geocentric X",OTHER],AXIS["Geocentric Y",OTHER],AXIS["Geocentric Z",NORTH],AUTHORITY["EPSG","4972"]]</t>
  </si>
  <si>
    <t>PROJCS["WGS 84 / Chhattisgarh",GEOGCS["WGS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21],PARAMETER["central_meridian",82.25],PARAMETER["scale_factor",0.9998332],PARAMETER["false_easting",1000000],PARAMETER["false_northing",1000000],UNIT["metre",1,AUTHORITY["EPSG","9001"]],AXIS["X",EAST],AXIS["Y",NORTH],AUTHORITY["EPSG","7778"]]</t>
  </si>
  <si>
    <t>PROJCS["WGS 84 / Goa",GEOGCS["WGS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15.375],PARAMETER["central_meridian",74],PARAMETER["scale_factor",0.9999913],PARAMETER["false_easting",1000000],PARAMETER["false_northing",1000000],UNIT["metre",1,AUTHORITY["EPSG","9001"]],AXIS["X",EAST],AXIS["Y",NORTH],AUTHORITY["EPSG","7779"]]</t>
  </si>
  <si>
    <t>PROJCS["WGS 84 / Karnataka",GEOGCS["WGS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15.125],PARAMETER["central_meridian",76.375],PARAMETER["scale_factor",0.9998012],PARAMETER["false_easting",1000000],PARAMETER["false_northing",1000000],UNIT["metre",1,AUTHORITY["EPSG","9001"]],AXIS["X",EAST],AXIS["Y",NORTH],AUTHORITY["EPSG","7780"]]</t>
  </si>
  <si>
    <t>PROJCS["WGS 84 / Kerala",GEOGCS["WGS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10.5],PARAMETER["central_meridian",76],PARAMETER["scale_factor",0.9999177],PARAMETER["false_easting",1000000],PARAMETER["false_northing",1000000],UNIT["metre",1,AUTHORITY["EPSG","9001"]],AXIS["X",EAST],AXIS["Y",NORTH],AUTHORITY["EPSG","7781"]]</t>
  </si>
  <si>
    <t>PROJCS["WGS 84 / Lakshadweep",GEOGCS["WGS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10],PARAMETER["central_meridian",73.125],PARAMETER["scale_factor",0.9999536],PARAMETER["false_easting",1000000],PARAMETER["false_northing",1000000],UNIT["metre",1,AUTHORITY["EPSG","9001"]],AXIS["X",EAST],AXIS["Y",NORTH],AUTHORITY["EPSG","7782"]]</t>
  </si>
  <si>
    <t>PROJCS["WGS 84 / Mizoram",GEOGCS["WGS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23.125],PARAMETER["central_meridian",92.75],PARAMETER["scale_factor",0.9999821],PARAMETER["false_easting",1000000],PARAMETER["false_northing",1000000],UNIT["metre",1,AUTHORITY["EPSG","9001"]],AXIS["X",EAST],AXIS["Y",NORTH],AUTHORITY["EPSG","7783"]]</t>
  </si>
  <si>
    <t>PROJCS["WGS 84 / Sikkim",GEOGCS["WGS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27.625],PARAMETER["central_meridian",88.5],PARAMETER["scale_factor",0.9999926],PARAMETER["false_easting",1000000],PARAMETER["false_northing",1000000],UNIT["metre",1,AUTHORITY["EPSG","9001"]],AXIS["X",EAST],AXIS["Y",NORTH],AUTHORITY["EPSG","7784"]]</t>
  </si>
  <si>
    <t>PROJCS["WGS 84 / Tamil Nadu",GEOGCS["WGS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10.875],PARAMETER["central_meridian",78.375],PARAMETER["scale_factor",0.9997942],PARAMETER["false_easting",1000000],PARAMETER["false_northing",1000000],UNIT["metre",1,AUTHORITY["EPSG","9001"]],AXIS["X",EAST],AXIS["Y",NORTH],AUTHORITY["EPSG","7785"]]</t>
  </si>
  <si>
    <t>PROJCS["WGS 84 / Tripura",GEOGCS["WGS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23.75],PARAMETER["central_meridian",91.75],PARAMETER["scale_factor",0.9999822],PARAMETER["false_easting",1000000],PARAMETER["false_northing",1000000],UNIT["metre",1,AUTHORITY["EPSG","9001"]],AXIS["X",EAST],AXIS["Y",NORTH],AUTHORITY["EPSG","7786"]]</t>
  </si>
  <si>
    <t>PROJCS["WGS 84 / West Bengal",GEOGCS["WGS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24.375],PARAMETER["central_meridian",87.875],PARAMETER["scale_factor",0.9998584],PARAMETER["false_easting",1000000],PARAMETER["false_northing",1000000],UNIT["metre",1,AUTHORITY["EPSG","9001"]],AXIS["X",EAST],AXIS["Y",NORTH],AUTHORITY["EPSG","7787"]]</t>
  </si>
  <si>
    <t>GEOCCS["SIRGAS 1995",DATUM["Sistema_de_Referencia_Geocentrico_para_America_del_Sur_1995",SPHEROID["GRS 1980",6378137,298.257222101,AUTHORITY["EPSG","7019"]],AUTHORITY["EPSG","6170"]],PRIMEM["Greenwich",0,AUTHORITY["EPSG","8901"]],UNIT["metre",1,AUTHORITY["EPSG","9001"]],AXIS["Geocentric X",OTHER],AXIS["Geocentric Y",OTHER],AXIS["Geocentric Z",NORTH],AUTHORITY["EPSG","4974"]]</t>
  </si>
  <si>
    <t>PROJCS["RDN2008 / UTM zone 32N",GEOGCS["RDN2008",DATUM["Rete_Dinamica_Nazionale_2008",SPHEROID["GRS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7791"]]</t>
  </si>
  <si>
    <t>PROJCS["RDN2008 / UTM zone 33N",GEOGCS["RDN2008",DATUM["Rete_Dinamica_Nazionale_2008",SPHEROID["GRS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7792"]]</t>
  </si>
  <si>
    <t>PROJCS["RDN2008 / UTM zone 34N",GEOGCS["RDN2008",DATUM["Rete_Dinamica_Nazionale_2008",SPHEROID["GRS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7793"]]</t>
  </si>
  <si>
    <t>PROJCS["RDN2008 / Italy zone (E-N)",GEOGCS["RDN2008",DATUM["Rete_Dinamica_Nazionale_2008",SPHEROID["GRS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12],PARAMETER["scale_factor",0.9985],PARAMETER["false_easting",7000000],PARAMETER["false_northing",0],UNIT["metre",1,AUTHORITY["EPSG","9001"]],AXIS["Easting",EAST],AXIS["Northing",NORTH],AUTHORITY["EPSG","7794"]]</t>
  </si>
  <si>
    <t>PROJCS["RDN2008 / Zone 12 (E-N)",GEOGCS["RDN2008",DATUM["Rete_Dinamica_Nazionale_2008",SPHEROID["GRS 1980",6378137,298.257222101,AUTHORITY["EPSG","7019"]],TOWGS84[0,0,0,0,0,0,0],AUTHORITY["EPSG","1132"]],PRIMEM["Greenwich",0,AUTHORITY["EPSG","8901"]],UNIT["degree",0.0174532925199433,AUTHORITY["EPSG","9122"]],AUTHORITY["EPSG","6706"]],PROJECTION["Transverse_Mercator"],PARAMETER["latitude_of_origin",0],PARAMETER["central_meridian",12],PARAMETER["scale_factor",1],PARAMETER["false_easting",3000000],PARAMETER["false_northing",0],UNIT["metre",1,AUTHORITY["EPSG","9001"]],AXIS["Easting",EAST],AXIS["Northing",NORTH],AUTHORITY["EPSG","7795"]]</t>
  </si>
  <si>
    <t>PROJCS["BGS2005 / UTM zone 34N (N-E)",GEOGCS["BGS2005",DATUM["Bulgaria_Geodetic_System_2005",SPHEROID["GRS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21],PARAMETER["scale_factor",0.9996],PARAMETER["false_easting",500000],PARAMETER["false_northing",0],UNIT["metre",1,AUTHORITY["EPSG","9001"]],AUTHORITY["EPSG","7799"]]</t>
  </si>
  <si>
    <t>PROJCS["BGS2005 / UTM zone 35N (N-E)",GEOGCS["BGS2005",DATUM["Bulgaria_Geodetic_System_2005",SPHEROID["GRS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27],PARAMETER["scale_factor",0.9996],PARAMETER["false_easting",500000],PARAMETER["false_northing",0],UNIT["metre",1,AUTHORITY["EPSG","9001"]],AUTHORITY["EPSG","7800"]]</t>
  </si>
  <si>
    <t>PROJCS["BGS2005 / CCS2005",GEOGCS["BGS2005",DATUM["Bulgaria_Geodetic_System_2005",SPHEROID["GRS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Lambert_Conformal_Conic_2SP"],PARAMETER["standard_parallel_1",42],PARAMETER["standard_parallel_2",43.33333333333334],PARAMETER["latitude_of_origin",42.66787568333333],PARAMETER["central_meridian",25.5],PARAMETER["false_easting",500000],PARAMETER["false_northing",4725824.3591],UNIT["metre",1,AUTHORITY["EPSG","9001"]],AUTHORITY["EPSG","7801"]]</t>
  </si>
  <si>
    <t>PROJCS["BGS2005 / UTM zone 34N",GEOGCS["BGS2005",DATUM["Bulgaria_Geodetic_System_2005",SPHEROID["GRS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7803"]]</t>
  </si>
  <si>
    <t>PROJCS["BGS2005 / UTM zone 35N",GEOGCS["BGS2005",DATUM["Bulgaria_Geodetic_System_2005",SPHEROID["GRS 1980",6378137,298.257222101,AUTHORITY["EPSG","7019"]],AUTHORITY["EPSG","1167"]],PRIMEM["Greenwich",0,AUTHORITY["EPSG","8901"]],UNIT["degree",0.0174532925199433,AUTHORITY["EPSG","9122"]],AUTHORITY["EPSG","7798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7804"]]</t>
  </si>
  <si>
    <t>GEOCCS["SWEREF99",DATUM["SWEREF99",SPHEROID["GRS 1980",6378137,298.257222101,AUTHORITY["EPSG","7019"]],AUTHORITY["EPSG","6619"]],PRIMEM["Greenwich",0,AUTHORITY["EPSG","8901"]],UNIT["metre",1,AUTHORITY["EPSG","9001"]],AXIS["Geocentric X",OTHER],AXIS["Geocentric Y",OTHER],AXIS["Geocentric Z",NORTH],AUTHORITY["EPSG","4976"]]</t>
  </si>
  <si>
    <t>PROJCS["Pulkovo 1942 / CS63 zone X1",GEOGCS["Pulkovo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23.5],PARAMETER["scale_factor",1],PARAMETER["false_easting",1300000],PARAMETER["false_northing",0],UNIT["metre",1,AUTHORITY["EPSG","9001"]],AUTHORITY["EPSG","7825"]]</t>
  </si>
  <si>
    <t xml:space="preserve">+proj=tmerc +lat_0=0.08333333333333333 +lon_0=23.5 +k=1 +x_0=1300000 +y_0=0 +ellps=krass +towgs84=23.92,-141.27,-80.9,0,0.35,0.82,-0.12 +units=m +no_defs </t>
  </si>
  <si>
    <t>PROJCS["Pulkovo 1942 / CS63 zone X2",GEOGCS["Pulkovo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26.5],PARAMETER["scale_factor",1],PARAMETER["false_easting",2300000],PARAMETER["false_northing",0],UNIT["metre",1,AUTHORITY["EPSG","9001"]],AUTHORITY["EPSG","7826"]]</t>
  </si>
  <si>
    <t xml:space="preserve">+proj=tmerc +lat_0=0.08333333333333333 +lon_0=26.5 +k=1 +x_0=2300000 +y_0=0 +ellps=krass +towgs84=23.92,-141.27,-80.9,0,0.35,0.82,-0.12 +units=m +no_defs </t>
  </si>
  <si>
    <t>PROJCS["Pulkovo 1942 / CS63 zone X3",GEOGCS["Pulkovo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29.5],PARAMETER["scale_factor",1],PARAMETER["false_easting",3300000],PARAMETER["false_northing",0],UNIT["metre",1,AUTHORITY["EPSG","9001"]],AUTHORITY["EPSG","7827"]]</t>
  </si>
  <si>
    <t xml:space="preserve">+proj=tmerc +lat_0=0.08333333333333333 +lon_0=29.5 +k=1 +x_0=3300000 +y_0=0 +ellps=krass +towgs84=23.92,-141.27,-80.9,0,0.35,0.82,-0.12 +units=m +no_defs </t>
  </si>
  <si>
    <t>PROJCS["Pulkovo 1942 / CS63 zone X4",GEOGCS["Pulkovo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32.5],PARAMETER["scale_factor",1],PARAMETER["false_easting",4300000],PARAMETER["false_northing",0],UNIT["metre",1,AUTHORITY["EPSG","9001"]],AUTHORITY["EPSG","7828"]]</t>
  </si>
  <si>
    <t xml:space="preserve">+proj=tmerc +lat_0=0.08333333333333333 +lon_0=32.5 +k=1 +x_0=4300000 +y_0=0 +ellps=krass +towgs84=23.92,-141.27,-80.9,0,0.35,0.82,-0.12 +units=m +no_defs </t>
  </si>
  <si>
    <t>PROJCS["Pulkovo 1942 / CS63 zone X5",GEOGCS["Pulkovo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35.5],PARAMETER["scale_factor",1],PARAMETER["false_easting",5300000],PARAMETER["false_northing",0],UNIT["metre",1,AUTHORITY["EPSG","9001"]],AUTHORITY["EPSG","7829"]]</t>
  </si>
  <si>
    <t xml:space="preserve">+proj=tmerc +lat_0=0.08333333333333333 +lon_0=35.5 +k=1 +x_0=5300000 +y_0=0 +ellps=krass +towgs84=23.92,-141.27,-80.9,0,0.35,0.82,-0.12 +units=m +no_defs </t>
  </si>
  <si>
    <t>PROJCS["Pulkovo 1942 / CS63 zone X6",GEOGCS["Pulkovo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38.5],PARAMETER["scale_factor",1],PARAMETER["false_easting",6300000],PARAMETER["false_northing",0],UNIT["metre",1,AUTHORITY["EPSG","9001"]],AUTHORITY["EPSG","7830"]]</t>
  </si>
  <si>
    <t xml:space="preserve">+proj=tmerc +lat_0=0.08333333333333333 +lon_0=38.5 +k=1 +x_0=6300000 +y_0=0 +ellps=krass +towgs84=23.92,-141.27,-80.9,0,0.35,0.82,-0.12 +units=m +no_defs </t>
  </si>
  <si>
    <t>PROJCS["Pulkovo 1942 / CS63 zone X7",GEOGCS["Pulkovo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0.08333333333333333],PARAMETER["central_meridian",41.5],PARAMETER["scale_factor",1],PARAMETER["false_easting",7300000],PARAMETER["false_northing",0],UNIT["metre",1,AUTHORITY["EPSG","9001"]],AUTHORITY["EPSG","7831"]]</t>
  </si>
  <si>
    <t xml:space="preserve">+proj=tmerc +lat_0=0.08333333333333333 +lon_0=41.5 +k=1 +x_0=7300000 +y_0=0 +ellps=krass +towgs84=23.92,-141.27,-80.9,0,0.35,0.82,-0.12 +units=m +no_defs </t>
  </si>
  <si>
    <t>PROJCS["GDA2020 / GA LCC",GEOGCS["GDA2020",DATUM["Geocentric_Datum_of_Australia_2020",SPHEROID["GRS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Lambert_Conformal_Conic_2SP"],PARAMETER["standard_parallel_1",-18],PARAMETER["standard_parallel_2",-36],PARAMETER["latitude_of_origin",0],PARAMETER["central_meridian",134],PARAMETER["false_easting",0],PARAMETER["false_northing",0],UNIT["metre",1,AUTHORITY["EPSG","9001"]],AXIS["Easting",EAST],AXIS["Northing",NORTH],AUTHORITY["EPSG","7845"]]</t>
  </si>
  <si>
    <t>PROJCS["GDA2020 / MGA zone 46",GEOGCS["GDA2020",DATUM["Geocentric_Datum_of_Australia_2020",SPHEROID["GRS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7846"]]</t>
  </si>
  <si>
    <t>PROJCS["WGS 84 / UTM zone 10N",GEOGCS["WGS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32610"]]</t>
  </si>
  <si>
    <t>PROJCS["GDA2020 / MGA zone 50",GEOGCS["GDA2020",DATUM["Geocentric_Datum_of_Australia_2020",SPHEROID["GRS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7850"]]</t>
  </si>
  <si>
    <t>PROJCS["GDA2020 / MGA zone 51",GEOGCS["GDA2020",DATUM["Geocentric_Datum_of_Australia_2020",SPHEROID["GRS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7851"]]</t>
  </si>
  <si>
    <t>PROJCS["GDA2020 / MGA zone 52",GEOGCS["GDA2020",DATUM["Geocentric_Datum_of_Australia_2020",SPHEROID["GRS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7852"]]</t>
  </si>
  <si>
    <t>PROJCS["GDA2020 / MGA zone 53",GEOGCS["GDA2020",DATUM["Geocentric_Datum_of_Australia_2020",SPHEROID["GRS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7853"]]</t>
  </si>
  <si>
    <t>PROJCS["GDA2020 / MGA zone 54",GEOGCS["GDA2020",DATUM["Geocentric_Datum_of_Australia_2020",SPHEROID["GRS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7854"]]</t>
  </si>
  <si>
    <t>PROJCS["GDA2020 / MGA zone 55",GEOGCS["GDA2020",DATUM["Geocentric_Datum_of_Australia_2020",SPHEROID["GRS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7855"]]</t>
  </si>
  <si>
    <t>PROJCS["GDA2020 / MGA zone 56",GEOGCS["GDA2020",DATUM["Geocentric_Datum_of_Australia_2020",SPHEROID["GRS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7856"]]</t>
  </si>
  <si>
    <t>PROJCS["GDA2020 / MGA zone 57",GEOGCS["GDA2020",DATUM["Geocentric_Datum_of_Australia_2020",SPHEROID["GRS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7857"]]</t>
  </si>
  <si>
    <t>PROJCS["GDA2020 / MGA zone 58",GEOGCS["GDA2020",DATUM["Geocentric_Datum_of_Australia_2020",SPHEROID["GRS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7858"]]</t>
  </si>
  <si>
    <t>PROJCS["GDA2020 / MGA zone 59",GEOGCS["GDA2020",DATUM["Geocentric_Datum_of_Australia_2020",SPHEROID["GRS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7859"]]</t>
  </si>
  <si>
    <t>PROJCS["WGS 84 / TM Zone 21N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-57],PARAMETER["scale_factor",0.9996],PARAMETER["false_easting",1640416.667],PARAMETER["false_northing",0],UNIT["US survey foot",0.3048006096012192,AUTHORITY["EPSG","9003"]],AXIS["X",EAST],AXIS["Y",NORTH],AUTHORITY["EPSG","8036"]]</t>
  </si>
  <si>
    <t>PROJCS["Astro DOS 71 / SHLG71",GEOGCS["Astro DOS 71",DATUM["Astro_DOS_71",SPHEROID["International 1924",6378388,297,AUTHORITY["EPSG","7022"]],TOWGS84[-320,550,-494,0,0,0,0],AUTHORITY["EPSG","6710"]],PRIMEM["Greenwich",0,AUTHORITY["EPSG","8901"]],UNIT["degree",0.0174532925199433,AUTHORITY["EPSG","9122"]],AUTHORITY["EPSG","4710"]],PROJECTION["Transverse_Mercator"],PARAMETER["latitude_of_origin",-15.96666666666667],PARAMETER["central_meridian",-5.716666666666667],PARAMETER["scale_factor",1],PARAMETER["false_easting",300000],PARAMETER["false_northing",2000000],UNIT["metre",1,AUTHORITY["EPSG","9001"]],AXIS["Easting",EAST],AXIS["Northing",NORTH],AUTHORITY["EPSG","7877"]]</t>
  </si>
  <si>
    <t xml:space="preserve">+proj=tmerc +lat_0=-15.96666666666667 +lon_0=-5.716666666666667 +k=1 +x_0=300000 +y_0=2000000 +ellps=intl +towgs84=-320,550,-494,0,0,0,0 +units=m +no_defs </t>
  </si>
  <si>
    <t>PROJCS["Astro DOS 71 / UTM zone 30S",GEOGCS["Astro DOS 71",DATUM["Astro_DOS_71",SPHEROID["International 1924",6378388,297,AUTHORITY["EPSG","7022"]],TOWGS84[-320,550,-494,0,0,0,0],AUTHORITY["EPSG","6710"]],PRIMEM["Greenwich",0,AUTHORITY["EPSG","8901"]],UNIT["degree",0.0174532925199433,AUTHORITY["EPSG","9122"]],AUTHORITY["EPSG","4710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7878"]]</t>
  </si>
  <si>
    <t xml:space="preserve">+proj=utm +zone=30 +south +ellps=intl +towgs84=-320,550,-494,0,0,0,0 +units=m +no_defs </t>
  </si>
  <si>
    <t>PROJCS["St. Helena Tritan / SHLG(Tritan)",GEOGCS["St. Helena Tritan",DATUM["St_Helena_Tritan",SPHEROID["WGS 84",6378137,298.257223563,AUTHORITY["EPSG","7030"]],TOWGS84[-0.077,0.079,0.086,0,0,0,0],AUTHORITY["EPSG","1173"]],PRIMEM["Greenwich",0,AUTHORITY["EPSG","8901"]],UNIT["degree",0.0174532925199433,AUTHORITY["EPSG","9122"]],AUTHORITY["EPSG","7881"]],PROJECTION["Transverse_Mercator"],PARAMETER["latitude_of_origin",-15.96666666666667],PARAMETER["central_meridian",-5.716666666666667],PARAMETER["scale_factor",1],PARAMETER["false_easting",299483.737],PARAMETER["false_northing",2000527.879],UNIT["metre",1,AUTHORITY["EPSG","9001"]],AXIS["Easting",EAST],AXIS["Northing",NORTH],AUTHORITY["EPSG","7882"]]</t>
  </si>
  <si>
    <t xml:space="preserve">+proj=tmerc +lat_0=-15.96666666666667 +lon_0=-5.716666666666667 +k=1 +x_0=299483.737 +y_0=2000527.879 +ellps=WGS84 +towgs84=-0.077,0.079,0.086,0,0,0,0 +units=m +no_defs </t>
  </si>
  <si>
    <t>PROJCS["St. Helena Tritan / UTM zone 30S",GEOGCS["St. Helena Tritan",DATUM["St_Helena_Tritan",SPHEROID["WGS 84",6378137,298.257223563,AUTHORITY["EPSG","7030"]],TOWGS84[-0.077,0.079,0.086,0,0,0,0],AUTHORITY["EPSG","1173"]],PRIMEM["Greenwich",0,AUTHORITY["EPSG","8901"]],UNIT["degree",0.0174532925199433,AUTHORITY["EPSG","9122"]],AUTHORITY["EPSG","7881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7883"]]</t>
  </si>
  <si>
    <t xml:space="preserve">+proj=utm +zone=30 +south +ellps=WGS84 +towgs84=-0.077,0.079,0.086,0,0,0,0 +units=m +no_defs </t>
  </si>
  <si>
    <t>PROJCS["SHMG2015",GEOGCS["SHGD2015",DATUM["St_Helena_Geodetic_Datum_2015",SPHEROID["GRS 1980",6378137,298.257222101,AUTHORITY["EPSG","7019"]],TOWGS84[0,0,0,0,0,0,0],AUTHORITY["EPSG","1174"]],PRIMEM["Greenwich",0,AUTHORITY["EPSG","8901"]],UNIT["degree",0.0174532925199433,AUTHORITY["EPSG","9122"]],AUTHORITY["EPSG","7886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7887"]]</t>
  </si>
  <si>
    <t xml:space="preserve">+proj=utm +zone=30 +south +ellps=GRS80 +towgs84=0,0,0,0,0,0,0 +units=m +no_defs </t>
  </si>
  <si>
    <t>PROJCS["GDA2020 / Vicgrid",GEOGCS["GDA2020",DATUM["Geocentric_Datum_of_Australia_2020",SPHEROID["GRS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Lambert_Conformal_Conic_2SP"],PARAMETER["standard_parallel_1",-36],PARAMETER["standard_parallel_2",-38],PARAMETER["latitude_of_origin",-37],PARAMETER["central_meridian",145],PARAMETER["false_easting",2500000],PARAMETER["false_northing",2500000],UNIT["metre",1,AUTHORITY["EPSG","9001"]],AXIS["Easting",EAST],AXIS["Northing",NORTH],AUTHORITY["EPSG","7899"]]</t>
  </si>
  <si>
    <t>PROJCS["NAD27 / MTM zone 10",GEOGCS["NAD27",DATUM["North_American_Datum_1927",SPHEROID["Clarke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-79.5],PARAMETER["scale_factor",0.9999],PARAMETER["false_easting",304800],PARAMETER["false_northing",0],UNIT["metre",1,AUTHORITY["EPSG","9001"]],AXIS["X",EAST],AXIS["Y",NORTH],AUTHORITY["EPSG","7991"]]</t>
  </si>
  <si>
    <t>PROJCS["Malongo 1987 / UTM zone 33S",GEOGCS["Malongo 1987",DATUM["Malongo_1987",SPHEROID["International 1924",6378388,297,AUTHORITY["EPSG","7022"]],TOWGS84[-254.1,-5.36,-100.29,0,0,0,0],AUTHORITY["EPSG","6259"]],PRIMEM["Greenwich",0,AUTHORITY["EPSG","8901"]],UNIT["degree",0.0174532925199433,AUTHORITY["EPSG","9122"]],AUTHORITY["EPSG","4259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7992"]]</t>
  </si>
  <si>
    <t xml:space="preserve">+proj=utm +zone=33 +south +ellps=intl +towgs84=-254.1,-5.36,-100.29,0,0,0,0 +units=m +no_defs </t>
  </si>
  <si>
    <t>PROJCS["GDA2020 / ALB2020",GEOGCS["GDA2020",DATUM["Geocentric_Datum_of_Australia_2020",SPHEROID["GRS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117.8833333333333],PARAMETER["scale_factor",1.0000044],PARAMETER["false_easting",50000],PARAMETER["false_northing",4100000],UNIT["metre",1,AUTHORITY["EPSG","9001"]],AXIS["Easting",EAST],AXIS["Northing",NORTH],AUTHORITY["EPSG","8013"]]</t>
  </si>
  <si>
    <t>PROJCS["NAD27 / UTM zone 7N",GEOGCS["NAD27",DATUM["North_American_Datum_1927",SPHEROID["Clarke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26707"]]</t>
  </si>
  <si>
    <t>PROJCS["GDA2020 / BIO2020",GEOGCS["GDA2020",DATUM["Geocentric_Datum_of_Australia_2020",SPHEROID["GRS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115.25],PARAMETER["scale_factor",1.0000022],PARAMETER["false_easting",60000],PARAMETER["false_northing",2700000],UNIT["metre",1,AUTHORITY["EPSG","9001"]],AXIS["Easting",EAST],AXIS["Northing",NORTH],AUTHORITY["EPSG","8014"]]</t>
  </si>
  <si>
    <t>PROJCS["GDA2020 / BRO2020",GEOGCS["GDA2020",DATUM["Geocentric_Datum_of_Australia_2020",SPHEROID["GRS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122.3333333333333],PARAMETER["scale_factor",1.00000298],PARAMETER["false_easting",50000],PARAMETER["false_northing",2300000],UNIT["metre",1,AUTHORITY["EPSG","9001"]],AXIS["Easting",EAST],AXIS["Northing",NORTH],AUTHORITY["EPSG","8015"]]</t>
  </si>
  <si>
    <t>PROJCS["GDA2020 / BCG2020",GEOGCS["GDA2020",DATUM["Geocentric_Datum_of_Australia_2020",SPHEROID["GRS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115.4333333333333],PARAMETER["scale_factor",0.99999592],PARAMETER["false_easting",50000],PARAMETER["false_northing",4000000],UNIT["metre",1,AUTHORITY["EPSG","9001"]],AXIS["Easting",EAST],AXIS["Northing",NORTH],AUTHORITY["EPSG","8016"]]</t>
  </si>
  <si>
    <t>PROJCS["GDA2020 / CARN2020",GEOGCS["GDA2020",DATUM["Geocentric_Datum_of_Australia_2020",SPHEROID["GRS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113.6666666666667],PARAMETER["scale_factor",0.99999796],PARAMETER["false_easting",50000],PARAMETER["false_northing",3050000],UNIT["metre",1,AUTHORITY["EPSG","9001"]],AXIS["Easting",EAST],AXIS["Northing",NORTH],AUTHORITY["EPSG","8017"]]</t>
  </si>
  <si>
    <t>PROJCS["GDA2020 / CIG2020",GEOGCS["GDA2020",DATUM["Geocentric_Datum_of_Australia_2020",SPHEROID["GRS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105.625],PARAMETER["scale_factor",1.00002514],PARAMETER["false_easting",50000],PARAMETER["false_northing",1400000],UNIT["metre",1,AUTHORITY["EPSG","9001"]],AXIS["Easting",EAST],AXIS["Northing",NORTH],AUTHORITY["EPSG","8018"]]</t>
  </si>
  <si>
    <t>PROJCS["GDA2020 / CKIG2020",GEOGCS["GDA2020",DATUM["Geocentric_Datum_of_Australia_2020",SPHEROID["GRS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96.875],PARAMETER["scale_factor",0.99999387],PARAMETER["false_easting",50000],PARAMETER["false_northing",1600000],UNIT["metre",1,AUTHORITY["EPSG","9001"]],AXIS["Easting",EAST],AXIS["Northing",NORTH],AUTHORITY["EPSG","8019"]]</t>
  </si>
  <si>
    <t>PROJCS["GDA2020 / COL2020",GEOGCS["GDA2020",DATUM["Geocentric_Datum_of_Australia_2020",SPHEROID["GRS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115.9333333333333],PARAMETER["scale_factor",1.000019],PARAMETER["false_easting",40000],PARAMETER["false_northing",4100000],UNIT["metre",1,AUTHORITY["EPSG","9001"]],AXIS["Easting",EAST],AXIS["Northing",NORTH],AUTHORITY["EPSG","8020"]]</t>
  </si>
  <si>
    <t>PROJCS["GDA2020 / ESP2020",GEOGCS["GDA2020",DATUM["Geocentric_Datum_of_Australia_2020",SPHEROID["GRS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121.8833333333333],PARAMETER["scale_factor",1.0000055],PARAMETER["false_easting",50000],PARAMETER["false_northing",4050000],UNIT["metre",1,AUTHORITY["EPSG","9001"]],AXIS["Easting",EAST],AXIS["Northing",NORTH],AUTHORITY["EPSG","8021"]]</t>
  </si>
  <si>
    <t>PROJCS["GDA2020 / EXM2020",GEOGCS["GDA2020",DATUM["Geocentric_Datum_of_Australia_2020",SPHEROID["GRS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114.0666666666667],PARAMETER["scale_factor",1.00000236],PARAMETER["false_easting",50000],PARAMETER["false_northing",2750000],UNIT["metre",1,AUTHORITY["EPSG","9001"]],AXIS["Easting",EAST],AXIS["Northing",NORTH],AUTHORITY["EPSG","8022"]]</t>
  </si>
  <si>
    <t>PROJCS["GDA2020 / GCG2020",GEOGCS["GDA2020",DATUM["Geocentric_Datum_of_Australia_2020",SPHEROID["GRS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114.5833333333333],PARAMETER["scale_factor",1.00000628],PARAMETER["false_easting",50000],PARAMETER["false_northing",3450000],UNIT["metre",1,AUTHORITY["EPSG","9001"]],AXIS["Easting",EAST],AXIS["Northing",NORTH],AUTHORITY["EPSG","8023"]]</t>
  </si>
  <si>
    <t>PROJCS["GDA2020 / GOLD2020",GEOGCS["GDA2020",DATUM["Geocentric_Datum_of_Australia_2020",SPHEROID["GRS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121.5],PARAMETER["scale_factor",1.00004949],PARAMETER["false_easting",60000],PARAMETER["false_northing",3800000],UNIT["metre",1,AUTHORITY["EPSG","9001"]],AXIS["Easting",EAST],AXIS["Northing",NORTH],AUTHORITY["EPSG","8024"]]</t>
  </si>
  <si>
    <t>PROJCS["GDA2020 / JCG2020",GEOGCS["GDA2020",DATUM["Geocentric_Datum_of_Australia_2020",SPHEROID["GRS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114.9833333333333],PARAMETER["scale_factor",1.00000314],PARAMETER["false_easting",50000],PARAMETER["false_northing",3650000],UNIT["metre",1,AUTHORITY["EPSG","9001"]],AXIS["Easting",EAST],AXIS["Northing",NORTH],AUTHORITY["EPSG","8025"]]</t>
  </si>
  <si>
    <t>PROJCS["GDA2020 / KALB2020",GEOGCS["GDA2020",DATUM["Geocentric_Datum_of_Australia_2020",SPHEROID["GRS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114.3152777777778],PARAMETER["scale_factor",1.000014],PARAMETER["false_easting",55000],PARAMETER["false_northing",3700000],UNIT["metre",1,AUTHORITY["EPSG","9001"]],AXIS["Easting",EAST],AXIS["Northing",NORTH],AUTHORITY["EPSG","8026"]]</t>
  </si>
  <si>
    <t>PROJCS["GDA2020 / KAR2020",GEOGCS["GDA2020",DATUM["Geocentric_Datum_of_Australia_2020",SPHEROID["GRS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116.9333333333333],PARAMETER["scale_factor",0.9999989],PARAMETER["false_easting",50000],PARAMETER["false_northing",2550000],UNIT["metre",1,AUTHORITY["EPSG","9001"]],AXIS["Easting",EAST],AXIS["Northing",NORTH],AUTHORITY["EPSG","8027"]]</t>
  </si>
  <si>
    <t>PROJCS["GDA2020 / KUN2020",GEOGCS["GDA2020",DATUM["Geocentric_Datum_of_Australia_2020",SPHEROID["GRS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128.75],PARAMETER["scale_factor",1.0000165],PARAMETER["false_easting",50000],PARAMETER["false_northing",2100000],UNIT["metre",1,AUTHORITY["EPSG","9001"]],AXIS["Easting",EAST],AXIS["Northing",NORTH],AUTHORITY["EPSG","8028"]]</t>
  </si>
  <si>
    <t>PROJCS["GDA2020 / LCG2020",GEOGCS["GDA2020",DATUM["Geocentric_Datum_of_Australia_2020",SPHEROID["GRS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115.3666666666667],PARAMETER["scale_factor",1.00000157],PARAMETER["false_easting",50000],PARAMETER["false_northing",3750000],UNIT["metre",1,AUTHORITY["EPSG","9001"]],AXIS["Easting",EAST],AXIS["Northing",NORTH],AUTHORITY["EPSG","8029"]]</t>
  </si>
  <si>
    <t>PROJCS["GDA2020 / MRCG2020",GEOGCS["GDA2020",DATUM["Geocentric_Datum_of_Australia_2020",SPHEROID["GRS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115.1666666666667],PARAMETER["scale_factor",1.0000055],PARAMETER["false_easting",50000],PARAMETER["false_northing",4050000],UNIT["metre",1,AUTHORITY["EPSG","9001"]],AXIS["Easting",EAST],AXIS["Northing",NORTH],AUTHORITY["EPSG","8030"]]</t>
  </si>
  <si>
    <t>PROJCS["GDA2020 / PCG2020",GEOGCS["GDA2020",DATUM["Geocentric_Datum_of_Australia_2020",SPHEROID["GRS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115.8166666666667],PARAMETER["scale_factor",0.99999906],PARAMETER["false_easting",50000],PARAMETER["false_northing",3900000],UNIT["metre",1,AUTHORITY["EPSG","9001"]],AXIS["Easting",EAST],AXIS["Northing",NORTH],AUTHORITY["EPSG","8031"]]</t>
  </si>
  <si>
    <t>PROJCS["GDA2020 / PHG2020",GEOGCS["GDA2020",DATUM["Geocentric_Datum_of_Australia_2020",SPHEROID["GRS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Transverse_Mercator"],PARAMETER["latitude_of_origin",0],PARAMETER["central_meridian",118.6],PARAMETER["scale_factor",1.00000135],PARAMETER["false_easting",50000],PARAMETER["false_northing",2500000],UNIT["metre",1,AUTHORITY["EPSG","9001"]],AXIS["Easting",EAST],AXIS["Northing",NORTH],AUTHORITY["EPSG","8032"]]</t>
  </si>
  <si>
    <t>PROJCS["WGS 84 / TM Zone 20N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-63],PARAMETER["scale_factor",0.9996],PARAMETER["false_easting",1640416.667],PARAMETER["false_northing",0],UNIT["US survey foot",0.3048006096012192,AUTHORITY["EPSG","9003"]],AXIS["X",EAST],AXIS["Y",NORTH],AUTHORITY["EPSG","8035"]]</t>
  </si>
  <si>
    <t>PROJCS["Gusterberg Grid (Ferro)",GEOGCS["Gusterberg (Ferro)",DATUM["Gusterberg_Ferro",SPHEROID["Zach 1812",6376045,310,AUTHORITY["EPSG","1026"]],AUTHORITY["EPSG","1188"]],PRIMEM["Ferro",-17.66666666666667,AUTHORITY["EPSG","8909"]],UNIT["degree",0.0174532925199433,AUTHORITY["EPSG","9122"]],AUTHORITY["EPSG","8042"]],PROJECTION["Cassini_Soldner"],PARAMETER["latitude_of_origin",48.03846388888888],PARAMETER["central_meridian",31.80418055555556],PARAMETER["false_easting",0],PARAMETER["false_northing",0],UNIT["metre",1,AUTHORITY["EPSG","9001"]],AXIS["X",SOUTH],AXIS["Y",WEST],AUTHORITY["EPSG","8044"]]</t>
  </si>
  <si>
    <t>PROJCS["St. Stephen Grid (Ferro)",GEOGCS["St. Stephen (Ferro)",DATUM["St_Stephen_Ferro",SPHEROID["Zach 1812",6376045,310,AUTHORITY["EPSG","1026"]],AUTHORITY["EPSG","1189"]],PRIMEM["Ferro",-17.66666666666667,AUTHORITY["EPSG","8909"]],UNIT["degree",0.0174532925199433,AUTHORITY["EPSG","9122"]],AUTHORITY["EPSG","8043"]],PROJECTION["Cassini_Soldner"],PARAMETER["latitude_of_origin",48.20876111111112],PARAMETER["central_meridian",34.04092222222222],PARAMETER["false_easting",0],PARAMETER["false_northing",0],UNIT["metre",1,AUTHORITY["EPSG","9001"]],AXIS["X",SOUTH],AXIS["Y",WEST],AUTHORITY["EPSG","8045"]]</t>
  </si>
  <si>
    <t>PROJCS["GDA2020 / NSW Lambert",GEOGCS["GDA2020",DATUM["Geocentric_Datum_of_Australia_2020",SPHEROID["GRS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Lambert_Conformal_Conic_2SP"],PARAMETER["standard_parallel_1",-30.75],PARAMETER["standard_parallel_2",-35.75],PARAMETER["latitude_of_origin",-33.25],PARAMETER["central_meridian",147],PARAMETER["false_easting",9300000],PARAMETER["false_northing",4500000],UNIT["metre",1,AUTHORITY["EPSG","9001"]],AXIS["Easting",EAST],AXIS["Northing",NORTH],AUTHORITY["EPSG","8058"]]</t>
  </si>
  <si>
    <t>PROJCS["GDA2020 / SA Lambert",GEOGCS["GDA2020",DATUM["Geocentric_Datum_of_Australia_2020",SPHEROID["GRS 1980",6378137,298.257222101,AUTHORITY["EPSG","7019"]],AUTHORITY["EPSG","1168"]],PRIMEM["Greenwich",0,AUTHORITY["EPSG","8901"]],UNIT["degree",0.0174532925199433,AUTHORITY["EPSG","9122"]],AUTHORITY["EPSG","7844"]],PROJECTION["Lambert_Conformal_Conic_2SP"],PARAMETER["standard_parallel_1",-28],PARAMETER["standard_parallel_2",-36],PARAMETER["latitude_of_origin",-32],PARAMETER["central_meridian",135],PARAMETER["false_easting",1000000],PARAMETER["false_northing",2000000],UNIT["metre",1,AUTHORITY["EPSG","9001"]],AXIS["Easting",EAST],AXIS["Northing",NORTH],AUTHORITY["EPSG","8059"]]</t>
  </si>
  <si>
    <t>PROJCS["NAD83(2011) / PCCS zone 1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Hotine_Oblique_Mercator_Azimuth_Center"],PARAMETER["latitude_of_center",32.25],PARAMETER["longitude_of_center",-111.4],PARAMETER["azimuth",45],PARAMETER["rectified_grid_angle",45],PARAMETER["scale_factor",1.00011],PARAMETER["false_easting",160000],PARAMETER["false_northing",800000],UNIT["foot",0.3048,AUTHORITY["EPSG","9002"]],AXIS["X",EAST],AXIS["Y",NORTH],AUTHORITY["EPSG","8065"]]</t>
  </si>
  <si>
    <t>PROJCS["NAD83(2011) / PCCS zone 2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31.25],PARAMETER["central_meridian",-112.1666666666667],PARAMETER["scale_factor",1.00009],PARAMETER["false_easting",1800000],PARAMETER["false_northing",1000000],UNIT["foot",0.3048,AUTHORITY["EPSG","9002"]],AXIS["X",EAST],AXIS["Y",NORTH],AUTHORITY["EPSG","8066"]]</t>
  </si>
  <si>
    <t>PROJCS["NAD83(2011) / PCCS zone 3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31.5],PARAMETER["central_meridian",-113.1666666666667],PARAMETER["scale_factor",1.000055],PARAMETER["false_easting",600000],PARAMETER["false_northing",0],UNIT["foot",0.3048,AUTHORITY["EPSG","9002"]],AXIS["X",EAST],AXIS["Y",NORTH],AUTHORITY["EPSG","8067"]]</t>
  </si>
  <si>
    <t>PROJCS["NAD83(2011) / PCCS zone 4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30.5],PARAMETER["central_meridian",-110.75],PARAMETER["scale_factor",0.9998],PARAMETER["false_easting",30000],PARAMETER["false_northing",-620000],UNIT["foot",0.3048,AUTHORITY["EPSG","9002"]],AXIS["X",EAST],AXIS["Y",NORTH],AUTHORITY["EPSG","8068"]]</t>
  </si>
  <si>
    <t>PROJCS["NAD83(CSRS)v6 / MTM Nova Scotia zone 4",GEOGCS["NAD83(CSRS)v6",DATUM["North_American_Datum_of_1983_CSRS_version_6",SPHEROID["GRS 1980",6378137,298.257222101,AUTHORITY["EPSG","7019"]],AUTHORITY["EPSG","1197"]],PRIMEM["Greenwich",0,AUTHORITY["EPSG","8901"]],UNIT["degree",0.0174532925199433,AUTHORITY["EPSG","9122"]],AUTHORITY["EPSG","8252"]],PROJECTION["Transverse_Mercator"],PARAMETER["latitude_of_origin",0],PARAMETER["central_meridian",-61.5],PARAMETER["scale_factor",0.9999],PARAMETER["false_easting",24500000],PARAMETER["false_northing",0],UNIT["metre",1,AUTHORITY["EPSG","9001"]],AXIS["Easting",EAST],AXIS["Northing",NORTH],AUTHORITY["EPSG","8082"]]</t>
  </si>
  <si>
    <t>GEOCCS["WGS 84",DATUM["WGS_1984",SPHEROID["WGS 84",6378137,298.257223563,AUTHORITY["EPSG","7030"]],AUTHORITY["EPSG","6326"]],PRIMEM["Greenwich",0,AUTHORITY["EPSG","8901"]],UNIT["metre",1,AUTHORITY["EPSG","9001"]],AXIS["Geocentric X",OTHER],AXIS["Geocentric Y",OTHER],AXIS["Geocentric Z",NORTH],AUTHORITY["EPSG","4978"]]</t>
  </si>
  <si>
    <t>PROJCS["NAD83(CSRS)v6 / MTM Nova Scotia zone 5",GEOGCS["NAD83(CSRS)v6",DATUM["North_American_Datum_of_1983_CSRS_version_6",SPHEROID["GRS 1980",6378137,298.257222101,AUTHORITY["EPSG","7019"]],AUTHORITY["EPSG","1197"]],PRIMEM["Greenwich",0,AUTHORITY["EPSG","8901"]],UNIT["degree",0.0174532925199433,AUTHORITY["EPSG","9122"]],AUTHORITY["EPSG","8252"]],PROJECTION["Transverse_Mercator"],PARAMETER["latitude_of_origin",0],PARAMETER["central_meridian",-64.5],PARAMETER["scale_factor",0.9999],PARAMETER["false_easting",25500000],PARAMETER["false_northing",0],UNIT["metre",1,AUTHORITY["EPSG","9001"]],AXIS["Easting",EAST],AXIS["Northing",NORTH],AUTHORITY["EPSG","8083"]]</t>
  </si>
  <si>
    <t>PROJCS["ISN2016 / Lambert 2016",GEOGCS["ISN2016",DATUM["Islands_Net_2016",SPHEROID["GRS 1980",6378137,298.257222101,AUTHORITY["EPSG","7019"]],AUTHORITY["EPSG","1187"]],PRIMEM["Greenwich",0,AUTHORITY["EPSG","8901"]],UNIT["degree",0.0174532925199433,AUTHORITY["EPSG","9122"]],AUTHORITY["EPSG","8086"]],PROJECTION["Lambert_Conformal_Conic_2SP"],PARAMETER["standard_parallel_1",64.25],PARAMETER["standard_parallel_2",65.75],PARAMETER["latitude_of_origin",65],PARAMETER["central_meridian",-19],PARAMETER["false_easting",2700000],PARAMETER["false_northing",300000],UNIT["metre",1,AUTHORITY["EPSG","9001"]],AXIS["X",EAST],AXIS["Y",NORTH],AUTHORITY["EPSG","8088"]]</t>
  </si>
  <si>
    <t>PROJCS["NAD83(HARN) / WISCRS Florence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45.43888888888888],PARAMETER["central_meridian",-88.14166666666668],PARAMETER["scale_factor",1.0000552095],PARAMETER["false_easting",133502.6683],PARAMETER["false_northing",0.0063],UNIT["metre",1,AUTHORITY["EPSG","9001"]],AXIS["X",EAST],AXIS["Y",NORTH],AUTHORITY["EPSG","8090"]]</t>
  </si>
  <si>
    <t xml:space="preserve">+proj=tmerc +lat_0=45.43888888888888 +lon_0=-88.14166666666668 +k=1.0000552095 +x_0=133502.6683 +y_0=0.0063 +ellps=GRS80 +towgs84=0,0,0,0,0,0,0 +units=m +no_defs </t>
  </si>
  <si>
    <t>PROJCS["NAD83(HARN) / WISCRS Florence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45.43888888888888],PARAMETER["central_meridian",-88.14166666666668],PARAMETER["scale_factor",1.0000552095],PARAMETER["false_easting",438000.004],PARAMETER["false_northing",0.021],UNIT["US survey foot",0.3048006096012192,AUTHORITY["EPSG","9003"]],AXIS["X",EAST],AXIS["Y",NORTH],AUTHORITY["EPSG","8091"]]</t>
  </si>
  <si>
    <t xml:space="preserve">+proj=tmerc +lat_0=45.43888888888888 +lon_0=-88.14166666666668 +k=1.0000552095 +x_0=133502.6682245364 +y_0=0.006400812801625603 +ellps=GRS80 +towgs84=0,0,0,0,0,0,0 +units=us-ft +no_defs </t>
  </si>
  <si>
    <t>PROJCS["NAD83(HARN) / WISCRS Eau Claire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44.87228112638889],PARAMETER["central_meridian",-91.28888888888889],PARAMETER["scale_factor",1.000035079],PARAMETER["false_easting",120091.4402],PARAMETER["false_northing",91687.9239],UNIT["metre",1,AUTHORITY["EPSG","9001"]],AXIS["X",EAST],AXIS["Y",NORTH],AUTHORITY["EPSG","8092"]]</t>
  </si>
  <si>
    <t xml:space="preserve">+proj=lcc +lat_1=44.87228112638889 +lat_0=44.87228112638889 +lon_0=-91.28888888888889 +k_0=1.000035079 +x_0=120091.4402 +y_0=91687.92389999999 +ellps=GRS80 +towgs84=0,0,0,0,0,0,0 +units=m +no_defs </t>
  </si>
  <si>
    <t>PROJCS["NAD83(HARN) / WISCRS Eau Claire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44.87228112638889],PARAMETER["central_meridian",-91.28888888888889],PARAMETER["scale_factor",1.000035079],PARAMETER["false_easting",394000],PARAMETER["false_northing",300812.797],UNIT["US survey foot",0.3048006096012192,AUTHORITY["EPSG","9003"]],AXIS["X",EAST],AXIS["Y",NORTH],AUTHORITY["EPSG","8093"]]</t>
  </si>
  <si>
    <t xml:space="preserve">+proj=lcc +lat_1=44.87228112638889 +lat_0=44.87228112638889 +lon_0=-91.28888888888889 +k_0=1.000035079 +x_0=120091.4401828804 +y_0=91687.92390144781 +ellps=GRS80 +towgs84=0,0,0,0,0,0,0 +units=us-ft +no_defs </t>
  </si>
  <si>
    <t>PROJCS["NAD83(HARN) / WISCRS Wood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44.36259546944444],PARAMETER["central_meridian",-90],PARAMETER["scale_factor",1.0000421209],PARAMETER["false_easting",208483.6173],PARAMETER["false_northing",134589.754],UNIT["metre",1,AUTHORITY["EPSG","9001"]],AXIS["X",EAST],AXIS["Y",NORTH],AUTHORITY["EPSG","8095"]]</t>
  </si>
  <si>
    <t xml:space="preserve">+proj=lcc +lat_1=44.36259546944444 +lat_0=44.36259546944444 +lon_0=-90 +k_0=1.0000421209 +x_0=208483.6173 +y_0=134589.754 +ellps=GRS80 +towgs84=0,0,0,0,0,0,0 +units=m +no_defs </t>
  </si>
  <si>
    <t>PROJCS["NAD83(HARN) / WISCRS Wood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44.36259546944444],PARAMETER["central_meridian",-90],PARAMETER["scale_factor",1.0000421209],PARAMETER["false_easting",684000.0010000002],PARAMETER["false_northing",441566.551],UNIT["US survey foot",0.3048006096012192,AUTHORITY["EPSG","9003"]],AXIS["X",EAST],AXIS["Y",NORTH],AUTHORITY["EPSG","8096"]]</t>
  </si>
  <si>
    <t xml:space="preserve">+proj=lcc +lat_1=44.36259546944444 +lat_0=44.36259546944444 +lon_0=-90 +k_0=1.0000421209 +x_0=208483.6172720346 +y_0=134589.7539243078 +ellps=GRS80 +towgs84=0,0,0,0,0,0,0 +units=us-ft +no_defs </t>
  </si>
  <si>
    <t>PROJCS["NAD27 / UTM zone 8N",GEOGCS["NAD27",DATUM["North_American_Datum_1927",SPHEROID["Clarke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26708"]]</t>
  </si>
  <si>
    <t>PROJCS["NAD83(HARN) / WISCRS Waushara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44.11394404583334],PARAMETER["central_meridian",-89.24166666666667],PARAMETER["scale_factor",1.0000392096],PARAMETER["false_easting",120091.4402],PARAMETER["false_northing",45069.7587],UNIT["metre",1,AUTHORITY["EPSG","9001"]],AXIS["X",EAST],AXIS["Y",NORTH],AUTHORITY["EPSG","8097"]]</t>
  </si>
  <si>
    <t xml:space="preserve">+proj=lcc +lat_1=44.11394404583334 +lat_0=44.11394404583334 +lon_0=-89.24166666666667 +k_0=1.0000392096 +x_0=120091.4402 +y_0=45069.7587 +ellps=GRS80 +towgs84=0,0,0,0,0,0,0 +units=m +no_defs </t>
  </si>
  <si>
    <t>PROJCS["NAD83(HARN) / WISCRS Waushara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44.11394404583334],PARAMETER["central_meridian",-89.24166666666667],PARAMETER["scale_factor",1.0000392096],PARAMETER["false_easting",394000],PARAMETER["false_northing",147866.367],UNIT["US survey foot",0.3048006096012192,AUTHORITY["EPSG","9003"]],AXIS["X",EAST],AXIS["Y",NORTH],AUTHORITY["EPSG","8098"]]</t>
  </si>
  <si>
    <t xml:space="preserve">+proj=lcc +lat_1=44.11394404583334 +lat_0=44.11394404583334 +lon_0=-89.24166666666667 +k_0=1.0000392096 +x_0=120091.4401828804 +y_0=45069.7588011176 +ellps=GRS80 +towgs84=0,0,0,0,0,0,0 +units=us-ft +no_defs </t>
  </si>
  <si>
    <t>PROJCS["NAD83(HARN) / WISCRS Waupaca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43.42027777777778],PARAMETER["central_meridian",-88.81666666666666],PARAMETER["scale_factor",1.0000333645],PARAMETER["false_easting",185013.9709],PARAMETER["false_northing",0.007],UNIT["metre",1,AUTHORITY["EPSG","9001"]],AXIS["X",EAST],AXIS["Y",NORTH],AUTHORITY["EPSG","8099"]]</t>
  </si>
  <si>
    <t xml:space="preserve">+proj=tmerc +lat_0=43.42027777777778 +lon_0=-88.81666666666666 +k=1.0000333645 +x_0=185013.9709 +y_0=0.007 +ellps=GRS80 +towgs84=0,0,0,0,0,0,0 +units=m +no_defs </t>
  </si>
  <si>
    <t>PROJCS["NAD83(HARN) / WISCRS Waupaca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43.42027777777778],PARAMETER["central_meridian",-88.81666666666666],PARAMETER["scale_factor",1.0000333645],PARAMETER["false_easting",607000.003],PARAMETER["false_northing",0.023],UNIT["US survey foot",0.3048006096012192,AUTHORITY["EPSG","9003"]],AXIS["X",EAST],AXIS["Y",NORTH],AUTHORITY["EPSG","8100"]]</t>
  </si>
  <si>
    <t xml:space="preserve">+proj=tmerc +lat_0=43.42027777777778 +lon_0=-88.81666666666666 +k=1.0000333645 +x_0=185013.9709423419 +y_0=0.007010414020828041 +ellps=GRS80 +towgs84=0,0,0,0,0,0,0 +units=us-ft +no_defs </t>
  </si>
  <si>
    <t>PROJCS["NAD83(HARN) / WISCRS Waukesha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42.56944444444445],PARAMETER["central_meridian",-88.225],PARAMETER["scale_factor",1.0000346179],PARAMETER["false_easting",208788.418],PARAMETER["false_northing",0.0034],UNIT["metre",1,AUTHORITY["EPSG","9001"]],AXIS["X",EAST],AXIS["Y",NORTH],AUTHORITY["EPSG","8101"]]</t>
  </si>
  <si>
    <t xml:space="preserve">+proj=tmerc +lat_0=42.56944444444445 +lon_0=-88.22499999999999 +k=1.0000346179 +x_0=208788.418 +y_0=0.0034 +ellps=GRS80 +towgs84=0,0,0,0,0,0,0 +units=m +no_defs </t>
  </si>
  <si>
    <t>PROJCS["NAD83(HARN) / WISCRS Waukesha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42.56944444444445],PARAMETER["central_meridian",-88.225],PARAMETER["scale_factor",1.0000346179],PARAMETER["false_easting",685000.0010000002],PARAMETER["false_northing",0.011],UNIT["US survey foot",0.3048006096012192,AUTHORITY["EPSG","9003"]],AXIS["X",EAST],AXIS["Y",NORTH],AUTHORITY["EPSG","8102"]]</t>
  </si>
  <si>
    <t xml:space="preserve">+proj=tmerc +lat_0=42.56944444444445 +lon_0=-88.22499999999999 +k=1.0000346179 +x_0=208788.4178816358 +y_0=0.003352806705613411 +ellps=GRS80 +towgs84=0,0,0,0,0,0,0 +units=us-ft +no_defs </t>
  </si>
  <si>
    <t>PROJCS["NAD83(HARN) / WISCRS Washington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42.91805555555555],PARAMETER["central_meridian",-88.06388888888888],PARAMETER["scale_factor",1.00003738],PARAMETER["false_easting",120091.4415],PARAMETER["false_northing",0.003],UNIT["metre",1,AUTHORITY["EPSG","9001"]],AXIS["X",EAST],AXIS["Y",NORTH],AUTHORITY["EPSG","8103"]]</t>
  </si>
  <si>
    <t xml:space="preserve">+proj=tmerc +lat_0=42.91805555555555 +lon_0=-88.06388888888888 +k=1.00003738 +x_0=120091.4415 +y_0=0.003 +ellps=GRS80 +towgs84=0,0,0,0,0,0,0 +units=m +no_defs </t>
  </si>
  <si>
    <t>PROJCS["NAD83(HARN) / WISCRS Washington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42.91805555555555],PARAMETER["central_meridian",-88.06388888888888],PARAMETER["scale_factor",1.00003738],PARAMETER["false_easting",394000.004],PARAMETER["false_northing",0.01],UNIT["US survey foot",0.3048006096012192,AUTHORITY["EPSG","9003"]],AXIS["X",EAST],AXIS["Y",NORTH],AUTHORITY["EPSG","8104"]]</t>
  </si>
  <si>
    <t xml:space="preserve">+proj=tmerc +lat_0=42.91805555555555 +lon_0=-88.06388888888888 +k=1.00003738 +x_0=120091.4414020828 +y_0=0.003048006096012192 +ellps=GRS80 +towgs84=0,0,0,0,0,0,0 +units=us-ft +no_defs </t>
  </si>
  <si>
    <t>GEOCCS["Yemen NGN96",DATUM["Yemen_National_Geodetic_Network_1996",SPHEROID["WGS 84",6378137,298.257223563,AUTHORITY["EPSG","7030"]],AUTHORITY["EPSG","6163"]],PRIMEM["Greenwich",0,AUTHORITY["EPSG","8901"]],UNIT["metre",1,AUTHORITY["EPSG","9001"]],AXIS["Geocentric X",OTHER],AXIS["Geocentric Y",OTHER],AXIS["Geocentric Z",NORTH],AUTHORITY["EPSG","4980"]]</t>
  </si>
  <si>
    <t>PROJCS["NAD83(HARN) / WISCRS Washburn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45.96121983333334],PARAMETER["central_meridian",-91.78333333333333],PARAMETER["scale_factor",1.0000475376],PARAMETER["false_easting",234086.8682],PARAMETER["false_northing",188358.6058],UNIT["metre",1,AUTHORITY["EPSG","9001"]],AXIS["X",EAST],AXIS["Y",NORTH],AUTHORITY["EPSG","8105"]]</t>
  </si>
  <si>
    <t xml:space="preserve">+proj=lcc +lat_1=45.96121983333334 +lat_0=45.96121983333334 +lon_0=-91.78333333333333 +k_0=1.0000475376 +x_0=234086.8682 +y_0=188358.6058 +ellps=GRS80 +towgs84=0,0,0,0,0,0,0 +units=m +no_defs </t>
  </si>
  <si>
    <t>PROJCS["NAD83(HARN) / WISCRS Washburn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45.96121983333334],PARAMETER["central_meridian",-91.78333333333333],PARAMETER["scale_factor",1.0000475376],PARAMETER["false_easting",768000],PARAMETER["false_northing",617973.193],UNIT["US survey foot",0.3048006096012192,AUTHORITY["EPSG","9003"]],AXIS["X",EAST],AXIS["Y",NORTH],AUTHORITY["EPSG","8106"]]</t>
  </si>
  <si>
    <t xml:space="preserve">+proj=lcc +lat_1=45.96121983333334 +lat_0=45.96121983333334 +lon_0=-91.78333333333333 +k_0=1.0000475376 +x_0=234086.8681737363 +y_0=188358.6059436119 +ellps=GRS80 +towgs84=0,0,0,0,0,0,0 +units=us-ft +no_defs </t>
  </si>
  <si>
    <t>PROJCS["NAD83(HARN) / WISCRS Walworth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42.66946209694444],PARAMETER["central_meridian",-88.54166666666667],PARAMETER["scale_factor",1.0000367192],PARAMETER["false_easting",232562.8651],PARAMETER["false_northing",111088.2224],UNIT["metre",1,AUTHORITY["EPSG","9001"]],AXIS["X",EAST],AXIS["Y",NORTH],AUTHORITY["EPSG","8107"]]</t>
  </si>
  <si>
    <t xml:space="preserve">+proj=lcc +lat_1=42.66946209694444 +lat_0=42.66946209694444 +lon_0=-88.54166666666667 +k_0=1.0000367192 +x_0=232562.8651 +y_0=111088.2224 +ellps=GRS80 +towgs84=0,0,0,0,0,0,0 +units=m +no_defs </t>
  </si>
  <si>
    <t>PROJCS["NAD83(HARN) / WISCRS Walworth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42.66946209694444],PARAMETER["central_meridian",-88.54166666666667],PARAMETER["scale_factor",1.0000367192],PARAMETER["false_easting",763000],PARAMETER["false_northing",364461.943],UNIT["US survey foot",0.3048006096012192,AUTHORITY["EPSG","9003"]],AXIS["X",EAST],AXIS["Y",NORTH],AUTHORITY["EPSG","8108"]]</t>
  </si>
  <si>
    <t xml:space="preserve">+proj=lcc +lat_1=42.66946209694444 +lat_0=42.66946209694444 +lon_0=-88.54166666666667 +k_0=1.0000367192 +x_0=232562.8651257302 +y_0=111088.2224028448 +ellps=GRS80 +towgs84=0,0,0,0,0,0,0 +units=us-ft +no_defs </t>
  </si>
  <si>
    <t>PROJCS["NAD83(HARN) / WISCRS Vilas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46.07784409055556],PARAMETER["central_meridian",-89.48888888888889],PARAMETER["scale_factor",1.0000730142],PARAMETER["false_easting",134417.0689],PARAMETER["false_northing",50337.1092],UNIT["metre",1,AUTHORITY["EPSG","9001"]],AXIS["X",EAST],AXIS["Y",NORTH],AUTHORITY["EPSG","8109"]]</t>
  </si>
  <si>
    <t xml:space="preserve">+proj=lcc +lat_1=46.07784409055556 +lat_0=46.07784409055556 +lon_0=-89.48888888888889 +k_0=1.0000730142 +x_0=134417.0689 +y_0=50337.1092 +ellps=GRS80 +towgs84=0,0,0,0,0,0,0 +units=m +no_defs </t>
  </si>
  <si>
    <t>PROJCS["NAD83(HARN) / WISCRS Vilas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46.07784409055556],PARAMETER["central_meridian",-89.48888888888889],PARAMETER["scale_factor",1.0000730142],PARAMETER["false_easting",441000],PARAMETER["false_northing",165147.666],UNIT["US survey foot",0.3048006096012192,AUTHORITY["EPSG","9003"]],AXIS["X",EAST],AXIS["Y",NORTH],AUTHORITY["EPSG","8110"]]</t>
  </si>
  <si>
    <t xml:space="preserve">+proj=lcc +lat_1=46.07784409055556 +lat_0=46.07784409055556 +lon_0=-89.48888888888889 +k_0=1.0000730142 +x_0=134417.0688341377 +y_0=50337.10927101854 +ellps=GRS80 +towgs84=0,0,0,0,0,0,0 +units=us-ft +no_defs </t>
  </si>
  <si>
    <t>PROJCS["NAD83(HARN) / WISCRS Vernon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43.57503293972223],PARAMETER["central_meridian",-90.78333333333333],PARAMETER["scale_factor",1.0000408158],PARAMETER["false_easting",222504.4451],PARAMETER["false_northing",47532.0602],UNIT["metre",1,AUTHORITY["EPSG","9001"]],AXIS["X",EAST],AXIS["Y",NORTH],AUTHORITY["EPSG","8111"]]</t>
  </si>
  <si>
    <t xml:space="preserve">+proj=lcc +lat_1=43.57503293972223 +lat_0=43.57503293972223 +lon_0=-90.78333333333333 +k_0=1.0000408158 +x_0=222504.4451 +y_0=47532.0602 +ellps=GRS80 +towgs84=0,0,0,0,0,0,0 +units=m +no_defs </t>
  </si>
  <si>
    <t>PROJCS["NAD83(HARN) / WISCRS Vernon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43.57503293972223],PARAMETER["central_meridian",-90.78333333333333],PARAMETER["scale_factor",1.0000408158],PARAMETER["false_easting",730000],PARAMETER["false_northing",155944.768],UNIT["US survey foot",0.3048006096012192,AUTHORITY["EPSG","9003"]],AXIS["X",EAST],AXIS["Y",NORTH],AUTHORITY["EPSG","8112"]]</t>
  </si>
  <si>
    <t xml:space="preserve">+proj=lcc +lat_1=43.57503293972223 +lat_0=43.57503293972223 +lon_0=-90.78333333333333 +k_0=1.0000408158 +x_0=222504.44500889 +y_0=47532.0603505207 +ellps=GRS80 +towgs84=0,0,0,0,0,0,0 +units=us-ft +no_defs </t>
  </si>
  <si>
    <t>PROJCS["NAD83(HARN) / WISCRS Trempealeau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43.16111111111111],PARAMETER["central_meridian",-91.36666666666666],PARAMETER["scale_factor",1.0000361538],PARAMETER["false_easting",256946.9138],PARAMETER["false_northing",0.0041],UNIT["metre",1,AUTHORITY["EPSG","9001"]],AXIS["X",EAST],AXIS["Y",NORTH],AUTHORITY["EPSG","8113"]]</t>
  </si>
  <si>
    <t xml:space="preserve">+proj=tmerc +lat_0=43.16111111111111 +lon_0=-91.36666666666666 +k=1.0000361538 +x_0=256946.9138 +y_0=0.0041 +ellps=GRS80 +towgs84=0,0,0,0,0,0,0 +units=m +no_defs </t>
  </si>
  <si>
    <t>PROJCS["NAD83(HARN) / WISCRS Trempealeau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43.16111111111111],PARAMETER["central_meridian",-91.36666666666666],PARAMETER["scale_factor",1.0000361538],PARAMETER["false_easting",843000],PARAMETER["false_northing",0.013],UNIT["US survey foot",0.3048006096012192,AUTHORITY["EPSG","9003"]],AXIS["X",EAST],AXIS["Y",NORTH],AUTHORITY["EPSG","8114"]]</t>
  </si>
  <si>
    <t xml:space="preserve">+proj=tmerc +lat_0=43.16111111111111 +lon_0=-91.36666666666666 +k=1.0000361538 +x_0=256946.9138938278 +y_0=0.003962407924815849 +ellps=GRS80 +towgs84=0,0,0,0,0,0,0 +units=us-ft +no_defs </t>
  </si>
  <si>
    <t>PROJCS["NAD83(HARN) / WISCRS Taylor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45.17782208583333],PARAMETER["central_meridian",-90.48333333333333],PARAMETER["scale_factor",1.0000597566],PARAMETER["false_easting",187147.5744],PARAMETER["false_northing",107746.7522],UNIT["metre",1,AUTHORITY["EPSG","9001"]],AXIS["X",EAST],AXIS["Y",NORTH],AUTHORITY["EPSG","8115"]]</t>
  </si>
  <si>
    <t xml:space="preserve">+proj=lcc +lat_1=45.17782208583333 +lat_0=45.17782208583333 +lon_0=-90.48333333333333 +k_0=1.0000597566 +x_0=187147.5744 +y_0=107746.7522 +ellps=GRS80 +towgs84=0,0,0,0,0,0,0 +units=m +no_defs </t>
  </si>
  <si>
    <t>PROJCS["NAD83(HARN) / WISCRS Taylor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45.17782208583333],PARAMETER["central_meridian",-90.48333333333333],PARAMETER["scale_factor",1.0000597566],PARAMETER["false_easting",614000],PARAMETER["false_northing",353499.136],UNIT["US survey foot",0.3048006096012192,AUTHORITY["EPSG","9003"]],AXIS["X",EAST],AXIS["Y",NORTH],AUTHORITY["EPSG","8116"]]</t>
  </si>
  <si>
    <t xml:space="preserve">+proj=lcc +lat_1=45.17782208583333 +lat_0=45.17782208583333 +lon_0=-90.48333333333333 +k_0=1.0000597566 +x_0=187147.5742951486 +y_0=107746.7521463043 +ellps=GRS80 +towgs84=0,0,0,0,0,0,0 +units=us-ft +no_defs </t>
  </si>
  <si>
    <t>PROJCS["NAD83(HARN) / WISCRS St. Croix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44.03611111111111],PARAMETER["central_meridian",-92.63333333333334],PARAMETER["scale_factor",1.0000381803],PARAMETER["false_easting",165506.7302],PARAMETER["false_northing",0.0103],UNIT["metre",1,AUTHORITY["EPSG","9001"]],AXIS["X",EAST],AXIS["Y",NORTH],AUTHORITY["EPSG","8117"]]</t>
  </si>
  <si>
    <t xml:space="preserve">+proj=tmerc +lat_0=44.03611111111111 +lon_0=-92.63333333333334 +k=1.0000381803 +x_0=165506.7302 +y_0=0.0103 +ellps=GRS80 +towgs84=0,0,0,0,0,0,0 +units=m +no_defs </t>
  </si>
  <si>
    <t>PROJCS["NAD83(HARN) / WISCRS St. Croix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44.03611111111111],PARAMETER["central_meridian",-92.63333333333334],PARAMETER["scale_factor",1.0000381803],PARAMETER["false_easting",542999.997],PARAMETER["false_northing",0.034],UNIT["US survey foot",0.3048006096012192,AUTHORITY["EPSG","9003"]],AXIS["X",EAST],AXIS["Y",NORTH],AUTHORITY["EPSG","8118"]]</t>
  </si>
  <si>
    <t xml:space="preserve">+proj=tmerc +lat_0=44.03611111111111 +lon_0=-92.63333333333334 +k=1.0000381803 +x_0=165506.7300990602 +y_0=0.01036322072644145 +ellps=GRS80 +towgs84=0,0,0,0,0,0,0 +units=us-ft +no_defs </t>
  </si>
  <si>
    <t>PROJCS["NAD83(HARN) / WISCRS Shawano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44.03611111111111],PARAMETER["central_meridian",-88.60555555555555],PARAMETER["scale_factor",1.000032144],PARAMETER["false_easting",262433.3253],PARAMETER["false_northing",0.0096],UNIT["metre",1,AUTHORITY["EPSG","9001"]],AXIS["X",EAST],AXIS["Y",NORTH],AUTHORITY["EPSG","8119"]]</t>
  </si>
  <si>
    <t xml:space="preserve">+proj=tmerc +lat_0=44.03611111111111 +lon_0=-88.60555555555555 +k=1.000032144 +x_0=262433.3253 +y_0=0.009599999999999999 +ellps=GRS80 +towgs84=0,0,0,0,0,0,0 +units=m +no_defs </t>
  </si>
  <si>
    <t>PROJCS["NAD83(HARN) / WISCRS Shawano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44.03611111111111],PARAMETER["central_meridian",-88.60555555555555],PARAMETER["scale_factor",1.000032144],PARAMETER["false_easting",861000.0010000002],PARAMETER["false_northing",0.031],UNIT["US survey foot",0.3048006096012192,AUTHORITY["EPSG","9003"]],AXIS["X",EAST],AXIS["Y",NORTH],AUTHORITY["EPSG","8120"]]</t>
  </si>
  <si>
    <t xml:space="preserve">+proj=tmerc +lat_0=44.03611111111111 +lon_0=-88.60555555555555 +k=1.000032144 +x_0=262433.3251714504 +y_0=0.009448818897637795 +ellps=GRS80 +towgs84=0,0,0,0,0,0,0 +units=us-ft +no_defs </t>
  </si>
  <si>
    <t>GEOCCS["IGM95",DATUM["Istituto_Geografico_Militaire_1995",SPHEROID["WGS 84",6378137,298.257223563,AUTHORITY["EPSG","7030"]],AUTHORITY["EPSG","6670"]],PRIMEM["Greenwich",0,AUTHORITY["EPSG","8901"]],UNIT["metre",1,AUTHORITY["EPSG","9001"]],AXIS["Geocentric X",OTHER],AXIS["Geocentric Y",OTHER],AXIS["Geocentric Z",NORTH],AUTHORITY["EPSG","4982"]]</t>
  </si>
  <si>
    <t>PROJCS["NAD83(HARN) / WISCRS Sawyer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45.90009913138888],PARAMETER["central_meridian",-91.11666666666666],PARAMETER["scale_factor",1.0000573461],PARAMETER["false_easting",216713.2336],PARAMETER["false_northing",120734.1631],UNIT["metre",1,AUTHORITY["EPSG","9001"]],AXIS["X",EAST],AXIS["Y",NORTH],AUTHORITY["EPSG","8121"]]</t>
  </si>
  <si>
    <t xml:space="preserve">+proj=lcc +lat_1=45.90009913138888 +lat_0=45.90009913138888 +lon_0=-91.11666666666666 +k_0=1.0000573461 +x_0=216713.2336 +y_0=120734.1631 +ellps=GRS80 +towgs84=0,0,0,0,0,0,0 +units=m +no_defs </t>
  </si>
  <si>
    <t>PROJCS["NAD83(HARN) / WISCRS Sawyer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45.90009913138888],PARAMETER["central_meridian",-91.11666666666666],PARAMETER["scale_factor",1.0000573461],PARAMETER["false_easting",711000.0010000002],PARAMETER["false_northing",396108.667],UNIT["US survey foot",0.3048006096012192,AUTHORITY["EPSG","9003"]],AXIS["X",EAST],AXIS["Y",NORTH],AUTHORITY["EPSG","8122"]]</t>
  </si>
  <si>
    <t xml:space="preserve">+proj=lcc +lat_1=45.90009913138888 +lat_0=45.90009913138888 +lon_0=-91.11666666666666 +k_0=1.0000573461 +x_0=216713.2337312675 +y_0=120734.1631699263 +ellps=GRS80 +towgs84=0,0,0,0,0,0,0 +units=us-ft +no_defs </t>
  </si>
  <si>
    <t>PROJCS["NAD83(HARN) / WISCRS Sauk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42.81944444444445],PARAMETER["central_meridian",-89.9],PARAMETER["scale_factor",1.0000373868],PARAMETER["false_easting",185623.5716],PARAMETER["false_northing",0.0051],UNIT["metre",1,AUTHORITY["EPSG","9001"]],AXIS["X",EAST],AXIS["Y",NORTH],AUTHORITY["EPSG","8123"]]</t>
  </si>
  <si>
    <t xml:space="preserve">+proj=tmerc +lat_0=42.81944444444445 +lon_0=-89.90000000000001 +k=1.0000373868 +x_0=185623.5716 +y_0=0.0051 +ellps=GRS80 +towgs84=0,0,0,0,0,0,0 +units=m +no_defs </t>
  </si>
  <si>
    <t>PROJCS["NAD83(HARN) / WISCRS Sauk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42.81944444444445],PARAMETER["central_meridian",-89.9],PARAMETER["scale_factor",1.0000373868],PARAMETER["false_easting",609000.0010000002],PARAMETER["false_northing",0.017],UNIT["US survey foot",0.3048006096012192,AUTHORITY["EPSG","9003"]],AXIS["X",EAST],AXIS["Y",NORTH],AUTHORITY["EPSG","8124"]]</t>
  </si>
  <si>
    <t xml:space="preserve">+proj=tmerc +lat_0=42.81944444444445 +lon_0=-89.90000000000001 +k=1.0000373868 +x_0=185623.5715519431 +y_0=0.005181610363220727 +ellps=GRS80 +towgs84=0,0,0,0,0,0,0 +units=us-ft +no_defs </t>
  </si>
  <si>
    <t>PROJCS["NAD83(HARN) / WISCRS Rusk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43.91944444444444],PARAMETER["central_meridian",-91.06666666666666],PARAMETER["scale_factor",1.0000495976],PARAMETER["false_easting",250546.1013],PARAMETER["false_northing",0.0234],UNIT["metre",1,AUTHORITY["EPSG","9001"]],AXIS["X",EAST],AXIS["Y",NORTH],AUTHORITY["EPSG","8125"]]</t>
  </si>
  <si>
    <t xml:space="preserve">+proj=tmerc +lat_0=43.91944444444444 +lon_0=-91.06666666666666 +k=1.0000495976 +x_0=250546.1013 +y_0=0.0234 +ellps=GRS80 +towgs84=0,0,0,0,0,0,0 +units=m +no_defs </t>
  </si>
  <si>
    <t>PROJCS["NAD83(HARN) / WISCRS Rusk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43.91944444444444],PARAMETER["central_meridian",-91.06666666666666],PARAMETER["scale_factor",1.0000495976],PARAMETER["false_easting",822000.0010000002],PARAMETER["false_northing",0.077],UNIT["US survey foot",0.3048006096012192,AUTHORITY["EPSG","9003"]],AXIS["X",EAST],AXIS["Y",NORTH],AUTHORITY["EPSG","8126"]]</t>
  </si>
  <si>
    <t xml:space="preserve">+proj=tmerc +lat_0=43.91944444444444 +lon_0=-91.06666666666666 +k=1.0000495976 +x_0=250546.1013970028 +y_0=0.02346964693929388 +ellps=GRS80 +towgs84=0,0,0,0,0,0,0 +units=us-ft +no_defs </t>
  </si>
  <si>
    <t>PROJCS["NAD83(HARN) / WISCRS Rock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41.94444444444444],PARAMETER["central_meridian",-89.07222222222222],PARAMETER["scale_factor",1.0000337311],PARAMETER["false_easting",146304.2926],PARAMETER["false_northing",0.0068],UNIT["metre",1,AUTHORITY["EPSG","9001"]],AXIS["X",EAST],AXIS["Y",NORTH],AUTHORITY["EPSG","8127"]]</t>
  </si>
  <si>
    <t xml:space="preserve">+proj=tmerc +lat_0=41.94444444444444 +lon_0=-89.07222222222222 +k=1.0000337311 +x_0=146304.2926 +y_0=0.0068 +ellps=GRS80 +towgs84=0,0,0,0,0,0,0 +units=m +no_defs </t>
  </si>
  <si>
    <t>PROJCS["NAD83(HARN) / WISCRS Rock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41.94444444444444],PARAMETER["central_meridian",-89.07222222222222],PARAMETER["scale_factor",1.0000337311],PARAMETER["false_easting",480000],PARAMETER["false_northing",0.022],UNIT["US survey foot",0.3048006096012192,AUTHORITY["EPSG","9003"]],AXIS["X",EAST],AXIS["Y",NORTH],AUTHORITY["EPSG","8128"]]</t>
  </si>
  <si>
    <t xml:space="preserve">+proj=tmerc +lat_0=41.94444444444444 +lon_0=-89.07222222222222 +k=1.0000337311 +x_0=146304.2926085852 +y_0=0.006705613411226822 +ellps=GRS80 +towgs84=0,0,0,0,0,0,0 +units=us-ft +no_defs </t>
  </si>
  <si>
    <t>GEOCCS["WGS 72",DATUM["WGS_1972",SPHEROID["WGS 72",6378135,298.26,AUTHORITY["EPSG","7043"]],AUTHORITY["EPSG","6322"]],PRIMEM["Greenwich",0,AUTHORITY["EPSG","8901"]],UNIT["metre",1,AUTHORITY["EPSG","9001"]],AXIS["Geocentric X",OTHER],AXIS["Geocentric Y",OTHER],AXIS["Geocentric Z",NORTH],AUTHORITY["EPSG","4984"]]</t>
  </si>
  <si>
    <t>PROJCS["NAD83(HARN) / WISCRS Richland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43.3223129275],PARAMETER["central_meridian",-90.43055555555556],PARAMETER["scale_factor",1.0000375653],PARAMETER["false_easting",202387.6048],PARAMETER["false_northing",134255.4253],UNIT["metre",1,AUTHORITY["EPSG","9001"]],AXIS["X",EAST],AXIS["Y",NORTH],AUTHORITY["EPSG","8129"]]</t>
  </si>
  <si>
    <t xml:space="preserve">+proj=lcc +lat_1=43.3223129275 +lat_0=43.3223129275 +lon_0=-90.43055555555556 +k_0=1.0000375653 +x_0=202387.6048 +y_0=134255.4253 +ellps=GRS80 +towgs84=0,0,0,0,0,0,0 +units=m +no_defs </t>
  </si>
  <si>
    <t>PROJCS["NAD83(HARN) / WISCRS Richland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43.3223129275],PARAMETER["central_meridian",-90.43055555555556],PARAMETER["scale_factor",1.0000375653],PARAMETER["false_easting",664000],PARAMETER["false_northing",440469.675],UNIT["US survey foot",0.3048006096012192,AUTHORITY["EPSG","9003"]],AXIS["X",EAST],AXIS["Y",NORTH],AUTHORITY["EPSG","8130"]]</t>
  </si>
  <si>
    <t xml:space="preserve">+proj=lcc +lat_1=43.3223129275 +lat_0=43.3223129275 +lon_0=-90.43055555555556 +k_0=1.0000375653 +x_0=202387.6047752095 +y_0=134255.4254508509 +ellps=GRS80 +towgs84=0,0,0,0,0,0,0 +units=us-ft +no_defs </t>
  </si>
  <si>
    <t>PROJCS["NAD83(HARN) / WISCRS Price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44.55555555555555],PARAMETER["central_meridian",-90.48888888888889],PARAMETER["scale_factor",1.0000649554],PARAMETER["false_easting",227990.8546],PARAMETER["false_northing",0.0109],UNIT["metre",1,AUTHORITY["EPSG","9001"]],AXIS["X",EAST],AXIS["Y",NORTH],AUTHORITY["EPSG","8131"]]</t>
  </si>
  <si>
    <t xml:space="preserve">+proj=tmerc +lat_0=44.55555555555555 +lon_0=-90.48888888888889 +k=1.0000649554 +x_0=227990.8546 +y_0=0.0109 +ellps=GRS80 +towgs84=0,0,0,0,0,0,0 +units=m +no_defs </t>
  </si>
  <si>
    <t>PROJCS["NAD83(HARN) / WISCRS Price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44.55555555555555],PARAMETER["central_meridian",-90.48888888888889],PARAMETER["scale_factor",1.0000649554],PARAMETER["false_easting",747999.995],PARAMETER["false_northing",0.036],UNIT["US survey foot",0.3048006096012192,AUTHORITY["EPSG","9003"]],AXIS["X",EAST],AXIS["Y",NORTH],AUTHORITY["EPSG","8132"]]</t>
  </si>
  <si>
    <t xml:space="preserve">+proj=tmerc +lat_0=44.55555555555555 +lon_0=-90.48888888888889 +k=1.0000649554 +x_0=227990.8544577089 +y_0=0.01097282194564389 +ellps=GRS80 +towgs84=0,0,0,0,0,0,0 +units=us-ft +no_defs </t>
  </si>
  <si>
    <t>PROJCS["NAD83(HARN) / WISCRS Portage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44.41682397527777],PARAMETER["central_meridian",-89.5],PARAMETER["scale_factor",1.000039936],PARAMETER["false_easting",56388.1128],PARAMETER["false_northing",50022.1874],UNIT["metre",1,AUTHORITY["EPSG","9001"]],AXIS["X",EAST],AXIS["Y",NORTH],AUTHORITY["EPSG","8133"]]</t>
  </si>
  <si>
    <t xml:space="preserve">+proj=lcc +lat_1=44.41682397527777 +lat_0=44.41682397527777 +lon_0=-89.5 +k_0=1.000039936 +x_0=56388.1128 +y_0=50022.1874 +ellps=GRS80 +towgs84=0,0,0,0,0,0,0 +units=m +no_defs </t>
  </si>
  <si>
    <t>PROJCS["NAD83(HARN) / WISCRS Portage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44.41682397527777],PARAMETER["central_meridian",-89.5],PARAMETER["scale_factor",1.000039936],PARAMETER["false_easting",185000],PARAMETER["false_northing",164114.46],UNIT["US survey foot",0.3048006096012192,AUTHORITY["EPSG","9003"]],AXIS["X",EAST],AXIS["Y",NORTH],AUTHORITY["EPSG","8134"]]</t>
  </si>
  <si>
    <t xml:space="preserve">+proj=lcc +lat_1=44.41682397527777 +lat_0=44.41682397527777 +lon_0=-89.5 +k_0=1.000039936 +x_0=56388.11277622555 +y_0=50022.1874523749 +ellps=GRS80 +towgs84=0,0,0,0,0,0,0 +units=us-ft +no_defs </t>
  </si>
  <si>
    <t>PROJCS["NAD83(HARN) / WISCRS Polk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44.66111111111111],PARAMETER["central_meridian",-92.63333333333334],PARAMETER["scale_factor",1.0000433849],PARAMETER["false_easting",141732.2823],PARAMETER["false_northing",0.0059],UNIT["metre",1,AUTHORITY["EPSG","9001"]],AXIS["X",EAST],AXIS["Y",NORTH],AUTHORITY["EPSG","8135"]]</t>
  </si>
  <si>
    <t xml:space="preserve">+proj=tmerc +lat_0=44.66111111111111 +lon_0=-92.63333333333334 +k=1.0000433849 +x_0=141732.2823 +y_0=0.0059 +ellps=GRS80 +towgs84=0,0,0,0,0,0,0 +units=m +no_defs </t>
  </si>
  <si>
    <t>PROJCS["NAD83(HARN) / WISCRS Polk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44.66111111111111],PARAMETER["central_meridian",-92.63333333333334],PARAMETER["scale_factor",1.0000433849],PARAMETER["false_easting",464999.996],PARAMETER["false_northing",0.019],UNIT["US survey foot",0.3048006096012192,AUTHORITY["EPSG","9003"]],AXIS["X",EAST],AXIS["Y",NORTH],AUTHORITY["EPSG","8136"]]</t>
  </si>
  <si>
    <t xml:space="preserve">+proj=tmerc +lat_0=44.66111111111111 +lon_0=-92.63333333333334 +k=1.0000433849 +x_0=141732.2822453645 +y_0=0.005791211582423164 +ellps=GRS80 +towgs84=0,0,0,0,0,0,0 +units=us-ft +no_defs </t>
  </si>
  <si>
    <t>GEOCCS["WGS 72BE",DATUM["WGS_1972_Transit_Broadcast_Ephemeris",SPHEROID["WGS 72",6378135,298.26,AUTHORITY["EPSG","7043"]],AUTHORITY["EPSG","6324"]],PRIMEM["Greenwich",0,AUTHORITY["EPSG","8901"]],UNIT["metre",1,AUTHORITY["EPSG","9001"]],AXIS["Geocentric X",OTHER],AXIS["Geocentric Y",OTHER],AXIS["Geocentric Z",NORTH],AUTHORITY["EPSG","4986"]]</t>
  </si>
  <si>
    <t>PROJCS["NAD83(HARN) / WISCRS Pepin and Pierce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44.63614887194444],PARAMETER["central_meridian",-92.22777777777777],PARAMETER["scale_factor",1.0000362977],PARAMETER["false_easting",167640.3354],PARAMETER["false_northing",86033.0876],UNIT["metre",1,AUTHORITY["EPSG","9001"]],AXIS["X",EAST],AXIS["Y",NORTH],AUTHORITY["EPSG","8137"]]</t>
  </si>
  <si>
    <t xml:space="preserve">+proj=lcc +lat_1=44.63614887194444 +lat_0=44.63614887194444 +lon_0=-92.22777777777777 +k_0=1.0000362977 +x_0=167640.3354 +y_0=86033.0876 +ellps=GRS80 +towgs84=0,0,0,0,0,0,0 +units=m +no_defs </t>
  </si>
  <si>
    <t>PROJCS["NAD83(HARN) / WISCRS Pepin and Pierce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44.63614887194444],PARAMETER["central_meridian",-92.22777777777777],PARAMETER["scale_factor",1.0000362977],PARAMETER["false_easting",550000],PARAMETER["false_northing",282260.222],UNIT["US survey foot",0.3048006096012192,AUTHORITY["EPSG","9003"]],AXIS["X",EAST],AXIS["Y",NORTH],AUTHORITY["EPSG","8138"]]</t>
  </si>
  <si>
    <t xml:space="preserve">+proj=lcc +lat_1=44.63614887194444 +lat_0=44.63614887194444 +lon_0=-92.22777777777777 +k_0=1.0000362977 +x_0=167640.3352806706 +y_0=86033.08773177546 +ellps=GRS80 +towgs84=0,0,0,0,0,0,0 +units=us-ft +no_defs </t>
  </si>
  <si>
    <t>PROJCS["NAD83(HARN) / WISCRS Oneida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45.70422377027778],PARAMETER["central_meridian",-89.54444444444444],PARAMETER["scale_factor",1.0000686968],PARAMETER["false_easting",70104.1401],PARAMETER["false_northing",57588.0346],UNIT["metre",1,AUTHORITY["EPSG","9001"]],AXIS["X",EAST],AXIS["Y",NORTH],AUTHORITY["EPSG","8139"]]</t>
  </si>
  <si>
    <t xml:space="preserve">+proj=lcc +lat_1=45.70422377027778 +lat_0=45.70422377027778 +lon_0=-89.54444444444444 +k_0=1.0000686968 +x_0=70104.1401 +y_0=57588.0346 +ellps=GRS80 +towgs84=0,0,0,0,0,0,0 +units=m +no_defs </t>
  </si>
  <si>
    <t>PROJCS["NAD83(HARN) / WISCRS Oneida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45.70422377027778],PARAMETER["central_meridian",-89.54444444444444],PARAMETER["scale_factor",1.0000686968],PARAMETER["false_easting",230000],PARAMETER["false_northing",188936.744],UNIT["US survey foot",0.3048006096012192,AUTHORITY["EPSG","9003"]],AXIS["X",EAST],AXIS["Y",NORTH],AUTHORITY["EPSG","8140"]]</t>
  </si>
  <si>
    <t xml:space="preserve">+proj=lcc +lat_1=45.70422377027778 +lat_0=45.70422377027778 +lon_0=-89.54444444444444 +k_0=1.0000686968 +x_0=70104.14020828041 +y_0=57588.03474726949 +ellps=GRS80 +towgs84=0,0,0,0,0,0,0 +units=us-ft +no_defs </t>
  </si>
  <si>
    <t>PROJCS["NAD83(HARN) / WISCRS Oconto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44.39722222222222],PARAMETER["central_meridian",-87.90833333333335],PARAMETER["scale_factor",1.0000236869],PARAMETER["false_easting",182880.3676],PARAMETER["false_northing",0.0033],UNIT["metre",1,AUTHORITY["EPSG","9001"]],AXIS["X",EAST],AXIS["Y",NORTH],AUTHORITY["EPSG","8141"]]</t>
  </si>
  <si>
    <t xml:space="preserve">+proj=tmerc +lat_0=44.39722222222222 +lon_0=-87.90833333333335 +k=1.0000236869 +x_0=182880.3676 +y_0=0.0033 +ellps=GRS80 +towgs84=0,0,0,0,0,0,0 +units=m +no_defs </t>
  </si>
  <si>
    <t>PROJCS["NAD83(HARN) / WISCRS Oconto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44.39722222222222],PARAMETER["central_meridian",-87.90833333333335],PARAMETER["scale_factor",1.0000236869],PARAMETER["false_easting",600000.0060000002],PARAMETER["false_northing",0.011],UNIT["US survey foot",0.3048006096012192,AUTHORITY["EPSG","9003"]],AXIS["X",EAST],AXIS["Y",NORTH],AUTHORITY["EPSG","8142"]]</t>
  </si>
  <si>
    <t xml:space="preserve">+proj=tmerc +lat_0=44.39722222222222 +lon_0=-87.90833333333335 +k=1.0000236869 +x_0=182880.3675895352 +y_0=0.003352806705613411 +ellps=GRS80 +towgs84=0,0,0,0,0,0,0 +units=us-ft +no_defs </t>
  </si>
  <si>
    <t>PROJCS["NAD83(HARN) / WISCRS Monroe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44.00007392861111],PARAMETER["central_meridian",-90.64166666666668],PARAMETER["scale_factor",1.0000434122],PARAMETER["false_easting",204521.209],PARAMETER["false_northing",121923.9861],UNIT["metre",1,AUTHORITY["EPSG","9001"]],AXIS["X",EAST],AXIS["Y",NORTH],AUTHORITY["EPSG","8143"]]</t>
  </si>
  <si>
    <t xml:space="preserve">+proj=lcc +lat_1=44.00007392861111 +lat_0=44.00007392861111 +lon_0=-90.64166666666668 +k_0=1.0000434122 +x_0=204521.209 +y_0=121923.9861 +ellps=GRS80 +towgs84=0,0,0,0,0,0,0 +units=m +no_defs </t>
  </si>
  <si>
    <t>PROJCS["NAD83(HARN) / WISCRS Monroe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44.00007392861111],PARAMETER["central_meridian",-90.64166666666668],PARAMETER["scale_factor",1.0000434122],PARAMETER["false_easting",671000],PARAMETER["false_northing",400012.278],UNIT["US survey foot",0.3048006096012192,AUTHORITY["EPSG","9003"]],AXIS["X",EAST],AXIS["Y",NORTH],AUTHORITY["EPSG","8144"]]</t>
  </si>
  <si>
    <t xml:space="preserve">+proj=lcc +lat_1=44.00007392861111 +lat_0=44.00007392861111 +lon_0=-90.64166666666668 +k_0=1.0000434122 +x_0=204521.2090424181 +y_0=121923.9861823724 +ellps=GRS80 +towgs84=0,0,0,0,0,0,0 +units=us-ft +no_defs </t>
  </si>
  <si>
    <t>PROJCS["NAD83(HARN) / WISCRS Menominee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44.71666666666667],PARAMETER["central_meridian",-88.41666666666667],PARAMETER["scale_factor",1.0000362499],PARAMETER["false_easting",105461.0121],PARAMETER["false_northing",0.0029],UNIT["metre",1,AUTHORITY["EPSG","9001"]],AXIS["X",EAST],AXIS["Y",NORTH],AUTHORITY["EPSG","8145"]]</t>
  </si>
  <si>
    <t xml:space="preserve">+proj=tmerc +lat_0=44.71666666666667 +lon_0=-88.41666666666667 +k=1.0000362499 +x_0=105461.0121 +y_0=0.0029 +ellps=GRS80 +towgs84=0,0,0,0,0,0,0 +units=m +no_defs </t>
  </si>
  <si>
    <t>PROJCS["NAD83(HARN) / WISCRS Menominee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44.71666666666667],PARAMETER["central_meridian",-88.41666666666667],PARAMETER["scale_factor",1.0000362499],PARAMETER["false_easting",346000.004],PARAMETER["false_northing",0.01],UNIT["US survey foot",0.3048006096012192,AUTHORITY["EPSG","9003"]],AXIS["X",EAST],AXIS["Y",NORTH],AUTHORITY["EPSG","8146"]]</t>
  </si>
  <si>
    <t xml:space="preserve">+proj=tmerc +lat_0=44.71666666666667 +lon_0=-88.41666666666667 +k=1.0000362499 +x_0=105461.0121412243 +y_0=0.003048006096012192 +ellps=GRS80 +towgs84=0,0,0,0,0,0,0 +units=us-ft +no_defs </t>
  </si>
  <si>
    <t>PROJCS["NAD83(HARN) / WISCRS Marinette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44.69166666666666],PARAMETER["central_meridian",-87.71111111111111],PARAMETER["scale_factor",1.0000234982],PARAMETER["false_easting",238658.8794],PARAMETER["false_northing",0.0032],UNIT["metre",1,AUTHORITY["EPSG","9001"]],AXIS["X",EAST],AXIS["Y",NORTH],AUTHORITY["EPSG","8147"]]</t>
  </si>
  <si>
    <t xml:space="preserve">+proj=tmerc +lat_0=44.69166666666666 +lon_0=-87.71111111111111 +k=1.0000234982 +x_0=238658.8794 +y_0=0.0032 +ellps=GRS80 +towgs84=0,0,0,0,0,0,0 +units=m +no_defs </t>
  </si>
  <si>
    <t>PROJCS["NAD83(HARN) / WISCRS Marinette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44.69166666666666],PARAMETER["central_meridian",-87.71111111111111],PARAMETER["scale_factor",1.0000234982],PARAMETER["false_easting",783000.007],PARAMETER["false_northing",0.01],UNIT["US survey foot",0.3048006096012192,AUTHORITY["EPSG","9003"]],AXIS["X",EAST],AXIS["Y",NORTH],AUTHORITY["EPSG","8148"]]</t>
  </si>
  <si>
    <t xml:space="preserve">+proj=tmerc +lat_0=44.69166666666666 +lon_0=-87.71111111111111 +k=1.0000234982 +x_0=238658.8794513589 +y_0=0.003048006096012192 +ellps=GRS80 +towgs84=0,0,0,0,0,0,0 +units=us-ft +no_defs </t>
  </si>
  <si>
    <t>PROJCS["NAD83(HARN) / WISCRS Marathon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44.90090442361111],PARAMETER["central_meridian",-89.77],PARAMETER["scale_factor",1.000053289],PARAMETER["false_easting",74676.1493],PARAMETER["false_northing",55049.2669],UNIT["metre",1,AUTHORITY["EPSG","9001"]],AXIS["X",EAST],AXIS["Y",NORTH],AUTHORITY["EPSG","8149"]]</t>
  </si>
  <si>
    <t xml:space="preserve">+proj=lcc +lat_1=44.90090442361111 +lat_0=44.90090442361111 +lon_0=-89.77 +k_0=1.000053289 +x_0=74676.1493 +y_0=55049.2669 +ellps=GRS80 +towgs84=0,0,0,0,0,0,0 +units=m +no_defs </t>
  </si>
  <si>
    <t>PROJCS["NAD83(HARN) / WISCRS Marathon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44.90090442361111],PARAMETER["central_meridian",-89.77],PARAMETER["scale_factor",1.000053289],PARAMETER["false_easting",245000],PARAMETER["false_northing",180607.47],UNIT["US survey foot",0.3048006096012192,AUTHORITY["EPSG","9003"]],AXIS["X",EAST],AXIS["Y",NORTH],AUTHORITY["EPSG","8150"]]</t>
  </si>
  <si>
    <t xml:space="preserve">+proj=lcc +lat_1=44.90090442361111 +lat_0=44.90090442361111 +lon_0=-89.77 +k_0=1.000053289 +x_0=74676.1493522987 +y_0=55049.26695453391 +ellps=GRS80 +towgs84=0,0,0,0,0,0,0 +units=us-ft +no_defs </t>
  </si>
  <si>
    <t>PROJCS["NAD83(HARN) / WISCRS Lincoln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44.84444444444445],PARAMETER["central_meridian",-89.73333333333333],PARAMETER["scale_factor",1.0000599003],PARAMETER["false_easting",116129.0323],PARAMETER["false_northing",0.0058],UNIT["metre",1,AUTHORITY["EPSG","9001"]],AXIS["X",EAST],AXIS["Y",NORTH],AUTHORITY["EPSG","8151"]]</t>
  </si>
  <si>
    <t xml:space="preserve">+proj=tmerc +lat_0=44.84444444444445 +lon_0=-89.73333333333333 +k=1.0000599003 +x_0=116129.0323 +y_0=0.0058 +ellps=GRS80 +towgs84=0,0,0,0,0,0,0 +units=m +no_defs </t>
  </si>
  <si>
    <t>PROJCS["NAD83(HARN) / WISCRS Lincoln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44.84444444444445],PARAMETER["central_meridian",-89.73333333333333],PARAMETER["scale_factor",1.0000599003],PARAMETER["false_easting",381000],PARAMETER["false_northing",0.019],UNIT["US survey foot",0.3048006096012192,AUTHORITY["EPSG","9003"]],AXIS["X",EAST],AXIS["Y",NORTH],AUTHORITY["EPSG","8152"]]</t>
  </si>
  <si>
    <t xml:space="preserve">+proj=tmerc +lat_0=44.84444444444445 +lon_0=-89.73333333333333 +k=1.0000599003 +x_0=116129.0322580645 +y_0=0.005791211582423164 +ellps=GRS80 +towgs84=0,0,0,0,0,0,0 +units=us-ft +no_defs </t>
  </si>
  <si>
    <t>GEOCCS["SIRGAS 2000",DATUM["Sistema_de_Referencia_Geocentrico_para_las_AmericaS_2000",SPHEROID["GRS 1980",6378137,298.257222101,AUTHORITY["EPSG","7019"]],AUTHORITY["EPSG","6674"]],PRIMEM["Greenwich",0,AUTHORITY["EPSG","8901"]],UNIT["metre",1,AUTHORITY["EPSG","9001"]],AXIS["Geocentric X",OTHER],AXIS["Geocentric Y",OTHER],AXIS["Geocentric Z",NORTH],AUTHORITY["EPSG","4988"]]</t>
  </si>
  <si>
    <t>PROJCS["NAD83(HARN) / WISCRS Langlade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45.15423710527778],PARAMETER["central_meridian",-89.03333333333333],PARAMETER["scale_factor",1.0000627024],PARAMETER["false_easting",198425.197],PARAMETER["false_northing",105279.7829],UNIT["metre",1,AUTHORITY["EPSG","9001"]],AXIS["X",EAST],AXIS["Y",NORTH],AUTHORITY["EPSG","8153"]]</t>
  </si>
  <si>
    <t xml:space="preserve">+proj=lcc +lat_1=45.15423710527778 +lat_0=45.15423710527778 +lon_0=-89.03333333333333 +k_0=1.0000627024 +x_0=198425.197 +y_0=105279.7829 +ellps=GRS80 +towgs84=0,0,0,0,0,0,0 +units=m +no_defs </t>
  </si>
  <si>
    <t>PROJCS["NAD83(HARN) / WISCRS Langlade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45.15423710527778],PARAMETER["central_meridian",-89.03333333333333],PARAMETER["scale_factor",1.0000627024],PARAMETER["false_easting",651000],PARAMETER["false_northing",345405.421],UNIT["US survey foot",0.3048006096012192,AUTHORITY["EPSG","9003"]],AXIS["X",EAST],AXIS["Y",NORTH],AUTHORITY["EPSG","8154"]]</t>
  </si>
  <si>
    <t xml:space="preserve">+proj=lcc +lat_1=45.15423710527778 +lat_0=45.15423710527778 +lon_0=-89.03333333333333 +k_0=1.0000627024 +x_0=198425.1968503937 +y_0=105279.7828803657 +ellps=GRS80 +towgs84=0,0,0,0,0,0,0 +units=us-ft +no_defs </t>
  </si>
  <si>
    <t>PROJCS["NAD83(HARN) / WISCRS La Crosse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43.45111111111111],PARAMETER["central_meridian",-91.31666666666666],PARAMETER["scale_factor",1.0000319985],PARAMETER["false_easting",130454.6598],PARAMETER["false_northing",0.0033],UNIT["metre",1,AUTHORITY["EPSG","9001"]],AXIS["X",EAST],AXIS["Y",NORTH],AUTHORITY["EPSG","8155"]]</t>
  </si>
  <si>
    <t xml:space="preserve">+proj=tmerc +lat_0=43.45111111111111 +lon_0=-91.31666666666666 +k=1.0000319985 +x_0=130454.6598 +y_0=0.0033 +ellps=GRS80 +towgs84=0,0,0,0,0,0,0 +units=m +no_defs </t>
  </si>
  <si>
    <t>PROJCS["NAD83(HARN) / WISCRS La Crosse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43.45111111111111],PARAMETER["central_meridian",-91.31666666666666],PARAMETER["scale_factor",1.0000319985],PARAMETER["false_easting",427999.996],PARAMETER["false_northing",0.011],UNIT["US survey foot",0.3048006096012192,AUTHORITY["EPSG","9003"]],AXIS["X",EAST],AXIS["Y",NORTH],AUTHORITY["EPSG","8156"]]</t>
  </si>
  <si>
    <t xml:space="preserve">+proj=tmerc +lat_0=43.45111111111111 +lon_0=-91.31666666666666 +k=1.0000319985 +x_0=130454.6596901194 +y_0=0.003352806705613411 +ellps=GRS80 +towgs84=0,0,0,0,0,0,0 +units=us-ft +no_defs </t>
  </si>
  <si>
    <t>PROJCS["NAD83(HARN) / WISCRS Kewaunee, Manitowoc and Sheboygan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43.26666666666667],PARAMETER["central_meridian",-87.55],PARAMETER["scale_factor",1.0000233704],PARAMETER["false_easting",79857.7614],PARAMETER["false_northing",0.0012],UNIT["metre",1,AUTHORITY["EPSG","9001"]],AXIS["X",EAST],AXIS["Y",NORTH],AUTHORITY["EPSG","8157"]]</t>
  </si>
  <si>
    <t xml:space="preserve">+proj=tmerc +lat_0=43.26666666666667 +lon_0=-87.55 +k=1.0000233704 +x_0=79857.7614 +y_0=0.0012 +ellps=GRS80 +towgs84=0,0,0,0,0,0,0 +units=m +no_defs </t>
  </si>
  <si>
    <t>PROJCS["NAD83(HARN) / WISCRS Kewaunee, Manitowoc and Sheboygan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43.26666666666667],PARAMETER["central_meridian",-87.55],PARAMETER["scale_factor",1.0000233704],PARAMETER["false_easting",262000.006],PARAMETER["false_northing",0.004],UNIT["US survey foot",0.3048006096012192,AUTHORITY["EPSG","9003"]],AXIS["X",EAST],AXIS["Y",NORTH],AUTHORITY["EPSG","8158"]]</t>
  </si>
  <si>
    <t xml:space="preserve">+proj=tmerc +lat_0=43.26666666666667 +lon_0=-87.55 +k=1.0000233704 +x_0=79857.76154432308 +y_0=0.001219202438404877 +ellps=GRS80 +towgs84=0,0,0,0,0,0,0 +units=us-ft +no_defs </t>
  </si>
  <si>
    <t>PROJCS["NAD83(HARN) / WISCRS Kenosha, Milwaukee, Ozaukee and Racine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42.21666666666667],PARAMETER["central_meridian",-87.89444444444445],PARAMETER["scale_factor",1.0000260649],PARAMETER["false_easting",185928.3728],PARAMETER["false_northing",0.0009],UNIT["metre",1,AUTHORITY["EPSG","9001"]],AXIS["X",EAST],AXIS["Y",NORTH],AUTHORITY["EPSG","8159"]]</t>
  </si>
  <si>
    <t xml:space="preserve">+proj=tmerc +lat_0=42.21666666666667 +lon_0=-87.89444444444445 +k=1.0000260649 +x_0=185928.3728 +y_0=0.0009 +ellps=GRS80 +towgs84=0,0,0,0,0,0,0 +units=m +no_defs </t>
  </si>
  <si>
    <t>PROJCS["NAD83(HARN) / WISCRS Kenosha, Milwaukee, Ozaukee and Racine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42.21666666666667],PARAMETER["central_meridian",-87.89444444444445],PARAMETER["scale_factor",1.0000260649],PARAMETER["false_easting",610000.003],PARAMETER["false_northing",0.003],UNIT["US survey foot",0.3048006096012192,AUTHORITY["EPSG","9003"]],AXIS["X",EAST],AXIS["Y",NORTH],AUTHORITY["EPSG","8160"]]</t>
  </si>
  <si>
    <t xml:space="preserve">+proj=tmerc +lat_0=42.21666666666667 +lon_0=-87.89444444444445 +k=1.0000260649 +x_0=185928.3727711455 +y_0=0.0009144018288036576 +ellps=GRS80 +towgs84=0,0,0,0,0,0,0 +units=us-ft +no_defs </t>
  </si>
  <si>
    <t>GEOCCS["Lao 1993",DATUM["Lao_1993",SPHEROID["Krassowsky 1940",6378245,298.3,AUTHORITY["EPSG","7024"]],AUTHORITY["EPSG","6677"]],PRIMEM["Greenwich",0,AUTHORITY["EPSG","8901"]],UNIT["metre",1,AUTHORITY["EPSG","9001"]],AXIS["Geocentric X",OTHER],AXIS["Geocentric Y",OTHER],AXIS["Geocentric Z",NORTH],AUTHORITY["EPSG","4990"]]</t>
  </si>
  <si>
    <t>PROJCS["NAD83(HARN) / WISCRS Jackson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44.25333512777778],PARAMETER["central_meridian",-90.84429651944444],PARAMETER["scale_factor",1.0000353],PARAMETER["false_easting",27000],PARAMETER["false_northing",25000],UNIT["metre",1,AUTHORITY["EPSG","9001"]],AXIS["X",EAST],AXIS["Y",NORTH],AUTHORITY["EPSG","8161"]]</t>
  </si>
  <si>
    <t xml:space="preserve">+proj=tmerc +lat_0=44.25333512777778 +lon_0=-90.84429651944444 +k=1.0000353 +x_0=27000 +y_0=25000 +ellps=GRS80 +towgs84=0,0,0,0,0,0,0 +units=m +no_defs </t>
  </si>
  <si>
    <t>PROJCS["NAD83(HARN) / WISCRS Jackson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44.25333512777778],PARAMETER["central_meridian",-90.84429651944444],PARAMETER["scale_factor",1.0000353],PARAMETER["false_easting",88582.5],PARAMETER["false_northing",82020.833],UNIT["US survey foot",0.3048006096012192,AUTHORITY["EPSG","9003"]],AXIS["X",EAST],AXIS["Y",NORTH],AUTHORITY["EPSG","8162"]]</t>
  </si>
  <si>
    <t xml:space="preserve">+proj=tmerc +lat_0=44.25333512777778 +lon_0=-90.84429651944444 +k=1.0000353 +x_0=27000 +y_0=24999.99989839979 +ellps=GRS80 +towgs84=0,0,0,0,0,0,0 +units=us-ft +no_defs </t>
  </si>
  <si>
    <t>PROJCS["NAD83(HARN) / WISCRS Iron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45.43333333333333],PARAMETER["central_meridian",-90.25555555555556],PARAMETER["scale_factor",1.0000677153],PARAMETER["false_easting",220980.4419],PARAMETER["false_northing",0.0085],UNIT["metre",1,AUTHORITY["EPSG","9001"]],AXIS["X",EAST],AXIS["Y",NORTH],AUTHORITY["EPSG","8163"]]</t>
  </si>
  <si>
    <t xml:space="preserve">+proj=tmerc +lat_0=45.43333333333333 +lon_0=-90.25555555555556 +k=1.0000677153 +x_0=220980.4419 +y_0=0.008500000000000001 +ellps=GRS80 +towgs84=0,0,0,0,0,0,0 +units=m +no_defs </t>
  </si>
  <si>
    <t>PROJCS["NAD83(HARN) / WISCRS Iron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45.43333333333333],PARAMETER["central_meridian",-90.25555555555556],PARAMETER["scale_factor",1.0000677153],PARAMETER["false_easting",725000],PARAMETER["false_northing",0.028],UNIT["US survey foot",0.3048006096012192,AUTHORITY["EPSG","9003"]],AXIS["X",EAST],AXIS["Y",NORTH],AUTHORITY["EPSG","8164"]]</t>
  </si>
  <si>
    <t xml:space="preserve">+proj=tmerc +lat_0=45.43333333333333 +lon_0=-90.25555555555556 +k=1.0000677153 +x_0=220980.4419608839 +y_0=0.008534417068834137 +ellps=GRS80 +towgs84=0,0,0,0,0,0,0 +units=us-ft +no_defs </t>
  </si>
  <si>
    <t>PROJCS["NAD83(HARN) / WISCRS Iowa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42.53888888888888],PARAMETER["central_meridian",-90.16111111111111],PARAMETER["scale_factor",1.0000394961],PARAMETER["false_easting",113081.0261],PARAMETER["false_northing",0.0045],UNIT["metre",1,AUTHORITY["EPSG","9001"]],AXIS["X",EAST],AXIS["Y",NORTH],AUTHORITY["EPSG","8165"]]</t>
  </si>
  <si>
    <t xml:space="preserve">+proj=tmerc +lat_0=42.53888888888888 +lon_0=-90.16111111111111 +k=1.0000394961 +x_0=113081.0261 +y_0=0.0045 +ellps=GRS80 +towgs84=0,0,0,0,0,0,0 +units=m +no_defs </t>
  </si>
  <si>
    <t>PROJCS["NAD83(HARN) / WISCRS Iowa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42.53888888888888],PARAMETER["central_meridian",-90.16111111111111],PARAMETER["scale_factor",1.0000394961],PARAMETER["false_easting",371000],PARAMETER["false_northing",0.015],UNIT["US survey foot",0.3048006096012192,AUTHORITY["EPSG","9003"]],AXIS["X",EAST],AXIS["Y",NORTH],AUTHORITY["EPSG","8166"]]</t>
  </si>
  <si>
    <t xml:space="preserve">+proj=tmerc +lat_0=42.53888888888888 +lon_0=-90.16111111111111 +k=1.0000394961 +x_0=113081.0261620523 +y_0=0.004572009144018288 +ellps=GRS80 +towgs84=0,0,0,0,0,0,0 +units=us-ft +no_defs </t>
  </si>
  <si>
    <t>PROJCS["NAD83(HARN) / WISCRS Green Lake and Marquette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43.80700011777778],PARAMETER["central_meridian",-89.24166666666667],PARAMETER["scale_factor",1.0000344057],PARAMETER["false_easting",150876.3018],PARAMETER["false_northing",79170.7795],UNIT["metre",1,AUTHORITY["EPSG","9001"]],AXIS["X",EAST],AXIS["Y",NORTH],AUTHORITY["EPSG","8167"]]</t>
  </si>
  <si>
    <t xml:space="preserve">+proj=lcc +lat_1=43.80700011777778 +lat_0=43.80700011777778 +lon_0=-89.24166666666667 +k_0=1.0000344057 +x_0=150876.3018 +y_0=79170.7795 +ellps=GRS80 +towgs84=0,0,0,0,0,0,0 +units=m +no_defs </t>
  </si>
  <si>
    <t>PROJCS["NAD83(HARN) / WISCRS Green Lake and Marquette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43.80700011777778],PARAMETER["central_meridian",-89.24166666666667],PARAMETER["scale_factor",1.0000344057],PARAMETER["false_easting",495000],PARAMETER["false_northing",259746.132],UNIT["US survey foot",0.3048006096012192,AUTHORITY["EPSG","9003"]],AXIS["X",EAST],AXIS["Y",NORTH],AUTHORITY["EPSG","8168"]]</t>
  </si>
  <si>
    <t xml:space="preserve">+proj=lcc +lat_1=43.80700011777778 +lat_0=43.80700011777778 +lon_0=-89.24166666666667 +k_0=1.0000344057 +x_0=150876.3017526035 +y_0=79170.77937515875 +ellps=GRS80 +towgs84=0,0,0,0,0,0,0 +units=us-ft +no_defs </t>
  </si>
  <si>
    <t>GEOCCS["Lao 1997",DATUM["Lao_National_Datum_1997",SPHEROID["Krassowsky 1940",6378245,298.3,AUTHORITY["EPSG","7024"]],AUTHORITY["EPSG","6678"]],PRIMEM["Greenwich",0,AUTHORITY["EPSG","8901"]],UNIT["metre",1,AUTHORITY["EPSG","9001"]],AXIS["Geocentric X",OTHER],AXIS["Geocentric Y",OTHER],AXIS["Geocentric Z",NORTH],AUTHORITY["EPSG","4992"]]</t>
  </si>
  <si>
    <t>PROJCS["NAD83(HARN) / WISCRS Green and Lafayette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42.63756227694444],PARAMETER["central_meridian",-89.83888888888889],PARAMETER["scale_factor",1.0000390487],PARAMETER["false_easting",170078.7403],PARAMETER["false_northing",45830.2947],UNIT["metre",1,AUTHORITY["EPSG","9001"]],AXIS["X",EAST],AXIS["Y",NORTH],AUTHORITY["EPSG","8169"]]</t>
  </si>
  <si>
    <t xml:space="preserve">+proj=lcc +lat_1=42.63756227694444 +lat_0=42.63756227694444 +lon_0=-89.83888888888889 +k_0=1.0000390487 +x_0=170078.7403 +y_0=45830.2947 +ellps=GRS80 +towgs84=0,0,0,0,0,0,0 +units=m +no_defs </t>
  </si>
  <si>
    <t>PROJCS["NAD83(HARN) / WISCRS Green and Lafayette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42.63756227694444],PARAMETER["central_meridian",-89.83888888888889],PARAMETER["scale_factor",1.0000390487],PARAMETER["false_easting",558000],PARAMETER["false_northing",150361.559],UNIT["US survey foot",0.3048006096012192,AUTHORITY["EPSG","9003"]],AXIS["X",EAST],AXIS["Y",NORTH],AUTHORITY["EPSG","8170"]]</t>
  </si>
  <si>
    <t xml:space="preserve">+proj=lcc +lat_1=42.63756227694444 +lat_0=42.63756227694444 +lon_0=-89.83888888888889 +k_0=1.0000390487 +x_0=170078.7401574803 +y_0=45830.29484378968 +ellps=GRS80 +towgs84=0,0,0,0,0,0,0 +units=us-ft +no_defs </t>
  </si>
  <si>
    <t>PROJCS["NAD83(HARN) / WISCRS Grant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41.41111111111111],PARAMETER["central_meridian",-90.8],PARAMETER["scale_factor",1.0000349452],PARAMETER["false_easting",242316.4841],PARAMETER["false_northing",0.01],UNIT["metre",1,AUTHORITY["EPSG","9001"]],AXIS["X",EAST],AXIS["Y",NORTH],AUTHORITY["EPSG","8171"]]</t>
  </si>
  <si>
    <t xml:space="preserve">+proj=tmerc +lat_0=41.41111111111111 +lon_0=-90.8 +k=1.0000349452 +x_0=242316.4841 +y_0=0.01 +ellps=GRS80 +towgs84=0,0,0,0,0,0,0 +units=m +no_defs </t>
  </si>
  <si>
    <t>PROJCS["NAD83(HARN) / WISCRS Grant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41.41111111111111],PARAMETER["central_meridian",-90.8],PARAMETER["scale_factor",1.0000349452],PARAMETER["false_easting",794999.998],PARAMETER["false_northing",0.033],UNIT["US survey foot",0.3048006096012192,AUTHORITY["EPSG","9003"]],AXIS["X",EAST],AXIS["Y",NORTH],AUTHORITY["EPSG","8172"]]</t>
  </si>
  <si>
    <t xml:space="preserve">+proj=tmerc +lat_0=41.41111111111111 +lon_0=-90.8 +k=1.0000349452 +x_0=242316.484023368 +y_0=0.01005842011684023 +ellps=GRS80 +towgs84=0,0,0,0,0,0,0 +units=us-ft +no_defs </t>
  </si>
  <si>
    <t>PROJCS["NAD83(HARN) / WISCRS Forest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44.00555555555555],PARAMETER["central_meridian",-88.63333333333334],PARAMETER["scale_factor",1.0000673004],PARAMETER["false_easting",275844.5533],PARAMETER["false_northing",0.0157],UNIT["metre",1,AUTHORITY["EPSG","9001"]],AXIS["X",EAST],AXIS["Y",NORTH],AUTHORITY["EPSG","8173"]]</t>
  </si>
  <si>
    <t xml:space="preserve">+proj=tmerc +lat_0=44.00555555555555 +lon_0=-88.63333333333334 +k=1.0000673004 +x_0=275844.5533 +y_0=0.0157 +ellps=GRS80 +towgs84=0,0,0,0,0,0,0 +units=m +no_defs </t>
  </si>
  <si>
    <t>PROJCS["NAD83(HARN) / WISCRS Forest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44.00555555555555],PARAMETER["central_meridian",-88.63333333333334],PARAMETER["scale_factor",1.0000673004],PARAMETER["false_easting",905000.0050000002],PARAMETER["false_northing",0.052],UNIT["US survey foot",0.3048006096012192,AUTHORITY["EPSG","9003"]],AXIS["X",EAST],AXIS["Y",NORTH],AUTHORITY["EPSG","8177"]]</t>
  </si>
  <si>
    <t xml:space="preserve">+proj=tmerc +lat_0=44.00555555555555 +lon_0=-88.63333333333334 +k=1.0000673004 +x_0=275844.5532131065 +y_0=0.0158496316992634 +ellps=GRS80 +towgs84=0,0,0,0,0,0,0 +units=us-ft +no_defs </t>
  </si>
  <si>
    <t>PROJCS["NAD83(HARN) / WISCRS Dunn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44.40833333333333],PARAMETER["central_meridian",-91.89444444444445],PARAMETER["scale_factor",1.0000410324],PARAMETER["false_easting",51816.104],PARAMETER["false_northing",0.003],UNIT["metre",1,AUTHORITY["EPSG","9001"]],AXIS["X",EAST],AXIS["Y",NORTH],AUTHORITY["EPSG","8179"]]</t>
  </si>
  <si>
    <t xml:space="preserve">+proj=tmerc +lat_0=44.40833333333333 +lon_0=-91.89444444444445 +k=1.0000410324 +x_0=51816.104 +y_0=0.003 +ellps=GRS80 +towgs84=0,0,0,0,0,0,0 +units=m +no_defs </t>
  </si>
  <si>
    <t>PROJCS["NAD83(HARN) / WISCRS Dunn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44.40833333333333],PARAMETER["central_meridian",-91.89444444444445],PARAMETER["scale_factor",1.0000410324],PARAMETER["false_easting",170000.001],PARAMETER["false_northing",0.01],UNIT["US survey foot",0.3048006096012192,AUTHORITY["EPSG","9003"]],AXIS["X",EAST],AXIS["Y",NORTH],AUTHORITY["EPSG","8180"]]</t>
  </si>
  <si>
    <t xml:space="preserve">+proj=tmerc +lat_0=44.40833333333333 +lon_0=-91.89444444444445 +k=1.0000410324 +x_0=51816.10393700787 +y_0=0.003048006096012192 +ellps=GRS80 +towgs84=0,0,0,0,0,0,0 +units=us-ft +no_defs </t>
  </si>
  <si>
    <t>GEOCCS["PRS92",DATUM["Philippine_Reference_System_1992",SPHEROID["Clarke 1866",6378206.4,294.9786982138982,AUTHORITY["EPSG","7008"]],AUTHORITY["EPSG","6683"]],PRIMEM["Greenwich",0,AUTHORITY["EPSG","8901"]],UNIT["metre",1,AUTHORITY["EPSG","9001"]],AXIS["Geocentric X",OTHER],AXIS["Geocentric Y",OTHER],AXIS["Geocentric Z",NORTH],AUTHORITY["EPSG","4994"]]</t>
  </si>
  <si>
    <t>PROJCS["NAD83(HARN) / WISCRS Douglas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45.88333333333333],PARAMETER["central_meridian",-91.91666666666667],PARAMETER["scale_factor",1.0000385418],PARAMETER["false_easting",59131.3183],PARAMETER["false_northing",0.0041],UNIT["metre",1,AUTHORITY["EPSG","9001"]],AXIS["X",EAST],AXIS["Y",NORTH],AUTHORITY["EPSG","8181"]]</t>
  </si>
  <si>
    <t xml:space="preserve">+proj=tmerc +lat_0=45.88333333333333 +lon_0=-91.91666666666667 +k=1.0000385418 +x_0=59131.3183 +y_0=0.0041 +ellps=GRS80 +towgs84=0,0,0,0,0,0,0 +units=m +no_defs </t>
  </si>
  <si>
    <t>PROJCS["NAD83(HARN) / WISCRS Douglas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45.88333333333333],PARAMETER["central_meridian",-91.91666666666667],PARAMETER["scale_factor",1.0000385418],PARAMETER["false_easting",194000],PARAMETER["false_northing",0.013],UNIT["US survey foot",0.3048006096012192,AUTHORITY["EPSG","9003"]],AXIS["X",EAST],AXIS["Y",NORTH],AUTHORITY["EPSG","8182"]]</t>
  </si>
  <si>
    <t xml:space="preserve">+proj=tmerc +lat_0=45.88333333333333 +lon_0=-91.91666666666667 +k=1.0000385418 +x_0=59131.31826263652 +y_0=0.003962407924815849 +ellps=GRS80 +towgs84=0,0,0,0,0,0,0 +units=us-ft +no_defs </t>
  </si>
  <si>
    <t>PROJCS["NAD83(HARN) / WISCRS Door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44.4],PARAMETER["central_meridian",-87.27222222222223],PARAMETER["scale_factor",1.0000187521],PARAMETER["false_easting",158801.1176],PARAMETER["false_northing",0.0023],UNIT["metre",1,AUTHORITY["EPSG","9001"]],AXIS["X",EAST],AXIS["Y",NORTH],AUTHORITY["EPSG","8184"]]</t>
  </si>
  <si>
    <t xml:space="preserve">+proj=tmerc +lat_0=44.4 +lon_0=-87.27222222222223 +k=1.0000187521 +x_0=158801.1176 +y_0=0.0023 +ellps=GRS80 +towgs84=0,0,0,0,0,0,0 +units=m +no_defs </t>
  </si>
  <si>
    <t>PROJCS["NAD83(HARN) / WISCRS Door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44.4],PARAMETER["central_meridian",-87.27222222222223],PARAMETER["scale_factor",1.0000187521],PARAMETER["false_easting",521000],PARAMETER["false_northing",0.008000000000000002],UNIT["US survey foot",0.3048006096012192,AUTHORITY["EPSG","9003"]],AXIS["X",EAST],AXIS["Y",NORTH],AUTHORITY["EPSG","8185"]]</t>
  </si>
  <si>
    <t xml:space="preserve">+proj=tmerc +lat_0=44.4 +lon_0=-87.27222222222223 +k=1.0000187521 +x_0=158801.1176022352 +y_0=0.002438404876809754 +ellps=GRS80 +towgs84=0,0,0,0,0,0,0 +units=us-ft +no_defs </t>
  </si>
  <si>
    <t>PROJCS["NAD83(HARN) / WISCRS Dodge and Jefferson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41.47222222222222],PARAMETER["central_meridian",-88.775],PARAMETER["scale_factor",1.0000346418],PARAMETER["false_easting",263347.7263],PARAMETER["false_northing",0.0076],UNIT["metre",1,AUTHORITY["EPSG","9001"]],AXIS["X",EAST],AXIS["Y",NORTH],AUTHORITY["EPSG","8187"]]</t>
  </si>
  <si>
    <t xml:space="preserve">+proj=tmerc +lat_0=41.47222222222222 +lon_0=-88.77500000000001 +k=1.0000346418 +x_0=263347.7263 +y_0=0.0076 +ellps=GRS80 +towgs84=0,0,0,0,0,0,0 +units=m +no_defs </t>
  </si>
  <si>
    <t>PROJCS["NAD83(HARN) / WISCRS Dodge and Jefferson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41.47222222222222],PARAMETER["central_meridian",-88.775],PARAMETER["scale_factor",1.0000346418],PARAMETER["false_easting",863999.9990000002],PARAMETER["false_northing",0.025],UNIT["US survey foot",0.3048006096012192,AUTHORITY["EPSG","9003"]],AXIS["X",EAST],AXIS["Y",NORTH],AUTHORITY["EPSG","8189"]]</t>
  </si>
  <si>
    <t xml:space="preserve">+proj=tmerc +lat_0=41.47222222222222 +lon_0=-88.77500000000001 +k=1.0000346418 +x_0=263347.7263906528 +y_0=0.00762001524003048 +ellps=GRS80 +towgs84=0,0,0,0,0,0,0 +units=us-ft +no_defs </t>
  </si>
  <si>
    <t>PROJCS["NAD83(HARN) / WISCRS Dane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43.0695160375],PARAMETER["central_meridian",-89.42222222222223],PARAMETER["scale_factor",1.0000384786],PARAMETER["false_easting",247193.2944],PARAMETER["false_northing",146591.9896],UNIT["metre",1,AUTHORITY["EPSG","9001"]],AXIS["X",EAST],AXIS["Y",NORTH],AUTHORITY["EPSG","8191"]]</t>
  </si>
  <si>
    <t xml:space="preserve">+proj=lcc +lat_1=43.0695160375 +lat_0=43.0695160375 +lon_0=-89.42222222222223 +k_0=1.0000384786 +x_0=247193.2944 +y_0=146591.9896 +ellps=GRS80 +towgs84=0,0,0,0,0,0,0 +units=m +no_defs </t>
  </si>
  <si>
    <t>PROJCS["NAD83(HARN) / WISCRS Dane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43.0695160375],PARAMETER["central_meridian",-89.42222222222223],PARAMETER["scale_factor",1.0000384786],PARAMETER["false_easting",811000],PARAMETER["false_northing",480943.886],UNIT["US survey foot",0.3048006096012192,AUTHORITY["EPSG","9003"]],AXIS["X",EAST],AXIS["Y",NORTH],AUTHORITY["EPSG","8193"]]</t>
  </si>
  <si>
    <t xml:space="preserve">+proj=lcc +lat_1=43.0695160375 +lat_0=43.0695160375 +lon_0=-89.42222222222223 +k_0=1.0000384786 +x_0=247193.2943865888 +y_0=146591.9896367793 +ellps=GRS80 +towgs84=0,0,0,0,0,0,0 +units=us-ft +no_defs </t>
  </si>
  <si>
    <t>GEOCCS["MAGNA-SIRGAS",DATUM["Marco_Geocentrico_Nacional_de_Referencia",SPHEROID["GRS 1980",6378137,298.257222101,AUTHORITY["EPSG","7019"]],AUTHORITY["EPSG","6686"]],PRIMEM["Greenwich",0,AUTHORITY["EPSG","8901"]],UNIT["metre",1,AUTHORITY["EPSG","9001"]],AXIS["Geocentric X",OTHER],AXIS["Geocentric Y",OTHER],AXIS["Geocentric Z",NORTH],AUTHORITY["EPSG","4996"]]</t>
  </si>
  <si>
    <t>PROJCS["NAD83(HARN) / WISCRS Crawford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43.200055605],PARAMETER["central_meridian",-90.9388888888889],PARAMETER["scale_factor",1.0000349151],PARAMETER["false_easting",113690.6274],PARAMETER["false_northing",53703.1201],UNIT["metre",1,AUTHORITY["EPSG","9001"]],AXIS["X",EAST],AXIS["Y",NORTH],AUTHORITY["EPSG","8196"]]</t>
  </si>
  <si>
    <t xml:space="preserve">+proj=lcc +lat_1=43.200055605 +lat_0=43.200055605 +lon_0=-90.9388888888889 +k_0=1.0000349151 +x_0=113690.6274 +y_0=53703.1201 +ellps=GRS80 +towgs84=0,0,0,0,0,0,0 +units=m +no_defs </t>
  </si>
  <si>
    <t>PROJCS["NAD83(HARN) / WISCRS Crawford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43.200055605],PARAMETER["central_meridian",-90.9388888888889],PARAMETER["scale_factor",1.0000349151],PARAMETER["false_easting",373000],PARAMETER["false_northing",176190.987],UNIT["US survey foot",0.3048006096012192,AUTHORITY["EPSG","9003"]],AXIS["X",EAST],AXIS["Y",NORTH],AUTHORITY["EPSG","8197"]]</t>
  </si>
  <si>
    <t xml:space="preserve">+proj=lcc +lat_1=43.200055605 +lat_0=43.200055605 +lon_0=-90.9388888888889 +k_0=1.0000349151 +x_0=113690.6273812548 +y_0=53703.12024384048 +ellps=GRS80 +towgs84=0,0,0,0,0,0,0 +units=us-ft +no_defs </t>
  </si>
  <si>
    <t>PROJCS["NAD83(HARN) / WISCRS Columbia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43.46254664583333],PARAMETER["central_meridian",-89.39444444444445],PARAMETER["scale_factor",1.00003498],PARAMETER["false_easting",169164.3381],PARAMETER["false_northing",111569.6134],UNIT["metre",1,AUTHORITY["EPSG","9001"]],AXIS["X",EAST],AXIS["Y",NORTH],AUTHORITY["EPSG","8198"]]</t>
  </si>
  <si>
    <t xml:space="preserve">+proj=lcc +lat_1=43.46254664583333 +lat_0=43.46254664583333 +lon_0=-89.39444444444445 +k_0=1.00003498 +x_0=169164.3381 +y_0=111569.6134 +ellps=GRS80 +towgs84=0,0,0,0,0,0,0 +units=m +no_defs </t>
  </si>
  <si>
    <t>PROJCS["NAD83(HARN) / WISCRS Columbia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43.46254664583333],PARAMETER["central_meridian",-89.39444444444445],PARAMETER["scale_factor",1.00003498],PARAMETER["false_easting",554999.999],PARAMETER["false_northing",366041.307],UNIT["US survey foot",0.3048006096012192,AUTHORITY["EPSG","9003"]],AXIS["X",EAST],AXIS["Y",NORTH],AUTHORITY["EPSG","8200"]]</t>
  </si>
  <si>
    <t xml:space="preserve">+proj=lcc +lat_1=43.46254664583333 +lat_0=43.46254664583333 +lon_0=-89.39444444444445 +k_0=1.00003498 +x_0=169164.338023876 +y_0=111569.613512827 +ellps=GRS80 +towgs84=0,0,0,0,0,0,0 +units=us-ft +no_defs </t>
  </si>
  <si>
    <t>PROJCS["NAD83(HARN) / WISCRS Clark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43.6],PARAMETER["central_meridian",-90.70833333333334],PARAMETER["scale_factor",1.0000463003],PARAMETER["false_easting",199949.1989],PARAMETER["false_northing",0.0086],UNIT["metre",1,AUTHORITY["EPSG","9001"]],AXIS["X",EAST],AXIS["Y",NORTH],AUTHORITY["EPSG","8201"]]</t>
  </si>
  <si>
    <t xml:space="preserve">+proj=tmerc +lat_0=43.6 +lon_0=-90.70833333333334 +k=1.0000463003 +x_0=199949.1989 +y_0=0.0086 +ellps=GRS80 +towgs84=0,0,0,0,0,0,0 +units=m +no_defs </t>
  </si>
  <si>
    <t>PROJCS["NAD83(HARN) / WISCRS Clark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43.6],PARAMETER["central_meridian",-90.70833333333334],PARAMETER["scale_factor",1.0000463003],PARAMETER["false_easting",655999.997],PARAMETER["false_northing",0.028],UNIT["US survey foot",0.3048006096012192,AUTHORITY["EPSG","9003"]],AXIS["X",EAST],AXIS["Y",NORTH],AUTHORITY["EPSG","8202"]]</t>
  </si>
  <si>
    <t xml:space="preserve">+proj=tmerc +lat_0=43.6 +lon_0=-90.70833333333334 +k=1.0000463003 +x_0=199949.198983998 +y_0=0.008534417068834137 +ellps=GRS80 +towgs84=0,0,0,0,0,0,0 +units=us-ft +no_defs </t>
  </si>
  <si>
    <t>PROJCS["NAD83(HARN) / WISCRS Chippewa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44.97785689861112],PARAMETER["central_meridian",-91.29444444444444],PARAMETER["scale_factor",1.0000391127],PARAMETER["false_easting",60045.72],PARAMETER["false_northing",44091.4346],UNIT["metre",1,AUTHORITY["EPSG","9001"]],AXIS["X",EAST],AXIS["Y",NORTH],AUTHORITY["EPSG","8203"]]</t>
  </si>
  <si>
    <t xml:space="preserve">+proj=lcc +lat_1=44.97785689861112 +lat_0=44.97785689861112 +lon_0=-91.29444444444444 +k_0=1.0000391127 +x_0=60045.72 +y_0=44091.4346 +ellps=GRS80 +towgs84=0,0,0,0,0,0,0 +units=m +no_defs </t>
  </si>
  <si>
    <t>PROJCS["NAD83(HARN) / WISCRS Chippewa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44.97785689861112],PARAMETER["central_meridian",-91.29444444444444],PARAMETER["scale_factor",1.0000391127],PARAMETER["false_easting",197000],PARAMETER["false_northing",144656.648],UNIT["US survey foot",0.3048006096012192,AUTHORITY["EPSG","9003"]],AXIS["X",EAST],AXIS["Y",NORTH],AUTHORITY["EPSG","8204"]]</t>
  </si>
  <si>
    <t xml:space="preserve">+proj=lcc +lat_1=44.97785689861112 +lat_0=44.97785689861112 +lon_0=-91.29444444444444 +k_0=1.0000391127 +x_0=60045.72009144018 +y_0=44091.43449326898 +ellps=GRS80 +towgs84=0,0,0,0,0,0,0 +units=us-ft +no_defs </t>
  </si>
  <si>
    <t>GEOCCS["RGPF",DATUM["Reseau_Geodesique_de_la_Polynesie_Francaise",SPHEROID["GRS 1980",6378137,298.257222101,AUTHORITY["EPSG","7019"]],AUTHORITY["EPSG","6687"]],PRIMEM["Greenwich",0,AUTHORITY["EPSG","8901"]],UNIT["metre",1,AUTHORITY["EPSG","9001"]],AXIS["Geocentric X",OTHER],AXIS["Geocentric Y",OTHER],AXIS["Geocentric Z",NORTH],AUTHORITY["EPSG","4998"]]</t>
  </si>
  <si>
    <t>PROJCS["NAD83(HARN) / WISCRS Calumet, Fond du Lac, Outagamie and Winnebago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42.71944444444445],PARAMETER["central_meridian",-88.5],PARAMETER["scale_factor",1.0000286569],PARAMETER["false_easting",244754.8893],PARAMETER["false_northing",0.0049],UNIT["metre",1,AUTHORITY["EPSG","9001"]],AXIS["X",EAST],AXIS["Y",NORTH],AUTHORITY["EPSG","8205"]]</t>
  </si>
  <si>
    <t xml:space="preserve">+proj=tmerc +lat_0=42.71944444444445 +lon_0=-88.5 +k=1.0000286569 +x_0=244754.8893 +y_0=0.0049 +ellps=GRS80 +towgs84=0,0,0,0,0,0,0 +units=m +no_defs </t>
  </si>
  <si>
    <t>PROJCS["NAD83(HARN) / WISCRS Calumet, Fond du Lac, Outagamie and Winnebago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42.71944444444445],PARAMETER["central_meridian",-88.5],PARAMETER["scale_factor",1.0000286569],PARAMETER["false_easting",802999.999],PARAMETER["false_northing",0.016],UNIT["US survey foot",0.3048006096012192,AUTHORITY["EPSG","9003"]],AXIS["X",EAST],AXIS["Y",NORTH],AUTHORITY["EPSG","8206"]]</t>
  </si>
  <si>
    <t xml:space="preserve">+proj=tmerc +lat_0=42.71944444444445 +lon_0=-88.5 +k=1.0000286569 +x_0=244754.8892049784 +y_0=0.004876809753619507 +ellps=GRS80 +towgs84=0,0,0,0,0,0,0 +units=us-ft +no_defs </t>
  </si>
  <si>
    <t>PROJCS["NAD83(HARN) / WISCRS Burnett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45.89871486583333],PARAMETER["central_meridian",-92.45777777777778],PARAMETER["scale_factor",1.0000383841],PARAMETER["false_easting",64008.1276],PARAMETER["false_northing",59445.9043],UNIT["metre",1,AUTHORITY["EPSG","9001"]],AXIS["X",EAST],AXIS["Y",NORTH],AUTHORITY["EPSG","8207"]]</t>
  </si>
  <si>
    <t xml:space="preserve">+proj=lcc +lat_1=45.89871486583333 +lat_0=45.89871486583333 +lon_0=-92.45777777777778 +k_0=1.0000383841 +x_0=64008.1276 +y_0=59445.9043 +ellps=GRS80 +towgs84=0,0,0,0,0,0,0 +units=m +no_defs </t>
  </si>
  <si>
    <t>PROJCS["NAD83(HARN) / WISCRS Burnett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45.89871486583333],PARAMETER["central_meridian",-92.45777777777778],PARAMETER["scale_factor",1.0000383841],PARAMETER["false_easting",209999.999],PARAMETER["false_northing",195032.104],UNIT["US survey foot",0.3048006096012192,AUTHORITY["EPSG","9003"]],AXIS["X",EAST],AXIS["Y",NORTH],AUTHORITY["EPSG","8208"]]</t>
  </si>
  <si>
    <t xml:space="preserve">+proj=lcc +lat_1=45.89871486583333 +lat_0=45.89871486583333 +lon_0=-92.45777777777778 +k_0=1.0000383841 +x_0=64008.12771145543 +y_0=59445.90419100838 +ellps=GRS80 +towgs84=0,0,0,0,0,0,0 +units=us-ft +no_defs </t>
  </si>
  <si>
    <t>PROJCS["NAD83(HARN) / WISCRS Buffalo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43.48138888888889],PARAMETER["central_meridian",-91.79722222222222],PARAMETER["scale_factor",1.0000382778],PARAMETER["false_easting",175260.3502],PARAMETER["false_northing",0.0048],UNIT["metre",1,AUTHORITY["EPSG","9001"]],AXIS["X",EAST],AXIS["Y",NORTH],AUTHORITY["EPSG","8209"]]</t>
  </si>
  <si>
    <t xml:space="preserve">+proj=tmerc +lat_0=43.48138888888889 +lon_0=-91.79722222222222 +k=1.0000382778 +x_0=175260.3502 +y_0=0.0048 +ellps=GRS80 +towgs84=0,0,0,0,0,0,0 +units=m +no_defs </t>
  </si>
  <si>
    <t>PROJCS["NAD83(HARN) / WISCRS Buffalo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43.48138888888889],PARAMETER["central_meridian",-91.79722222222222],PARAMETER["scale_factor",1.0000382778],PARAMETER["false_easting",574999.999],PARAMETER["false_northing",0.016],UNIT["US survey foot",0.3048006096012192,AUTHORITY["EPSG","9003"]],AXIS["X",EAST],AXIS["Y",NORTH],AUTHORITY["EPSG","8210"]]</t>
  </si>
  <si>
    <t xml:space="preserve">+proj=tmerc +lat_0=43.48138888888889 +lon_0=-91.79722222222222 +k=1.0000382778 +x_0=175260.3502159004 +y_0=0.004876809753619507 +ellps=GRS80 +towgs84=0,0,0,0,0,0,0 +units=us-ft +no_defs </t>
  </si>
  <si>
    <t>PROJCS["NAD83(HARN) / WISCRS Brown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43],PARAMETER["central_meridian",-88],PARAMETER["scale_factor",1.00002],PARAMETER["false_easting",31600],PARAMETER["false_northing",4600],UNIT["metre",1,AUTHORITY["EPSG","9001"]],AXIS["X",EAST],AXIS["Y",NORTH],AUTHORITY["EPSG","8212"]]</t>
  </si>
  <si>
    <t xml:space="preserve">+proj=tmerc +lat_0=43 +lon_0=-88 +k=1.00002 +x_0=31600 +y_0=4600 +ellps=GRS80 +towgs84=0,0,0,0,0,0,0 +units=m +no_defs </t>
  </si>
  <si>
    <t>PROJCS["NAD83(HARN) / WISCRS Brown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43],PARAMETER["central_meridian",-88],PARAMETER["scale_factor",1.00002],PARAMETER["false_easting",103674.333],PARAMETER["false_northing",15091.833],UNIT["US survey foot",0.3048006096012192,AUTHORITY["EPSG","9003"]],AXIS["X",EAST],AXIS["Y",NORTH],AUTHORITY["EPSG","8213"]]</t>
  </si>
  <si>
    <t xml:space="preserve">+proj=tmerc +lat_0=43 +lon_0=-88 +k=1.00002 +x_0=31599.99989839979 +y_0=4599.999898399797 +ellps=GRS80 +towgs84=0,0,0,0,0,0,0 +units=us-ft +no_defs </t>
  </si>
  <si>
    <t>GEOCCS["PTRA08",DATUM["Autonomous_Regions_of_Portugal_2008",SPHEROID["GRS 1980",6378137,298.257222101,AUTHORITY["EPSG","7019"]],AUTHORITY["EPSG","1041"]],PRIMEM["Greenwich",0,AUTHORITY["EPSG","8901"]],UNIT["metre",1,AUTHORITY["EPSG","9001"]],AXIS["Geocentric X",OTHER],AXIS["Geocentric Y",OTHER],AXIS["Geocentric Z",NORTH],AUTHORITY["EPSG","5011"]]</t>
  </si>
  <si>
    <t>PROJCS["NAD83(HARN) / WISCRS Bayfield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46.66964837722222],PARAMETER["central_meridian",-91.15277777777779],PARAMETER["scale_factor",1.0000331195],PARAMETER["false_easting",228600.4575],PARAMETER["false_northing",148551.4837],UNIT["metre",1,AUTHORITY["EPSG","9001"]],AXIS["X",EAST],AXIS["Y",NORTH],AUTHORITY["EPSG","8214"]]</t>
  </si>
  <si>
    <t xml:space="preserve">+proj=lcc +lat_1=46.66964837722222 +lat_0=46.66964837722222 +lon_0=-91.15277777777779 +k_0=1.0000331195 +x_0=228600.4575 +y_0=148551.4837 +ellps=GRS80 +towgs84=0,0,0,0,0,0,0 +units=m +no_defs </t>
  </si>
  <si>
    <t>PROJCS["NAD83(HARN) / WISCRS Bayfield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1SP"],PARAMETER["latitude_of_origin",46.66964837722222],PARAMETER["central_meridian",-91.15277777777779],PARAMETER["scale_factor",1.0000331195],PARAMETER["false_easting",750000.0010000002],PARAMETER["false_northing",487372.659],UNIT["US survey foot",0.3048006096012192,AUTHORITY["EPSG","9003"]],AXIS["X",EAST],AXIS["Y",NORTH],AUTHORITY["EPSG","8216"]]</t>
  </si>
  <si>
    <t xml:space="preserve">+proj=lcc +lat_1=46.66964837722222 +lat_0=46.66964837722222 +lon_0=-91.15277777777779 +k_0=1.0000331195 +x_0=228600.4575057151 +y_0=148551.4835661671 +ellps=GRS80 +towgs84=0,0,0,0,0,0,0 +units=us-ft +no_defs </t>
  </si>
  <si>
    <t>PROJCS["NAD83(HARN) / WISCRS Barron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45.13333333333333],PARAMETER["central_meridian",-91.85],PARAMETER["scale_factor",1.0000486665],PARAMETER["false_easting",93150],PARAMETER["false_northing",0.0029],UNIT["metre",1,AUTHORITY["EPSG","9001"]],AXIS["X",EAST],AXIS["Y",NORTH],AUTHORITY["EPSG","8218"]]</t>
  </si>
  <si>
    <t xml:space="preserve">+proj=tmerc +lat_0=45.13333333333333 +lon_0=-91.84999999999999 +k=1.0000486665 +x_0=93150 +y_0=0.0029 +ellps=GRS80 +towgs84=0,0,0,0,0,0,0 +units=m +no_defs </t>
  </si>
  <si>
    <t>PROJCS["NAD83(HARN) / WISCRS Barron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45.13333333333333],PARAMETER["central_meridian",-91.85],PARAMETER["scale_factor",1.0000486665],PARAMETER["false_easting",305609.625],PARAMETER["false_northing",0.01],UNIT["US survey foot",0.3048006096012192,AUTHORITY["EPSG","9003"]],AXIS["X",EAST],AXIS["Y",NORTH],AUTHORITY["EPSG","8220"]]</t>
  </si>
  <si>
    <t xml:space="preserve">+proj=tmerc +lat_0=45.13333333333333 +lon_0=-91.84999999999999 +k=1.0000486665 +x_0=93150 +y_0=0.003048006096012192 +ellps=GRS80 +towgs84=0,0,0,0,0,0,0 +units=us-ft +no_defs </t>
  </si>
  <si>
    <t>PROJCS["NAD83(HARN) / WISCRS Ashland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45.70611111111111],PARAMETER["central_meridian",-90.62222222222222],PARAMETER["scale_factor",1.0000495683],PARAMETER["false_easting",172821.9461],PARAMETER["false_northing",0.0017],UNIT["metre",1,AUTHORITY["EPSG","9001"]],AXIS["X",EAST],AXIS["Y",NORTH],AUTHORITY["EPSG","8222"]]</t>
  </si>
  <si>
    <t xml:space="preserve">+proj=tmerc +lat_0=45.70611111111111 +lon_0=-90.62222222222222 +k=1.0000495683 +x_0=172821.9461 +y_0=0.0017 +ellps=GRS80 +towgs84=0,0,0,0,0,0,0 +units=m +no_defs </t>
  </si>
  <si>
    <t>PROJCS["NAD83(HARN) / WISCRS Ashland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45.70611111111111],PARAMETER["central_meridian",-90.62222222222222],PARAMETER["scale_factor",1.0000495683],PARAMETER["false_easting",567000.0010000002],PARAMETER["false_northing",0.006],UNIT["US survey foot",0.3048006096012192,AUTHORITY["EPSG","9003"]],AXIS["X",EAST],AXIS["Y",NORTH],AUTHORITY["EPSG","8224"]]</t>
  </si>
  <si>
    <t xml:space="preserve">+proj=tmerc +lat_0=45.70611111111111 +lon_0=-90.62222222222222 +k=1.0000495683 +x_0=172821.945948692 +y_0=0.001828803657607315 +ellps=GRS80 +towgs84=0,0,0,0,0,0,0 +units=us-ft +no_defs </t>
  </si>
  <si>
    <t>PROJCS["NAD83(HARN) / WISCRS Adams and Juneau (m)",GEOGCS["NAD83(HARN)",DATUM["NAD83_High_Accuracy_Reference_Network",SPHEROID["GRS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43.36666666666667],PARAMETER["central_meridian",-90],PARAMETER["scale_factor",1.0000365285],PARAMETER["false_easting",147218.6942],PARAMETER["false_northing",0.0037],UNIT["metre",1,AUTHORITY["EPSG","9001"]],AXIS["X",EAST],AXIS["Y",NORTH],AUTHORITY["EPSG","8225"]]</t>
  </si>
  <si>
    <t xml:space="preserve">+proj=tmerc +lat_0=43.36666666666667 +lon_0=-90 +k=1.0000365285 +x_0=147218.6942 +y_0=0.0037 +ellps=GRS80 +towgs84=0,0,0,0,0,0,0 +units=m +no_defs </t>
  </si>
  <si>
    <t>PROJCS["NAD83(HARN) / WISCRS Adams and Juneau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43.36666666666667],PARAMETER["central_meridian",-90],PARAMETER["scale_factor",1.0000365285],PARAMETER["false_easting",482999.999],PARAMETER["false_northing",0.012],UNIT["US survey foot",0.3048006096012192,AUTHORITY["EPSG","9003"]],AXIS["X",EAST],AXIS["Y",NORTH],AUTHORITY["EPSG","8226"]]</t>
  </si>
  <si>
    <t xml:space="preserve">+proj=tmerc +lat_0=43.36666666666667 +lon_0=-90 +k=1.0000365285 +x_0=147218.6941325883 +y_0=0.00365760731521463 +ellps=GRS80 +towgs84=0,0,0,0,0,0,0 +units=us-ft +no_defs </t>
  </si>
  <si>
    <t>GEOCCS["GDBD2009",DATUM["Geocentric_Datum_Brunei_Darussalam_2009",SPHEROID["GRS 1980",6378137,298.257222101,AUTHORITY["EPSG","7019"]],AUTHORITY["EPSG","1056"]],PRIMEM["Greenwich",0,AUTHORITY["EPSG","8901"]],UNIT["metre",1,AUTHORITY["EPSG","9001"]],AXIS["Geocentric X",OTHER],AXIS["Geocentric Y",OTHER],AXIS["Geocentric Z",NORTH],AUTHORITY["EPSG","5244"]]</t>
  </si>
  <si>
    <t>PROJCS["NAD83(2011) / Oregon Burns-Harper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-117.6666666666667],PARAMETER["scale_factor",1.00014],PARAMETER["false_easting",90000],PARAMETER["false_northing",0],UNIT["metre",1,AUTHORITY["EPSG","9001"]],AXIS["X",EAST],AXIS["Y",NORTH],AUTHORITY["EPSG","8311"]]</t>
  </si>
  <si>
    <t>PROJCS["NAD83(2011) / Oregon Burns-Harper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-117.6666666666667],PARAMETER["scale_factor",1.00014],PARAMETER["false_easting",295275.5906],PARAMETER["false_northing",0],UNIT["foot",0.3048,AUTHORITY["EPSG","9002"]],AXIS["X",EAST],AXIS["Y",NORTH],AUTHORITY["EPSG","8312"]]</t>
  </si>
  <si>
    <t>PROJCS["NAD83(2011) / Oregon Canyon City-Burns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-119],PARAMETER["scale_factor",1.00022],PARAMETER["false_easting",20000],PARAMETER["false_northing",0],UNIT["metre",1,AUTHORITY["EPSG","9001"]],AXIS["X",EAST],AXIS["Y",NORTH],AUTHORITY["EPSG","8313"]]</t>
  </si>
  <si>
    <t>PROJCS["NAD83(2011) / Oregon Canyon City-Burns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43.5],PARAMETER["central_meridian",-119],PARAMETER["scale_factor",1.00022],PARAMETER["false_easting",65616.7979],PARAMETER["false_northing",0],UNIT["foot",0.3048,AUTHORITY["EPSG","9002"]],AXIS["X",EAST],AXIS["Y",NORTH],AUTHORITY["EPSG","8314"]]</t>
  </si>
  <si>
    <t>PROJCS["NAD83(2011) / Oregon Coast Range North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45.58333333333334],PARAMETER["central_meridian",-123.4166666666667],PARAMETER["scale_factor",1.000045],PARAMETER["false_easting",30000],PARAMETER["false_northing",20000],UNIT["metre",1,AUTHORITY["EPSG","9001"]],AXIS["X",EAST],AXIS["Y",NORTH],AUTHORITY["EPSG","8315"]]</t>
  </si>
  <si>
    <t>PROJCS["NAD83(2011) / Oregon Coast Range North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45.58333333333334],PARAMETER["central_meridian",-123.4166666666667],PARAMETER["scale_factor",1.000045],PARAMETER["false_easting",98425.1969],PARAMETER["false_northing",65616.7979],UNIT["foot",0.3048,AUTHORITY["EPSG","9002"]],AXIS["X",EAST],AXIS["Y",NORTH],AUTHORITY["EPSG","8316"]]</t>
  </si>
  <si>
    <t>PROJCS["NAD83(2011) / Oregon Dayville-Prairie City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44.25],PARAMETER["central_meridian",-119.6333333333333],PARAMETER["scale_factor",1.00012],PARAMETER["false_easting",20000],PARAMETER["false_northing",0],UNIT["metre",1,AUTHORITY["EPSG","9001"]],AXIS["X",EAST],AXIS["Y",NORTH],AUTHORITY["EPSG","8317"]]</t>
  </si>
  <si>
    <t>PROJCS["NAD83(2011) / Oregon Dayville-Prairie City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44.25],PARAMETER["central_meridian",-119.6333333333333],PARAMETER["scale_factor",1.00012],PARAMETER["false_easting",65616.7979],PARAMETER["false_northing",0],UNIT["foot",0.3048,AUTHORITY["EPSG","9002"]],AXIS["X",EAST],AXIS["Y",NORTH],AUTHORITY["EPSG","8318"]]</t>
  </si>
  <si>
    <t>PROJCS["NAD83(2011) / Oregon Denio-Burns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-118.4166666666667],PARAMETER["scale_factor",1.00019],PARAMETER["false_easting",80000],PARAMETER["false_northing",0],UNIT["metre",1,AUTHORITY["EPSG","9001"]],AXIS["X",EAST],AXIS["Y",NORTH],AUTHORITY["EPSG","8319"]]</t>
  </si>
  <si>
    <t>GEOCCS["TUREF",DATUM["Turkish_National_Reference_Frame",SPHEROID["GRS 1980",6378137,298.257222101,AUTHORITY["EPSG","7019"]],AUTHORITY["EPSG","1057"]],PRIMEM["Greenwich",0,AUTHORITY["EPSG","8901"]],UNIT["metre",1,AUTHORITY["EPSG","9001"]],AXIS["Geocentric X",OTHER],AXIS["Geocentric Y",OTHER],AXIS["Geocentric Z",NORTH],AUTHORITY["EPSG","5250"]]</t>
  </si>
  <si>
    <t>PROJCS["NAD83(2011) / Oregon Denio-Burns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-118.4166666666667],PARAMETER["scale_factor",1.00019],PARAMETER["false_easting",262467.1916],PARAMETER["false_northing",0],UNIT["foot",0.3048,AUTHORITY["EPSG","9002"]],AXIS["X",EAST],AXIS["Y",NORTH],AUTHORITY["EPSG","8320"]]</t>
  </si>
  <si>
    <t>PROJCS["NAD83(2011) / Oregon Halfway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45.25],PARAMETER["central_meridian",-117.25],PARAMETER["scale_factor",1.000085],PARAMETER["false_easting",40000],PARAMETER["false_northing",70000],UNIT["metre",1,AUTHORITY["EPSG","9001"]],AXIS["X",EAST],AXIS["Y",NORTH],AUTHORITY["EPSG","8321"]]</t>
  </si>
  <si>
    <t>PROJCS["NAD83(2011) / Oregon Halfway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45.25],PARAMETER["central_meridian",-117.25],PARAMETER["scale_factor",1.000085],PARAMETER["false_easting",131233.5958],PARAMETER["false_northing",229658.7927],UNIT["foot",0.3048,AUTHORITY["EPSG","9002"]],AXIS["X",EAST],AXIS["Y",NORTH],AUTHORITY["EPSG","8322"]]</t>
  </si>
  <si>
    <t>PROJCS["NAD83(2011) / Oregon Medford-Diamond Lake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42],PARAMETER["central_meridian",-122.25],PARAMETER["scale_factor",1.00004],PARAMETER["false_easting",60000],PARAMETER["false_northing",-60000],UNIT["metre",1,AUTHORITY["EPSG","9001"]],AXIS["X",EAST],AXIS["Y",NORTH],AUTHORITY["EPSG","8323"]]</t>
  </si>
  <si>
    <t>PROJCS["NAD83(2011) / Oregon Medford-Diamond Lake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42],PARAMETER["central_meridian",-122.25],PARAMETER["scale_factor",1.00004],PARAMETER["false_easting",196850.3937],PARAMETER["false_northing",-196850.3937],UNIT["foot",0.3048,AUTHORITY["EPSG","9002"]],AXIS["X",EAST],AXIS["Y",NORTH],AUTHORITY["EPSG","8324"]]</t>
  </si>
  <si>
    <t>PROJCS["NAD83(2011) / Oregon Mitchell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47],PARAMETER["central_meridian",-120.25],PARAMETER["scale_factor",0.99927],PARAMETER["false_easting",30000],PARAMETER["false_northing",290000],UNIT["metre",1,AUTHORITY["EPSG","9001"]],AXIS["X",EAST],AXIS["Y",NORTH],AUTHORITY["EPSG","8325"]]</t>
  </si>
  <si>
    <t>PROJCS["NAD83(2011) / Oregon Mitchell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47],PARAMETER["central_meridian",-120.25],PARAMETER["scale_factor",0.99927],PARAMETER["false_easting",98425.1969],PARAMETER["false_northing",951443.5696],UNIT["foot",0.3048,AUTHORITY["EPSG","9002"]],AXIS["X",EAST],AXIS["Y",NORTH],AUTHORITY["EPSG","8326"]]</t>
  </si>
  <si>
    <t>PROJCS["NAD83(2011) / Oregon North Central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46.16666666666666],PARAMETER["central_meridian",-120.5],PARAMETER["scale_factor",1],PARAMETER["false_easting",100000],PARAMETER["false_northing",140000],UNIT["metre",1,AUTHORITY["EPSG","9001"]],AXIS["X",EAST],AXIS["Y",NORTH],AUTHORITY["EPSG","8327"]]</t>
  </si>
  <si>
    <t>PROJCS["NAD83(2011) / Oregon North Central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46.16666666666666],PARAMETER["central_meridian",-120.5],PARAMETER["scale_factor",1],PARAMETER["false_easting",328083.9895],PARAMETER["false_northing",459317.5853],UNIT["foot",0.3048,AUTHORITY["EPSG","9002"]],AXIS["X",EAST],AXIS["Y",NORTH],AUTHORITY["EPSG","8328"]]</t>
  </si>
  <si>
    <t>PROJCS["NAD83(2011) / Oregon Ochoco Summit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43.5],PARAMETER["central_meridian",-120.5],PARAMETER["scale_factor",1.00006],PARAMETER["false_easting",40000],PARAMETER["false_northing",-80000],UNIT["metre",1,AUTHORITY["EPSG","9001"]],AXIS["X",EAST],AXIS["Y",NORTH],AUTHORITY["EPSG","8329"]]</t>
  </si>
  <si>
    <t>PROJCS["NAD83(2011) / Oregon Ochoco Summit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43.5],PARAMETER["central_meridian",-120.5],PARAMETER["scale_factor",1.00006],PARAMETER["false_easting",131233.5958],PARAMETER["false_northing",-262467.1916],UNIT["foot",0.3048,AUTHORITY["EPSG","9002"]],AXIS["X",EAST],AXIS["Y",NORTH],AUTHORITY["EPSG","8330"]]</t>
  </si>
  <si>
    <t>PROJCS["NAD83(2011) / Oregon Owyhee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-117.5833333333333],PARAMETER["scale_factor",1.00018],PARAMETER["false_easting",70000],PARAMETER["false_northing",0],UNIT["metre",1,AUTHORITY["EPSG","9001"]],AXIS["X",EAST],AXIS["Y",NORTH],AUTHORITY["EPSG","8331"]]</t>
  </si>
  <si>
    <t>PROJCS["NAD83(2011) / Oregon Owyhee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-117.5833333333333],PARAMETER["scale_factor",1.00018],PARAMETER["false_easting",229658.7927],PARAMETER["false_northing",0],UNIT["foot",0.3048,AUTHORITY["EPSG","9002"]],AXIS["X",EAST],AXIS["Y",NORTH],AUTHORITY["EPSG","8332"]]</t>
  </si>
  <si>
    <t>PROJCS["NAD83(2011) / Oregon Pilot Rock-Ukiah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46.16666666666666],PARAMETER["central_meridian",-119],PARAMETER["scale_factor",1.000025],PARAMETER["false_easting",50000],PARAMETER["false_northing",130000],UNIT["metre",1,AUTHORITY["EPSG","9001"]],AXIS["X",EAST],AXIS["Y",NORTH],AUTHORITY["EPSG","8333"]]</t>
  </si>
  <si>
    <t>PROJCS["NAD83(2011) / Oregon Pilot Rock-Ukiah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46.16666666666666],PARAMETER["central_meridian",-119],PARAMETER["scale_factor",1.000025],PARAMETER["false_easting",164041.9948],PARAMETER["false_northing",426509.1864],UNIT["foot",0.3048,AUTHORITY["EPSG","9002"]],AXIS["X",EAST],AXIS["Y",NORTH],AUTHORITY["EPSG","8334"]]</t>
  </si>
  <si>
    <t>PROJCS["NAD83(2011) / Oregon Prairie City-Brogan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44],PARAMETER["central_meridian",-118],PARAMETER["scale_factor",1.00017],PARAMETER["false_easting",60000],PARAMETER["false_northing",0],UNIT["metre",1,AUTHORITY["EPSG","9001"]],AXIS["X",EAST],AXIS["Y",NORTH],AUTHORITY["EPSG","8335"]]</t>
  </si>
  <si>
    <t>PROJCS["NAD83(2011) / Oregon Prairie City-Brogan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44],PARAMETER["central_meridian",-118],PARAMETER["scale_factor",1.00017],PARAMETER["false_easting",196850.3937],PARAMETER["false_northing",0],UNIT["foot",0.3048,AUTHORITY["EPSG","9002"]],AXIS["X",EAST],AXIS["Y",NORTH],AUTHORITY["EPSG","8336"]]</t>
  </si>
  <si>
    <t>PROJCS["NAD83(2011) / Oregon Riley-Lakeview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-120.3333333333333],PARAMETER["scale_factor",1.000215],PARAMETER["false_easting",70000],PARAMETER["false_northing",0],UNIT["metre",1,AUTHORITY["EPSG","9001"]],AXIS["X",EAST],AXIS["Y",NORTH],AUTHORITY["EPSG","8337"]]</t>
  </si>
  <si>
    <t>GEOCCS["DRUKREF 03",DATUM["Bhutan_National_Geodetic_Datum",SPHEROID["GRS 1980",6378137,298.257222101,AUTHORITY["EPSG","7019"]],AUTHORITY["EPSG","1058"]],PRIMEM["Greenwich",0,AUTHORITY["EPSG","8901"]],UNIT["metre",1,AUTHORITY["EPSG","9001"]],AXIS["Geocentric X",OTHER],AXIS["Geocentric Y",OTHER],AXIS["Geocentric Z",NORTH],AUTHORITY["EPSG","5262"]]</t>
  </si>
  <si>
    <t>PROJCS["NAD83(2011) / Oregon Riley-Lakeview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41.75],PARAMETER["central_meridian",-120.3333333333333],PARAMETER["scale_factor",1.000215],PARAMETER["false_easting",229658.7927],PARAMETER["false_northing",0],UNIT["foot",0.3048,AUTHORITY["EPSG","9002"]],AXIS["X",EAST],AXIS["Y",NORTH],AUTHORITY["EPSG","8338"]]</t>
  </si>
  <si>
    <t>PROJCS["NAD83(2011) / Oregon Siskiyou Pass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42.5],PARAMETER["central_meridian",-122.5833333333333],PARAMETER["scale_factor",1.00015],PARAMETER["false_easting",10000],PARAMETER["false_northing",60000],UNIT["metre",1,AUTHORITY["EPSG","9001"]],AXIS["X",EAST],AXIS["Y",NORTH],AUTHORITY["EPSG","8339"]]</t>
  </si>
  <si>
    <t>PROJCS["NAD83(2011) / Oregon Siskiyou Pass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42.5],PARAMETER["central_meridian",-122.5833333333333],PARAMETER["scale_factor",1.00015],PARAMETER["false_easting",32808.399],PARAMETER["false_northing",196850.3937],UNIT["foot",0.3048,AUTHORITY["EPSG","9002"]],AXIS["X",EAST],AXIS["Y",NORTH],AUTHORITY["EPSG","8340"]]</t>
  </si>
  <si>
    <t>PROJCS["NAD83(2011) / Oregon Ukiah-Fox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45.25],PARAMETER["central_meridian",-119],PARAMETER["scale_factor",1.00014],PARAMETER["false_easting",30000],PARAMETER["false_northing",90000],UNIT["metre",1,AUTHORITY["EPSG","9001"]],AXIS["X",EAST],AXIS["Y",NORTH],AUTHORITY["EPSG","8341"]]</t>
  </si>
  <si>
    <t>PROJCS["NAD83(2011) / Oregon Ukiah-Fox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45.25],PARAMETER["central_meridian",-119],PARAMETER["scale_factor",1.00014],PARAMETER["false_easting",98425.1969],PARAMETER["false_northing",295275.5906],UNIT["foot",0.3048,AUTHORITY["EPSG","9002"]],AXIS["X",EAST],AXIS["Y",NORTH],AUTHORITY["EPSG","8342"]]</t>
  </si>
  <si>
    <t>PROJCS["NAD83(2011) / Oregon Wallowa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45.25],PARAMETER["central_meridian",-117.5],PARAMETER["scale_factor",1.000195],PARAMETER["false_easting",60000],PARAMETER["false_northing",0],UNIT["metre",1,AUTHORITY["EPSG","9001"]],AXIS["X",EAST],AXIS["Y",NORTH],AUTHORITY["EPSG","8343"]]</t>
  </si>
  <si>
    <t>PROJCS["NAD83(2011) / Oregon Wallowa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45.25],PARAMETER["central_meridian",-117.5],PARAMETER["scale_factor",1.000195],PARAMETER["false_easting",196850.3937],PARAMETER["false_northing",0],UNIT["foot",0.3048,AUTHORITY["EPSG","9002"]],AXIS["X",EAST],AXIS["Y",NORTH],AUTHORITY["EPSG","8344"]]</t>
  </si>
  <si>
    <t>PROJCS["NAD83(2011) / Oregon Warner Highway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42.5],PARAMETER["central_meridian",-120],PARAMETER["scale_factor",1.000245],PARAMETER["false_easting",40000],PARAMETER["false_northing",60000],UNIT["metre",1,AUTHORITY["EPSG","9001"]],AXIS["X",EAST],AXIS["Y",NORTH],AUTHORITY["EPSG","8345"]]</t>
  </si>
  <si>
    <t>PROJCS["NAD83(2011) / Oregon Warner Highway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Lambert_Conformal_Conic_1SP"],PARAMETER["latitude_of_origin",42.5],PARAMETER["central_meridian",-120],PARAMETER["scale_factor",1.000245],PARAMETER["false_easting",131233.5958],PARAMETER["false_northing",196850.3937],UNIT["foot",0.3048,AUTHORITY["EPSG","9002"]],AXIS["X",EAST],AXIS["Y",NORTH],AUTHORITY["EPSG","8346"]]</t>
  </si>
  <si>
    <t>GEOCCS["ISN2004",DATUM["Islands_Net_2004",SPHEROID["GRS 1980",6378137,298.257222101,AUTHORITY["EPSG","7019"]],AUTHORITY["EPSG","1060"]],PRIMEM["Greenwich",0,AUTHORITY["EPSG","8901"]],UNIT["metre",1,AUTHORITY["EPSG","9001"]],AXIS["Geocentric X",OTHER],AXIS["Geocentric Y",OTHER],AXIS["Geocentric Z",NORTH],AUTHORITY["EPSG","5322"]]</t>
  </si>
  <si>
    <t>PROJCS["NAD83(2011) / Oregon Willamette Pass zone (m)",GEOGCS["NAD83(2011)",DATUM["NAD83_National_Spatial_Reference_System_2011",SPHEROID["GRS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43],PARAMETER["central_meridian",-122],PARAMETER["scale_factor",1.000223],PARAMETER["false_easting",20000],PARAMETER["false_northing",0],UNIT["metre",1,AUTHORITY["EPSG","9001"]],AXIS["X",EAST],AXIS["Y",NORTH],AUTHORITY["EPSG","8347"]]</t>
  </si>
  <si>
    <t>PROJCS["NAD83(2011) / Oregon Willamette Pass zone (ft)",GEOGCS["NAD83(2011)",DATUM["NAD83_National_Spatial_Reference_System_2011",SPHEROID["GRS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PROJECTION["Transverse_Mercator"],PARAMETER["latitude_of_origin",43],PARAMETER["central_meridian",-122],PARAMETER["scale_factor",1.000223],PARAMETER["false_easting",65616.7979],PARAMETER["false_northing",0],UNIT["foot",0.3048,AUTHORITY["EPSG","9002"]],AXIS["X",EAST],AXIS["Y",NORTH],AUTHORITY["EPSG","8348"]]</t>
  </si>
  <si>
    <t>PROJCS["Pulkovo 1995 / Gauss-Kruger zone 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4500000],PARAMETER["false_northing",0],UNIT["metre",1,AUTHORITY["EPSG","9001"]],AUTHORITY["EPSG","20004"]]</t>
  </si>
  <si>
    <t xml:space="preserve">+proj=tmerc +lat_0=0 +lon_0=21 +k=1 +x_0=4500000 +y_0=0 +ellps=krass +towgs84=24.47,-130.89,-81.56,0,0,0.13,-0.22 +units=m +no_defs </t>
  </si>
  <si>
    <t>PROJCS["Pulkovo 1995 / Gauss-Kruger zone 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5500000],PARAMETER["false_northing",0],UNIT["metre",1,AUTHORITY["EPSG","9001"]],AUTHORITY["EPSG","20005"]]</t>
  </si>
  <si>
    <t xml:space="preserve">+proj=tmerc +lat_0=0 +lon_0=27 +k=1 +x_0=5500000 +y_0=0 +ellps=krass +towgs84=24.47,-130.89,-81.56,0,0,0.13,-0.22 +units=m +no_defs </t>
  </si>
  <si>
    <t>PROJCS["Pulkovo 1995 / Gauss-Kruger zone 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6500000],PARAMETER["false_northing",0],UNIT["metre",1,AUTHORITY["EPSG","9001"]],AUTHORITY["EPSG","20006"]]</t>
  </si>
  <si>
    <t xml:space="preserve">+proj=tmerc +lat_0=0 +lon_0=33 +k=1 +x_0=6500000 +y_0=0 +ellps=krass +towgs84=24.47,-130.89,-81.56,0,0,0.13,-0.22 +units=m +no_defs </t>
  </si>
  <si>
    <t>PROJCS["Pulkovo 1995 / Gauss-Kruger zone 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7500000],PARAMETER["false_northing",0],UNIT["metre",1,AUTHORITY["EPSG","9001"]],AUTHORITY["EPSG","20007"]]</t>
  </si>
  <si>
    <t xml:space="preserve">+proj=tmerc +lat_0=0 +lon_0=39 +k=1 +x_0=7500000 +y_0=0 +ellps=krass +towgs84=24.47,-130.89,-81.56,0,0,0.13,-0.22 +units=m +no_defs </t>
  </si>
  <si>
    <t>PROJCS["Pulkovo 1995 / Gauss-Kruger zone 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8500000],PARAMETER["false_northing",0],UNIT["metre",1,AUTHORITY["EPSG","9001"]],AUTHORITY["EPSG","20008"]]</t>
  </si>
  <si>
    <t xml:space="preserve">+proj=tmerc +lat_0=0 +lon_0=45 +k=1 +x_0=8500000 +y_0=0 +ellps=krass +towgs84=24.47,-130.89,-81.56,0,0,0.13,-0.22 +units=m +no_defs </t>
  </si>
  <si>
    <t>PROJCS["Pulkovo 1995 / Gauss-Kruger zone 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9500000],PARAMETER["false_northing",0],UNIT["metre",1,AUTHORITY["EPSG","9001"]],AUTHORITY["EPSG","20009"]]</t>
  </si>
  <si>
    <t xml:space="preserve">+proj=tmerc +lat_0=0 +lon_0=51 +k=1 +x_0=9500000 +y_0=0 +ellps=krass +towgs84=24.47,-130.89,-81.56,0,0,0.13,-0.22 +units=m +no_defs </t>
  </si>
  <si>
    <t>PROJCS["Pulkovo 1995 / Gauss-Kruger zone 10",GEOGCS["Pulkovo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10500000],PARAMETER["false_northing",0],UNIT["metre",1,AUTHORITY["EPSG","9001"]],AUTHORITY["EPSG","20010"]]</t>
  </si>
  <si>
    <t xml:space="preserve">+proj=tmerc +lat_0=0 +lon_0=57 +k=1 +x_0=10500000 +y_0=0 +ellps=krass +towgs84=24.47,-130.89,-81.56,0,0,0.13,-0.22 +units=m +no_defs </t>
  </si>
  <si>
    <t>PROJCS["Pulkovo 1995 / Gauss-Kruger zone 11",GEOGCS["Pulkovo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11500000],PARAMETER["false_northing",0],UNIT["metre",1,AUTHORITY["EPSG","9001"]],AUTHORITY["EPSG","20011"]]</t>
  </si>
  <si>
    <t xml:space="preserve">+proj=tmerc +lat_0=0 +lon_0=63 +k=1 +x_0=11500000 +y_0=0 +ellps=krass +towgs84=24.47,-130.89,-81.56,0,0,0.13,-0.22 +units=m +no_defs </t>
  </si>
  <si>
    <t>PROJCS["Pulkovo 1995 / Gauss-Kruger zone 12",GEOGCS["Pulkovo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12500000],PARAMETER["false_northing",0],UNIT["metre",1,AUTHORITY["EPSG","9001"]],AUTHORITY["EPSG","20012"]]</t>
  </si>
  <si>
    <t xml:space="preserve">+proj=tmerc +lat_0=0 +lon_0=69 +k=1 +x_0=12500000 +y_0=0 +ellps=krass +towgs84=24.47,-130.89,-81.56,0,0,0.13,-0.22 +units=m +no_defs </t>
  </si>
  <si>
    <t>PROJCS["Pulkovo 1995 / Gauss-Kruger zone 13",GEOGCS["Pulkovo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13500000],PARAMETER["false_northing",0],UNIT["metre",1,AUTHORITY["EPSG","9001"]],AUTHORITY["EPSG","20013"]]</t>
  </si>
  <si>
    <t xml:space="preserve">+proj=tmerc +lat_0=0 +lon_0=75 +k=1 +x_0=13500000 +y_0=0 +ellps=krass +towgs84=24.47,-130.89,-81.56,0,0,0.13,-0.22 +units=m +no_defs </t>
  </si>
  <si>
    <t>PROJCS["Pulkovo 1995 / Gauss-Kruger zone 14",GEOGCS["Pulkovo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14500000],PARAMETER["false_northing",0],UNIT["metre",1,AUTHORITY["EPSG","9001"]],AUTHORITY["EPSG","20014"]]</t>
  </si>
  <si>
    <t xml:space="preserve">+proj=tmerc +lat_0=0 +lon_0=81 +k=1 +x_0=14500000 +y_0=0 +ellps=krass +towgs84=24.47,-130.89,-81.56,0,0,0.13,-0.22 +units=m +no_defs </t>
  </si>
  <si>
    <t>PROJCS["Pulkovo 1995 / Gauss-Kruger zone 15",GEOGCS["Pulkovo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15500000],PARAMETER["false_northing",0],UNIT["metre",1,AUTHORITY["EPSG","9001"]],AUTHORITY["EPSG","20015"]]</t>
  </si>
  <si>
    <t xml:space="preserve">+proj=tmerc +lat_0=0 +lon_0=87 +k=1 +x_0=15500000 +y_0=0 +ellps=krass +towgs84=24.47,-130.89,-81.56,0,0,0.13,-0.22 +units=m +no_defs </t>
  </si>
  <si>
    <t>PROJCS["Pulkovo 1995 / Gauss-Kruger zone 16",GEOGCS["Pulkovo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16500000],PARAMETER["false_northing",0],UNIT["metre",1,AUTHORITY["EPSG","9001"]],AUTHORITY["EPSG","20016"]]</t>
  </si>
  <si>
    <t xml:space="preserve">+proj=tmerc +lat_0=0 +lon_0=93 +k=1 +x_0=16500000 +y_0=0 +ellps=krass +towgs84=24.47,-130.89,-81.56,0,0,0.13,-0.22 +units=m +no_defs </t>
  </si>
  <si>
    <t>PROJCS["Pulkovo 1995 / Gauss-Kruger zone 17",GEOGCS["Pulkovo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17500000],PARAMETER["false_northing",0],UNIT["metre",1,AUTHORITY["EPSG","9001"]],AUTHORITY["EPSG","20017"]]</t>
  </si>
  <si>
    <t xml:space="preserve">+proj=tmerc +lat_0=0 +lon_0=99 +k=1 +x_0=17500000 +y_0=0 +ellps=krass +towgs84=24.47,-130.89,-81.56,0,0,0.13,-0.22 +units=m +no_defs </t>
  </si>
  <si>
    <t>PROJCS["Pulkovo 1995 / Gauss-Kruger zone 18",GEOGCS["Pulkovo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18500000],PARAMETER["false_northing",0],UNIT["metre",1,AUTHORITY["EPSG","9001"]],AUTHORITY["EPSG","20018"]]</t>
  </si>
  <si>
    <t xml:space="preserve">+proj=tmerc +lat_0=0 +lon_0=105 +k=1 +x_0=18500000 +y_0=0 +ellps=krass +towgs84=24.47,-130.89,-81.56,0,0,0.13,-0.22 +units=m +no_defs </t>
  </si>
  <si>
    <t>PROJCS["Pulkovo 1995 / Gauss-Kruger zone 19",GEOGCS["Pulkovo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19500000],PARAMETER["false_northing",0],UNIT["metre",1,AUTHORITY["EPSG","9001"]],AUTHORITY["EPSG","20019"]]</t>
  </si>
  <si>
    <t xml:space="preserve">+proj=tmerc +lat_0=0 +lon_0=111 +k=1 +x_0=19500000 +y_0=0 +ellps=krass +towgs84=24.47,-130.89,-81.56,0,0,0.13,-0.22 +units=m +no_defs </t>
  </si>
  <si>
    <t>PROJCS["Pulkovo 1995 / Gauss-Kruger zone 20",GEOGCS["Pulkovo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20500000],PARAMETER["false_northing",0],UNIT["metre",1,AUTHORITY["EPSG","9001"]],AUTHORITY["EPSG","20020"]]</t>
  </si>
  <si>
    <t xml:space="preserve">+proj=tmerc +lat_0=0 +lon_0=117 +k=1 +x_0=20500000 +y_0=0 +ellps=krass +towgs84=24.47,-130.89,-81.56,0,0,0.13,-0.22 +units=m +no_defs </t>
  </si>
  <si>
    <t>PROJCS["Pulkovo 1995 / Gauss-Kruger zone 21",GEOGCS["Pulkovo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21500000],PARAMETER["false_northing",0],UNIT["metre",1,AUTHORITY["EPSG","9001"]],AUTHORITY["EPSG","20021"]]</t>
  </si>
  <si>
    <t xml:space="preserve">+proj=tmerc +lat_0=0 +lon_0=123 +k=1 +x_0=21500000 +y_0=0 +ellps=krass +towgs84=24.47,-130.89,-81.56,0,0,0.13,-0.22 +units=m +no_defs </t>
  </si>
  <si>
    <t>PROJCS["Pulkovo 1995 / Gauss-Kruger zone 22",GEOGCS["Pulkovo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22500000],PARAMETER["false_northing",0],UNIT["metre",1,AUTHORITY["EPSG","9001"]],AUTHORITY["EPSG","20022"]]</t>
  </si>
  <si>
    <t xml:space="preserve">+proj=tmerc +lat_0=0 +lon_0=129 +k=1 +x_0=22500000 +y_0=0 +ellps=krass +towgs84=24.47,-130.89,-81.56,0,0,0.13,-0.22 +units=m +no_defs </t>
  </si>
  <si>
    <t>PROJCS["Pulkovo 1995 / Gauss-Kruger zone 23",GEOGCS["Pulkovo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23500000],PARAMETER["false_northing",0],UNIT["metre",1,AUTHORITY["EPSG","9001"]],AUTHORITY["EPSG","20023"]]</t>
  </si>
  <si>
    <t xml:space="preserve">+proj=tmerc +lat_0=0 +lon_0=135 +k=1 +x_0=23500000 +y_0=0 +ellps=krass +towgs84=24.47,-130.89,-81.56,0,0,0.13,-0.22 +units=m +no_defs </t>
  </si>
  <si>
    <t>PROJCS["Pulkovo 1995 / Gauss-Kruger zone 24",GEOGCS["Pulkovo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24500000],PARAMETER["false_northing",0],UNIT["metre",1,AUTHORITY["EPSG","9001"]],AUTHORITY["EPSG","20024"]]</t>
  </si>
  <si>
    <t xml:space="preserve">+proj=tmerc +lat_0=0 +lon_0=141 +k=1 +x_0=24500000 +y_0=0 +ellps=krass +towgs84=24.47,-130.89,-81.56,0,0,0.13,-0.22 +units=m +no_defs </t>
  </si>
  <si>
    <t>PROJCS["Pulkovo 1995 / Gauss-Kruger zone 25",GEOGCS["Pulkovo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25500000],PARAMETER["false_northing",0],UNIT["metre",1,AUTHORITY["EPSG","9001"]],AUTHORITY["EPSG","20025"]]</t>
  </si>
  <si>
    <t xml:space="preserve">+proj=tmerc +lat_0=0 +lon_0=147 +k=1 +x_0=25500000 +y_0=0 +ellps=krass +towgs84=24.47,-130.89,-81.56,0,0,0.13,-0.22 +units=m +no_defs </t>
  </si>
  <si>
    <t>PROJCS["Pulkovo 1995 / Gauss-Kruger zone 26",GEOGCS["Pulkovo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26500000],PARAMETER["false_northing",0],UNIT["metre",1,AUTHORITY["EPSG","9001"]],AUTHORITY["EPSG","20026"]]</t>
  </si>
  <si>
    <t xml:space="preserve">+proj=tmerc +lat_0=0 +lon_0=153 +k=1 +x_0=26500000 +y_0=0 +ellps=krass +towgs84=24.47,-130.89,-81.56,0,0,0.13,-0.22 +units=m +no_defs </t>
  </si>
  <si>
    <t>PROJCS["Pulkovo 1995 / Gauss-Kruger zone 27",GEOGCS["Pulkovo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27500000],PARAMETER["false_northing",0],UNIT["metre",1,AUTHORITY["EPSG","9001"]],AUTHORITY["EPSG","20027"]]</t>
  </si>
  <si>
    <t xml:space="preserve">+proj=tmerc +lat_0=0 +lon_0=159 +k=1 +x_0=27500000 +y_0=0 +ellps=krass +towgs84=24.47,-130.89,-81.56,0,0,0.13,-0.22 +units=m +no_defs </t>
  </si>
  <si>
    <t>PROJCS["Pulkovo 1995 / Gauss-Kruger zone 28",GEOGCS["Pulkovo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28500000],PARAMETER["false_northing",0],UNIT["metre",1,AUTHORITY["EPSG","9001"]],AUTHORITY["EPSG","20028"]]</t>
  </si>
  <si>
    <t xml:space="preserve">+proj=tmerc +lat_0=0 +lon_0=165 +k=1 +x_0=28500000 +y_0=0 +ellps=krass +towgs84=24.47,-130.89,-81.56,0,0,0.13,-0.22 +units=m +no_defs </t>
  </si>
  <si>
    <t>PROJCS["Pulkovo 1995 / Gauss-Kruger zone 29",GEOGCS["Pulkovo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29500000],PARAMETER["false_northing",0],UNIT["metre",1,AUTHORITY["EPSG","9001"]],AUTHORITY["EPSG","20029"]]</t>
  </si>
  <si>
    <t xml:space="preserve">+proj=tmerc +lat_0=0 +lon_0=171 +k=1 +x_0=29500000 +y_0=0 +ellps=krass +towgs84=24.47,-130.89,-81.56,0,0,0.13,-0.22 +units=m +no_defs </t>
  </si>
  <si>
    <t>PROJCS["Pulkovo 1995 / Gauss-Kruger zone 30",GEOGCS["Pulkovo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30500000],PARAMETER["false_northing",0],UNIT["metre",1,AUTHORITY["EPSG","9001"]],AUTHORITY["EPSG","20030"]]</t>
  </si>
  <si>
    <t xml:space="preserve">+proj=tmerc +lat_0=0 +lon_0=177 +k=1 +x_0=30500000 +y_0=0 +ellps=krass +towgs84=24.47,-130.89,-81.56,0,0,0.13,-0.22 +units=m +no_defs </t>
  </si>
  <si>
    <t>PROJCS["Pulkovo 1995 / Gauss-Kruger zone 31",GEOGCS["Pulkovo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31500000],PARAMETER["false_northing",0],UNIT["metre",1,AUTHORITY["EPSG","9001"]],AUTHORITY["EPSG","20031"]]</t>
  </si>
  <si>
    <t xml:space="preserve">+proj=tmerc +lat_0=0 +lon_0=-177 +k=1 +x_0=31500000 +y_0=0 +ellps=krass +towgs84=24.47,-130.89,-81.56,0,0,0.13,-0.22 +units=m +no_defs </t>
  </si>
  <si>
    <t>PROJCS["Pulkovo 1995 / Gauss-Kruger zone 32",GEOGCS["Pulkovo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32500000],PARAMETER["false_northing",0],UNIT["metre",1,AUTHORITY["EPSG","9001"]],AUTHORITY["EPSG","20032"]]</t>
  </si>
  <si>
    <t xml:space="preserve">+proj=tmerc +lat_0=0 +lon_0=-171 +k=1 +x_0=32500000 +y_0=0 +ellps=krass +towgs84=24.47,-130.89,-81.56,0,0,0.13,-0.22 +units=m +no_defs </t>
  </si>
  <si>
    <t>PROJCS["Pulkovo 1995 / Gauss-Kruger 4N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21],PARAMETER["scale_factor",1],PARAMETER["false_easting",500000],PARAMETER["false_northing",0],UNIT["metre",1,AUTHORITY["EPSG","9001"]],AUTHORITY["EPSG","20064"]]</t>
  </si>
  <si>
    <t>PROJCS["Pulkovo 1995 / Gauss-Kruger 5N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27],PARAMETER["scale_factor",1],PARAMETER["false_easting",500000],PARAMETER["false_northing",0],UNIT["metre",1,AUTHORITY["EPSG","9001"]],AUTHORITY["EPSG","20065"]]</t>
  </si>
  <si>
    <t>PROJCS["Pulkovo 1995 / Gauss-Kruger 6N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33],PARAMETER["scale_factor",1],PARAMETER["false_easting",500000],PARAMETER["false_northing",0],UNIT["metre",1,AUTHORITY["EPSG","9001"]],AUTHORITY["EPSG","20066"]]</t>
  </si>
  <si>
    <t>PROJCS["Pulkovo 1995 / Gauss-Kruger 7N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39],PARAMETER["scale_factor",1],PARAMETER["false_easting",500000],PARAMETER["false_northing",0],UNIT["metre",1,AUTHORITY["EPSG","9001"]],AUTHORITY["EPSG","20067"]]</t>
  </si>
  <si>
    <t>PROJCS["Pulkovo 1995 / Gauss-Kruger 8N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45],PARAMETER["scale_factor",1],PARAMETER["false_easting",500000],PARAMETER["false_northing",0],UNIT["metre",1,AUTHORITY["EPSG","9001"]],AUTHORITY["EPSG","20068"]]</t>
  </si>
  <si>
    <t>PROJCS["Pulkovo 1995 / Gauss-Kruger 9N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51],PARAMETER["scale_factor",1],PARAMETER["false_easting",500000],PARAMETER["false_northing",0],UNIT["metre",1,AUTHORITY["EPSG","9001"]],AUTHORITY["EPSG","20069"]]</t>
  </si>
  <si>
    <t>PROJCS["Pulkovo 1995 / Gauss-Kruger 10N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57],PARAMETER["scale_factor",1],PARAMETER["false_easting",500000],PARAMETER["false_northing",0],UNIT["metre",1,AUTHORITY["EPSG","9001"]],AUTHORITY["EPSG","20070"]]</t>
  </si>
  <si>
    <t>PROJCS["Pulkovo 1995 / Gauss-Kruger 11N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63],PARAMETER["scale_factor",1],PARAMETER["false_easting",500000],PARAMETER["false_northing",0],UNIT["metre",1,AUTHORITY["EPSG","9001"]],AUTHORITY["EPSG","20071"]]</t>
  </si>
  <si>
    <t>PROJCS["Pulkovo 1995 / Gauss-Kruger 12N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69],PARAMETER["scale_factor",1],PARAMETER["false_easting",500000],PARAMETER["false_northing",0],UNIT["metre",1,AUTHORITY["EPSG","9001"]],AUTHORITY["EPSG","20072"]]</t>
  </si>
  <si>
    <t>PROJCS["Pulkovo 1995 / Gauss-Kruger 13N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75],PARAMETER["scale_factor",1],PARAMETER["false_easting",500000],PARAMETER["false_northing",0],UNIT["metre",1,AUTHORITY["EPSG","9001"]],AUTHORITY["EPSG","20073"]]</t>
  </si>
  <si>
    <t>PROJCS["Pulkovo 1995 / Gauss-Kruger 14N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81],PARAMETER["scale_factor",1],PARAMETER["false_easting",500000],PARAMETER["false_northing",0],UNIT["metre",1,AUTHORITY["EPSG","9001"]],AUTHORITY["EPSG","20074"]]</t>
  </si>
  <si>
    <t>PROJCS["Pulkovo 1995 / Gauss-Kruger 15N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87],PARAMETER["scale_factor",1],PARAMETER["false_easting",500000],PARAMETER["false_northing",0],UNIT["metre",1,AUTHORITY["EPSG","9001"]],AUTHORITY["EPSG","20075"]]</t>
  </si>
  <si>
    <t>PROJCS["Pulkovo 1995 / Gauss-Kruger 16N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93],PARAMETER["scale_factor",1],PARAMETER["false_easting",500000],PARAMETER["false_northing",0],UNIT["metre",1,AUTHORITY["EPSG","9001"]],AUTHORITY["EPSG","20076"]]</t>
  </si>
  <si>
    <t>PROJCS["Pulkovo 1995 / Gauss-Kruger 17N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99],PARAMETER["scale_factor",1],PARAMETER["false_easting",500000],PARAMETER["false_northing",0],UNIT["metre",1,AUTHORITY["EPSG","9001"]],AUTHORITY["EPSG","20077"]]</t>
  </si>
  <si>
    <t>PROJCS["Pulkovo 1995 / Gauss-Kruger 18N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105],PARAMETER["scale_factor",1],PARAMETER["false_easting",500000],PARAMETER["false_northing",0],UNIT["metre",1,AUTHORITY["EPSG","9001"]],AUTHORITY["EPSG","20078"]]</t>
  </si>
  <si>
    <t>PROJCS["Pulkovo 1995 / Gauss-Kruger 19N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111],PARAMETER["scale_factor",1],PARAMETER["false_easting",500000],PARAMETER["false_northing",0],UNIT["metre",1,AUTHORITY["EPSG","9001"]],AUTHORITY["EPSG","20079"]]</t>
  </si>
  <si>
    <t>PROJCS["Pulkovo 1995 / Gauss-Kruger 20N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117],PARAMETER["scale_factor",1],PARAMETER["false_easting",500000],PARAMETER["false_northing",0],UNIT["metre",1,AUTHORITY["EPSG","9001"]],AUTHORITY["EPSG","20080"]]</t>
  </si>
  <si>
    <t>PROJCS["Pulkovo 1995 / Gauss-Kruger 21N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123],PARAMETER["scale_factor",1],PARAMETER["false_easting",500000],PARAMETER["false_northing",0],UNIT["metre",1,AUTHORITY["EPSG","9001"]],AUTHORITY["EPSG","20081"]]</t>
  </si>
  <si>
    <t>PROJCS["Pulkovo 1995 / Gauss-Kruger 22N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129],PARAMETER["scale_factor",1],PARAMETER["false_easting",500000],PARAMETER["false_northing",0],UNIT["metre",1,AUTHORITY["EPSG","9001"]],AUTHORITY["EPSG","20082"]]</t>
  </si>
  <si>
    <t>PROJCS["Pulkovo 1995 / Gauss-Kruger 23N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135],PARAMETER["scale_factor",1],PARAMETER["false_easting",500000],PARAMETER["false_northing",0],UNIT["metre",1,AUTHORITY["EPSG","9001"]],AUTHORITY["EPSG","20083"]]</t>
  </si>
  <si>
    <t>PROJCS["Pulkovo 1995 / Gauss-Kruger 24N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141],PARAMETER["scale_factor",1],PARAMETER["false_easting",500000],PARAMETER["false_northing",0],UNIT["metre",1,AUTHORITY["EPSG","9001"]],AUTHORITY["EPSG","20084"]]</t>
  </si>
  <si>
    <t>PROJCS["Pulkovo 1995 / Gauss-Kruger 25N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147],PARAMETER["scale_factor",1],PARAMETER["false_easting",500000],PARAMETER["false_northing",0],UNIT["metre",1,AUTHORITY["EPSG","9001"]],AUTHORITY["EPSG","20085"]]</t>
  </si>
  <si>
    <t>PROJCS["Pulkovo 1995 / Gauss-Kruger 26N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153],PARAMETER["scale_factor",1],PARAMETER["false_easting",500000],PARAMETER["false_northing",0],UNIT["metre",1,AUTHORITY["EPSG","9001"]],AUTHORITY["EPSG","20086"]]</t>
  </si>
  <si>
    <t>PROJCS["Pulkovo 1995 / Gauss-Kruger 27N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159],PARAMETER["scale_factor",1],PARAMETER["false_easting",500000],PARAMETER["false_northing",0],UNIT["metre",1,AUTHORITY["EPSG","9001"]],AUTHORITY["EPSG","20087"]]</t>
  </si>
  <si>
    <t>PROJCS["Pulkovo 1995 / Gauss-Kruger 28N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165],PARAMETER["scale_factor",1],PARAMETER["false_easting",500000],PARAMETER["false_northing",0],UNIT["metre",1,AUTHORITY["EPSG","9001"]],AUTHORITY["EPSG","20088"]]</t>
  </si>
  <si>
    <t>PROJCS["Pulkovo 1995 / Gauss-Kruger 29N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171],PARAMETER["scale_factor",1],PARAMETER["false_easting",500000],PARAMETER["false_northing",0],UNIT["metre",1,AUTHORITY["EPSG","9001"]],AUTHORITY["EPSG","20089"]]</t>
  </si>
  <si>
    <t>PROJCS["Pulkovo 1995 / Gauss-Kruger 30N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177],PARAMETER["scale_factor",1],PARAMETER["false_easting",500000],PARAMETER["false_northing",0],UNIT["metre",1,AUTHORITY["EPSG","9001"]],AUTHORITY["EPSG","20090"]]</t>
  </si>
  <si>
    <t>PROJCS["Pulkovo 1995 / Gauss-Kruger 31N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-177],PARAMETER["scale_factor",1],PARAMETER["false_easting",500000],PARAMETER["false_northing",0],UNIT["metre",1,AUTHORITY["EPSG","9001"]],AUTHORITY["EPSG","20091"]]</t>
  </si>
  <si>
    <t>PROJCS["Pulkovo 1995 / Gauss-Kruger 32N (deprecated)",GEOGCS["Pulkovo 1995",DATUM["Pulkovo_1995",SPHEROID["Krassowsky 1940",6378245,298.3,AUTHORITY["EPSG","7024"]],TOWGS84[24.47,-130.89,-81.56,0,0,0.13,-0.22],AUTHORITY["EPSG","6200"]],PRIMEM["Greenwich",0,AUTHORITY["EPSG","8901"]],UNIT["degree",0.0174532925199433,AUTHORITY["EPSG","9122"]],AUTHORITY["EPSG","4200"]],PROJECTION["Transverse_Mercator"],PARAMETER["latitude_of_origin",0],PARAMETER["central_meridian",-171],PARAMETER["scale_factor",1],PARAMETER["false_easting",500000],PARAMETER["false_northing",0],UNIT["metre",1,AUTHORITY["EPSG","9001"]],AUTHORITY["EPSG","20092"]]</t>
  </si>
  <si>
    <t>PROJCS["Adindan / UTM zone 35N",GEOGCS["Adindan",DATUM["Adindan",SPHEROID["Clarke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20135"]]</t>
  </si>
  <si>
    <t xml:space="preserve">+proj=utm +zone=35 +ellps=clrk80 +towgs84=-166,-15,204,0,0,0,0 +units=m +no_defs </t>
  </si>
  <si>
    <t>PROJCS["Adindan / UTM zone 36N",GEOGCS["Adindan",DATUM["Adindan",SPHEROID["Clarke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20136"]]</t>
  </si>
  <si>
    <t xml:space="preserve">+proj=utm +zone=36 +ellps=clrk80 +towgs84=-166,-15,204,0,0,0,0 +units=m +no_defs </t>
  </si>
  <si>
    <t>PROJCS["Adindan / UTM zone 37N",GEOGCS["Adindan",DATUM["Adindan",SPHEROID["Clarke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20137"]]</t>
  </si>
  <si>
    <t xml:space="preserve">+proj=utm +zone=37 +ellps=clrk80 +towgs84=-166,-15,204,0,0,0,0 +units=m +no_defs </t>
  </si>
  <si>
    <t>PROJCS["Adindan / UTM zone 38N",GEOGCS["Adindan",DATUM["Adindan",SPHEROID["Clarke 1880 (RGS)",6378249.145,293.465,AUTHORITY["EPSG","7012"]],TOWGS84[-166,-15,204,0,0,0,0],AUTHORITY["EPSG","6201"]],PRIMEM["Greenwich",0,AUTHORITY["EPSG","8901"]],UNIT["degree",0.0174532925199433,AUTHORITY["EPSG","9122"]],AUTHORITY["EPSG","4201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20138"]]</t>
  </si>
  <si>
    <t xml:space="preserve">+proj=utm +zone=38 +ellps=clrk80 +towgs84=-166,-15,204,0,0,0,0 +units=m +no_defs </t>
  </si>
  <si>
    <t>PROJCS["AGD66 / AMG zone 48 (deprecated)",GEOGCS["AGD66",DATUM["Australian_Geodetic_Datum_1966",SPHEROID["Australian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20248"]]</t>
  </si>
  <si>
    <t xml:space="preserve">+proj=utm +zone=48 +south +ellps=aust_SA +towgs84=-117.808,-51.536,137.784,0.303,0.446,0.234,-0.29 +units=m +no_defs </t>
  </si>
  <si>
    <t>PROJCS["AGD66 / AMG zone 49",GEOGCS["AGD66",DATUM["Australian_Geodetic_Datum_1966",SPHEROID["Australian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20249"]]</t>
  </si>
  <si>
    <t xml:space="preserve">+proj=utm +zone=49 +south +ellps=aust_SA +towgs84=-117.808,-51.536,137.784,0.303,0.446,0.234,-0.29 +units=m +no_defs </t>
  </si>
  <si>
    <t>PROJCS["AGD66 / AMG zone 50",GEOGCS["AGD66",DATUM["Australian_Geodetic_Datum_1966",SPHEROID["Australian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20250"]]</t>
  </si>
  <si>
    <t xml:space="preserve">+proj=utm +zone=50 +south +ellps=aust_SA +towgs84=-117.808,-51.536,137.784,0.303,0.446,0.234,-0.29 +units=m +no_defs </t>
  </si>
  <si>
    <t>PROJCS["AGD66 / AMG zone 51",GEOGCS["AGD66",DATUM["Australian_Geodetic_Datum_1966",SPHEROID["Australian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20251"]]</t>
  </si>
  <si>
    <t xml:space="preserve">+proj=utm +zone=51 +south +ellps=aust_SA +towgs84=-117.808,-51.536,137.784,0.303,0.446,0.234,-0.29 +units=m +no_defs </t>
  </si>
  <si>
    <t>PROJCS["AGD66 / AMG zone 52",GEOGCS["AGD66",DATUM["Australian_Geodetic_Datum_1966",SPHEROID["Australian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20252"]]</t>
  </si>
  <si>
    <t xml:space="preserve">+proj=utm +zone=52 +south +ellps=aust_SA +towgs84=-117.808,-51.536,137.784,0.303,0.446,0.234,-0.29 +units=m +no_defs </t>
  </si>
  <si>
    <t>PROJCS["WGS 84 / UTM zone 11N",GEOGCS["WGS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32611"]]</t>
  </si>
  <si>
    <t>PROJCS["AGD66 / AMG zone 53",GEOGCS["AGD66",DATUM["Australian_Geodetic_Datum_1966",SPHEROID["Australian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20253"]]</t>
  </si>
  <si>
    <t xml:space="preserve">+proj=utm +zone=53 +south +ellps=aust_SA +towgs84=-117.808,-51.536,137.784,0.303,0.446,0.234,-0.29 +units=m +no_defs </t>
  </si>
  <si>
    <t>PROJCS["AGD66 / AMG zone 54",GEOGCS["AGD66",DATUM["Australian_Geodetic_Datum_1966",SPHEROID["Australian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20254"]]</t>
  </si>
  <si>
    <t xml:space="preserve">+proj=utm +zone=54 +south +ellps=aust_SA +towgs84=-117.808,-51.536,137.784,0.303,0.446,0.234,-0.29 +units=m +no_defs </t>
  </si>
  <si>
    <t>PROJCS["AGD66 / AMG zone 55",GEOGCS["AGD66",DATUM["Australian_Geodetic_Datum_1966",SPHEROID["Australian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20255"]]</t>
  </si>
  <si>
    <t xml:space="preserve">+proj=utm +zone=55 +south +ellps=aust_SA +towgs84=-117.808,-51.536,137.784,0.303,0.446,0.234,-0.29 +units=m +no_defs </t>
  </si>
  <si>
    <t>PROJCS["AGD66 / AMG zone 56",GEOGCS["AGD66",DATUM["Australian_Geodetic_Datum_1966",SPHEROID["Australian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20256"]]</t>
  </si>
  <si>
    <t xml:space="preserve">+proj=utm +zone=56 +south +ellps=aust_SA +towgs84=-117.808,-51.536,137.784,0.303,0.446,0.234,-0.29 +units=m +no_defs </t>
  </si>
  <si>
    <t>PROJCS["AGD66 / AMG zone 57",GEOGCS["AGD66",DATUM["Australian_Geodetic_Datum_1966",SPHEROID["Australian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20257"]]</t>
  </si>
  <si>
    <t xml:space="preserve">+proj=utm +zone=57 +south +ellps=aust_SA +towgs84=-117.808,-51.536,137.784,0.303,0.446,0.234,-0.29 +units=m +no_defs </t>
  </si>
  <si>
    <t>PROJCS["AGD66 / AMG zone 58",GEOGCS["AGD66",DATUM["Australian_Geodetic_Datum_1966",SPHEROID["Australian National Spheroid",6378160,298.25,AUTHORITY["EPSG","7003"]],TOWGS84[-117.808,-51.536,137.784,0.303,0.446,0.234,-0.29],AUTHORITY["EPSG","6202"]],PRIMEM["Greenwich",0,AUTHORITY["EPSG","8901"]],UNIT["degree",0.0174532925199433,AUTHORITY["EPSG","9122"]],AUTHORITY["EPSG","4202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20258"]]</t>
  </si>
  <si>
    <t xml:space="preserve">+proj=utm +zone=58 +south +ellps=aust_SA +towgs84=-117.808,-51.536,137.784,0.303,0.446,0.234,-0.29 +units=m +no_defs </t>
  </si>
  <si>
    <t>PROJCS["AGD84 / AMG zone 48 (deprecated)",GEOGCS["AGD84",DATUM["Australian_Geodetic_Datum_1984",SPHEROID["Australian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20348"]]</t>
  </si>
  <si>
    <t xml:space="preserve">+proj=utm +zone=48 +south +ellps=aust_SA +towgs84=-134,-48,149,0,0,0,0 +units=m +no_defs </t>
  </si>
  <si>
    <t>PROJCS["AGD84 / AMG zone 49",GEOGCS["AGD84",DATUM["Australian_Geodetic_Datum_1984",SPHEROID["Australian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20349"]]</t>
  </si>
  <si>
    <t xml:space="preserve">+proj=utm +zone=49 +south +ellps=aust_SA +towgs84=-134,-48,149,0,0,0,0 +units=m +no_defs </t>
  </si>
  <si>
    <t>PROJCS["AGD84 / AMG zone 50",GEOGCS["AGD84",DATUM["Australian_Geodetic_Datum_1984",SPHEROID["Australian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20350"]]</t>
  </si>
  <si>
    <t xml:space="preserve">+proj=utm +zone=50 +south +ellps=aust_SA +towgs84=-134,-48,149,0,0,0,0 +units=m +no_defs </t>
  </si>
  <si>
    <t>GEOCCS["ITRF2008",DATUM["International_Terrestrial_Reference_Frame_2008",SPHEROID["GRS 1980",6378137,298.257222101,AUTHORITY["EPSG","7019"]],AUTHORITY["EPSG","1061"]],PRIMEM["Greenwich",0,AUTHORITY["EPSG","8901"]],UNIT["metre",1,AUTHORITY["EPSG","9001"]],AXIS["Geocentric X",OTHER],AXIS["Geocentric Y",OTHER],AXIS["Geocentric Z",NORTH],AUTHORITY["EPSG","5332"]]</t>
  </si>
  <si>
    <t>PROJCS["AGD84 / AMG zone 51",GEOGCS["AGD84",DATUM["Australian_Geodetic_Datum_1984",SPHEROID["Australian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20351"]]</t>
  </si>
  <si>
    <t xml:space="preserve">+proj=utm +zone=51 +south +ellps=aust_SA +towgs84=-134,-48,149,0,0,0,0 +units=m +no_defs </t>
  </si>
  <si>
    <t>PROJCS["AGD84 / AMG zone 52",GEOGCS["AGD84",DATUM["Australian_Geodetic_Datum_1984",SPHEROID["Australian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20352"]]</t>
  </si>
  <si>
    <t xml:space="preserve">+proj=utm +zone=52 +south +ellps=aust_SA +towgs84=-134,-48,149,0,0,0,0 +units=m +no_defs </t>
  </si>
  <si>
    <t>PROJCS["AGD84 / AMG zone 53",GEOGCS["AGD84",DATUM["Australian_Geodetic_Datum_1984",SPHEROID["Australian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20353"]]</t>
  </si>
  <si>
    <t xml:space="preserve">+proj=utm +zone=53 +south +ellps=aust_SA +towgs84=-134,-48,149,0,0,0,0 +units=m +no_defs </t>
  </si>
  <si>
    <t>PROJCS["AGD84 / AMG zone 54",GEOGCS["AGD84",DATUM["Australian_Geodetic_Datum_1984",SPHEROID["Australian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20354"]]</t>
  </si>
  <si>
    <t xml:space="preserve">+proj=utm +zone=54 +south +ellps=aust_SA +towgs84=-134,-48,149,0,0,0,0 +units=m +no_defs </t>
  </si>
  <si>
    <t>PROJCS["AGD84 / AMG zone 55",GEOGCS["AGD84",DATUM["Australian_Geodetic_Datum_1984",SPHEROID["Australian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20355"]]</t>
  </si>
  <si>
    <t xml:space="preserve">+proj=utm +zone=55 +south +ellps=aust_SA +towgs84=-134,-48,149,0,0,0,0 +units=m +no_defs </t>
  </si>
  <si>
    <t>PROJCS["AGD84 / AMG zone 56",GEOGCS["AGD84",DATUM["Australian_Geodetic_Datum_1984",SPHEROID["Australian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20356"]]</t>
  </si>
  <si>
    <t xml:space="preserve">+proj=utm +zone=56 +south +ellps=aust_SA +towgs84=-134,-48,149,0,0,0,0 +units=m +no_defs </t>
  </si>
  <si>
    <t>PROJCS["AGD84 / AMG zone 57 (deprecated)",GEOGCS["AGD84",DATUM["Australian_Geodetic_Datum_1984",SPHEROID["Australian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20357"]]</t>
  </si>
  <si>
    <t xml:space="preserve">+proj=utm +zone=57 +south +ellps=aust_SA +towgs84=-134,-48,149,0,0,0,0 +units=m +no_defs </t>
  </si>
  <si>
    <t>PROJCS["AGD84 / AMG zone 58 (deprecated)",GEOGCS["AGD84",DATUM["Australian_Geodetic_Datum_1984",SPHEROID["Australian National Spheroid",6378160,298.25,AUTHORITY["EPSG","7003"]],TOWGS84[-134,-48,149,0,0,0,0],AUTHORITY["EPSG","6203"]],PRIMEM["Greenwich",0,AUTHORITY["EPSG","8901"]],UNIT["degree",0.0174532925199433,AUTHORITY["EPSG","9122"]],AUTHORITY["EPSG","4203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20358"]]</t>
  </si>
  <si>
    <t xml:space="preserve">+proj=utm +zone=58 +south +ellps=aust_SA +towgs84=-134,-48,149,0,0,0,0 +units=m +no_defs </t>
  </si>
  <si>
    <t>PROJCS["Ain el Abd / UTM zone 36N",GEOGCS["Ain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20436"]]</t>
  </si>
  <si>
    <t xml:space="preserve">+proj=utm +zone=36 +ellps=intl +towgs84=-143,-236,7,0,0,0,0 +units=m +no_defs </t>
  </si>
  <si>
    <t>PROJCS["Ain el Abd / UTM zone 37N",GEOGCS["Ain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20437"]]</t>
  </si>
  <si>
    <t xml:space="preserve">+proj=utm +zone=37 +ellps=intl +towgs84=-143,-236,7,0,0,0,0 +units=m +no_defs </t>
  </si>
  <si>
    <t>PROJCS["Ain el Abd / UTM zone 38N",GEOGCS["Ain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20438"]]</t>
  </si>
  <si>
    <t xml:space="preserve">+proj=utm +zone=38 +ellps=intl +towgs84=-143,-236,7,0,0,0,0 +units=m +no_defs </t>
  </si>
  <si>
    <t>PROJCS["Ain el Abd / UTM zone 39N",GEOGCS["Ain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20439"]]</t>
  </si>
  <si>
    <t xml:space="preserve">+proj=utm +zone=39 +ellps=intl +towgs84=-143,-236,7,0,0,0,0 +units=m +no_defs </t>
  </si>
  <si>
    <t>PROJCS["Ain el Abd / UTM zone 40N",GEOGCS["Ain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20440"]]</t>
  </si>
  <si>
    <t xml:space="preserve">+proj=utm +zone=40 +ellps=intl +towgs84=-143,-236,7,0,0,0,0 +units=m +no_defs </t>
  </si>
  <si>
    <t>PROJCS["Ain el Abd / Bahrain Grid",GEOGCS["Ain el Abd",DATUM["Ain_el_Abd_1970",SPHEROID["International 1924",6378388,297,AUTHORITY["EPSG","7022"]],TOWGS84[-143,-236,7,0,0,0,0],AUTHORITY["EPSG","6204"]],PRIMEM["Greenwich",0,AUTHORITY["EPSG","8901"]],UNIT["degree",0.0174532925199433,AUTHORITY["EPSG","9122"]],AUTHORITY["EPSG","4204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20499"]]</t>
  </si>
  <si>
    <t>PROJCS["Afgooye / UTM zone 38N",GEOGCS["Afgooye",DATUM["Afgooye",SPHEROID["Krassowsky 1940",6378245,298.3,AUTHORITY["EPSG","7024"]],TOWGS84[-43,-163,45,0,0,0,0],AUTHORITY["EPSG","6205"]],PRIMEM["Greenwich",0,AUTHORITY["EPSG","8901"]],UNIT["degree",0.0174532925199433,AUTHORITY["EPSG","9122"]],AUTHORITY["EPSG","4205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20538"]]</t>
  </si>
  <si>
    <t xml:space="preserve">+proj=utm +zone=38 +ellps=krass +towgs84=-43,-163,45,0,0,0,0 +units=m +no_defs </t>
  </si>
  <si>
    <t>PROJCS["Afgooye / UTM zone 39N",GEOGCS["Afgooye",DATUM["Afgooye",SPHEROID["Krassowsky 1940",6378245,298.3,AUTHORITY["EPSG","7024"]],TOWGS84[-43,-163,45,0,0,0,0],AUTHORITY["EPSG","6205"]],PRIMEM["Greenwich",0,AUTHORITY["EPSG","8901"]],UNIT["degree",0.0174532925199433,AUTHORITY["EPSG","9122"]],AUTHORITY["EPSG","4205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20539"]]</t>
  </si>
  <si>
    <t xml:space="preserve">+proj=utm +zone=39 +ellps=krass +towgs84=-43,-163,45,0,0,0,0 +units=m +no_defs </t>
  </si>
  <si>
    <t>PROJCS["Lisbon (Lisbon) / Portuguese National Grid",GEOGCS["Lisbon (Lisbon)",DATUM["Lisbon_1937_Lisbon",SPHEROID["International 1924",6378388,297,AUTHORITY["EPSG","7022"]],TOWGS84[-304.046,-60.576,103.64,0,0,0,0],AUTHORITY["EPSG","6803"]],PRIMEM["Lisbon",-9.131906111111112,AUTHORITY["EPSG","8902"]],UNIT["degree",0.0174532925199433,AUTHORITY["EPSG","9122"]],AUTHORITY["EPSG","4803"]],PROJECTION["Transverse_Mercator"],PARAMETER["latitude_of_origin",39.66666666666666],PARAMETER["central_meridian",1],PARAMETER["scale_factor",1],PARAMETER["false_easting",200000],PARAMETER["false_northing",300000],UNIT["metre",1,AUTHORITY["EPSG","9001"]],AXIS["X",EAST],AXIS["Y",NORTH],AUTHORITY["EPSG","20790"]]</t>
  </si>
  <si>
    <t xml:space="preserve">+proj=tmerc +lat_0=39.66666666666666 +lon_0=1 +k=1 +x_0=200000 +y_0=300000 +ellps=intl +towgs84=-304.046,-60.576,103.64,0,0,0,0 +pm=lisbon +units=m +no_defs </t>
  </si>
  <si>
    <t>PROJCS["Lisbon (Lisbon) / Portuguese Grid",GEOGCS["Lisbon (Lisbon)",DATUM["Lisbon_1937_Lisbon",SPHEROID["International 1924",6378388,297,AUTHORITY["EPSG","7022"]],TOWGS84[-304.046,-60.576,103.64,0,0,0,0],AUTHORITY["EPSG","6803"]],PRIMEM["Lisbon",-9.131906111111112,AUTHORITY["EPSG","8902"]],UNIT["degree",0.0174532925199433,AUTHORITY["EPSG","9122"]],AUTHORITY["EPSG","4803"]],PROJECTION["Transverse_Mercator"],PARAMETER["latitude_of_origin",39.66666666666666],PARAMETER["central_meridian",1],PARAMETER["scale_factor",1],PARAMETER["false_easting",0],PARAMETER["false_northing",0],UNIT["metre",1,AUTHORITY["EPSG","9001"]],AXIS["X",EAST],AXIS["Y",NORTH],AUTHORITY["EPSG","20791"]]</t>
  </si>
  <si>
    <t xml:space="preserve">+proj=tmerc +lat_0=39.66666666666666 +lon_0=1 +k=1 +x_0=0 +y_0=0 +ellps=intl +towgs84=-304.046,-60.576,103.64,0,0,0,0 +pm=lisbon +units=m +no_defs </t>
  </si>
  <si>
    <t>PROJCS["Aratu / UTM zone 22S",GEOGCS["Aratu",DATUM["Aratu",SPHEROID["International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20822"]]</t>
  </si>
  <si>
    <t xml:space="preserve">+proj=utm +zone=22 +south +ellps=intl +towgs84=-151.99,287.04,-147.45,0,0,0,0 +units=m +no_defs </t>
  </si>
  <si>
    <t>PROJCS["Aratu / UTM zone 23S",GEOGCS["Aratu",DATUM["Aratu",SPHEROID["International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20823"]]</t>
  </si>
  <si>
    <t xml:space="preserve">+proj=utm +zone=23 +south +ellps=intl +towgs84=-151.99,287.04,-147.45,0,0,0,0 +units=m +no_defs </t>
  </si>
  <si>
    <t>PROJCS["Aratu / UTM zone 24S",GEOGCS["Aratu",DATUM["Aratu",SPHEROID["International 1924",6378388,297,AUTHORITY["EPSG","7022"]],TOWGS84[-151.99,287.04,-147.45,0,0,0,0],AUTHORITY["EPSG","6208"]],PRIMEM["Greenwich",0,AUTHORITY["EPSG","8901"]],UNIT["degree",0.0174532925199433,AUTHORITY["EPSG","9122"]],AUTHORITY["EPSG","4208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20824"]]</t>
  </si>
  <si>
    <t xml:space="preserve">+proj=utm +zone=24 +south +ellps=intl +towgs84=-151.99,287.04,-147.45,0,0,0,0 +units=m +no_defs </t>
  </si>
  <si>
    <t>PROJCS["Arc 1950 / UTM zone 34S",GEOGCS["Arc 1950",DATUM["Arc_1950",SPHEROID["Clarke 1880 (Arc)",6378249.145,293.4663077,AUTHORITY["EPSG","7013"]],TOWGS84[-143,-90,-294,0,0,0,0],AUTHORITY["EPSG","6209"]],PRIMEM["Greenwich",0,AUTHORITY["EPSG","8901"]],UNIT["degree",0.0174532925199433,AUTHORITY["EPSG","9122"]],AUTHORITY["EPSG","4209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20934"]]</t>
  </si>
  <si>
    <t xml:space="preserve">+proj=utm +zone=34 +south +a=6378249.145 +b=6356514.966398753 +towgs84=-143,-90,-294,0,0,0,0 +units=m +no_defs </t>
  </si>
  <si>
    <t>PROJCS["Arc 1950 / UTM zone 35S",GEOGCS["Arc 1950",DATUM["Arc_1950",SPHEROID["Clarke 1880 (Arc)",6378249.145,293.4663077,AUTHORITY["EPSG","7013"]],TOWGS84[-143,-90,-294,0,0,0,0],AUTHORITY["EPSG","6209"]],PRIMEM["Greenwich",0,AUTHORITY["EPSG","8901"]],UNIT["degree",0.0174532925199433,AUTHORITY["EPSG","9122"]],AUTHORITY["EPSG","4209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20935"]]</t>
  </si>
  <si>
    <t xml:space="preserve">+proj=utm +zone=35 +south +a=6378249.145 +b=6356514.966398753 +towgs84=-143,-90,-294,0,0,0,0 +units=m +no_defs </t>
  </si>
  <si>
    <t>PROJCS["Arc 1950 / UTM zone 36S",GEOGCS["Arc 1950",DATUM["Arc_1950",SPHEROID["Clarke 1880 (Arc)",6378249.145,293.4663077,AUTHORITY["EPSG","7013"]],TOWGS84[-143,-90,-294,0,0,0,0],AUTHORITY["EPSG","6209"]],PRIMEM["Greenwich",0,AUTHORITY["EPSG","8901"]],UNIT["degree",0.0174532925199433,AUTHORITY["EPSG","9122"]],AUTHORITY["EPSG","4209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20936"]]</t>
  </si>
  <si>
    <t xml:space="preserve">+proj=utm +zone=36 +south +a=6378249.145 +b=6356514.966398753 +towgs84=-143,-90,-294,0,0,0,0 +units=m +no_defs </t>
  </si>
  <si>
    <t>PROJCS["Arc 1960 / UTM zone 35S",GEOGCS["Arc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21035"]]</t>
  </si>
  <si>
    <t xml:space="preserve">+proj=utm +zone=35 +south +ellps=clrk80 +towgs84=-160,-6,-302,0,0,0,0 +units=m +no_defs </t>
  </si>
  <si>
    <t>PROJCS["Arc 1960 / UTM zone 36S",GEOGCS["Arc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21036"]]</t>
  </si>
  <si>
    <t xml:space="preserve">+proj=utm +zone=36 +south +ellps=clrk80 +towgs84=-160,-6,-302,0,0,0,0 +units=m +no_defs </t>
  </si>
  <si>
    <t>PROJCS["Arc 1960 / UTM zone 37S",GEOGCS["Arc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21037"]]</t>
  </si>
  <si>
    <t xml:space="preserve">+proj=utm +zone=37 +south +ellps=clrk80 +towgs84=-160,-6,-302,0,0,0,0 +units=m +no_defs </t>
  </si>
  <si>
    <t>PROJCS["Arc 1960 / UTM zone 35N",GEOGCS["Arc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21095"]]</t>
  </si>
  <si>
    <t xml:space="preserve">+proj=utm +zone=35 +ellps=clrk80 +towgs84=-160,-6,-302,0,0,0,0 +units=m +no_defs </t>
  </si>
  <si>
    <t>PROJCS["Arc 1960 / UTM zone 36N",GEOGCS["Arc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21096"]]</t>
  </si>
  <si>
    <t xml:space="preserve">+proj=utm +zone=36 +ellps=clrk80 +towgs84=-160,-6,-302,0,0,0,0 +units=m +no_defs </t>
  </si>
  <si>
    <t>PROJCS["Arc 1960 / UTM zone 37N",GEOGCS["Arc 1960",DATUM["Arc_1960",SPHEROID["Clarke 1880 (RGS)",6378249.145,293.465,AUTHORITY["EPSG","7012"]],TOWGS84[-160,-6,-302,0,0,0,0],AUTHORITY["EPSG","6210"]],PRIMEM["Greenwich",0,AUTHORITY["EPSG","8901"]],UNIT["degree",0.0174532925199433,AUTHORITY["EPSG","9122"]],AUTHORITY["EPSG","4210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21097"]]</t>
  </si>
  <si>
    <t xml:space="preserve">+proj=utm +zone=37 +ellps=clrk80 +towgs84=-160,-6,-302,0,0,0,0 +units=m +no_defs </t>
  </si>
  <si>
    <t>PROJCS["Batavia (Jakarta) / NEIEZ (deprecated)",GEOGCS["Batavia (Jakarta)",DATUM["Batavia_Jakarta",SPHEROID["Bessel 1841",6377397.155,299.1528128,AUTHORITY["EPSG","7004"]],TOWGS84[-377,681,-50,0,0,0,0],AUTHORITY["EPSG","6813"]],PRIMEM["Jakarta",106.8077194444444,AUTHORITY["EPSG","8908"]],UNIT["degree",0.0174532925199433,AUTHORITY["EPSG","9122"]],AUTHORITY["EPSG","4813"]],PROJECTION["Mercator_1SP"],PARAMETER["central_meridian",110],PARAMETER["scale_factor",0.997],PARAMETER["false_easting",3900000],PARAMETER["false_northing",900000],UNIT["metre",1,AUTHORITY["EPSG","9001"]],AXIS["X",EAST],AXIS["Y",NORTH],AUTHORITY["EPSG","21100"]]</t>
  </si>
  <si>
    <t xml:space="preserve">+proj=merc +lon_0=110 +k=0.997 +x_0=3900000 +y_0=900000 +ellps=bessel +towgs84=-377,681,-50,0,0,0,0 +pm=jakarta +units=m +no_defs </t>
  </si>
  <si>
    <t>PROJCS["Batavia / UTM zone 48S",GEOGCS["Batavia",DATUM["Batavia",SPHEROID["Bessel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21148"]]</t>
  </si>
  <si>
    <t xml:space="preserve">+proj=utm +zone=48 +south +ellps=bessel +towgs84=-377,681,-50,0,0,0,0 +units=m +no_defs </t>
  </si>
  <si>
    <t>PROJCS["Batavia / UTM zone 49S",GEOGCS["Batavia",DATUM["Batavia",SPHEROID["Bessel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21149"]]</t>
  </si>
  <si>
    <t xml:space="preserve">+proj=utm +zone=49 +south +ellps=bessel +towgs84=-377,681,-50,0,0,0,0 +units=m +no_defs </t>
  </si>
  <si>
    <t>PROJCS["Batavia / UTM zone 50S",GEOGCS["Batavia",DATUM["Batavia",SPHEROID["Bessel 1841",6377397.155,299.1528128,AUTHORITY["EPSG","7004"]],TOWGS84[-377,681,-50,0,0,0,0],AUTHORITY["EPSG","6211"]],PRIMEM["Greenwich",0,AUTHORITY["EPSG","8901"]],UNIT["degree",0.0174532925199433,AUTHORITY["EPSG","9122"]],AUTHORITY["EPSG","4211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21150"]]</t>
  </si>
  <si>
    <t xml:space="preserve">+proj=utm +zone=50 +south +ellps=bessel +towgs84=-377,681,-50,0,0,0,0 +units=m +no_defs </t>
  </si>
  <si>
    <t>PROJCS["Barbados 1938 / British West Indies Grid",GEOGCS["Barbados 1938",DATUM["Barbados_1938",SPHEROID["Clarke 1880 (RGS)",6378249.145,293.465,AUTHORITY["EPSG","7012"]],TOWGS84[31.95,300.99,419.19,0,0,0,0],AUTHORITY["EPSG","6212"]],PRIMEM["Greenwich",0,AUTHORITY["EPSG","8901"]],UNIT["degree",0.0174532925199433,AUTHORITY["EPSG","9122"]],AUTHORITY["EPSG","4212"]],PROJECTION["Transverse_Mercator"],PARAMETER["latitude_of_origin",0],PARAMETER["central_meridian",-62],PARAMETER["scale_factor",0.9995],PARAMETER["false_easting",400000],PARAMETER["false_northing",0],UNIT["metre",1,AUTHORITY["EPSG","9001"]],AXIS["Easting",EAST],AXIS["Northing",NORTH],AUTHORITY["EPSG","21291"]]</t>
  </si>
  <si>
    <t xml:space="preserve">+proj=tmerc +lat_0=0 +lon_0=-62 +k=0.9995000000000001 +x_0=400000 +y_0=0 +ellps=clrk80 +towgs84=31.95,300.99,419.19,0,0,0,0 +units=m +no_defs </t>
  </si>
  <si>
    <t>PROJCS["Barbados 1938 / Barbados National Grid",GEOGCS["Barbados 1938",DATUM["Barbados_1938",SPHEROID["Clarke 1880 (RGS)",6378249.145,293.465,AUTHORITY["EPSG","7012"]],TOWGS84[31.95,300.99,419.19,0,0,0,0],AUTHORITY["EPSG","6212"]],PRIMEM["Greenwich",0,AUTHORITY["EPSG","8901"]],UNIT["degree",0.0174532925199433,AUTHORITY["EPSG","9122"]],AUTHORITY["EPSG","4212"]],PROJECTION["Transverse_Mercator"],PARAMETER["latitude_of_origin",13.17638888888889],PARAMETER["central_meridian",-59.55972222222222],PARAMETER["scale_factor",0.9999986],PARAMETER["false_easting",30000],PARAMETER["false_northing",75000],UNIT["metre",1,AUTHORITY["EPSG","9001"]],AXIS["Easting",EAST],AXIS["Northing",NORTH],AUTHORITY["EPSG","21292"]]</t>
  </si>
  <si>
    <t xml:space="preserve">+proj=tmerc +lat_0=13.17638888888889 +lon_0=-59.55972222222222 +k=0.9999986 +x_0=30000 +y_0=75000 +ellps=clrk80 +towgs84=31.95,300.99,419.19,0,0,0,0 +units=m +no_defs </t>
  </si>
  <si>
    <t>PROJCS["Beijing 1954 / Gauss-Kruger zone 13",GEOGCS["Beijing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13500000],PARAMETER["false_northing",0],UNIT["metre",1,AUTHORITY["EPSG","9001"]],AUTHORITY["EPSG","21413"]]</t>
  </si>
  <si>
    <t xml:space="preserve">+proj=tmerc +lat_0=0 +lon_0=75 +k=1 +x_0=13500000 +y_0=0 +ellps=krass +towgs84=15.8,-154.4,-82.3,0,0,0,0 +units=m +no_defs </t>
  </si>
  <si>
    <t>PROJCS["Beijing 1954 / Gauss-Kruger zone 14",GEOGCS["Beijing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14500000],PARAMETER["false_northing",0],UNIT["metre",1,AUTHORITY["EPSG","9001"]],AUTHORITY["EPSG","21414"]]</t>
  </si>
  <si>
    <t xml:space="preserve">+proj=tmerc +lat_0=0 +lon_0=81 +k=1 +x_0=14500000 +y_0=0 +ellps=krass +towgs84=15.8,-154.4,-82.3,0,0,0,0 +units=m +no_defs </t>
  </si>
  <si>
    <t>PROJCS["Beijing 1954 / Gauss-Kruger zone 15",GEOGCS["Beijing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15500000],PARAMETER["false_northing",0],UNIT["metre",1,AUTHORITY["EPSG","9001"]],AUTHORITY["EPSG","21415"]]</t>
  </si>
  <si>
    <t xml:space="preserve">+proj=tmerc +lat_0=0 +lon_0=87 +k=1 +x_0=15500000 +y_0=0 +ellps=krass +towgs84=15.8,-154.4,-82.3,0,0,0,0 +units=m +no_defs </t>
  </si>
  <si>
    <t>PROJCS["Beijing 1954 / Gauss-Kruger zone 16",GEOGCS["Beijing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16500000],PARAMETER["false_northing",0],UNIT["metre",1,AUTHORITY["EPSG","9001"]],AUTHORITY["EPSG","21416"]]</t>
  </si>
  <si>
    <t xml:space="preserve">+proj=tmerc +lat_0=0 +lon_0=93 +k=1 +x_0=16500000 +y_0=0 +ellps=krass +towgs84=15.8,-154.4,-82.3,0,0,0,0 +units=m +no_defs </t>
  </si>
  <si>
    <t>PROJCS["Beijing 1954 / Gauss-Kruger zone 17",GEOGCS["Beijing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17500000],PARAMETER["false_northing",0],UNIT["metre",1,AUTHORITY["EPSG","9001"]],AUTHORITY["EPSG","21417"]]</t>
  </si>
  <si>
    <t xml:space="preserve">+proj=tmerc +lat_0=0 +lon_0=99 +k=1 +x_0=17500000 +y_0=0 +ellps=krass +towgs84=15.8,-154.4,-82.3,0,0,0,0 +units=m +no_defs </t>
  </si>
  <si>
    <t>PROJCS["Beijing 1954 / Gauss-Kruger zone 18",GEOGCS["Beijing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18500000],PARAMETER["false_northing",0],UNIT["metre",1,AUTHORITY["EPSG","9001"]],AUTHORITY["EPSG","21418"]]</t>
  </si>
  <si>
    <t xml:space="preserve">+proj=tmerc +lat_0=0 +lon_0=105 +k=1 +x_0=18500000 +y_0=0 +ellps=krass +towgs84=15.8,-154.4,-82.3,0,0,0,0 +units=m +no_defs </t>
  </si>
  <si>
    <t>PROJCS["Beijing 1954 / Gauss-Kruger zone 19",GEOGCS["Beijing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19500000],PARAMETER["false_northing",0],UNIT["metre",1,AUTHORITY["EPSG","9001"]],AUTHORITY["EPSG","21419"]]</t>
  </si>
  <si>
    <t xml:space="preserve">+proj=tmerc +lat_0=0 +lon_0=111 +k=1 +x_0=19500000 +y_0=0 +ellps=krass +towgs84=15.8,-154.4,-82.3,0,0,0,0 +units=m +no_defs </t>
  </si>
  <si>
    <t>PROJCS["Beijing 1954 / Gauss-Kruger zone 20",GEOGCS["Beijing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20500000],PARAMETER["false_northing",0],UNIT["metre",1,AUTHORITY["EPSG","9001"]],AUTHORITY["EPSG","21420"]]</t>
  </si>
  <si>
    <t xml:space="preserve">+proj=tmerc +lat_0=0 +lon_0=117 +k=1 +x_0=20500000 +y_0=0 +ellps=krass +towgs84=15.8,-154.4,-82.3,0,0,0,0 +units=m +no_defs </t>
  </si>
  <si>
    <t>PROJCS["Beijing 1954 / Gauss-Kruger zone 21",GEOGCS["Beijing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21500000],PARAMETER["false_northing",0],UNIT["metre",1,AUTHORITY["EPSG","9001"]],AUTHORITY["EPSG","21421"]]</t>
  </si>
  <si>
    <t xml:space="preserve">+proj=tmerc +lat_0=0 +lon_0=123 +k=1 +x_0=21500000 +y_0=0 +ellps=krass +towgs84=15.8,-154.4,-82.3,0,0,0,0 +units=m +no_defs </t>
  </si>
  <si>
    <t>PROJCS["Beijing 1954 / Gauss-Kruger zone 22",GEOGCS["Beijing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22500000],PARAMETER["false_northing",0],UNIT["metre",1,AUTHORITY["EPSG","9001"]],AUTHORITY["EPSG","21422"]]</t>
  </si>
  <si>
    <t xml:space="preserve">+proj=tmerc +lat_0=0 +lon_0=129 +k=1 +x_0=22500000 +y_0=0 +ellps=krass +towgs84=15.8,-154.4,-82.3,0,0,0,0 +units=m +no_defs </t>
  </si>
  <si>
    <t>PROJCS["Beijing 1954 / Gauss-Kruger zone 23",GEOGCS["Beijing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23500000],PARAMETER["false_northing",0],UNIT["metre",1,AUTHORITY["EPSG","9001"]],AUTHORITY["EPSG","21423"]]</t>
  </si>
  <si>
    <t xml:space="preserve">+proj=tmerc +lat_0=0 +lon_0=135 +k=1 +x_0=23500000 +y_0=0 +ellps=krass +towgs84=15.8,-154.4,-82.3,0,0,0,0 +units=m +no_defs </t>
  </si>
  <si>
    <t>PROJCS["Beijing 1954 / Gauss-Kruger CM 75E",GEOGCS["Beijing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500000],PARAMETER["false_northing",0],UNIT["metre",1,AUTHORITY["EPSG","9001"]],AUTHORITY["EPSG","21453"]]</t>
  </si>
  <si>
    <t>PROJCS["Beijing 1954 / Gauss-Kruger CM 81E",GEOGCS["Beijing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500000],PARAMETER["false_northing",0],UNIT["metre",1,AUTHORITY["EPSG","9001"]],AUTHORITY["EPSG","21454"]]</t>
  </si>
  <si>
    <t>PROJCS["Beijing 1954 / Gauss-Kruger CM 87E",GEOGCS["Beijing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500000],PARAMETER["false_northing",0],UNIT["metre",1,AUTHORITY["EPSG","9001"]],AUTHORITY["EPSG","21455"]]</t>
  </si>
  <si>
    <t>PROJCS["Beijing 1954 / Gauss-Kruger CM 93E",GEOGCS["Beijing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500000],PARAMETER["false_northing",0],UNIT["metre",1,AUTHORITY["EPSG","9001"]],AUTHORITY["EPSG","21456"]]</t>
  </si>
  <si>
    <t>PROJCS["Beijing 1954 / Gauss-Kruger CM 99E",GEOGCS["Beijing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500000],PARAMETER["false_northing",0],UNIT["metre",1,AUTHORITY["EPSG","9001"]],AUTHORITY["EPSG","21457"]]</t>
  </si>
  <si>
    <t>PROJCS["Beijing 1954 / Gauss-Kruger CM 105E",GEOGCS["Beijing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500000],PARAMETER["false_northing",0],UNIT["metre",1,AUTHORITY["EPSG","9001"]],AUTHORITY["EPSG","21458"]]</t>
  </si>
  <si>
    <t>PROJCS["Beijing 1954 / Gauss-Kruger CM 111E",GEOGCS["Beijing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500000],PARAMETER["false_northing",0],UNIT["metre",1,AUTHORITY["EPSG","9001"]],AUTHORITY["EPSG","21459"]]</t>
  </si>
  <si>
    <t>PROJCS["Beijing 1954 / Gauss-Kruger CM 117E",GEOGCS["Beijing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500000],PARAMETER["false_northing",0],UNIT["metre",1,AUTHORITY["EPSG","9001"]],AUTHORITY["EPSG","21460"]]</t>
  </si>
  <si>
    <t>PROJCS["Beijing 1954 / Gauss-Kruger CM 123E",GEOGCS["Beijing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500000],PARAMETER["false_northing",0],UNIT["metre",1,AUTHORITY["EPSG","9001"]],AUTHORITY["EPSG","21461"]]</t>
  </si>
  <si>
    <t>PROJCS["Beijing 1954 / Gauss-Kruger CM 129E",GEOGCS["Beijing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500000],PARAMETER["false_northing",0],UNIT["metre",1,AUTHORITY["EPSG","9001"]],AUTHORITY["EPSG","21462"]]</t>
  </si>
  <si>
    <t>PROJCS["Beijing 1954 / Gauss-Kruger CM 135E",GEOGCS["Beijing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500000],PARAMETER["false_northing",0],UNIT["metre",1,AUTHORITY["EPSG","9001"]],AUTHORITY["EPSG","21463"]]</t>
  </si>
  <si>
    <t>PROJCS["Beijing 1954 / Gauss-Kruger 13N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75],PARAMETER["scale_factor",1],PARAMETER["false_easting",500000],PARAMETER["false_northing",0],UNIT["metre",1,AUTHORITY["EPSG","9001"]],AUTHORITY["EPSG","21473"]]</t>
  </si>
  <si>
    <t>PROJCS["Beijing 1954 / Gauss-Kruger 14N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81],PARAMETER["scale_factor",1],PARAMETER["false_easting",500000],PARAMETER["false_northing",0],UNIT["metre",1,AUTHORITY["EPSG","9001"]],AUTHORITY["EPSG","21474"]]</t>
  </si>
  <si>
    <t>PROJCS["Beijing 1954 / Gauss-Kruger 15N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87],PARAMETER["scale_factor",1],PARAMETER["false_easting",500000],PARAMETER["false_northing",0],UNIT["metre",1,AUTHORITY["EPSG","9001"]],AUTHORITY["EPSG","21475"]]</t>
  </si>
  <si>
    <t>PROJCS["Beijing 1954 / Gauss-Kruger 16N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93],PARAMETER["scale_factor",1],PARAMETER["false_easting",500000],PARAMETER["false_northing",0],UNIT["metre",1,AUTHORITY["EPSG","9001"]],AUTHORITY["EPSG","21476"]]</t>
  </si>
  <si>
    <t>PROJCS["Beijing 1954 / Gauss-Kruger 17N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99],PARAMETER["scale_factor",1],PARAMETER["false_easting",500000],PARAMETER["false_northing",0],UNIT["metre",1,AUTHORITY["EPSG","9001"]],AUTHORITY["EPSG","21477"]]</t>
  </si>
  <si>
    <t>PROJCS["Beijing 1954 / Gauss-Kruger 18N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105],PARAMETER["scale_factor",1],PARAMETER["false_easting",500000],PARAMETER["false_northing",0],UNIT["metre",1,AUTHORITY["EPSG","9001"]],AUTHORITY["EPSG","21478"]]</t>
  </si>
  <si>
    <t>PROJCS["Beijing 1954 / Gauss-Kruger 19N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111],PARAMETER["scale_factor",1],PARAMETER["false_easting",500000],PARAMETER["false_northing",0],UNIT["metre",1,AUTHORITY["EPSG","9001"]],AUTHORITY["EPSG","21479"]]</t>
  </si>
  <si>
    <t>PROJCS["Beijing 1954 / Gauss-Kruger 20N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117],PARAMETER["scale_factor",1],PARAMETER["false_easting",500000],PARAMETER["false_northing",0],UNIT["metre",1,AUTHORITY["EPSG","9001"]],AUTHORITY["EPSG","21480"]]</t>
  </si>
  <si>
    <t>PROJCS["Beijing 1954 / Gauss-Kruger 21N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123],PARAMETER["scale_factor",1],PARAMETER["false_easting",500000],PARAMETER["false_northing",0],UNIT["metre",1,AUTHORITY["EPSG","9001"]],AUTHORITY["EPSG","21481"]]</t>
  </si>
  <si>
    <t>PROJCS["Beijing 1954 / Gauss-Kruger 22N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129],PARAMETER["scale_factor",1],PARAMETER["false_easting",500000],PARAMETER["false_northing",0],UNIT["metre",1,AUTHORITY["EPSG","9001"]],AUTHORITY["EPSG","21482"]]</t>
  </si>
  <si>
    <t>PROJCS["Beijing 1954 / Gauss-Kruger 23N (deprecated)",GEOGCS["Beijing 1954",DATUM["Beijing_1954",SPHEROID["Krassowsky 1940",6378245,298.3,AUTHORITY["EPSG","7024"]],TOWGS84[15.8,-154.4,-82.3,0,0,0,0],AUTHORITY["EPSG","6214"]],PRIMEM["Greenwich",0,AUTHORITY["EPSG","8901"]],UNIT["degree",0.0174532925199433,AUTHORITY["EPSG","9122"]],AUTHORITY["EPSG","4214"]],PROJECTION["Transverse_Mercator"],PARAMETER["latitude_of_origin",0],PARAMETER["central_meridian",135],PARAMETER["scale_factor",1],PARAMETER["false_easting",500000],PARAMETER["false_northing",0],UNIT["metre",1,AUTHORITY["EPSG","9001"]],AUTHORITY["EPSG","21483"]]</t>
  </si>
  <si>
    <t>PROJCS["Belge 1950 (Brussels) / Belge Lambert 50",GEOGCS["Belge 1950 (Brussels)",DATUM["Reseau_National_Belge_1950_Brussels",SPHEROID["International 1924",6378388,297,AUTHORITY["EPSG","7022"]],AUTHORITY["EPSG","6809"]],PRIMEM["Brussels",4.367975,AUTHORITY["EPSG","8910"]],UNIT["degree",0.0174532925199433,AUTHORITY["EPSG","9122"]],AUTHORITY["EPSG","4809"]],PROJECTION["Lambert_Conformal_Conic_2SP"],PARAMETER["standard_parallel_1",49.83333333333334],PARAMETER["standard_parallel_2",51.16666666666666],PARAMETER["latitude_of_origin",90],PARAMETER["central_meridian",0],PARAMETER["false_easting",150000],PARAMETER["false_northing",5400000],UNIT["metre",1,AUTHORITY["EPSG","9001"]],AXIS["X",EAST],AXIS["Y",NORTH],AUTHORITY["EPSG","21500"]]</t>
  </si>
  <si>
    <t>PROJCS["Bern 1898 (Bern) / LV03C",GEOGCS["Bern 1898 (Bern)",DATUM["CH1903_Bern",SPHEROID["Bessel 1841",6377397.155,299.1528128,AUTHORITY["EPSG","7004"]],TOWGS84[674.374,15.056,405.346,0,0,0,0],AUTHORITY["EPSG","6801"]],PRIMEM["Bern",7.439583333333333,AUTHORITY["EPSG","8907"]],UNIT["degree",0.0174532925199433,AUTHORITY["EPSG","9122"]],AUTHORITY["EPSG","4801"]],PROJECTION["Hotine_Oblique_Mercator_Azimuth_Center"],PARAMETER["latitude_of_center",46.95240555555556],PARAMETER["longitude_of_center",0],PARAMETER["azimuth",90],PARAMETER["rectified_grid_angle",90],PARAMETER["scale_factor",1],PARAMETER["false_easting",0],PARAMETER["false_northing",0],UNIT["metre",1,AUTHORITY["EPSG","9001"]],AXIS["Y",EAST],AXIS["X",NORTH],AUTHORITY["EPSG","21780"]]</t>
  </si>
  <si>
    <t xml:space="preserve">+proj=somerc +lat_0=46.95240555555556 +lon_0=0 +k_0=1 +x_0=0 +y_0=0 +ellps=bessel +towgs84=674.374,15.056,405.346,0,0,0,0 +pm=bern +units=m +no_defs </t>
  </si>
  <si>
    <t>PROJCS["CH1903 / LV03",GEOGCS["CH1903",DATUM["CH1903",SPHEROID["Bessel 1841",6377397.155,299.1528128,AUTHORITY["EPSG","7004"]],TOWGS84[674.374,15.056,405.346,0,0,0,0],AUTHORITY["EPSG","6149"]],PRIMEM["Greenwich",0,AUTHORITY["EPSG","8901"]],UNIT["degree",0.0174532925199433,AUTHORITY["EPSG","9122"]],AUTHORITY["EPSG","4149"]],PROJECTION["Hotine_Oblique_Mercator_Azimuth_Center"],PARAMETER["latitude_of_center",46.95240555555556],PARAMETER["longitude_of_center",7.439583333333333],PARAMETER["azimuth",90],PARAMETER["rectified_grid_angle",90],PARAMETER["scale_factor",1],PARAMETER["false_easting",600000],PARAMETER["false_northing",200000],UNIT["metre",1,AUTHORITY["EPSG","9001"]],AXIS["Y",EAST],AXIS["X",NORTH],AUTHORITY["EPSG","21781"]]</t>
  </si>
  <si>
    <t xml:space="preserve">+proj=somerc +lat_0=46.95240555555556 +lon_0=7.439583333333333 +k_0=1 +x_0=600000 +y_0=200000 +ellps=bessel +towgs84=674.374,15.056,405.346,0,0,0,0 +units=m +no_defs </t>
  </si>
  <si>
    <t>PROJCS["CH1903 / LV03C-G",GEOGCS["CH1903",DATUM["CH1903",SPHEROID["Bessel 1841",6377397.155,299.1528128,AUTHORITY["EPSG","7004"]],TOWGS84[674.374,15.056,405.346,0,0,0,0],AUTHORITY["EPSG","6149"]],PRIMEM["Greenwich",0,AUTHORITY["EPSG","8901"]],UNIT["degree",0.0174532925199433,AUTHORITY["EPSG","9122"]],AUTHORITY["EPSG","4149"]],PROJECTION["Hotine_Oblique_Mercator_Azimuth_Center"],PARAMETER["latitude_of_center",46.95240555555556],PARAMETER["longitude_of_center",7.439583333333333],PARAMETER["azimuth",90],PARAMETER["rectified_grid_angle",90],PARAMETER["scale_factor",1],PARAMETER["false_easting",0],PARAMETER["false_northing",0],UNIT["metre",1,AUTHORITY["EPSG","9001"]],AXIS["Y",EAST],AXIS["X",NORTH],AUTHORITY["EPSG","21782"]]</t>
  </si>
  <si>
    <t xml:space="preserve">+proj=somerc +lat_0=46.95240555555556 +lon_0=7.439583333333333 +k_0=1 +x_0=0 +y_0=0 +ellps=bessel +towgs84=674.374,15.056,405.346,0,0,0,0 +units=m +no_defs </t>
  </si>
  <si>
    <t>PROJCS["Bogota 1975 / UTM zone 17N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21817"]]</t>
  </si>
  <si>
    <t xml:space="preserve">+proj=utm +zone=17 +ellps=intl +towgs84=307,304,-318,0,0,0,0 +units=m +no_defs </t>
  </si>
  <si>
    <t>PROJCS["Bogota 1975 / UTM zone 18N",GEOGCS["Bogota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21818"]]</t>
  </si>
  <si>
    <t xml:space="preserve">+proj=utm +zone=18 +ellps=intl +towgs84=307,304,-318,0,0,0,0 +units=m +no_defs </t>
  </si>
  <si>
    <t>PROJCS["Bogota 1975 / Colombia West zone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-77.08091666666667],PARAMETER["scale_factor",1],PARAMETER["false_easting",1000000],PARAMETER["false_northing",1000000],UNIT["metre",1,AUTHORITY["EPSG","9001"]],AXIS["X",EAST],AXIS["Y",NORTH],AUTHORITY["EPSG","21891"]]</t>
  </si>
  <si>
    <t xml:space="preserve">+proj=tmerc +lat_0=4.599047222222222 +lon_0=-77.08091666666667 +k=1 +x_0=1000000 +y_0=1000000 +ellps=intl +towgs84=307,304,-318,0,0,0,0 +units=m +no_defs </t>
  </si>
  <si>
    <t>PROJCS["Bogota 1975 / Colombia Bogota zone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-74.08091666666667],PARAMETER["scale_factor",1],PARAMETER["false_easting",1000000],PARAMETER["false_northing",1000000],UNIT["metre",1,AUTHORITY["EPSG","9001"]],AXIS["X",EAST],AXIS["Y",NORTH],AUTHORITY["EPSG","21892"]]</t>
  </si>
  <si>
    <t xml:space="preserve">+proj=tmerc +lat_0=4.599047222222222 +lon_0=-74.08091666666667 +k=1 +x_0=1000000 +y_0=1000000 +ellps=intl +towgs84=307,304,-318,0,0,0,0 +units=m +no_defs </t>
  </si>
  <si>
    <t>PROJCS["Bogota 1975 / Colombia East Central zone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-71.08091666666667],PARAMETER["scale_factor",1],PARAMETER["false_easting",1000000],PARAMETER["false_northing",1000000],UNIT["metre",1,AUTHORITY["EPSG","9001"]],AXIS["X",EAST],AXIS["Y",NORTH],AUTHORITY["EPSG","21893"]]</t>
  </si>
  <si>
    <t xml:space="preserve">+proj=tmerc +lat_0=4.599047222222222 +lon_0=-71.08091666666667 +k=1 +x_0=1000000 +y_0=1000000 +ellps=intl +towgs84=307,304,-318,0,0,0,0 +units=m +no_defs </t>
  </si>
  <si>
    <t>PROJCS["Bogota 1975 / Colombia East (deprecated)",GEOGCS["Bogota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-68.08091666666667],PARAMETER["scale_factor",1],PARAMETER["false_easting",1000000],PARAMETER["false_northing",1000000],UNIT["metre",1,AUTHORITY["EPSG","9001"]],AXIS["X",EAST],AXIS["Y",NORTH],AUTHORITY["EPSG","21894"]]</t>
  </si>
  <si>
    <t xml:space="preserve">+proj=tmerc +lat_0=4.599047222222222 +lon_0=-68.08091666666667 +k=1 +x_0=1000000 +y_0=1000000 +ellps=intl +towgs84=307,304,-318,0,0,0,0 +units=m +no_defs </t>
  </si>
  <si>
    <t>PROJCS["Bogota 1975 / Colombia West zone",GEOGCS["Bogota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-77.08091666666667],PARAMETER["scale_factor",1],PARAMETER["false_easting",1000000],PARAMETER["false_northing",1000000],UNIT["metre",1,AUTHORITY["EPSG","9001"]],AUTHORITY["EPSG","21896"]]</t>
  </si>
  <si>
    <t>PROJCS["Bogota 1975 / Colombia Bogota zone",GEOGCS["Bogota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-74.08091666666667],PARAMETER["scale_factor",1],PARAMETER["false_easting",1000000],PARAMETER["false_northing",1000000],UNIT["metre",1,AUTHORITY["EPSG","9001"]],AUTHORITY["EPSG","21897"]]</t>
  </si>
  <si>
    <t>PROJCS["Bogota 1975 / Colombia East Central zone",GEOGCS["Bogota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-71.08091666666667],PARAMETER["scale_factor",1],PARAMETER["false_easting",1000000],PARAMETER["false_northing",1000000],UNIT["metre",1,AUTHORITY["EPSG","9001"]],AUTHORITY["EPSG","21898"]]</t>
  </si>
  <si>
    <t>PROJCS["Bogota 1975 / Colombia East",GEOGCS["Bogota 1975",DATUM["Bogota_1975",SPHEROID["International 1924",6378388,297,AUTHORITY["EPSG","7022"]],TOWGS84[307,304,-318,0,0,0,0],AUTHORITY["EPSG","6218"]],PRIMEM["Greenwich",0,AUTHORITY["EPSG","8901"]],UNIT["degree",0.0174532925199433,AUTHORITY["EPSG","9122"]],AUTHORITY["EPSG","4218"]],PROJECTION["Transverse_Mercator"],PARAMETER["latitude_of_origin",4.599047222222222],PARAMETER["central_meridian",-68.08091666666667],PARAMETER["scale_factor",1],PARAMETER["false_easting",1000000],PARAMETER["false_northing",1000000],UNIT["metre",1,AUTHORITY["EPSG","9001"]],AUTHORITY["EPSG","21899"]]</t>
  </si>
  <si>
    <t>PROJCS["Camacupa / UTM zone 32S",GEOGCS["Camacupa",DATUM["Camacupa",SPHEROID["Clarke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22032"]]</t>
  </si>
  <si>
    <t xml:space="preserve">+proj=utm +zone=32 +south +ellps=clrk80 +towgs84=-50.9,-347.6,-231,0,0,0,0 +units=m +no_defs </t>
  </si>
  <si>
    <t>PROJCS["Camacupa / UTM zone 33S",GEOGCS["Camacupa",DATUM["Camacupa",SPHEROID["Clarke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22033"]]</t>
  </si>
  <si>
    <t xml:space="preserve">+proj=utm +zone=33 +south +ellps=clrk80 +towgs84=-50.9,-347.6,-231,0,0,0,0 +units=m +no_defs </t>
  </si>
  <si>
    <t>PROJCS["Camacupa / TM 11.30 SE",GEOGCS["Camacupa",DATUM["Camacupa",SPHEROID["Clarke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,PROJECTION["Transverse_Mercator"],PARAMETER["latitude_of_origin",0],PARAMETER["central_meridian",11.5],PARAMETER["scale_factor",0.9996],PARAMETER["false_easting",500000],PARAMETER["false_northing",10000000],UNIT["metre",1,AUTHORITY["EPSG","9001"]],AXIS["Easting",EAST],AXIS["Northing",NORTH],AUTHORITY["EPSG","22091"]]</t>
  </si>
  <si>
    <t xml:space="preserve">+proj=tmerc +lat_0=0 +lon_0=11.5 +k=0.9996 +x_0=500000 +y_0=10000000 +ellps=clrk80 +towgs84=-50.9,-347.6,-231,0,0,0,0 +units=m +no_defs </t>
  </si>
  <si>
    <t>PROJCS["Camacupa / TM 12 SE",GEOGCS["Camacupa",DATUM["Camacupa",SPHEROID["Clarke 1880 (RGS)",6378249.145,293.465,AUTHORITY["EPSG","7012"]],TOWGS84[-50.9,-347.6,-231,0,0,0,0],AUTHORITY["EPSG","6220"]],PRIMEM["Greenwich",0,AUTHORITY["EPSG","8901"]],UNIT["degree",0.0174532925199433,AUTHORITY["EPSG","9122"]],AUTHORITY["EPSG","4220"]],PROJECTION["Transverse_Mercator"],PARAMETER["latitude_of_origin",0],PARAMETER["central_meridian",12],PARAMETER["scale_factor",0.9996],PARAMETER["false_easting",500000],PARAMETER["false_northing",10000000],UNIT["metre",1,AUTHORITY["EPSG","9001"]],AXIS["Easting",EAST],AXIS["Northing",NORTH],AUTHORITY["EPSG","22092"]]</t>
  </si>
  <si>
    <t xml:space="preserve">+proj=tmerc +lat_0=0 +lon_0=12 +k=0.9996 +x_0=500000 +y_0=10000000 +ellps=clrk80 +towgs84=-50.9,-347.6,-231,0,0,0,0 +units=m +no_defs </t>
  </si>
  <si>
    <t>PROJCS["POSGAR 98 / Argentina 1",GEOGCS["POSGAR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-72],PARAMETER["scale_factor",1],PARAMETER["false_easting",1500000],PARAMETER["false_northing",0],UNIT["metre",1,AUTHORITY["EPSG","9001"]],AUTHORITY["EPSG","22171"]]</t>
  </si>
  <si>
    <t>PROJCS["WGS 84 / UTM zone 12N",GEOGCS["WGS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32612"]]</t>
  </si>
  <si>
    <t>PROJCS["POSGAR 98 / Argentina 2",GEOGCS["POSGAR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-69],PARAMETER["scale_factor",1],PARAMETER["false_easting",2500000],PARAMETER["false_northing",0],UNIT["metre",1,AUTHORITY["EPSG","9001"]],AUTHORITY["EPSG","22172"]]</t>
  </si>
  <si>
    <t>PROJCS["POSGAR 98 / Argentina 3",GEOGCS["POSGAR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-66],PARAMETER["scale_factor",1],PARAMETER["false_easting",3500000],PARAMETER["false_northing",0],UNIT["metre",1,AUTHORITY["EPSG","9001"]],AUTHORITY["EPSG","22173"]]</t>
  </si>
  <si>
    <t>PROJCS["POSGAR 98 / Argentina 4",GEOGCS["POSGAR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-63],PARAMETER["scale_factor",1],PARAMETER["false_easting",4500000],PARAMETER["false_northing",0],UNIT["metre",1,AUTHORITY["EPSG","9001"]],AUTHORITY["EPSG","22174"]]</t>
  </si>
  <si>
    <t>PROJCS["POSGAR 98 / Argentina 5",GEOGCS["POSGAR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-60],PARAMETER["scale_factor",1],PARAMETER["false_easting",5500000],PARAMETER["false_northing",0],UNIT["metre",1,AUTHORITY["EPSG","9001"]],AUTHORITY["EPSG","22175"]]</t>
  </si>
  <si>
    <t>PROJCS["POSGAR 98 / Argentina 6",GEOGCS["POSGAR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-57],PARAMETER["scale_factor",1],PARAMETER["false_easting",6500000],PARAMETER["false_northing",0],UNIT["metre",1,AUTHORITY["EPSG","9001"]],AUTHORITY["EPSG","22176"]]</t>
  </si>
  <si>
    <t>PROJCS["POSGAR 98 / Argentina 7",GEOGCS["POSGAR 98",DATUM["Posiciones_Geodesicas_Argentinas_1998",SPHEROID["GRS 1980",6378137,298.257222101,AUTHORITY["EPSG","7019"]],TOWGS84[0,0,0,0,0,0,0],AUTHORITY["EPSG","6190"]],PRIMEM["Greenwich",0,AUTHORITY["EPSG","8901"]],UNIT["degree",0.0174532925199433,AUTHORITY["EPSG","9122"]],AUTHORITY["EPSG","4190"]],PROJECTION["Transverse_Mercator"],PARAMETER["latitude_of_origin",-90],PARAMETER["central_meridian",-54],PARAMETER["scale_factor",1],PARAMETER["false_easting",7500000],PARAMETER["false_northing",0],UNIT["metre",1,AUTHORITY["EPSG","9001"]],AUTHORITY["EPSG","22177"]]</t>
  </si>
  <si>
    <t>PROJCS["POSGAR 94 / Argentina 1",GEOGCS["POSGAR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-72],PARAMETER["scale_factor",1],PARAMETER["false_easting",1500000],PARAMETER["false_northing",0],UNIT["metre",1,AUTHORITY["EPSG","9001"]],AUTHORITY["EPSG","22181"]]</t>
  </si>
  <si>
    <t xml:space="preserve">+proj=tmerc +lat_0=-90 +lon_0=-72 +k=1 +x_0=1500000 +y_0=0 +ellps=WGS84 +towgs84=0,0,0,0,0,0,0 +units=m +no_defs </t>
  </si>
  <si>
    <t>PROJCS["POSGAR 94 / Argentina 2",GEOGCS["POSGAR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-69],PARAMETER["scale_factor",1],PARAMETER["false_easting",2500000],PARAMETER["false_northing",0],UNIT["metre",1,AUTHORITY["EPSG","9001"]],AUTHORITY["EPSG","22182"]]</t>
  </si>
  <si>
    <t xml:space="preserve">+proj=tmerc +lat_0=-90 +lon_0=-69 +k=1 +x_0=2500000 +y_0=0 +ellps=WGS84 +towgs84=0,0,0,0,0,0,0 +units=m +no_defs </t>
  </si>
  <si>
    <t>PROJCS["POSGAR 94 / Argentina 3",GEOGCS["POSGAR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-66],PARAMETER["scale_factor",1],PARAMETER["false_easting",3500000],PARAMETER["false_northing",0],UNIT["metre",1,AUTHORITY["EPSG","9001"]],AUTHORITY["EPSG","22183"]]</t>
  </si>
  <si>
    <t xml:space="preserve">+proj=tmerc +lat_0=-90 +lon_0=-66 +k=1 +x_0=3500000 +y_0=0 +ellps=WGS84 +towgs84=0,0,0,0,0,0,0 +units=m +no_defs </t>
  </si>
  <si>
    <t>PROJCS["POSGAR 94 / Argentina 4",GEOGCS["POSGAR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-63],PARAMETER["scale_factor",1],PARAMETER["false_easting",4500000],PARAMETER["false_northing",0],UNIT["metre",1,AUTHORITY["EPSG","9001"]],AUTHORITY["EPSG","22184"]]</t>
  </si>
  <si>
    <t xml:space="preserve">+proj=tmerc +lat_0=-90 +lon_0=-63 +k=1 +x_0=4500000 +y_0=0 +ellps=WGS84 +towgs84=0,0,0,0,0,0,0 +units=m +no_defs </t>
  </si>
  <si>
    <t>PROJCS["POSGAR 94 / Argentina 5",GEOGCS["POSGAR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-60],PARAMETER["scale_factor",1],PARAMETER["false_easting",5500000],PARAMETER["false_northing",0],UNIT["metre",1,AUTHORITY["EPSG","9001"]],AUTHORITY["EPSG","22185"]]</t>
  </si>
  <si>
    <t xml:space="preserve">+proj=tmerc +lat_0=-90 +lon_0=-60 +k=1 +x_0=5500000 +y_0=0 +ellps=WGS84 +towgs84=0,0,0,0,0,0,0 +units=m +no_defs </t>
  </si>
  <si>
    <t>PROJCS["POSGAR 94 / Argentina 6",GEOGCS["POSGAR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-57],PARAMETER["scale_factor",1],PARAMETER["false_easting",6500000],PARAMETER["false_northing",0],UNIT["metre",1,AUTHORITY["EPSG","9001"]],AUTHORITY["EPSG","22186"]]</t>
  </si>
  <si>
    <t xml:space="preserve">+proj=tmerc +lat_0=-90 +lon_0=-57 +k=1 +x_0=6500000 +y_0=0 +ellps=WGS84 +towgs84=0,0,0,0,0,0,0 +units=m +no_defs </t>
  </si>
  <si>
    <t>PROJCS["POSGAR 94 / Argentina 7",GEOGCS["POSGAR 94",DATUM["Posiciones_Geodesicas_Argentinas_1994",SPHEROID["WGS 84",6378137,298.257223563,AUTHORITY["EPSG","7030"]],TOWGS84[0,0,0,0,0,0,0],AUTHORITY["EPSG","6694"]],PRIMEM["Greenwich",0,AUTHORITY["EPSG","8901"]],UNIT["degree",0.0174532925199433,AUTHORITY["EPSG","9122"]],AUTHORITY["EPSG","4694"]],PROJECTION["Transverse_Mercator"],PARAMETER["latitude_of_origin",-90],PARAMETER["central_meridian",-54],PARAMETER["scale_factor",1],PARAMETER["false_easting",7500000],PARAMETER["false_northing",0],UNIT["metre",1,AUTHORITY["EPSG","9001"]],AUTHORITY["EPSG","22187"]]</t>
  </si>
  <si>
    <t xml:space="preserve">+proj=tmerc +lat_0=-90 +lon_0=-54 +k=1 +x_0=7500000 +y_0=0 +ellps=WGS84 +towgs84=0,0,0,0,0,0,0 +units=m +no_defs </t>
  </si>
  <si>
    <t>PROJCS["Campo Inchauspe / Argentina 1",GEOGCS["Campo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-72],PARAMETER["scale_factor",1],PARAMETER["false_easting",1500000],PARAMETER["false_northing",0],UNIT["metre",1,AUTHORITY["EPSG","9001"]],AUTHORITY["EPSG","22191"]]</t>
  </si>
  <si>
    <t xml:space="preserve">+proj=tmerc +lat_0=-90 +lon_0=-72 +k=1 +x_0=1500000 +y_0=0 +ellps=intl +towgs84=-148,136,90,0,0,0,0 +units=m +no_defs </t>
  </si>
  <si>
    <t>PROJCS["Campo Inchauspe / Argentina 2",GEOGCS["Campo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-69],PARAMETER["scale_factor",1],PARAMETER["false_easting",2500000],PARAMETER["false_northing",0],UNIT["metre",1,AUTHORITY["EPSG","9001"]],AUTHORITY["EPSG","22192"]]</t>
  </si>
  <si>
    <t xml:space="preserve">+proj=tmerc +lat_0=-90 +lon_0=-69 +k=1 +x_0=2500000 +y_0=0 +ellps=intl +towgs84=-148,136,90,0,0,0,0 +units=m +no_defs </t>
  </si>
  <si>
    <t>PROJCS["Campo Inchauspe / Argentina 3",GEOGCS["Campo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-66],PARAMETER["scale_factor",1],PARAMETER["false_easting",3500000],PARAMETER["false_northing",0],UNIT["metre",1,AUTHORITY["EPSG","9001"]],AUTHORITY["EPSG","22193"]]</t>
  </si>
  <si>
    <t xml:space="preserve">+proj=tmerc +lat_0=-90 +lon_0=-66 +k=1 +x_0=3500000 +y_0=0 +ellps=intl +towgs84=-148,136,90,0,0,0,0 +units=m +no_defs </t>
  </si>
  <si>
    <t>PROJCS["Campo Inchauspe / Argentina 4",GEOGCS["Campo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-63],PARAMETER["scale_factor",1],PARAMETER["false_easting",4500000],PARAMETER["false_northing",0],UNIT["metre",1,AUTHORITY["EPSG","9001"]],AUTHORITY["EPSG","22194"]]</t>
  </si>
  <si>
    <t xml:space="preserve">+proj=tmerc +lat_0=-90 +lon_0=-63 +k=1 +x_0=4500000 +y_0=0 +ellps=intl +towgs84=-148,136,90,0,0,0,0 +units=m +no_defs </t>
  </si>
  <si>
    <t>PROJCS["Campo Inchauspe / Argentina 5",GEOGCS["Campo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-60],PARAMETER["scale_factor",1],PARAMETER["false_easting",5500000],PARAMETER["false_northing",0],UNIT["metre",1,AUTHORITY["EPSG","9001"]],AUTHORITY["EPSG","22195"]]</t>
  </si>
  <si>
    <t xml:space="preserve">+proj=tmerc +lat_0=-90 +lon_0=-60 +k=1 +x_0=5500000 +y_0=0 +ellps=intl +towgs84=-148,136,90,0,0,0,0 +units=m +no_defs </t>
  </si>
  <si>
    <t>PROJCS["Campo Inchauspe / Argentina 6",GEOGCS["Campo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-57],PARAMETER["scale_factor",1],PARAMETER["false_easting",6500000],PARAMETER["false_northing",0],UNIT["metre",1,AUTHORITY["EPSG","9001"]],AUTHORITY["EPSG","22196"]]</t>
  </si>
  <si>
    <t xml:space="preserve">+proj=tmerc +lat_0=-90 +lon_0=-57 +k=1 +x_0=6500000 +y_0=0 +ellps=intl +towgs84=-148,136,90,0,0,0,0 +units=m +no_defs </t>
  </si>
  <si>
    <t>PROJCS["Campo Inchauspe / Argentina 7",GEOGCS["Campo Inchauspe",DATUM["Campo_Inchauspe",SPHEROID["International 1924",6378388,297,AUTHORITY["EPSG","7022"]],TOWGS84[-148,136,90,0,0,0,0],AUTHORITY["EPSG","6221"]],PRIMEM["Greenwich",0,AUTHORITY["EPSG","8901"]],UNIT["degree",0.0174532925199433,AUTHORITY["EPSG","9122"]],AUTHORITY["EPSG","4221"]],PROJECTION["Transverse_Mercator"],PARAMETER["latitude_of_origin",-90],PARAMETER["central_meridian",-54],PARAMETER["scale_factor",1],PARAMETER["false_easting",7500000],PARAMETER["false_northing",0],UNIT["metre",1,AUTHORITY["EPSG","9001"]],AUTHORITY["EPSG","22197"]]</t>
  </si>
  <si>
    <t xml:space="preserve">+proj=tmerc +lat_0=-90 +lon_0=-54 +k=1 +x_0=7500000 +y_0=0 +ellps=intl +towgs84=-148,136,90,0,0,0,0 +units=m +no_defs </t>
  </si>
  <si>
    <t>PROJCS["Cape / UTM zone 34S",GEOGCS["Cape",DATUM["Cape",SPHEROID["Clarke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22234"]]</t>
  </si>
  <si>
    <t xml:space="preserve">+proj=utm +zone=34 +south +a=6378249.145 +b=6356514.966398753 +towgs84=-136,-108,-292,0,0,0,0 +units=m +no_defs </t>
  </si>
  <si>
    <t>PROJCS["Cape / UTM zone 35S",GEOGCS["Cape",DATUM["Cape",SPHEROID["Clarke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22235"]]</t>
  </si>
  <si>
    <t xml:space="preserve">+proj=utm +zone=35 +south +a=6378249.145 +b=6356514.966398753 +towgs84=-136,-108,-292,0,0,0,0 +units=m +no_defs </t>
  </si>
  <si>
    <t>PROJCS["Cape / UTM zone 36S (deprecated)",GEOGCS["Cape",DATUM["Cape",SPHEROID["Clarke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22236"]]</t>
  </si>
  <si>
    <t xml:space="preserve">+proj=utm +zone=36 +south +a=6378249.145 +b=6356514.966398753 +towgs84=-136,-108,-292,0,0,0,0 +units=m +no_defs </t>
  </si>
  <si>
    <t>PROJCS["Cape / Lo15",GEOGCS["Cape",DATUM["Cape",SPHEROID["Clarke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15],PARAMETER["scale_factor",1],PARAMETER["false_easting",0],PARAMETER["false_northing",0],UNIT["metre",1,AUTHORITY["EPSG","9001"]],AXIS["Y",WEST],AXIS["X",SOUTH],AUTHORITY["EPSG","22275"]]</t>
  </si>
  <si>
    <t xml:space="preserve">+proj=tmerc +lat_0=0 +lon_0=15 +k=1 +x_0=0 +y_0=0 +axis=wsu +a=6378249.145 +b=6356514.966398753 +towgs84=-136,-108,-292,0,0,0,0 +units=m +no_defs </t>
  </si>
  <si>
    <t>PROJCS["Cape / Lo17",GEOGCS["Cape",DATUM["Cape",SPHEROID["Clarke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17],PARAMETER["scale_factor",1],PARAMETER["false_easting",0],PARAMETER["false_northing",0],UNIT["metre",1,AUTHORITY["EPSG","9001"]],AXIS["Y",WEST],AXIS["X",SOUTH],AUTHORITY["EPSG","22277"]]</t>
  </si>
  <si>
    <t xml:space="preserve">+proj=tmerc +lat_0=0 +lon_0=17 +k=1 +x_0=0 +y_0=0 +axis=wsu +a=6378249.145 +b=6356514.966398753 +towgs84=-136,-108,-292,0,0,0,0 +units=m +no_defs </t>
  </si>
  <si>
    <t>PROJCS["Cape / Lo19",GEOGCS["Cape",DATUM["Cape",SPHEROID["Clarke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19],PARAMETER["scale_factor",1],PARAMETER["false_easting",0],PARAMETER["false_northing",0],UNIT["metre",1,AUTHORITY["EPSG","9001"]],AXIS["Y",WEST],AXIS["X",SOUTH],AUTHORITY["EPSG","22279"]]</t>
  </si>
  <si>
    <t xml:space="preserve">+proj=tmerc +lat_0=0 +lon_0=19 +k=1 +x_0=0 +y_0=0 +axis=wsu +a=6378249.145 +b=6356514.966398753 +towgs84=-136,-108,-292,0,0,0,0 +units=m +no_defs </t>
  </si>
  <si>
    <t>PROJCS["Cape / Lo21",GEOGCS["Cape",DATUM["Cape",SPHEROID["Clarke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21],PARAMETER["scale_factor",1],PARAMETER["false_easting",0],PARAMETER["false_northing",0],UNIT["metre",1,AUTHORITY["EPSG","9001"]],AXIS["Y",WEST],AXIS["X",SOUTH],AUTHORITY["EPSG","22281"]]</t>
  </si>
  <si>
    <t xml:space="preserve">+proj=tmerc +lat_0=0 +lon_0=21 +k=1 +x_0=0 +y_0=0 +axis=wsu +a=6378249.145 +b=6356514.966398753 +towgs84=-136,-108,-292,0,0,0,0 +units=m +no_defs </t>
  </si>
  <si>
    <t>PROJCS["Cape / Lo23",GEOGCS["Cape",DATUM["Cape",SPHEROID["Clarke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23],PARAMETER["scale_factor",1],PARAMETER["false_easting",0],PARAMETER["false_northing",0],UNIT["metre",1,AUTHORITY["EPSG","9001"]],AXIS["Y",WEST],AXIS["X",SOUTH],AUTHORITY["EPSG","22283"]]</t>
  </si>
  <si>
    <t xml:space="preserve">+proj=tmerc +lat_0=0 +lon_0=23 +k=1 +x_0=0 +y_0=0 +axis=wsu +a=6378249.145 +b=6356514.966398753 +towgs84=-136,-108,-292,0,0,0,0 +units=m +no_defs </t>
  </si>
  <si>
    <t>PROJCS["Cape / Lo25",GEOGCS["Cape",DATUM["Cape",SPHEROID["Clarke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25],PARAMETER["scale_factor",1],PARAMETER["false_easting",0],PARAMETER["false_northing",0],UNIT["metre",1,AUTHORITY["EPSG","9001"]],AXIS["Y",WEST],AXIS["X",SOUTH],AUTHORITY["EPSG","22285"]]</t>
  </si>
  <si>
    <t xml:space="preserve">+proj=tmerc +lat_0=0 +lon_0=25 +k=1 +x_0=0 +y_0=0 +axis=wsu +a=6378249.145 +b=6356514.966398753 +towgs84=-136,-108,-292,0,0,0,0 +units=m +no_defs </t>
  </si>
  <si>
    <t>PROJCS["Cape / Lo27",GEOGCS["Cape",DATUM["Cape",SPHEROID["Clarke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27],PARAMETER["scale_factor",1],PARAMETER["false_easting",0],PARAMETER["false_northing",0],UNIT["metre",1,AUTHORITY["EPSG","9001"]],AXIS["Y",WEST],AXIS["X",SOUTH],AUTHORITY["EPSG","22287"]]</t>
  </si>
  <si>
    <t xml:space="preserve">+proj=tmerc +lat_0=0 +lon_0=27 +k=1 +x_0=0 +y_0=0 +axis=wsu +a=6378249.145 +b=6356514.966398753 +towgs84=-136,-108,-292,0,0,0,0 +units=m +no_defs </t>
  </si>
  <si>
    <t>PROJCS["Cape / Lo29",GEOGCS["Cape",DATUM["Cape",SPHEROID["Clarke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29],PARAMETER["scale_factor",1],PARAMETER["false_easting",0],PARAMETER["false_northing",0],UNIT["metre",1,AUTHORITY["EPSG","9001"]],AXIS["Y",WEST],AXIS["X",SOUTH],AUTHORITY["EPSG","22289"]]</t>
  </si>
  <si>
    <t xml:space="preserve">+proj=tmerc +lat_0=0 +lon_0=29 +k=1 +x_0=0 +y_0=0 +axis=wsu +a=6378249.145 +b=6356514.966398753 +towgs84=-136,-108,-292,0,0,0,0 +units=m +no_defs </t>
  </si>
  <si>
    <t>PROJCS["Cape / Lo31",GEOGCS["Cape",DATUM["Cape",SPHEROID["Clarke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31],PARAMETER["scale_factor",1],PARAMETER["false_easting",0],PARAMETER["false_northing",0],UNIT["metre",1,AUTHORITY["EPSG","9001"]],AXIS["Y",WEST],AXIS["X",SOUTH],AUTHORITY["EPSG","22291"]]</t>
  </si>
  <si>
    <t xml:space="preserve">+proj=tmerc +lat_0=0 +lon_0=31 +k=1 +x_0=0 +y_0=0 +axis=wsu +a=6378249.145 +b=6356514.966398753 +towgs84=-136,-108,-292,0,0,0,0 +units=m +no_defs </t>
  </si>
  <si>
    <t>PROJCS["Cape / Lo33",GEOGCS["Cape",DATUM["Cape",SPHEROID["Clarke 1880 (Arc)",6378249.145,293.4663077,AUTHORITY["EPSG","7013"]],TOWGS84[-136,-108,-292,0,0,0,0],AUTHORITY["EPSG","6222"]],PRIMEM["Greenwich",0,AUTHORITY["EPSG","8901"]],UNIT["degree",0.0174532925199433,AUTHORITY["EPSG","9122"]],AUTHORITY["EPSG","4222"]],PROJECTION["Transverse_Mercator_South_Orientated"],PARAMETER["latitude_of_origin",0],PARAMETER["central_meridian",33],PARAMETER["scale_factor",1],PARAMETER["false_easting",0],PARAMETER["false_northing",0],UNIT["metre",1,AUTHORITY["EPSG","9001"]],AXIS["Y",WEST],AXIS["X",SOUTH],AUTHORITY["EPSG","22293"]]</t>
  </si>
  <si>
    <t xml:space="preserve">+proj=tmerc +lat_0=0 +lon_0=33 +k=1 +x_0=0 +y_0=0 +axis=wsu +a=6378249.145 +b=6356514.966398753 +towgs84=-136,-108,-292,0,0,0,0 +units=m +no_defs </t>
  </si>
  <si>
    <t>PROJCS["Carthage (Paris) / Tunisia Mining Grid",GEOGCS["Carthage (Paris)",DATUM["Carthage_Paris",SPHEROID["Clarke 1880 (IGN)",6378249.2,293.4660212936269,AUTHORITY["EPSG","7011"]],TOWGS84[-263,6,431,0,0,0,0],AUTHORITY["EPSG","6816"]],PRIMEM["Paris",2.33722917,AUTHORITY["EPSG","8903"]],UNIT["grad",0.01570796326794897,AUTHORITY["EPSG","9105"]],AUTHORITY["EPSG","4816"]],PROJECTION["Tunisia_Mining_Grid"],PARAMETER["latitude_of_origin",36.5964],PARAMETER["central_meridian",7.83445],PARAMETER["false_easting",270],PARAMETER["false_northing",360],UNIT["kilometre",1000,AUTHORITY["EPSG","9036"]],AXIS["Easting",EAST],AXIS["Northing",NORTH],AUTHORITY["EPSG","22300"]]</t>
  </si>
  <si>
    <t>PROJCS["Carthage / UTM zone 32N",GEOGCS["Carthage",DATUM["Carthage",SPHEROID["Clarke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22332"]]</t>
  </si>
  <si>
    <t>PROJCS["Carthage / Nord Tunisie",GEOGCS["Carthage",DATUM["Carthage",SPHEROID["Clarke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,PROJECTION["Lambert_Conformal_Conic_1SP"],PARAMETER["latitude_of_origin",36],PARAMETER["central_meridian",9.9],PARAMETER["scale_factor",0.999625544],PARAMETER["false_easting",500000],PARAMETER["false_northing",300000],UNIT["metre",1,AUTHORITY["EPSG","9001"]],AXIS["X",EAST],AXIS["Y",NORTH],AUTHORITY["EPSG","22391"]]</t>
  </si>
  <si>
    <t>PROJCS["Carthage / Sud Tunisie",GEOGCS["Carthage",DATUM["Carthage",SPHEROID["Clarke 1880 (IGN)",6378249.2,293.4660212936269,AUTHORITY["EPSG","7011"]],TOWGS84[-263,6,431,0,0,0,0],AUTHORITY["EPSG","6223"]],PRIMEM["Greenwich",0,AUTHORITY["EPSG","8901"]],UNIT["degree",0.0174532925199433,AUTHORITY["EPSG","9122"]],AUTHORITY["EPSG","4223"]],PROJECTION["Lambert_Conformal_Conic_1SP"],PARAMETER["latitude_of_origin",33.3],PARAMETER["central_meridian",9.9],PARAMETER["scale_factor",0.999625769],PARAMETER["false_easting",500000],PARAMETER["false_northing",300000],UNIT["metre",1,AUTHORITY["EPSG","9001"]],AXIS["X",EAST],AXIS["Y",NORTH],AUTHORITY["EPSG","22392"]]</t>
  </si>
  <si>
    <t>PROJCS["Corrego Alegre 1970-72 / UTM zone 21S",GEOGCS["Corrego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22521"]]</t>
  </si>
  <si>
    <t xml:space="preserve">+proj=utm +zone=21 +south +ellps=intl +towgs84=-205.57,168.77,-4.12,0,0,0,0 +units=m +no_defs </t>
  </si>
  <si>
    <t>PROJCS["Corrego Alegre 1970-72 / UTM zone 22S",GEOGCS["Corrego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22522"]]</t>
  </si>
  <si>
    <t xml:space="preserve">+proj=utm +zone=22 +south +ellps=intl +towgs84=-205.57,168.77,-4.12,0,0,0,0 +units=m +no_defs </t>
  </si>
  <si>
    <t>PROJCS["Corrego Alegre 1970-72 / UTM zone 23S",GEOGCS["Corrego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22523"]]</t>
  </si>
  <si>
    <t xml:space="preserve">+proj=utm +zone=23 +south +ellps=intl +towgs84=-205.57,168.77,-4.12,0,0,0,0 +units=m +no_defs </t>
  </si>
  <si>
    <t>PROJCS["Corrego Alegre 1970-72 / UTM zone 24S",GEOGCS["Corrego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22524"]]</t>
  </si>
  <si>
    <t xml:space="preserve">+proj=utm +zone=24 +south +ellps=intl +towgs84=-205.57,168.77,-4.12,0,0,0,0 +units=m +no_defs </t>
  </si>
  <si>
    <t>PROJCS["Corrego Alegre 1970-72 / UTM zone 25S",GEOGCS["Corrego Alegre 1970-72",DATUM["Corrego_Alegre_1970_72",SPHEROID["International 1924",6378388,297,AUTHORITY["EPSG","7022"]],TOWGS84[-205.57,168.77,-4.12,0,0,0,0],AUTHORITY["EPSG","6225"]],PRIMEM["Greenwich",0,AUTHORITY["EPSG","8901"]],UNIT["degree",0.0174532925199433,AUTHORITY["EPSG","9122"]],AUTHORITY["EPSG","4225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22525"]]</t>
  </si>
  <si>
    <t xml:space="preserve">+proj=utm +zone=25 +south +ellps=intl +towgs84=-205.57,168.77,-4.12,0,0,0,0 +units=m +no_defs </t>
  </si>
  <si>
    <t>PROJCS["Deir ez Zor / Levant Zone",GEOGCS["Deir ez Zor",DATUM["Deir_ez_Zor",SPHEROID["Clarke 1880 (IGN)",6378249.2,293.4660212936269,AUTHORITY["EPSG","7011"]],TOWGS84[-190.421,8.532,238.69,0,0,0,0],AUTHORITY["EPSG","6227"]],PRIMEM["Greenwich",0,AUTHORITY["EPSG","8901"]],UNIT["degree",0.0174532925199433,AUTHORITY["EPSG","9122"]],AUTHORITY["EPSG","4227"]],PROJECTION["Lambert_Conformal_Conic_1SP"],PARAMETER["latitude_of_origin",34.65],PARAMETER["central_meridian",37.35],PARAMETER["scale_factor",0.9996256],PARAMETER["false_easting",300000],PARAMETER["false_northing",300000],UNIT["metre",1,AUTHORITY["EPSG","9001"]],AXIS["X",EAST],AXIS["Y",NORTH],AUTHORITY["EPSG","22700"]]</t>
  </si>
  <si>
    <t xml:space="preserve">+proj=lcc +lat_1=34.65 +lat_0=34.65 +lon_0=37.35 +k_0=0.9996256 +x_0=300000 +y_0=300000 +a=6378249.2 +b=6356515 +towgs84=-190.421,8.532,238.69,0,0,0,0 +units=m +no_defs </t>
  </si>
  <si>
    <t>PROJCS["Deir ez Zor / Syria Lambert",GEOGCS["Deir ez Zor",DATUM["Deir_ez_Zor",SPHEROID["Clarke 1880 (IGN)",6378249.2,293.4660212936269,AUTHORITY["EPSG","7011"]],TOWGS84[-190.421,8.532,238.69,0,0,0,0],AUTHORITY["EPSG","6227"]],PRIMEM["Greenwich",0,AUTHORITY["EPSG","8901"]],UNIT["degree",0.0174532925199433,AUTHORITY["EPSG","9122"]],AUTHORITY["EPSG","4227"]],PROJECTION["Lambert_Conformal_Conic_1SP"],PARAMETER["latitude_of_origin",34.65],PARAMETER["central_meridian",37.35],PARAMETER["scale_factor",0.9996256],PARAMETER["false_easting",300000],PARAMETER["false_northing",300000],UNIT["metre",1,AUTHORITY["EPSG","9001"]],AXIS["X",EAST],AXIS["Y",NORTH],AUTHORITY["EPSG","22770"]]</t>
  </si>
  <si>
    <t>PROJCS["Deir ez Zor / Levant Stereographic",GEOGCS["Deir ez Zor",DATUM["Deir_ez_Zor",SPHEROID["Clarke 1880 (IGN)",6378249.2,293.4660212936269,AUTHORITY["EPSG","7011"]],TOWGS84[-190.421,8.532,238.69,0,0,0,0],AUTHORITY["EPSG","6227"]],PRIMEM["Greenwich",0,AUTHORITY["EPSG","8901"]],UNIT["degree",0.0174532925199433,AUTHORITY["EPSG","9122"]],AUTHORITY["EPSG","4227"]],PROJECTION["Oblique_Stereographic"],PARAMETER["latitude_of_origin",34.2],PARAMETER["central_meridian",39.15],PARAMETER["scale_factor",0.9995341],PARAMETER["false_easting",0],PARAMETER["false_northing",0],UNIT["metre",1,AUTHORITY["EPSG","9001"]],AXIS["X",EAST],AXIS["Y",NORTH],AUTHORITY["EPSG","22780"]]</t>
  </si>
  <si>
    <t xml:space="preserve">+proj=sterea +lat_0=34.2 +lon_0=39.15 +k=0.9995341 +x_0=0 +y_0=0 +a=6378249.2 +b=6356515 +towgs84=-190.421,8.532,238.69,0,0,0,0 +units=m +no_defs </t>
  </si>
  <si>
    <t>PROJCS["Douala / UTM zone 32N (deprecated)",GEOGCS["Douala",DATUM["Douala",SPHEROID["Clarke 1880 (IGN)",6378249.2,293.4660212936269,AUTHORITY["EPSG","7011"]],AUTHORITY["EPSG","6228"]],PRIMEM["Greenwich",0,AUTHORITY["EPSG","8901"]],UNIT["degree",0.0174532925199433,AUTHORITY["EPSG","9108"]],AUTHORITY["EPSG","4228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22832"]]</t>
  </si>
  <si>
    <t>PROJCS["Egypt 1907 / Blue Belt",GEOGCS["Egypt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,PROJECTION["Transverse_Mercator"],PARAMETER["latitude_of_origin",30],PARAMETER["central_meridian",35],PARAMETER["scale_factor",1],PARAMETER["false_easting",300000],PARAMETER["false_northing",1100000],UNIT["metre",1,AUTHORITY["EPSG","9001"]],AXIS["Easting",EAST],AXIS["Northing",NORTH],AUTHORITY["EPSG","22991"]]</t>
  </si>
  <si>
    <t xml:space="preserve">+proj=tmerc +lat_0=30 +lon_0=35 +k=1 +x_0=300000 +y_0=1100000 +ellps=helmert +towgs84=-130,110,-13,0,0,0,0 +units=m +no_defs </t>
  </si>
  <si>
    <t>PROJCS["Egypt 1907 / Red Belt",GEOGCS["Egypt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,PROJECTION["Transverse_Mercator"],PARAMETER["latitude_of_origin",30],PARAMETER["central_meridian",31],PARAMETER["scale_factor",1],PARAMETER["false_easting",615000],PARAMETER["false_northing",810000],UNIT["metre",1,AUTHORITY["EPSG","9001"]],AXIS["Easting",EAST],AXIS["Northing",NORTH],AUTHORITY["EPSG","22992"]]</t>
  </si>
  <si>
    <t xml:space="preserve">+proj=tmerc +lat_0=30 +lon_0=31 +k=1 +x_0=615000 +y_0=810000 +ellps=helmert +towgs84=-130,110,-13,0,0,0,0 +units=m +no_defs </t>
  </si>
  <si>
    <t>PROJCS["Egypt 1907 / Purple Belt",GEOGCS["Egypt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,PROJECTION["Transverse_Mercator"],PARAMETER["latitude_of_origin",30],PARAMETER["central_meridian",27],PARAMETER["scale_factor",1],PARAMETER["false_easting",700000],PARAMETER["false_northing",200000],UNIT["metre",1,AUTHORITY["EPSG","9001"]],AXIS["Easting",EAST],AXIS["Northing",NORTH],AUTHORITY["EPSG","22993"]]</t>
  </si>
  <si>
    <t xml:space="preserve">+proj=tmerc +lat_0=30 +lon_0=27 +k=1 +x_0=700000 +y_0=200000 +ellps=helmert +towgs84=-130,110,-13,0,0,0,0 +units=m +no_defs </t>
  </si>
  <si>
    <t>GEOCCS["POSGAR 2007",DATUM["Posiciones_Geodesicas_Argentinas_2007",SPHEROID["GRS 1980",6378137,298.257222101,AUTHORITY["EPSG","7019"]],AUTHORITY["EPSG","1062"]],PRIMEM["Greenwich",0,AUTHORITY["EPSG","8901"]],UNIT["metre",1,AUTHORITY["EPSG","9001"]],AXIS["Geocentric X",OTHER],AXIS["Geocentric Y",OTHER],AXIS["Geocentric Z",NORTH],AUTHORITY["EPSG","5341"]]</t>
  </si>
  <si>
    <t>PROJCS["Egypt 1907 / Extended Purple Belt",GEOGCS["Egypt 1907",DATUM["Egypt_1907",SPHEROID["Helmert 1906",6378200,298.3,AUTHORITY["EPSG","7020"]],TOWGS84[-130,110,-13,0,0,0,0],AUTHORITY["EPSG","6229"]],PRIMEM["Greenwich",0,AUTHORITY["EPSG","8901"]],UNIT["degree",0.0174532925199433,AUTHORITY["EPSG","9122"]],AUTHORITY["EPSG","4229"]],PROJECTION["Transverse_Mercator"],PARAMETER["latitude_of_origin",30],PARAMETER["central_meridian",27],PARAMETER["scale_factor",1],PARAMETER["false_easting",700000],PARAMETER["false_northing",1200000],UNIT["metre",1,AUTHORITY["EPSG","9001"]],AXIS["Easting",EAST],AXIS["Northing",NORTH],AUTHORITY["EPSG","22994"]]</t>
  </si>
  <si>
    <t xml:space="preserve">+proj=tmerc +lat_0=30 +lon_0=27 +k=1 +x_0=700000 +y_0=1200000 +ellps=helmert +towgs84=-130,110,-13,0,0,0,0 +units=m +no_defs </t>
  </si>
  <si>
    <t>PROJCS["ED50 / UTM zone 28N",GEOGCS["ED50",DATUM["European_Datum_1950",SPHEROID["International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23028"]]</t>
  </si>
  <si>
    <t xml:space="preserve">+proj=utm +zone=28 +ellps=intl +towgs84=-87,-98,-121,0,0,0,0 +units=m +no_defs </t>
  </si>
  <si>
    <t>PROJCS["ED50 / UTM zone 29N",GEOGCS["ED50",DATUM["European_Datum_1950",SPHEROID["International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23029"]]</t>
  </si>
  <si>
    <t xml:space="preserve">+proj=utm +zone=29 +ellps=intl +towgs84=-87,-98,-121,0,0,0,0 +units=m +no_defs </t>
  </si>
  <si>
    <t>PROJCS["ED50 / UTM zone 30N",GEOGCS["ED50",DATUM["European_Datum_1950",SPHEROID["International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23030"]]</t>
  </si>
  <si>
    <t xml:space="preserve">+proj=utm +zone=30 +ellps=intl +towgs84=-87,-98,-121,0,0,0,0 +units=m +no_defs </t>
  </si>
  <si>
    <t>PROJCS["ED50 / UTM zone 31N",GEOGCS["ED50",DATUM["European_Datum_1950",SPHEROID["International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23031"]]</t>
  </si>
  <si>
    <t xml:space="preserve">+proj=utm +zone=31 +ellps=intl +towgs84=-87,-98,-121,0,0,0,0 +units=m +no_defs </t>
  </si>
  <si>
    <t>PROJCS["ED50 / UTM zone 32N",GEOGCS["ED50",DATUM["European_Datum_1950",SPHEROID["International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23032"]]</t>
  </si>
  <si>
    <t xml:space="preserve">+proj=utm +zone=32 +ellps=intl +towgs84=-87,-98,-121,0,0,0,0 +units=m +no_defs </t>
  </si>
  <si>
    <t>PROJCS["ED50 / UTM zone 33N",GEOGCS["ED50",DATUM["European_Datum_1950",SPHEROID["International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23033"]]</t>
  </si>
  <si>
    <t xml:space="preserve">+proj=utm +zone=33 +ellps=intl +towgs84=-87,-98,-121,0,0,0,0 +units=m +no_defs </t>
  </si>
  <si>
    <t>PROJCS["ED50 / UTM zone 34N",GEOGCS["ED50",DATUM["European_Datum_1950",SPHEROID["International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23034"]]</t>
  </si>
  <si>
    <t xml:space="preserve">+proj=utm +zone=34 +ellps=intl +towgs84=-87,-98,-121,0,0,0,0 +units=m +no_defs </t>
  </si>
  <si>
    <t>PROJCS["ED50 / UTM zone 35N",GEOGCS["ED50",DATUM["European_Datum_1950",SPHEROID["International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23035"]]</t>
  </si>
  <si>
    <t xml:space="preserve">+proj=utm +zone=35 +ellps=intl +towgs84=-87,-98,-121,0,0,0,0 +units=m +no_defs </t>
  </si>
  <si>
    <t>PROJCS["ED50 / UTM zone 36N",GEOGCS["ED50",DATUM["European_Datum_1950",SPHEROID["International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23036"]]</t>
  </si>
  <si>
    <t xml:space="preserve">+proj=utm +zone=36 +ellps=intl +towgs84=-87,-98,-121,0,0,0,0 +units=m +no_defs </t>
  </si>
  <si>
    <t>GEOCCS["MARGEN",DATUM["Marco_Geodesico_Nacional_de_Bolivia",SPHEROID["GRS 1980",6378137,298.257222101,AUTHORITY["EPSG","7019"]],AUTHORITY["EPSG","1063"]],PRIMEM["Greenwich",0,AUTHORITY["EPSG","8901"]],UNIT["metre",1,AUTHORITY["EPSG","9001"]],AXIS["Geocentric X",OTHER],AXIS["Geocentric Y",OTHER],AXIS["Geocentric Z",NORTH],AUTHORITY["EPSG","5352"]]</t>
  </si>
  <si>
    <t>PROJCS["ED50 / UTM zone 37N",GEOGCS["ED50",DATUM["European_Datum_1950",SPHEROID["International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23037"]]</t>
  </si>
  <si>
    <t xml:space="preserve">+proj=utm +zone=37 +ellps=intl +towgs84=-87,-98,-121,0,0,0,0 +units=m +no_defs </t>
  </si>
  <si>
    <t>PROJCS["ED50 / UTM zone 38N",GEOGCS["ED50",DATUM["European_Datum_1950",SPHEROID["International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23038"]]</t>
  </si>
  <si>
    <t xml:space="preserve">+proj=utm +zone=38 +ellps=intl +towgs84=-87,-98,-121,0,0,0,0 +units=m +no_defs </t>
  </si>
  <si>
    <t>PROJCS["ED50 / TM 0 N",GEOGCS["ED50",DATUM["European_Datum_1950",SPHEROID["International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0],PARAMETER["scale_factor",0.9996],PARAMETER["false_easting",500000],PARAMETER["false_northing",0],UNIT["metre",1,AUTHORITY["EPSG","9001"]],AXIS["Easting",EAST],AXIS["Northing",NORTH],AUTHORITY["EPSG","23090"]]</t>
  </si>
  <si>
    <t xml:space="preserve">+proj=tmerc +lat_0=0 +lon_0=0 +k=0.9996 +x_0=500000 +y_0=0 +ellps=intl +towgs84=-87,-98,-121,0,0,0,0 +units=m +no_defs </t>
  </si>
  <si>
    <t>PROJCS["ED50 / TM 5 NE",GEOGCS["ED50",DATUM["European_Datum_1950",SPHEROID["International 1924",6378388,297,AUTHORITY["EPSG","7022"]],TOWGS84[-87,-98,-121,0,0,0,0],AUTHORITY["EPSG","6230"]],PRIMEM["Greenwich",0,AUTHORITY["EPSG","8901"]],UNIT["degree",0.0174532925199433,AUTHORITY["EPSG","9122"]],AUTHORITY["EPSG","4230"]],PROJECTION["Transverse_Mercator"],PARAMETER["latitude_of_origin",0],PARAMETER["central_meridian",5],PARAMETER["scale_factor",0.9996],PARAMETER["false_easting",500000],PARAMETER["false_northing",0],UNIT["metre",1,AUTHORITY["EPSG","9001"]],AXIS["Easting",EAST],AXIS["Northing",NORTH],AUTHORITY["EPSG","23095"]]</t>
  </si>
  <si>
    <t xml:space="preserve">+proj=tmerc +lat_0=0 +lon_0=5 +k=0.9996 +x_0=500000 +y_0=0 +ellps=intl +towgs84=-87,-98,-121,0,0,0,0 +units=m +no_defs </t>
  </si>
  <si>
    <t>PROJCS["Fahud / UTM zone 39N",GEOGCS["Fahud",DATUM["Fahud",SPHEROID["Clarke 1880 (RGS)",6378249.145,293.465,AUTHORITY["EPSG","7012"]],TOWGS84[-333.102,-11.02,230.69,0,0,0.554,0.219],AUTHORITY["EPSG","6232"]],PRIMEM["Greenwich",0,AUTHORITY["EPSG","8901"]],UNIT["degree",0.0174532925199433,AUTHORITY["EPSG","9122"]],AUTHORITY["EPSG","4232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23239"]]</t>
  </si>
  <si>
    <t xml:space="preserve">+proj=utm +zone=39 +ellps=clrk80 +towgs84=-333.102,-11.02,230.69,0,0,0.554,0.219 +units=m +no_defs </t>
  </si>
  <si>
    <t>PROJCS["Fahud / UTM zone 40N",GEOGCS["Fahud",DATUM["Fahud",SPHEROID["Clarke 1880 (RGS)",6378249.145,293.465,AUTHORITY["EPSG","7012"]],TOWGS84[-333.102,-11.02,230.69,0,0,0.554,0.219],AUTHORITY["EPSG","6232"]],PRIMEM["Greenwich",0,AUTHORITY["EPSG","8901"]],UNIT["degree",0.0174532925199433,AUTHORITY["EPSG","9122"]],AUTHORITY["EPSG","4232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23240"]]</t>
  </si>
  <si>
    <t xml:space="preserve">+proj=utm +zone=40 +ellps=clrk80 +towgs84=-333.102,-11.02,230.69,0,0,0.554,0.219 +units=m +no_defs </t>
  </si>
  <si>
    <t>PROJCS["Garoua / UTM zone 33N (deprecated)",GEOGCS["Garoua",DATUM["Garoua",SPHEROID["Clarke 1880 (IGN)",6378249.2,293.4660212936269,AUTHORITY["EPSG","7011"]],AUTHORITY["EPSG","6234"]],PRIMEM["Greenwich",0,AUTHORITY["EPSG","8901"]],UNIT["degree",0.0174532925199433,AUTHORITY["EPSG","9108"]],AUTHORITY["EPSG","4234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23433"]]</t>
  </si>
  <si>
    <t>PROJCS["HD72 / EOV",GEOGCS["HD72",DATUM["Hungarian_Datum_1972",SPHEROID["GRS 1967",6378160,298.247167427,AUTHORITY["EPSG","7036"]],TOWGS84[52.17,-71.82,-14.9,0,0,0,0],AUTHORITY["EPSG","6237"]],PRIMEM["Greenwich",0,AUTHORITY["EPSG","8901"]],UNIT["degree",0.0174532925199433,AUTHORITY["EPSG","9122"]],AUTHORITY["EPSG","4237"]],PROJECTION["Hotine_Oblique_Mercator_Azimuth_Center"],PARAMETER["latitude_of_center",47.14439372222222],PARAMETER["longitude_of_center",19.04857177777778],PARAMETER["azimuth",90],PARAMETER["rectified_grid_angle",90],PARAMETER["scale_factor",0.99993],PARAMETER["false_easting",650000],PARAMETER["false_northing",200000],UNIT["metre",1,AUTHORITY["EPSG","9001"]],AXIS["Y",EAST],AXIS["X",NORTH],AUTHORITY["EPSG","23700"]]</t>
  </si>
  <si>
    <t xml:space="preserve">+proj=somerc +lat_0=47.14439372222222 +lon_0=19.04857177777778 +k_0=0.99993 +x_0=650000 +y_0=200000 +ellps=GRS67 +towgs84=52.17,-71.82,-14.9,0,0,0,0 +units=m +no_defs </t>
  </si>
  <si>
    <t>PROJCS["DGN95 / Indonesia TM-3 zone 46.2",GEOGCS["DGN95",DATUM["Datum_Geodesi_Nasional_1995",SPHEROID["WGS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94.5],PARAMETER["scale_factor",0.9999],PARAMETER["false_easting",200000],PARAMETER["false_northing",1500000],UNIT["metre",1,AUTHORITY["EPSG","9001"]],AXIS["X",EAST],AXIS["Y",NORTH],AUTHORITY["EPSG","23830"]]</t>
  </si>
  <si>
    <t xml:space="preserve">+proj=tmerc +lat_0=0 +lon_0=94.5 +k=0.9999 +x_0=200000 +y_0=1500000 +ellps=WGS84 +towgs84=0,0,0,0,0,0,0 +units=m +no_defs </t>
  </si>
  <si>
    <t>PROJCS["DGN95 / Indonesia TM-3 zone 47.1",GEOGCS["DGN95",DATUM["Datum_Geodesi_Nasional_1995",SPHEROID["WGS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97.5],PARAMETER["scale_factor",0.9999],PARAMETER["false_easting",200000],PARAMETER["false_northing",1500000],UNIT["metre",1,AUTHORITY["EPSG","9001"]],AXIS["X",EAST],AXIS["Y",NORTH],AUTHORITY["EPSG","23831"]]</t>
  </si>
  <si>
    <t xml:space="preserve">+proj=tmerc +lat_0=0 +lon_0=97.5 +k=0.9999 +x_0=200000 +y_0=1500000 +ellps=WGS84 +towgs84=0,0,0,0,0,0,0 +units=m +no_defs </t>
  </si>
  <si>
    <t>PROJCS["DGN95 / Indonesia TM-3 zone 47.2",GEOGCS["DGN95",DATUM["Datum_Geodesi_Nasional_1995",SPHEROID["WGS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100.5],PARAMETER["scale_factor",0.9999],PARAMETER["false_easting",200000],PARAMETER["false_northing",1500000],UNIT["metre",1,AUTHORITY["EPSG","9001"]],AXIS["X",EAST],AXIS["Y",NORTH],AUTHORITY["EPSG","23832"]]</t>
  </si>
  <si>
    <t xml:space="preserve">+proj=tmerc +lat_0=0 +lon_0=100.5 +k=0.9999 +x_0=200000 +y_0=1500000 +ellps=WGS84 +towgs84=0,0,0,0,0,0,0 +units=m +no_defs </t>
  </si>
  <si>
    <t>PROJCS["DGN95 / Indonesia TM-3 zone 48.1",GEOGCS["DGN95",DATUM["Datum_Geodesi_Nasional_1995",SPHEROID["WGS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103.5],PARAMETER["scale_factor",0.9999],PARAMETER["false_easting",200000],PARAMETER["false_northing",1500000],UNIT["metre",1,AUTHORITY["EPSG","9001"]],AXIS["X",EAST],AXIS["Y",NORTH],AUTHORITY["EPSG","23833"]]</t>
  </si>
  <si>
    <t xml:space="preserve">+proj=tmerc +lat_0=0 +lon_0=103.5 +k=0.9999 +x_0=200000 +y_0=1500000 +ellps=WGS84 +towgs84=0,0,0,0,0,0,0 +units=m +no_defs </t>
  </si>
  <si>
    <t>PROJCS["DGN95 / Indonesia TM-3 zone 48.2",GEOGCS["DGN95",DATUM["Datum_Geodesi_Nasional_1995",SPHEROID["WGS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106.5],PARAMETER["scale_factor",0.9999],PARAMETER["false_easting",200000],PARAMETER["false_northing",1500000],UNIT["metre",1,AUTHORITY["EPSG","9001"]],AXIS["X",EAST],AXIS["Y",NORTH],AUTHORITY["EPSG","23834"]]</t>
  </si>
  <si>
    <t xml:space="preserve">+proj=tmerc +lat_0=0 +lon_0=106.5 +k=0.9999 +x_0=200000 +y_0=1500000 +ellps=WGS84 +towgs84=0,0,0,0,0,0,0 +units=m +no_defs </t>
  </si>
  <si>
    <t>PROJCS["DGN95 / Indonesia TM-3 zone 49.1",GEOGCS["DGN95",DATUM["Datum_Geodesi_Nasional_1995",SPHEROID["WGS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109.5],PARAMETER["scale_factor",0.9999],PARAMETER["false_easting",200000],PARAMETER["false_northing",1500000],UNIT["metre",1,AUTHORITY["EPSG","9001"]],AXIS["X",EAST],AXIS["Y",NORTH],AUTHORITY["EPSG","23835"]]</t>
  </si>
  <si>
    <t xml:space="preserve">+proj=tmerc +lat_0=0 +lon_0=109.5 +k=0.9999 +x_0=200000 +y_0=1500000 +ellps=WGS84 +towgs84=0,0,0,0,0,0,0 +units=m +no_defs </t>
  </si>
  <si>
    <t>PROJCS["DGN95 / Indonesia TM-3 zone 49.2",GEOGCS["DGN95",DATUM["Datum_Geodesi_Nasional_1995",SPHEROID["WGS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112.5],PARAMETER["scale_factor",0.9999],PARAMETER["false_easting",200000],PARAMETER["false_northing",1500000],UNIT["metre",1,AUTHORITY["EPSG","9001"]],AXIS["X",EAST],AXIS["Y",NORTH],AUTHORITY["EPSG","23836"]]</t>
  </si>
  <si>
    <t xml:space="preserve">+proj=tmerc +lat_0=0 +lon_0=112.5 +k=0.9999 +x_0=200000 +y_0=1500000 +ellps=WGS84 +towgs84=0,0,0,0,0,0,0 +units=m +no_defs </t>
  </si>
  <si>
    <t>PROJCS["DGN95 / Indonesia TM-3 zone 50.1",GEOGCS["DGN95",DATUM["Datum_Geodesi_Nasional_1995",SPHEROID["WGS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115.5],PARAMETER["scale_factor",0.9999],PARAMETER["false_easting",200000],PARAMETER["false_northing",1500000],UNIT["metre",1,AUTHORITY["EPSG","9001"]],AXIS["X",EAST],AXIS["Y",NORTH],AUTHORITY["EPSG","23837"]]</t>
  </si>
  <si>
    <t xml:space="preserve">+proj=tmerc +lat_0=0 +lon_0=115.5 +k=0.9999 +x_0=200000 +y_0=1500000 +ellps=WGS84 +towgs84=0,0,0,0,0,0,0 +units=m +no_defs </t>
  </si>
  <si>
    <t>PROJCS["DGN95 / Indonesia TM-3 zone 50.2",GEOGCS["DGN95",DATUM["Datum_Geodesi_Nasional_1995",SPHEROID["WGS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118.5],PARAMETER["scale_factor",0.9999],PARAMETER["false_easting",200000],PARAMETER["false_northing",1500000],UNIT["metre",1,AUTHORITY["EPSG","9001"]],AXIS["X",EAST],AXIS["Y",NORTH],AUTHORITY["EPSG","23838"]]</t>
  </si>
  <si>
    <t xml:space="preserve">+proj=tmerc +lat_0=0 +lon_0=118.5 +k=0.9999 +x_0=200000 +y_0=1500000 +ellps=WGS84 +towgs84=0,0,0,0,0,0,0 +units=m +no_defs </t>
  </si>
  <si>
    <t>PROJCS["DGN95 / Indonesia TM-3 zone 51.1",GEOGCS["DGN95",DATUM["Datum_Geodesi_Nasional_1995",SPHEROID["WGS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121.5],PARAMETER["scale_factor",0.9999],PARAMETER["false_easting",200000],PARAMETER["false_northing",1500000],UNIT["metre",1,AUTHORITY["EPSG","9001"]],AXIS["X",EAST],AXIS["Y",NORTH],AUTHORITY["EPSG","23839"]]</t>
  </si>
  <si>
    <t xml:space="preserve">+proj=tmerc +lat_0=0 +lon_0=121.5 +k=0.9999 +x_0=200000 +y_0=1500000 +ellps=WGS84 +towgs84=0,0,0,0,0,0,0 +units=m +no_defs </t>
  </si>
  <si>
    <t>PROJCS["DGN95 / Indonesia TM-3 zone 51.2",GEOGCS["DGN95",DATUM["Datum_Geodesi_Nasional_1995",SPHEROID["WGS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124.5],PARAMETER["scale_factor",0.9999],PARAMETER["false_easting",200000],PARAMETER["false_northing",1500000],UNIT["metre",1,AUTHORITY["EPSG","9001"]],AXIS["X",EAST],AXIS["Y",NORTH],AUTHORITY["EPSG","23840"]]</t>
  </si>
  <si>
    <t xml:space="preserve">+proj=tmerc +lat_0=0 +lon_0=124.5 +k=0.9999 +x_0=200000 +y_0=1500000 +ellps=WGS84 +towgs84=0,0,0,0,0,0,0 +units=m +no_defs </t>
  </si>
  <si>
    <t>PROJCS["NAD27 / UTM zone 9N",GEOGCS["NAD27",DATUM["North_American_Datum_1927",SPHEROID["Clarke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26709"]]</t>
  </si>
  <si>
    <t>PROJCS["DGN95 / Indonesia TM-3 zone 52.1",GEOGCS["DGN95",DATUM["Datum_Geodesi_Nasional_1995",SPHEROID["WGS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127.5],PARAMETER["scale_factor",0.9999],PARAMETER["false_easting",200000],PARAMETER["false_northing",1500000],UNIT["metre",1,AUTHORITY["EPSG","9001"]],AXIS["X",EAST],AXIS["Y",NORTH],AUTHORITY["EPSG","23841"]]</t>
  </si>
  <si>
    <t xml:space="preserve">+proj=tmerc +lat_0=0 +lon_0=127.5 +k=0.9999 +x_0=200000 +y_0=1500000 +ellps=WGS84 +towgs84=0,0,0,0,0,0,0 +units=m +no_defs </t>
  </si>
  <si>
    <t>PROJCS["DGN95 / Indonesia TM-3 zone 52.2",GEOGCS["DGN95",DATUM["Datum_Geodesi_Nasional_1995",SPHEROID["WGS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130.5],PARAMETER["scale_factor",0.9999],PARAMETER["false_easting",200000],PARAMETER["false_northing",1500000],UNIT["metre",1,AUTHORITY["EPSG","9001"]],AXIS["X",EAST],AXIS["Y",NORTH],AUTHORITY["EPSG","23842"]]</t>
  </si>
  <si>
    <t xml:space="preserve">+proj=tmerc +lat_0=0 +lon_0=130.5 +k=0.9999 +x_0=200000 +y_0=1500000 +ellps=WGS84 +towgs84=0,0,0,0,0,0,0 +units=m +no_defs </t>
  </si>
  <si>
    <t>PROJCS["DGN95 / Indonesia TM-3 zone 53.1",GEOGCS["DGN95",DATUM["Datum_Geodesi_Nasional_1995",SPHEROID["WGS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133.5],PARAMETER["scale_factor",0.9999],PARAMETER["false_easting",200000],PARAMETER["false_northing",1500000],UNIT["metre",1,AUTHORITY["EPSG","9001"]],AXIS["X",EAST],AXIS["Y",NORTH],AUTHORITY["EPSG","23843"]]</t>
  </si>
  <si>
    <t xml:space="preserve">+proj=tmerc +lat_0=0 +lon_0=133.5 +k=0.9999 +x_0=200000 +y_0=1500000 +ellps=WGS84 +towgs84=0,0,0,0,0,0,0 +units=m +no_defs </t>
  </si>
  <si>
    <t>PROJCS["DGN95 / Indonesia TM-3 zone 53.2",GEOGCS["DGN95",DATUM["Datum_Geodesi_Nasional_1995",SPHEROID["WGS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136.5],PARAMETER["scale_factor",0.9999],PARAMETER["false_easting",200000],PARAMETER["false_northing",1500000],UNIT["metre",1,AUTHORITY["EPSG","9001"]],AXIS["X",EAST],AXIS["Y",NORTH],AUTHORITY["EPSG","23844"]]</t>
  </si>
  <si>
    <t xml:space="preserve">+proj=tmerc +lat_0=0 +lon_0=136.5 +k=0.9999 +x_0=200000 +y_0=1500000 +ellps=WGS84 +towgs84=0,0,0,0,0,0,0 +units=m +no_defs </t>
  </si>
  <si>
    <t>PROJCS["DGN95 / Indonesia TM-3 zone 54.1",GEOGCS["DGN95",DATUM["Datum_Geodesi_Nasional_1995",SPHEROID["WGS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139.5],PARAMETER["scale_factor",0.9999],PARAMETER["false_easting",200000],PARAMETER["false_northing",1500000],UNIT["metre",1,AUTHORITY["EPSG","9001"]],AXIS["X",EAST],AXIS["Y",NORTH],AUTHORITY["EPSG","23845"]]</t>
  </si>
  <si>
    <t xml:space="preserve">+proj=tmerc +lat_0=0 +lon_0=139.5 +k=0.9999 +x_0=200000 +y_0=1500000 +ellps=WGS84 +towgs84=0,0,0,0,0,0,0 +units=m +no_defs </t>
  </si>
  <si>
    <t>PROJCS["ID74 / UTM zone 46N",GEOGCS["ID74",DATUM["Indonesian_Datum_1974",SPHEROID["Indonesian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23846"]]</t>
  </si>
  <si>
    <t xml:space="preserve">+proj=utm +zone=46 +a=6378160 +b=6356774.50408554 +towgs84=-24,-15,5,0,0,0,0 +units=m +no_defs </t>
  </si>
  <si>
    <t>PROJCS["ID74 / UTM zone 47N",GEOGCS["ID74",DATUM["Indonesian_Datum_1974",SPHEROID["Indonesian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23847"]]</t>
  </si>
  <si>
    <t xml:space="preserve">+proj=utm +zone=47 +a=6378160 +b=6356774.50408554 +towgs84=-24,-15,5,0,0,0,0 +units=m +no_defs </t>
  </si>
  <si>
    <t>PROJCS["ID74 / UTM zone 48N",GEOGCS["ID74",DATUM["Indonesian_Datum_1974",SPHEROID["Indonesian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23848"]]</t>
  </si>
  <si>
    <t xml:space="preserve">+proj=utm +zone=48 +a=6378160 +b=6356774.50408554 +towgs84=-24,-15,5,0,0,0,0 +units=m +no_defs </t>
  </si>
  <si>
    <t>PROJCS["ID74 / UTM zone 49N",GEOGCS["ID74",DATUM["Indonesian_Datum_1974",SPHEROID["Indonesian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23849"]]</t>
  </si>
  <si>
    <t xml:space="preserve">+proj=utm +zone=49 +a=6378160 +b=6356774.50408554 +towgs84=-24,-15,5,0,0,0,0 +units=m +no_defs </t>
  </si>
  <si>
    <t>PROJCS["ID74 / UTM zone 50N",GEOGCS["ID74",DATUM["Indonesian_Datum_1974",SPHEROID["Indonesian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23850"]]</t>
  </si>
  <si>
    <t xml:space="preserve">+proj=utm +zone=50 +a=6378160 +b=6356774.50408554 +towgs84=-24,-15,5,0,0,0,0 +units=m +no_defs </t>
  </si>
  <si>
    <t>PROJCS["ID74 / UTM zone 51N",GEOGCS["ID74",DATUM["Indonesian_Datum_1974",SPHEROID["Indonesian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23851"]]</t>
  </si>
  <si>
    <t xml:space="preserve">+proj=utm +zone=51 +a=6378160 +b=6356774.50408554 +towgs84=-24,-15,5,0,0,0,0 +units=m +no_defs </t>
  </si>
  <si>
    <t>PROJCS["ID74 / UTM zone 52N",GEOGCS["ID74",DATUM["Indonesian_Datum_1974",SPHEROID["Indonesian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23852"]]</t>
  </si>
  <si>
    <t xml:space="preserve">+proj=utm +zone=52 +a=6378160 +b=6356774.50408554 +towgs84=-24,-15,5,0,0,0,0 +units=m +no_defs </t>
  </si>
  <si>
    <t>PROJCS["ID74 / UTM zone 53N (deprecated)",GEOGCS["ID74",DATUM["Indonesian_Datum_1974",SPHEROID["Indonesian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23853"]]</t>
  </si>
  <si>
    <t xml:space="preserve">+proj=utm +zone=53 +a=6378160 +b=6356774.50408554 +towgs84=-24,-15,5,0,0,0,0 +units=m +no_defs </t>
  </si>
  <si>
    <t>PROJCS["DGN95 / UTM zone 46N",GEOGCS["DGN95",DATUM["Datum_Geodesi_Nasional_1995",SPHEROID["WGS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23866"]]</t>
  </si>
  <si>
    <t xml:space="preserve">+proj=utm +zone=46 +ellps=WGS84 +towgs84=0,0,0,0,0,0,0 +units=m +no_defs </t>
  </si>
  <si>
    <t>PROJCS["DGN95 / UTM zone 47N",GEOGCS["DGN95",DATUM["Datum_Geodesi_Nasional_1995",SPHEROID["WGS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23867"]]</t>
  </si>
  <si>
    <t xml:space="preserve">+proj=utm +zone=47 +ellps=WGS84 +towgs84=0,0,0,0,0,0,0 +units=m +no_defs </t>
  </si>
  <si>
    <t>PROJCS["DGN95 / UTM zone 48N",GEOGCS["DGN95",DATUM["Datum_Geodesi_Nasional_1995",SPHEROID["WGS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23868"]]</t>
  </si>
  <si>
    <t xml:space="preserve">+proj=utm +zone=48 +ellps=WGS84 +towgs84=0,0,0,0,0,0,0 +units=m +no_defs </t>
  </si>
  <si>
    <t>PROJCS["DGN95 / UTM zone 49N",GEOGCS["DGN95",DATUM["Datum_Geodesi_Nasional_1995",SPHEROID["WGS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23869"]]</t>
  </si>
  <si>
    <t xml:space="preserve">+proj=utm +zone=49 +ellps=WGS84 +towgs84=0,0,0,0,0,0,0 +units=m +no_defs </t>
  </si>
  <si>
    <t>PROJCS["DGN95 / UTM zone 50N",GEOGCS["DGN95",DATUM["Datum_Geodesi_Nasional_1995",SPHEROID["WGS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23870"]]</t>
  </si>
  <si>
    <t xml:space="preserve">+proj=utm +zone=50 +ellps=WGS84 +towgs84=0,0,0,0,0,0,0 +units=m +no_defs </t>
  </si>
  <si>
    <t>PROJCS["DGN95 / UTM zone 51N",GEOGCS["DGN95",DATUM["Datum_Geodesi_Nasional_1995",SPHEROID["WGS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23871"]]</t>
  </si>
  <si>
    <t xml:space="preserve">+proj=utm +zone=51 +ellps=WGS84 +towgs84=0,0,0,0,0,0,0 +units=m +no_defs </t>
  </si>
  <si>
    <t>PROJCS["DGN95 / UTM zone 52N",GEOGCS["DGN95",DATUM["Datum_Geodesi_Nasional_1995",SPHEROID["WGS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23872"]]</t>
  </si>
  <si>
    <t xml:space="preserve">+proj=utm +zone=52 +ellps=WGS84 +towgs84=0,0,0,0,0,0,0 +units=m +no_defs </t>
  </si>
  <si>
    <t>PROJCS["DGN95 / UTM zone 47S",GEOGCS["DGN95",DATUM["Datum_Geodesi_Nasional_1995",SPHEROID["WGS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23877"]]</t>
  </si>
  <si>
    <t xml:space="preserve">+proj=utm +zone=47 +south +ellps=WGS84 +towgs84=0,0,0,0,0,0,0 +units=m +no_defs </t>
  </si>
  <si>
    <t>PROJCS["DGN95 / UTM zone 48S",GEOGCS["DGN95",DATUM["Datum_Geodesi_Nasional_1995",SPHEROID["WGS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23878"]]</t>
  </si>
  <si>
    <t xml:space="preserve">+proj=utm +zone=48 +south +ellps=WGS84 +towgs84=0,0,0,0,0,0,0 +units=m +no_defs </t>
  </si>
  <si>
    <t>PROJCS["DGN95 / UTM zone 49S",GEOGCS["DGN95",DATUM["Datum_Geodesi_Nasional_1995",SPHEROID["WGS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23879"]]</t>
  </si>
  <si>
    <t xml:space="preserve">+proj=utm +zone=49 +south +ellps=WGS84 +towgs84=0,0,0,0,0,0,0 +units=m +no_defs </t>
  </si>
  <si>
    <t>PROJCS["DGN95 / UTM zone 50S",GEOGCS["DGN95",DATUM["Datum_Geodesi_Nasional_1995",SPHEROID["WGS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23880"]]</t>
  </si>
  <si>
    <t xml:space="preserve">+proj=utm +zone=50 +south +ellps=WGS84 +towgs84=0,0,0,0,0,0,0 +units=m +no_defs </t>
  </si>
  <si>
    <t>PROJCS["DGN95 / UTM zone 51S",GEOGCS["DGN95",DATUM["Datum_Geodesi_Nasional_1995",SPHEROID["WGS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23881"]]</t>
  </si>
  <si>
    <t xml:space="preserve">+proj=utm +zone=51 +south +ellps=WGS84 +towgs84=0,0,0,0,0,0,0 +units=m +no_defs </t>
  </si>
  <si>
    <t>PROJCS["DGN95 / UTM zone 52S",GEOGCS["DGN95",DATUM["Datum_Geodesi_Nasional_1995",SPHEROID["WGS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23882"]]</t>
  </si>
  <si>
    <t xml:space="preserve">+proj=utm +zone=52 +south +ellps=WGS84 +towgs84=0,0,0,0,0,0,0 +units=m +no_defs </t>
  </si>
  <si>
    <t>PROJCS["DGN95 / UTM zone 53S",GEOGCS["DGN95",DATUM["Datum_Geodesi_Nasional_1995",SPHEROID["WGS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23883"]]</t>
  </si>
  <si>
    <t xml:space="preserve">+proj=utm +zone=53 +south +ellps=WGS84 +towgs84=0,0,0,0,0,0,0 +units=m +no_defs </t>
  </si>
  <si>
    <t>PROJCS["DGN95 / UTM zone 54S",GEOGCS["DGN95",DATUM["Datum_Geodesi_Nasional_1995",SPHEROID["WGS 84",6378137,298.257223563,AUTHORITY["EPSG","7030"]],TOWGS84[0,0,0,0,0,0,0],AUTHORITY["EPSG","6755"]],PRIMEM["Greenwich",0,AUTHORITY["EPSG","8901"]],UNIT["degree",0.0174532925199433,AUTHORITY["EPSG","9122"]],AUTHORITY["EPSG","4755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23884"]]</t>
  </si>
  <si>
    <t xml:space="preserve">+proj=utm +zone=54 +south +ellps=WGS84 +towgs84=0,0,0,0,0,0,0 +units=m +no_defs </t>
  </si>
  <si>
    <t>PROJCS["ID74 / UTM zone 46S (deprecated)",GEOGCS["ID74",DATUM["Indonesian_Datum_1974",SPHEROID["Indonesian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23886"]]</t>
  </si>
  <si>
    <t xml:space="preserve">+proj=utm +zone=46 +south +a=6378160 +b=6356774.50408554 +towgs84=-24,-15,5,0,0,0,0 +units=m +no_defs </t>
  </si>
  <si>
    <t>PROJCS["ID74 / UTM zone 47S",GEOGCS["ID74",DATUM["Indonesian_Datum_1974",SPHEROID["Indonesian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23887"]]</t>
  </si>
  <si>
    <t xml:space="preserve">+proj=utm +zone=47 +south +a=6378160 +b=6356774.50408554 +towgs84=-24,-15,5,0,0,0,0 +units=m +no_defs </t>
  </si>
  <si>
    <t>PROJCS["ID74 / UTM zone 48S",GEOGCS["ID74",DATUM["Indonesian_Datum_1974",SPHEROID["Indonesian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23888"]]</t>
  </si>
  <si>
    <t xml:space="preserve">+proj=utm +zone=48 +south +a=6378160 +b=6356774.50408554 +towgs84=-24,-15,5,0,0,0,0 +units=m +no_defs </t>
  </si>
  <si>
    <t>PROJCS["ID74 / UTM zone 49S",GEOGCS["ID74",DATUM["Indonesian_Datum_1974",SPHEROID["Indonesian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23889"]]</t>
  </si>
  <si>
    <t xml:space="preserve">+proj=utm +zone=49 +south +a=6378160 +b=6356774.50408554 +towgs84=-24,-15,5,0,0,0,0 +units=m +no_defs </t>
  </si>
  <si>
    <t>PROJCS["ID74 / UTM zone 50S",GEOGCS["ID74",DATUM["Indonesian_Datum_1974",SPHEROID["Indonesian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23890"]]</t>
  </si>
  <si>
    <t xml:space="preserve">+proj=utm +zone=50 +south +a=6378160 +b=6356774.50408554 +towgs84=-24,-15,5,0,0,0,0 +units=m +no_defs </t>
  </si>
  <si>
    <t>PROJCS["ID74 / UTM zone 51S",GEOGCS["ID74",DATUM["Indonesian_Datum_1974",SPHEROID["Indonesian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23891"]]</t>
  </si>
  <si>
    <t xml:space="preserve">+proj=utm +zone=51 +south +a=6378160 +b=6356774.50408554 +towgs84=-24,-15,5,0,0,0,0 +units=m +no_defs </t>
  </si>
  <si>
    <t>PROJCS["ID74 / UTM zone 52S",GEOGCS["ID74",DATUM["Indonesian_Datum_1974",SPHEROID["Indonesian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23892"]]</t>
  </si>
  <si>
    <t xml:space="preserve">+proj=utm +zone=52 +south +a=6378160 +b=6356774.50408554 +towgs84=-24,-15,5,0,0,0,0 +units=m +no_defs </t>
  </si>
  <si>
    <t>PROJCS["ID74 / UTM zone 53S",GEOGCS["ID74",DATUM["Indonesian_Datum_1974",SPHEROID["Indonesian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23893"]]</t>
  </si>
  <si>
    <t xml:space="preserve">+proj=utm +zone=53 +south +a=6378160 +b=6356774.50408554 +towgs84=-24,-15,5,0,0,0,0 +units=m +no_defs </t>
  </si>
  <si>
    <t>PROJCS["ID74 / UTM zone 54S",GEOGCS["ID74",DATUM["Indonesian_Datum_1974",SPHEROID["Indonesian National Spheroid",6378160,298.247,AUTHORITY["EPSG","7021"]],TOWGS84[-24,-15,5,0,0,0,0],AUTHORITY["EPSG","6238"]],PRIMEM["Greenwich",0,AUTHORITY["EPSG","8901"]],UNIT["degree",0.0174532925199433,AUTHORITY["EPSG","9122"]],AUTHORITY["EPSG","4238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23894"]]</t>
  </si>
  <si>
    <t xml:space="preserve">+proj=utm +zone=54 +south +a=6378160 +b=6356774.50408554 +towgs84=-24,-15,5,0,0,0,0 +units=m +no_defs </t>
  </si>
  <si>
    <t>PROJCS["Indian 1954 / UTM zone 46N",GEOGCS["Indian 1954",DATUM["Indian_1954",SPHEROID["Everest 1830 (1937 Adjustment)",6377276.345,300.8017,AUTHORITY["EPSG","7015"]],TOWGS84[217,823,299,0,0,0,0],AUTHORITY["EPSG","6239"]],PRIMEM["Greenwich",0,AUTHORITY["EPSG","8901"]],UNIT["degree",0.0174532925199433,AUTHORITY["EPSG","9122"]],AUTHORITY["EPSG","4239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23946"]]</t>
  </si>
  <si>
    <t xml:space="preserve">+proj=utm +zone=46 +a=6377276.345 +b=6356075.41314024 +towgs84=217,823,299,0,0,0,0 +units=m +no_defs </t>
  </si>
  <si>
    <t>PROJCS["Indian 1954 / UTM zone 47N",GEOGCS["Indian 1954",DATUM["Indian_1954",SPHEROID["Everest 1830 (1937 Adjustment)",6377276.345,300.8017,AUTHORITY["EPSG","7015"]],TOWGS84[217,823,299,0,0,0,0],AUTHORITY["EPSG","6239"]],PRIMEM["Greenwich",0,AUTHORITY["EPSG","8901"]],UNIT["degree",0.0174532925199433,AUTHORITY["EPSG","9122"]],AUTHORITY["EPSG","4239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23947"]]</t>
  </si>
  <si>
    <t xml:space="preserve">+proj=utm +zone=47 +a=6377276.345 +b=6356075.41314024 +towgs84=217,823,299,0,0,0,0 +units=m +no_defs </t>
  </si>
  <si>
    <t>PROJCS["Indian 1954 / UTM zone 48N",GEOGCS["Indian 1954",DATUM["Indian_1954",SPHEROID["Everest 1830 (1937 Adjustment)",6377276.345,300.8017,AUTHORITY["EPSG","7015"]],TOWGS84[217,823,299,0,0,0,0],AUTHORITY["EPSG","6239"]],PRIMEM["Greenwich",0,AUTHORITY["EPSG","8901"]],UNIT["degree",0.0174532925199433,AUTHORITY["EPSG","9122"]],AUTHORITY["EPSG","4239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23948"]]</t>
  </si>
  <si>
    <t xml:space="preserve">+proj=utm +zone=48 +a=6377276.345 +b=6356075.41314024 +towgs84=217,823,299,0,0,0,0 +units=m +no_defs </t>
  </si>
  <si>
    <t>PROJCS["Indian 1975 / UTM zone 47N",GEOGCS["Indian 1975",DATUM["Indian_1975",SPHEROID["Everest 1830 (1937 Adjustment)",6377276.345,300.8017,AUTHORITY["EPSG","7015"]],TOWGS84[210,814,289,0,0,0,0],AUTHORITY["EPSG","6240"]],PRIMEM["Greenwich",0,AUTHORITY["EPSG","8901"]],UNIT["degree",0.0174532925199433,AUTHORITY["EPSG","9122"]],AUTHORITY["EPSG","4240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24047"]]</t>
  </si>
  <si>
    <t xml:space="preserve">+proj=utm +zone=47 +a=6377276.345 +b=6356075.41314024 +towgs84=210,814,289,0,0,0,0 +units=m +no_defs </t>
  </si>
  <si>
    <t>PROJCS["Indian 1975 / UTM zone 48N",GEOGCS["Indian 1975",DATUM["Indian_1975",SPHEROID["Everest 1830 (1937 Adjustment)",6377276.345,300.8017,AUTHORITY["EPSG","7015"]],TOWGS84[210,814,289,0,0,0,0],AUTHORITY["EPSG","6240"]],PRIMEM["Greenwich",0,AUTHORITY["EPSG","8901"]],UNIT["degree",0.0174532925199433,AUTHORITY["EPSG","9122"]],AUTHORITY["EPSG","4240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24048"]]</t>
  </si>
  <si>
    <t xml:space="preserve">+proj=utm +zone=48 +a=6377276.345 +b=6356075.41314024 +towgs84=210,814,289,0,0,0,0 +units=m +no_defs </t>
  </si>
  <si>
    <t>PROJCS["Jamaica 1875 / Jamaica (Old Grid)",GEOGCS["Jamaica 1875",DATUM["Jamaica_1875",SPHEROID["Clarke 1880",6378249.144808011,293.4663076556365,AUTHORITY["EPSG","7034"]],AUTHORITY["EPSG","6241"]],PRIMEM["Greenwich",0,AUTHORITY["EPSG","8901"]],UNIT["degree",0.0174532925199433,AUTHORITY["EPSG","9122"]],AUTHORITY["EPSG","4241"]],PROJECTION["Lambert_Conformal_Conic_1SP"],PARAMETER["latitude_of_origin",18],PARAMETER["central_meridian",-77],PARAMETER["scale_factor",1],PARAMETER["false_easting",550000],PARAMETER["false_northing",400000],UNIT["Clarke's foot",0.3047972654,AUTHORITY["EPSG","9005"]],AXIS["Easting",EAST],AXIS["Northing",NORTH],AUTHORITY["EPSG","24100"]]</t>
  </si>
  <si>
    <t>PROJCS["JAD69 / Jamaica National Grid",GEOGCS["JAD69",DATUM["Jamaica_1969",SPHEROID["Clarke 1866",6378206.4,294.9786982138982,AUTHORITY["EPSG","7008"]],TOWGS84[70,207,389.5,0,0,0,0],AUTHORITY["EPSG","6242"]],PRIMEM["Greenwich",0,AUTHORITY["EPSG","8901"]],UNIT["degree",0.0174532925199433,AUTHORITY["EPSG","9122"]],AUTHORITY["EPSG","4242"]],PROJECTION["Lambert_Conformal_Conic_1SP"],PARAMETER["latitude_of_origin",18],PARAMETER["central_meridian",-77],PARAMETER["scale_factor",1],PARAMETER["false_easting",250000],PARAMETER["false_northing",150000],UNIT["metre",1,AUTHORITY["EPSG","9001"]],AXIS["Easting",EAST],AXIS["Northing",NORTH],AUTHORITY["EPSG","24200"]]</t>
  </si>
  <si>
    <t xml:space="preserve">+proj=lcc +lat_1=18 +lat_0=18 +lon_0=-77 +k_0=1 +x_0=250000 +y_0=150000 +ellps=clrk66 +towgs84=70,207,389.5,0,0,0,0 +units=m +no_defs </t>
  </si>
  <si>
    <t>PROJCS["Kalianpur 1937 / UTM zone 45N",GEOGCS["Kalianpur 1937",DATUM["Kalianpur_1937",SPHEROID["Everest 1830 (1937 Adjustment)",6377276.345,300.8017,AUTHORITY["EPSG","7015"]],TOWGS84[214,804,268,0,0,0,0],AUTHORITY["EPSG","6144"]],PRIMEM["Greenwich",0,AUTHORITY["EPSG","8901"]],UNIT["degree",0.0174532925199433,AUTHORITY["EPSG","9122"]],AUTHORITY["EPSG","4144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24305"]]</t>
  </si>
  <si>
    <t xml:space="preserve">+proj=utm +zone=45 +a=6377276.345 +b=6356075.41314024 +towgs84=214,804,268,0,0,0,0 +units=m +no_defs </t>
  </si>
  <si>
    <t>PROJCS["Kalianpur 1937 / UTM zone 46N",GEOGCS["Kalianpur 1937",DATUM["Kalianpur_1937",SPHEROID["Everest 1830 (1937 Adjustment)",6377276.345,300.8017,AUTHORITY["EPSG","7015"]],TOWGS84[214,804,268,0,0,0,0],AUTHORITY["EPSG","6144"]],PRIMEM["Greenwich",0,AUTHORITY["EPSG","8901"]],UNIT["degree",0.0174532925199433,AUTHORITY["EPSG","9122"]],AUTHORITY["EPSG","4144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24306"]]</t>
  </si>
  <si>
    <t xml:space="preserve">+proj=utm +zone=46 +a=6377276.345 +b=6356075.41314024 +towgs84=214,804,268,0,0,0,0 +units=m +no_defs </t>
  </si>
  <si>
    <t>PROJCS["Kalianpur 1962 / UTM zone 41N",GEOGCS["Kalianpur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24311"]]</t>
  </si>
  <si>
    <t xml:space="preserve">+proj=utm +zone=41 +a=6377301.243 +b=6356100.230165384 +towgs84=283,682,231,0,0,0,0 +units=m +no_defs </t>
  </si>
  <si>
    <t>PROJCS["Kalianpur 1962 / UTM zone 42N",GEOGCS["Kalianpur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24312"]]</t>
  </si>
  <si>
    <t xml:space="preserve">+proj=utm +zone=42 +a=6377301.243 +b=6356100.230165384 +towgs84=283,682,231,0,0,0,0 +units=m +no_defs </t>
  </si>
  <si>
    <t>PROJCS["Kalianpur 1962 / UTM zone 43N",GEOGCS["Kalianpur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24313"]]</t>
  </si>
  <si>
    <t xml:space="preserve">+proj=utm +zone=43 +a=6377301.243 +b=6356100.230165384 +towgs84=283,682,231,0,0,0,0 +units=m +no_defs </t>
  </si>
  <si>
    <t>GEOCCS["SIRGAS-Chile",DATUM["SIRGAS_Chile",SPHEROID["GRS 1980",6378137,298.257222101,AUTHORITY["EPSG","7019"]],AUTHORITY["EPSG","1064"]],PRIMEM["Greenwich",0,AUTHORITY["EPSG","8901"]],UNIT["metre",1,AUTHORITY["EPSG","9001"]],AXIS["Geocentric X",OTHER],AXIS["Geocentric Y",OTHER],AXIS["Geocentric Z",NORTH],AUTHORITY["EPSG","5358"]]</t>
  </si>
  <si>
    <t>PROJCS["Kalianpur 1975 / UTM zone 42N",GEOGCS["Kalianpur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24342"]]</t>
  </si>
  <si>
    <t xml:space="preserve">+proj=utm +zone=42 +a=6377299.151 +b=6356098.145120132 +towgs84=295,736,257,0,0,0,0 +units=m +no_defs </t>
  </si>
  <si>
    <t>PROJCS["Kalianpur 1975 / UTM zone 43N",GEOGCS["Kalianpur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24343"]]</t>
  </si>
  <si>
    <t xml:space="preserve">+proj=utm +zone=43 +a=6377299.151 +b=6356098.145120132 +towgs84=295,736,257,0,0,0,0 +units=m +no_defs </t>
  </si>
  <si>
    <t>PROJCS["Kalianpur 1975 / UTM zone 44N",GEOGCS["Kalianpur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81],PARAMETER["scale_factor",0.9996],PARAMETER["false_easting",500000],PARAMETER["false_northing",0],UNIT["metre",1,AUTHORITY["EPSG","9001"]],AXIS["Easting",EAST],AXIS["Northing",NORTH],AUTHORITY["EPSG","24344"]]</t>
  </si>
  <si>
    <t xml:space="preserve">+proj=utm +zone=44 +a=6377299.151 +b=6356098.145120132 +towgs84=295,736,257,0,0,0,0 +units=m +no_defs </t>
  </si>
  <si>
    <t>PROJCS["Kalianpur 1975 / UTM zone 45N",GEOGCS["Kalianpur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24345"]]</t>
  </si>
  <si>
    <t xml:space="preserve">+proj=utm +zone=45 +a=6377299.151 +b=6356098.145120132 +towgs84=295,736,257,0,0,0,0 +units=m +no_defs </t>
  </si>
  <si>
    <t>PROJCS["Kalianpur 1975 / UTM zone 46N",GEOGCS["Kalianpur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24346"]]</t>
  </si>
  <si>
    <t xml:space="preserve">+proj=utm +zone=46 +a=6377299.151 +b=6356098.145120132 +towgs84=295,736,257,0,0,0,0 +units=m +no_defs </t>
  </si>
  <si>
    <t>PROJCS["Kalianpur 1975 / UTM zone 47N",GEOGCS["Kalianpur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24347"]]</t>
  </si>
  <si>
    <t xml:space="preserve">+proj=utm +zone=47 +a=6377299.151 +b=6356098.145120132 +towgs84=295,736,257,0,0,0,0 +units=m +no_defs </t>
  </si>
  <si>
    <t>PROJCS["Kalianpur 1880 / India zone 0",GEOGCS["Kalianpur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39.5],PARAMETER["central_meridian",68],PARAMETER["scale_factor",0.99846154],PARAMETER["false_easting",2355500],PARAMETER["false_northing",2590000],UNIT["Indian yard",0.9143985307444408,AUTHORITY["EPSG","9084"]],AXIS["Easting",EAST],AXIS["Northing",NORTH],AUTHORITY["EPSG","24370"]]</t>
  </si>
  <si>
    <t>PROJCS["Kalianpur 1880 / India zone I",GEOGCS["Kalianpur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32.5],PARAMETER["central_meridian",68],PARAMETER["scale_factor",0.99878641],PARAMETER["false_easting",3000000],PARAMETER["false_northing",1000000],UNIT["Indian yard",0.9143985307444408,AUTHORITY["EPSG","9084"]],AXIS["Easting",EAST],AXIS["Northing",NORTH],AUTHORITY["EPSG","24371"]]</t>
  </si>
  <si>
    <t>PROJCS["Kalianpur 1880 / India zone IIa",GEOGCS["Kalianpur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26],PARAMETER["central_meridian",74],PARAMETER["scale_factor",0.99878641],PARAMETER["false_easting",3000000],PARAMETER["false_northing",1000000],UNIT["Indian yard",0.9143985307444408,AUTHORITY["EPSG","9084"]],AXIS["Easting",EAST],AXIS["Northing",NORTH],AUTHORITY["EPSG","24372"]]</t>
  </si>
  <si>
    <t>PROJCS["Kalianpur 1880 / India zone IIIa",GEOGCS["Kalianpur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19],PARAMETER["central_meridian",80],PARAMETER["scale_factor",0.99878641],PARAMETER["false_easting",3000000],PARAMETER["false_northing",1000000],UNIT["Indian yard",0.9143985307444408,AUTHORITY["EPSG","9084"]],AXIS["Easting",EAST],AXIS["Northing",NORTH],AUTHORITY["EPSG","24373"]]</t>
  </si>
  <si>
    <t>PROJCS["Kalianpur 1880 / India zone IVa",GEOGCS["Kalianpur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12],PARAMETER["central_meridian",80],PARAMETER["scale_factor",0.99878641],PARAMETER["false_easting",3000000],PARAMETER["false_northing",1000000],UNIT["Indian yard",0.9143985307444408,AUTHORITY["EPSG","9084"]],AXIS["Easting",EAST],AXIS["Northing",NORTH],AUTHORITY["EPSG","24374"]]</t>
  </si>
  <si>
    <t>PROJCS["Kalianpur 1937 / India zone IIb",GEOGCS["Kalianpur 1937",DATUM["Kalianpur_1937",SPHEROID["Everest 1830 (1937 Adjustment)",6377276.345,300.8017,AUTHORITY["EPSG","7015"]],TOWGS84[214,804,268,0,0,0,0],AUTHORITY["EPSG","6144"]],PRIMEM["Greenwich",0,AUTHORITY["EPSG","8901"]],UNIT["degree",0.0174532925199433,AUTHORITY["EPSG","9122"]],AUTHORITY["EPSG","4144"]],PROJECTION["Lambert_Conformal_Conic_1SP"],PARAMETER["latitude_of_origin",26],PARAMETER["central_meridian",90],PARAMETER["scale_factor",0.99878641],PARAMETER["false_easting",2743185.69],PARAMETER["false_northing",914395.23],UNIT["metre",1,AUTHORITY["EPSG","9001"]],AXIS["Easting",EAST],AXIS["Northing",NORTH],AUTHORITY["EPSG","24375"]]</t>
  </si>
  <si>
    <t xml:space="preserve">+proj=lcc +lat_1=26 +lat_0=26 +lon_0=90 +k_0=0.99878641 +x_0=2743185.69 +y_0=914395.23 +a=6377276.345 +b=6356075.41314024 +towgs84=214,804,268,0,0,0,0 +units=m +no_defs </t>
  </si>
  <si>
    <t>PROJCS["Kalianpur 1962 / India zone I",GEOGCS["Kalianpur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Lambert_Conformal_Conic_1SP"],PARAMETER["latitude_of_origin",32.5],PARAMETER["central_meridian",68],PARAMETER["scale_factor",0.99878641],PARAMETER["false_easting",2743196.4],PARAMETER["false_northing",914398.8],UNIT["metre",1,AUTHORITY["EPSG","9001"]],AXIS["Easting",EAST],AXIS["Northing",NORTH],AUTHORITY["EPSG","24376"]]</t>
  </si>
  <si>
    <t xml:space="preserve">+proj=lcc +lat_1=32.5 +lat_0=32.5 +lon_0=68 +k_0=0.99878641 +x_0=2743196.4 +y_0=914398.8 +a=6377301.243 +b=6356100.230165384 +towgs84=283,682,231,0,0,0,0 +units=m +no_defs </t>
  </si>
  <si>
    <t>PROJCS["Kalianpur 1962 / India zone IIa",GEOGCS["Kalianpur 1962",DATUM["Kalianpur_1962",SPHEROID["Everest 1830 (1962 Definition)",6377301.243,300.8017255,AUTHORITY["EPSG","7044"]],TOWGS84[283,682,231,0,0,0,0],AUTHORITY["EPSG","6145"]],PRIMEM["Greenwich",0,AUTHORITY["EPSG","8901"]],UNIT["degree",0.0174532925199433,AUTHORITY["EPSG","9122"]],AUTHORITY["EPSG","4145"]],PROJECTION["Lambert_Conformal_Conic_1SP"],PARAMETER["latitude_of_origin",26],PARAMETER["central_meridian",74],PARAMETER["scale_factor",0.99878641],PARAMETER["false_easting",2743196.4],PARAMETER["false_northing",914398.8],UNIT["metre",1,AUTHORITY["EPSG","9001"]],AXIS["Easting",EAST],AXIS["Northing",NORTH],AUTHORITY["EPSG","24377"]]</t>
  </si>
  <si>
    <t xml:space="preserve">+proj=lcc +lat_1=26 +lat_0=26 +lon_0=74 +k_0=0.99878641 +x_0=2743196.4 +y_0=914398.8 +a=6377301.243 +b=6356100.230165384 +towgs84=283,682,231,0,0,0,0 +units=m +no_defs </t>
  </si>
  <si>
    <t>PROJCS["Kalianpur 1975 / India zone I",GEOGCS["Kalianpur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32.5],PARAMETER["central_meridian",68],PARAMETER["scale_factor",0.99878641],PARAMETER["false_easting",2743195.5],PARAMETER["false_northing",914398.5],UNIT["metre",1,AUTHORITY["EPSG","9001"]],AXIS["Easting",EAST],AXIS["Northing",NORTH],AUTHORITY["EPSG","24378"]]</t>
  </si>
  <si>
    <t xml:space="preserve">+proj=lcc +lat_1=32.5 +lat_0=32.5 +lon_0=68 +k_0=0.99878641 +x_0=2743195.5 +y_0=914398.5 +a=6377299.151 +b=6356098.145120132 +towgs84=295,736,257,0,0,0,0 +units=m +no_defs </t>
  </si>
  <si>
    <t>PROJCS["Kalianpur 1975 / India zone IIa",GEOGCS["Kalianpur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26],PARAMETER["central_meridian",74],PARAMETER["scale_factor",0.99878641],PARAMETER["false_easting",2743195.5],PARAMETER["false_northing",914398.5],UNIT["metre",1,AUTHORITY["EPSG","9001"]],AXIS["Easting",EAST],AXIS["Northing",NORTH],AUTHORITY["EPSG","24379"]]</t>
  </si>
  <si>
    <t xml:space="preserve">+proj=lcc +lat_1=26 +lat_0=26 +lon_0=74 +k_0=0.99878641 +x_0=2743195.5 +y_0=914398.5 +a=6377299.151 +b=6356098.145120132 +towgs84=295,736,257,0,0,0,0 +units=m +no_defs </t>
  </si>
  <si>
    <t>PROJCS["Kalianpur 1975 / India zone IIb",GEOGCS["Kalianpur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26],PARAMETER["central_meridian",90],PARAMETER["scale_factor",0.99878641],PARAMETER["false_easting",2743195.5],PARAMETER["false_northing",914398.5],UNIT["metre",1,AUTHORITY["EPSG","9001"]],AXIS["Easting",EAST],AXIS["Northing",NORTH],AUTHORITY["EPSG","24380"]]</t>
  </si>
  <si>
    <t xml:space="preserve">+proj=lcc +lat_1=26 +lat_0=26 +lon_0=90 +k_0=0.99878641 +x_0=2743195.5 +y_0=914398.5 +a=6377299.151 +b=6356098.145120132 +towgs84=295,736,257,0,0,0,0 +units=m +no_defs </t>
  </si>
  <si>
    <t>PROJCS["NAD27 / UTM zone 10N",GEOGCS["NAD27",DATUM["North_American_Datum_1927",SPHEROID["Clarke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26710"]]</t>
  </si>
  <si>
    <t>PROJCS["Kalianpur 1975 / India zone IIIa",GEOGCS["Kalianpur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19],PARAMETER["central_meridian",80],PARAMETER["scale_factor",0.99878641],PARAMETER["false_easting",2743195.5],PARAMETER["false_northing",914398.5],UNIT["metre",1,AUTHORITY["EPSG","9001"]],AXIS["Easting",EAST],AXIS["Northing",NORTH],AUTHORITY["EPSG","24381"]]</t>
  </si>
  <si>
    <t xml:space="preserve">+proj=lcc +lat_1=19 +lat_0=19 +lon_0=80 +k_0=0.99878641 +x_0=2743195.5 +y_0=914398.5 +a=6377299.151 +b=6356098.145120132 +towgs84=295,736,257,0,0,0,0 +units=m +no_defs </t>
  </si>
  <si>
    <t>PROJCS["Kalianpur 1880 / India zone IIb",GEOGCS["Kalianpur 1880",DATUM["Kalianpur_1880",SPHEROID["Everest (1830 Definition)",6377299.36559538,300.8017255433549,AUTHORITY["EPSG","7042"]],AUTHORITY["EPSG","6243"]],PRIMEM["Greenwich",0,AUTHORITY["EPSG","8901"]],UNIT["degree",0.0174532925199433,AUTHORITY["EPSG","9122"]],AUTHORITY["EPSG","4243"]],PROJECTION["Lambert_Conformal_Conic_1SP"],PARAMETER["latitude_of_origin",26],PARAMETER["central_meridian",90],PARAMETER["scale_factor",0.99878641],PARAMETER["false_easting",3000000],PARAMETER["false_northing",1000000],UNIT["Indian yard",0.9143985307444408,AUTHORITY["EPSG","9084"]],AXIS["Easting",EAST],AXIS["Northing",NORTH],AUTHORITY["EPSG","24382"]]</t>
  </si>
  <si>
    <t>PROJCS["Kalianpur 1975 / India zone IVa",GEOGCS["Kalianpur 1975",DATUM["Kalianpur_1975",SPHEROID["Everest 1830 (1975 Definition)",6377299.151,300.8017255,AUTHORITY["EPSG","7045"]],TOWGS84[295,736,257,0,0,0,0],AUTHORITY["EPSG","6146"]],PRIMEM["Greenwich",0,AUTHORITY["EPSG","8901"]],UNIT["degree",0.0174532925199433,AUTHORITY["EPSG","9122"]],AUTHORITY["EPSG","4146"]],PROJECTION["Lambert_Conformal_Conic_1SP"],PARAMETER["latitude_of_origin",12],PARAMETER["central_meridian",80],PARAMETER["scale_factor",0.99878641],PARAMETER["false_easting",2743195.5],PARAMETER["false_northing",914398.5],UNIT["metre",1,AUTHORITY["EPSG","9001"]],AXIS["Easting",EAST],AXIS["Northing",NORTH],AUTHORITY["EPSG","24383"]]</t>
  </si>
  <si>
    <t xml:space="preserve">+proj=lcc +lat_1=12 +lat_0=12 +lon_0=80 +k_0=0.99878641 +x_0=2743195.5 +y_0=914398.5 +a=6377299.151 +b=6356098.145120132 +towgs84=295,736,257,0,0,0,0 +units=m +no_defs </t>
  </si>
  <si>
    <t>PROJCS["Kertau 1968 / Singapore Grid",GEOGCS["Kertau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Cassini_Soldner"],PARAMETER["latitude_of_origin",1.287646666666667],PARAMETER["central_meridian",103.8530022222222],PARAMETER["false_easting",30000],PARAMETER["false_northing",30000],UNIT["metre",1,AUTHORITY["EPSG","9001"]],AXIS["Easting",EAST],AXIS["Northing",NORTH],AUTHORITY["EPSG","24500"]]</t>
  </si>
  <si>
    <t xml:space="preserve">+proj=cass +lat_0=1.287646666666667 +lon_0=103.8530022222222 +x_0=30000 +y_0=30000 +a=6377304.063 +b=6356103.038993155 +towgs84=-11,851,5,0,0,0,0 +units=m +no_defs </t>
  </si>
  <si>
    <t>PROJCS["Kertau 1968 / UTM zone 47N",GEOGCS["Kertau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24547"]]</t>
  </si>
  <si>
    <t xml:space="preserve">+proj=utm +zone=47 +a=6377304.063 +b=6356103.038993155 +towgs84=-11,851,5,0,0,0,0 +units=m +no_defs </t>
  </si>
  <si>
    <t>PROJCS["Kertau 1968 / UTM zone 48N",GEOGCS["Kertau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24548"]]</t>
  </si>
  <si>
    <t xml:space="preserve">+proj=utm +zone=48 +a=6377304.063 +b=6356103.038993155 +towgs84=-11,851,5,0,0,0,0 +units=m +no_defs </t>
  </si>
  <si>
    <t>PROJCS["Kertau / R.S.O. Malaya (ch) (deprecated)",GEOGCS["Kertau 1968",DATUM["Kertau_1968",SPHEROID["Everest 1830 Modified",6377304.063,300.8017,AUTHORITY["EPSG","7018"]],TOWGS84[-11,851,5,0,0,0,0],AUTHORITY["EPSG","6245"]],PRIMEM["Greenwich",0,AUTHORITY["EPSG","8901"]],UNIT["degree",0.0174532925199433,AUTHORITY["EPSG","9122"]],AUTHORITY["EPSG","4245"]],PROJECTION["Hotine_Oblique_Mercator"],PARAMETER["latitude_of_center",4],PARAMETER["longitude_of_center",102.25],PARAMETER["azimuth",323.0257905],PARAMETER["rectified_grid_angle",323.1301023611111],PARAMETER["scale_factor",0.99984],PARAMETER["false_easting",40000],PARAMETER["false_northing",0],UNIT["British chain (Benoit 1895 B)",20.11678249437587,AUTHORITY["EPSG","9062"]],AXIS["Easting",EAST],AXIS["Northing",NORTH],AUTHORITY["EPSG","24571"]]</t>
  </si>
  <si>
    <t xml:space="preserve">+proj=omerc +lat_0=4 +lonc=102.25 +alpha=323.0257905 +k=0.99984 +x_0=804671.2997750348 +y_0=0 +no_uoff +gamma=323.1301023611111 +a=6377304.063 +b=6356103.038993155 +towgs84=-11,851,5,0,0,0,0 +to_meter=20.11678249437587 +no_defs </t>
  </si>
  <si>
    <t>PROJCS["KOC Lambert",GEOGCS["KOC",DATUM["Kuwait_Oil_Company",SPHEROID["Clarke 1880 (RGS)",6378249.145,293.465,AUTHORITY["EPSG","7012"]],TOWGS84[-294.7,-200.1,525.5,0,0,0,0],AUTHORITY["EPSG","6246"]],PRIMEM["Greenwich",0,AUTHORITY["EPSG","8901"]],UNIT["degree",0.0174532925199433,AUTHORITY["EPSG","9122"]],AUTHORITY["EPSG","4246"]],PROJECTION["Lambert_Conformal_Conic_1SP"],PARAMETER["latitude_of_origin",32.5],PARAMETER["central_meridian",45],PARAMETER["scale_factor",0.9987864078],PARAMETER["false_easting",1500000],PARAMETER["false_northing",1166200],UNIT["metre",1,AUTHORITY["EPSG","9001"]],AXIS["Easting",EAST],AXIS["Northing",NORTH],AUTHORITY["EPSG","24600"]]</t>
  </si>
  <si>
    <t xml:space="preserve">+proj=lcc +lat_1=32.5 +lat_0=32.5 +lon_0=45 +k_0=0.9987864078000001 +x_0=1500000 +y_0=1166200 +ellps=clrk80 +towgs84=-294.7,-200.1,525.5,0,0,0,0 +units=m +no_defs </t>
  </si>
  <si>
    <t>PROJCS["La Canoa / UTM zone 18N",GEOGCS["La Canoa",DATUM["La_Canoa",SPHEROID["International 1924",6378388,297,AUTHORITY["EPSG","7022"]],TOWGS84[-273.5,110.6,-357.9,0,0,0,0],AUTHORITY["EPSG","6247"]],PRIMEM["Greenwich",0,AUTHORITY["EPSG","8901"]],UNIT["degree",0.0174532925199433,AUTHORITY["EPSG","9122"]],AUTHORITY["EPSG","4247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24718"]]</t>
  </si>
  <si>
    <t xml:space="preserve">+proj=utm +zone=18 +ellps=intl +towgs84=-273.5,110.6,-357.9,0,0,0,0 +units=m +no_defs </t>
  </si>
  <si>
    <t>PROJCS["La Canoa / UTM zone 19N",GEOGCS["La Canoa",DATUM["La_Canoa",SPHEROID["International 1924",6378388,297,AUTHORITY["EPSG","7022"]],TOWGS84[-273.5,110.6,-357.9,0,0,0,0],AUTHORITY["EPSG","6247"]],PRIMEM["Greenwich",0,AUTHORITY["EPSG","8901"]],UNIT["degree",0.0174532925199433,AUTHORITY["EPSG","9122"]],AUTHORITY["EPSG","4247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24719"]]</t>
  </si>
  <si>
    <t xml:space="preserve">+proj=utm +zone=19 +ellps=intl +towgs84=-273.5,110.6,-357.9,0,0,0,0 +units=m +no_defs </t>
  </si>
  <si>
    <t>PROJCS["La Canoa / UTM zone 20N",GEOGCS["La Canoa",DATUM["La_Canoa",SPHEROID["International 1924",6378388,297,AUTHORITY["EPSG","7022"]],TOWGS84[-273.5,110.6,-357.9,0,0,0,0],AUTHORITY["EPSG","6247"]],PRIMEM["Greenwich",0,AUTHORITY["EPSG","8901"]],UNIT["degree",0.0174532925199433,AUTHORITY["EPSG","9122"]],AUTHORITY["EPSG","4247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24720"]]</t>
  </si>
  <si>
    <t xml:space="preserve">+proj=utm +zone=20 +ellps=intl +towgs84=-273.5,110.6,-357.9,0,0,0,0 +units=m +no_defs </t>
  </si>
  <si>
    <t>PROJCS["PSAD56 / UTM zone 17N",GEOGCS["PSAD56",DATUM["Provisional_South_American_Datum_1956",SPHEROID["International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24817"]]</t>
  </si>
  <si>
    <t xml:space="preserve">+proj=utm +zone=17 +ellps=intl +towgs84=-288,175,-376,0,0,0,0 +units=m +no_defs </t>
  </si>
  <si>
    <t>PROJCS["PSAD56 / UTM zone 18N",GEOGCS["PSAD56",DATUM["Provisional_South_American_Datum_1956",SPHEROID["International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24818"]]</t>
  </si>
  <si>
    <t xml:space="preserve">+proj=utm +zone=18 +ellps=intl +towgs84=-288,175,-376,0,0,0,0 +units=m +no_defs </t>
  </si>
  <si>
    <t>PROJCS["PSAD56 / UTM zone 19N",GEOGCS["PSAD56",DATUM["Provisional_South_American_Datum_1956",SPHEROID["International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24819"]]</t>
  </si>
  <si>
    <t xml:space="preserve">+proj=utm +zone=19 +ellps=intl +towgs84=-288,175,-376,0,0,0,0 +units=m +no_defs </t>
  </si>
  <si>
    <t>PROJCS["PSAD56 / UTM zone 20N",GEOGCS["PSAD56",DATUM["Provisional_South_American_Datum_1956",SPHEROID["International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24820"]]</t>
  </si>
  <si>
    <t xml:space="preserve">+proj=utm +zone=20 +ellps=intl +towgs84=-288,175,-376,0,0,0,0 +units=m +no_defs </t>
  </si>
  <si>
    <t>PROJCS["PSAD56 / UTM zone 21N",GEOGCS["PSAD56",DATUM["Provisional_South_American_Datum_1956",SPHEROID["International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24821"]]</t>
  </si>
  <si>
    <t xml:space="preserve">+proj=utm +zone=21 +ellps=intl +towgs84=-288,175,-376,0,0,0,0 +units=m +no_defs </t>
  </si>
  <si>
    <t>PROJCS["PSAD56 / UTM zone 17S",GEOGCS["PSAD56",DATUM["Provisional_South_American_Datum_1956",SPHEROID["International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24877"]]</t>
  </si>
  <si>
    <t xml:space="preserve">+proj=utm +zone=17 +south +ellps=intl +towgs84=-288,175,-376,0,0,0,0 +units=m +no_defs </t>
  </si>
  <si>
    <t>PROJCS["PSAD56 / UTM zone 18S",GEOGCS["PSAD56",DATUM["Provisional_South_American_Datum_1956",SPHEROID["International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24878"]]</t>
  </si>
  <si>
    <t xml:space="preserve">+proj=utm +zone=18 +south +ellps=intl +towgs84=-288,175,-376,0,0,0,0 +units=m +no_defs </t>
  </si>
  <si>
    <t>PROJCS["PSAD56 / UTM zone 19S",GEOGCS["PSAD56",DATUM["Provisional_South_American_Datum_1956",SPHEROID["International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24879"]]</t>
  </si>
  <si>
    <t xml:space="preserve">+proj=utm +zone=19 +south +ellps=intl +towgs84=-288,175,-376,0,0,0,0 +units=m +no_defs </t>
  </si>
  <si>
    <t>PROJCS["PSAD56 / UTM zone 20S",GEOGCS["PSAD56",DATUM["Provisional_South_American_Datum_1956",SPHEROID["International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24880"]]</t>
  </si>
  <si>
    <t xml:space="preserve">+proj=utm +zone=20 +south +ellps=intl +towgs84=-288,175,-376,0,0,0,0 +units=m +no_defs </t>
  </si>
  <si>
    <t>PROJCS["PSAD56 / UTM zone 21S",GEOGCS["PSAD56",DATUM["Provisional_South_American_Datum_1956",SPHEROID["International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24881"]]</t>
  </si>
  <si>
    <t xml:space="preserve">+proj=utm +zone=21 +south +ellps=intl +towgs84=-288,175,-376,0,0,0,0 +units=m +no_defs </t>
  </si>
  <si>
    <t>PROJCS["PSAD56 / UTM zone 22S",GEOGCS["PSAD56",DATUM["Provisional_South_American_Datum_1956",SPHEROID["International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24882"]]</t>
  </si>
  <si>
    <t xml:space="preserve">+proj=utm +zone=22 +south +ellps=intl +towgs84=-288,175,-376,0,0,0,0 +units=m +no_defs </t>
  </si>
  <si>
    <t>PROJCS["PSAD56 / Peru west zone",GEOGCS["PSAD56",DATUM["Provisional_South_American_Datum_1956",SPHEROID["International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-6],PARAMETER["central_meridian",-80.5],PARAMETER["scale_factor",0.99983008],PARAMETER["false_easting",222000],PARAMETER["false_northing",1426834.743],UNIT["metre",1,AUTHORITY["EPSG","9001"]],AXIS["X",EAST],AXIS["Y",NORTH],AUTHORITY["EPSG","24891"]]</t>
  </si>
  <si>
    <t xml:space="preserve">+proj=tmerc +lat_0=-6 +lon_0=-80.5 +k=0.99983008 +x_0=222000 +y_0=1426834.743 +ellps=intl +towgs84=-288,175,-376,0,0,0,0 +units=m +no_defs </t>
  </si>
  <si>
    <t>PROJCS["PSAD56 / Peru central zone",GEOGCS["PSAD56",DATUM["Provisional_South_American_Datum_1956",SPHEROID["International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-9.5],PARAMETER["central_meridian",-76],PARAMETER["scale_factor",0.99932994],PARAMETER["false_easting",720000],PARAMETER["false_northing",1039979.159],UNIT["metre",1,AUTHORITY["EPSG","9001"]],AXIS["X",EAST],AXIS["Y",NORTH],AUTHORITY["EPSG","24892"]]</t>
  </si>
  <si>
    <t xml:space="preserve">+proj=tmerc +lat_0=-9.5 +lon_0=-76 +k=0.99932994 +x_0=720000 +y_0=1039979.159 +ellps=intl +towgs84=-288,175,-376,0,0,0,0 +units=m +no_defs </t>
  </si>
  <si>
    <t>PROJCS["PSAD56 / Peru east zone",GEOGCS["PSAD56",DATUM["Provisional_South_American_Datum_1956",SPHEROID["International 1924",6378388,297,AUTHORITY["EPSG","7022"]],TOWGS84[-288,175,-376,0,0,0,0],AUTHORITY["EPSG","6248"]],PRIMEM["Greenwich",0,AUTHORITY["EPSG","8901"]],UNIT["degree",0.0174532925199433,AUTHORITY["EPSG","9122"]],AUTHORITY["EPSG","4248"]],PROJECTION["Transverse_Mercator"],PARAMETER["latitude_of_origin",-9.5],PARAMETER["central_meridian",-70.5],PARAMETER["scale_factor",0.99952992],PARAMETER["false_easting",1324000],PARAMETER["false_northing",1040084.558],UNIT["metre",1,AUTHORITY["EPSG","9001"]],AXIS["X",EAST],AXIS["Y",NORTH],AUTHORITY["EPSG","24893"]]</t>
  </si>
  <si>
    <t xml:space="preserve">+proj=tmerc +lat_0=-9.5 +lon_0=-70.5 +k=0.99952992 +x_0=1324000 +y_0=1040084.558 +ellps=intl +towgs84=-288,175,-376,0,0,0,0 +units=m +no_defs </t>
  </si>
  <si>
    <t>PROJCS["Leigon / Ghana Metre Grid",GEOGCS["Leigon",DATUM["Leigon",SPHEROID["Clarke 1880 (RGS)",6378249.145,293.465,AUTHORITY["EPSG","7012"]],TOWGS84[-130,29,364,0,0,0,0],AUTHORITY["EPSG","6250"]],PRIMEM["Greenwich",0,AUTHORITY["EPSG","8901"]],UNIT["degree",0.0174532925199433,AUTHORITY["EPSG","9122"]],AUTHORITY["EPSG","4250"]],PROJECTION["Transverse_Mercator"],PARAMETER["latitude_of_origin",4.666666666666667],PARAMETER["central_meridian",-1],PARAMETER["scale_factor",0.99975],PARAMETER["false_easting",274319.51],PARAMETER["false_northing",0],UNIT["metre",1,AUTHORITY["EPSG","9001"]],AXIS["Easting",EAST],AXIS["Northing",NORTH],AUTHORITY["EPSG","25000"]]</t>
  </si>
  <si>
    <t xml:space="preserve">+proj=tmerc +lat_0=4.666666666666667 +lon_0=-1 +k=0.99975 +x_0=274319.51 +y_0=0 +ellps=clrk80 +towgs84=-130,29,364,0,0,0,0 +units=m +no_defs </t>
  </si>
  <si>
    <t>PROJCS["Lome / UTM zone 31N",GEOGCS["Lome",DATUM["Lome",SPHEROID["Clarke 1880 (IGN)",6378249.2,293.4660212936269,AUTHORITY["EPSG","7011"]],AUTHORITY["EPSG","6252"]],PRIMEM["Greenwich",0,AUTHORITY["EPSG","8901"]],UNIT["degree",0.0174532925199433,AUTHORITY["EPSG","9122"]],AUTHORITY["EPSG","4252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25231"]]</t>
  </si>
  <si>
    <t>PROJCS["Luzon 1911 / Philippines zone I",GEOGCS["Luzon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117],PARAMETER["scale_factor",0.99995],PARAMETER["false_easting",500000],PARAMETER["false_northing",0],UNIT["metre",1,AUTHORITY["EPSG","9001"]],AXIS["X",EAST],AXIS["Y",NORTH],AUTHORITY["EPSG","25391"]]</t>
  </si>
  <si>
    <t xml:space="preserve">+proj=tmerc +lat_0=0 +lon_0=117 +k=0.99995 +x_0=500000 +y_0=0 +ellps=clrk66 +towgs84=-133,-77,-51,0,0,0,0 +units=m +no_defs </t>
  </si>
  <si>
    <t>PROJCS["NAD27 / UTM zone 11N",GEOGCS["NAD27",DATUM["North_American_Datum_1927",SPHEROID["Clarke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26711"]]</t>
  </si>
  <si>
    <t>PROJCS["Luzon 1911 / Philippines zone II",GEOGCS["Luzon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119],PARAMETER["scale_factor",0.99995],PARAMETER["false_easting",500000],PARAMETER["false_northing",0],UNIT["metre",1,AUTHORITY["EPSG","9001"]],AXIS["X",EAST],AXIS["Y",NORTH],AUTHORITY["EPSG","25392"]]</t>
  </si>
  <si>
    <t xml:space="preserve">+proj=tmerc +lat_0=0 +lon_0=119 +k=0.99995 +x_0=500000 +y_0=0 +ellps=clrk66 +towgs84=-133,-77,-51,0,0,0,0 +units=m +no_defs </t>
  </si>
  <si>
    <t>PROJCS["Luzon 1911 / Philippines zone III",GEOGCS["Luzon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121],PARAMETER["scale_factor",0.99995],PARAMETER["false_easting",500000],PARAMETER["false_northing",0],UNIT["metre",1,AUTHORITY["EPSG","9001"]],AXIS["X",EAST],AXIS["Y",NORTH],AUTHORITY["EPSG","25393"]]</t>
  </si>
  <si>
    <t xml:space="preserve">+proj=tmerc +lat_0=0 +lon_0=121 +k=0.99995 +x_0=500000 +y_0=0 +ellps=clrk66 +towgs84=-133,-77,-51,0,0,0,0 +units=m +no_defs </t>
  </si>
  <si>
    <t>PROJCS["Luzon 1911 / Philippines zone IV",GEOGCS["Luzon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123],PARAMETER["scale_factor",0.99995],PARAMETER["false_easting",500000],PARAMETER["false_northing",0],UNIT["metre",1,AUTHORITY["EPSG","9001"]],AXIS["X",EAST],AXIS["Y",NORTH],AUTHORITY["EPSG","25394"]]</t>
  </si>
  <si>
    <t xml:space="preserve">+proj=tmerc +lat_0=0 +lon_0=123 +k=0.99995 +x_0=500000 +y_0=0 +ellps=clrk66 +towgs84=-133,-77,-51,0,0,0,0 +units=m +no_defs </t>
  </si>
  <si>
    <t>PROJCS["Luzon 1911 / Philippines zone V",GEOGCS["Luzon 1911",DATUM["Luzon_1911",SPHEROID["Clarke 1866",6378206.4,294.9786982138982,AUTHORITY["EPSG","7008"]],TOWGS84[-133,-77,-51,0,0,0,0],AUTHORITY["EPSG","6253"]],PRIMEM["Greenwich",0,AUTHORITY["EPSG","8901"]],UNIT["degree",0.0174532925199433,AUTHORITY["EPSG","9122"]],AUTHORITY["EPSG","4253"]],PROJECTION["Transverse_Mercator"],PARAMETER["latitude_of_origin",0],PARAMETER["central_meridian",125],PARAMETER["scale_factor",0.99995],PARAMETER["false_easting",500000],PARAMETER["false_northing",0],UNIT["metre",1,AUTHORITY["EPSG","9001"]],AXIS["X",EAST],AXIS["Y",NORTH],AUTHORITY["EPSG","25395"]]</t>
  </si>
  <si>
    <t xml:space="preserve">+proj=tmerc +lat_0=0 +lon_0=125 +k=0.99995 +x_0=500000 +y_0=0 +ellps=clrk66 +towgs84=-133,-77,-51,0,0,0,0 +units=m +no_defs </t>
  </si>
  <si>
    <t>PROJCS["Makassar (Jakarta) / NEIEZ (deprecated)",GEOGCS["Makassar (Jakarta)",DATUM["Makassar_Jakarta",SPHEROID["Bessel 1841",6377397.155,299.1528128,AUTHORITY["EPSG","7004"]],TOWGS84[-587.8,519.75,145.76,0,0,0,0],AUTHORITY["EPSG","6804"]],PRIMEM["Jakarta",106.8077194444444,AUTHORITY["EPSG","8908"]],UNIT["degree",0.0174532925199433,AUTHORITY["EPSG","9122"]],AUTHORITY["EPSG","4804"]],PROJECTION["Mercator_1SP"],PARAMETER["central_meridian",110],PARAMETER["scale_factor",0.997],PARAMETER["false_easting",3900000],PARAMETER["false_northing",900000],UNIT["metre",1,AUTHORITY["EPSG","9001"]],AXIS["X",EAST],AXIS["Y",NORTH],AUTHORITY["EPSG","25700"]]</t>
  </si>
  <si>
    <t xml:space="preserve">+proj=merc +lon_0=110 +k=0.997 +x_0=3900000 +y_0=900000 +ellps=bessel +towgs84=-587.8,519.75,145.76,0,0,0,0 +pm=jakarta +units=m +no_defs </t>
  </si>
  <si>
    <t>PROJCS["ETRS89 / UTM zone 28N",GEOGCS["ETRS89",DATUM["European_Terrestrial_Reference_System_1989",SPHEROID["GRS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25828"]]</t>
  </si>
  <si>
    <t>PROJCS["ETRS89 / UTM zone 29N",GEOGCS["ETRS89",DATUM["European_Terrestrial_Reference_System_1989",SPHEROID["GRS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25829"]]</t>
  </si>
  <si>
    <t>PROJCS["ETRS89 / UTM zone 30N",GEOGCS["ETRS89",DATUM["European_Terrestrial_Reference_System_1989",SPHEROID["GRS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25830"]]</t>
  </si>
  <si>
    <t>PROJCS["ETRS89 / UTM zone 31N",GEOGCS["ETRS89",DATUM["European_Terrestrial_Reference_System_1989",SPHEROID["GRS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25831"]]</t>
  </si>
  <si>
    <t>PROJCS["ETRS89 / UTM zone 32N",GEOGCS["ETRS89",DATUM["European_Terrestrial_Reference_System_1989",SPHEROID["GRS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25832"]]</t>
  </si>
  <si>
    <t>PROJCS["ETRS89 / UTM zone 33N",GEOGCS["ETRS89",DATUM["European_Terrestrial_Reference_System_1989",SPHEROID["GRS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25833"]]</t>
  </si>
  <si>
    <t>PROJCS["ETRS89 / UTM zone 34N",GEOGCS["ETRS89",DATUM["European_Terrestrial_Reference_System_1989",SPHEROID["GRS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25834"]]</t>
  </si>
  <si>
    <t>PROJCS["ETRS89 / UTM zone 35N",GEOGCS["ETRS89",DATUM["European_Terrestrial_Reference_System_1989",SPHEROID["GRS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25835"]]</t>
  </si>
  <si>
    <t>PROJCS["ETRS89 / UTM zone 36N",GEOGCS["ETRS89",DATUM["European_Terrestrial_Reference_System_1989",SPHEROID["GRS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25836"]]</t>
  </si>
  <si>
    <t>PROJCS["ETRS89 / UTM zone 37N",GEOGCS["ETRS89",DATUM["European_Terrestrial_Reference_System_1989",SPHEROID["GRS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25837"]]</t>
  </si>
  <si>
    <t>PROJCS["ETRS89 / UTM zone 38N (deprecated)",GEOGCS["ETRS89",DATUM["European_Terrestrial_Reference_System_1989",SPHEROID["GRS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25838"]]</t>
  </si>
  <si>
    <t>PROJCS["ETRS89 / TM Baltic93",GEOGCS["ETRS89",DATUM["European_Terrestrial_Reference_System_1989",SPHEROID["GRS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24],PARAMETER["scale_factor",0.9996],PARAMETER["false_easting",500000],PARAMETER["false_northing",0],UNIT["metre",1,AUTHORITY["EPSG","9001"]],AUTHORITY["EPSG","25884"]]</t>
  </si>
  <si>
    <t xml:space="preserve">+proj=tmerc +lat_0=0 +lon_0=24 +k=0.9996 +x_0=500000 +y_0=0 +ellps=GRS80 +towgs84=0,0,0,0,0,0,0 +units=m +no_defs </t>
  </si>
  <si>
    <t>PROJCS["Malongo 1987 / UTM zone 32S",GEOGCS["Malongo 1987",DATUM["Malongo_1987",SPHEROID["International 1924",6378388,297,AUTHORITY["EPSG","7022"]],TOWGS84[-254.1,-5.36,-100.29,0,0,0,0],AUTHORITY["EPSG","6259"]],PRIMEM["Greenwich",0,AUTHORITY["EPSG","8901"]],UNIT["degree",0.0174532925199433,AUTHORITY["EPSG","9122"]],AUTHORITY["EPSG","4259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25932"]]</t>
  </si>
  <si>
    <t xml:space="preserve">+proj=utm +zone=32 +south +ellps=intl +towgs84=-254.1,-5.36,-100.29,0,0,0,0 +units=m +no_defs </t>
  </si>
  <si>
    <t>PROJCS["Merchich / Nord Maroc",GEOGCS["Merchich",DATUM["Merchich",SPHEROID["Clarke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33.3],PARAMETER["central_meridian",-5.4],PARAMETER["scale_factor",0.999625769],PARAMETER["false_easting",500000],PARAMETER["false_northing",300000],UNIT["metre",1,AUTHORITY["EPSG","9001"]],AXIS["X",EAST],AXIS["Y",NORTH],AUTHORITY["EPSG","26191"]]</t>
  </si>
  <si>
    <t xml:space="preserve">+proj=lcc +lat_1=33.3 +lat_0=33.3 +lon_0=-5.4 +k_0=0.999625769 +x_0=500000 +y_0=300000 +a=6378249.2 +b=6356515 +towgs84=31,146,47,0,0,0,0 +units=m +no_defs </t>
  </si>
  <si>
    <t>PROJCS["Merchich / Sud Maroc",GEOGCS["Merchich",DATUM["Merchich",SPHEROID["Clarke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29.7],PARAMETER["central_meridian",-5.4],PARAMETER["scale_factor",0.999615596],PARAMETER["false_easting",500000],PARAMETER["false_northing",300000],UNIT["metre",1,AUTHORITY["EPSG","9001"]],AXIS["X",EAST],AXIS["Y",NORTH],AUTHORITY["EPSG","26192"]]</t>
  </si>
  <si>
    <t xml:space="preserve">+proj=lcc +lat_1=29.7 +lat_0=29.7 +lon_0=-5.4 +k_0=0.9996155960000001 +x_0=500000 +y_0=300000 +a=6378249.2 +b=6356515 +towgs84=31,146,47,0,0,0,0 +units=m +no_defs </t>
  </si>
  <si>
    <t>PROJCS["Merchich / Sahara (deprecated)",GEOGCS["Merchich",DATUM["Merchich",SPHEROID["Clarke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26.1],PARAMETER["central_meridian",-5.4],PARAMETER["scale_factor",0.9996],PARAMETER["false_easting",1200000],PARAMETER["false_northing",400000],UNIT["metre",1,AUTHORITY["EPSG","9001"]],AXIS["X",EAST],AXIS["Y",NORTH],AUTHORITY["EPSG","26193"]]</t>
  </si>
  <si>
    <t xml:space="preserve">+proj=lcc +lat_1=26.1 +lat_0=26.1 +lon_0=-5.4 +k_0=0.9996 +x_0=1200000 +y_0=400000 +a=6378249.2 +b=6356515 +towgs84=31,146,47,0,0,0,0 +units=m +no_defs </t>
  </si>
  <si>
    <t>PROJCS["Merchich / Sahara Nord",GEOGCS["Merchich",DATUM["Merchich",SPHEROID["Clarke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26.1],PARAMETER["central_meridian",-5.4],PARAMETER["scale_factor",0.999616304],PARAMETER["false_easting",1200000],PARAMETER["false_northing",400000],UNIT["metre",1,AUTHORITY["EPSG","9001"]],AXIS["X",EAST],AXIS["Y",NORTH],AUTHORITY["EPSG","26194"]]</t>
  </si>
  <si>
    <t xml:space="preserve">+proj=lcc +lat_1=26.1 +lat_0=26.1 +lon_0=-5.4 +k_0=0.999616304 +x_0=1200000 +y_0=400000 +a=6378249.2 +b=6356515 +towgs84=31,146,47,0,0,0,0 +units=m +no_defs </t>
  </si>
  <si>
    <t>PROJCS["Merchich / Sahara Sud",GEOGCS["Merchich",DATUM["Merchich",SPHEROID["Clarke 1880 (IGN)",6378249.2,293.4660212936269,AUTHORITY["EPSG","7011"]],TOWGS84[31,146,47,0,0,0,0],AUTHORITY["EPSG","6261"]],PRIMEM["Greenwich",0,AUTHORITY["EPSG","8901"]],UNIT["degree",0.0174532925199433,AUTHORITY["EPSG","9122"]],AUTHORITY["EPSG","4261"]],PROJECTION["Lambert_Conformal_Conic_1SP"],PARAMETER["latitude_of_origin",22.5],PARAMETER["central_meridian",-5.4],PARAMETER["scale_factor",0.999616437],PARAMETER["false_easting",1500000],PARAMETER["false_northing",400000],UNIT["metre",1,AUTHORITY["EPSG","9001"]],AXIS["X",EAST],AXIS["Y",NORTH],AUTHORITY["EPSG","26195"]]</t>
  </si>
  <si>
    <t xml:space="preserve">+proj=lcc +lat_1=22.5 +lat_0=22.5 +lon_0=-5.4 +k_0=0.999616437 +x_0=1500000 +y_0=400000 +a=6378249.2 +b=6356515 +towgs84=31,146,47,0,0,0,0 +units=m +no_defs </t>
  </si>
  <si>
    <t>PROJCS["Massawa / UTM zone 37N",GEOGCS["Massawa",DATUM["Massawa",SPHEROID["Bessel 1841",6377397.155,299.1528128,AUTHORITY["EPSG","7004"]],TOWGS84[639,405,60,0,0,0,0],AUTHORITY["EPSG","6262"]],PRIMEM["Greenwich",0,AUTHORITY["EPSG","8901"]],UNIT["degree",0.0174532925199433,AUTHORITY["EPSG","9122"]],AUTHORITY["EPSG","4262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26237"]]</t>
  </si>
  <si>
    <t xml:space="preserve">+proj=utm +zone=37 +ellps=bessel +towgs84=639,405,60,0,0,0,0 +units=m +no_defs </t>
  </si>
  <si>
    <t>PROJCS["Minna / UTM zone 31N",GEOGCS["Minna",DATUM["Minna",SPHEROID["Clarke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26331"]]</t>
  </si>
  <si>
    <t xml:space="preserve">+proj=utm +zone=31 +ellps=clrk80 +towgs84=-92,-93,122,0,0,0,0 +units=m +no_defs </t>
  </si>
  <si>
    <t>PROJCS["Minna / UTM zone 32N",GEOGCS["Minna",DATUM["Minna",SPHEROID["Clarke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26332"]]</t>
  </si>
  <si>
    <t xml:space="preserve">+proj=utm +zone=32 +ellps=clrk80 +towgs84=-92,-93,122,0,0,0,0 +units=m +no_defs </t>
  </si>
  <si>
    <t>PROJCS["Minna / Nigeria West Belt",GEOGCS["Minna",DATUM["Minna",SPHEROID["Clarke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4],PARAMETER["central_meridian",4.5],PARAMETER["scale_factor",0.99975],PARAMETER["false_easting",230738.26],PARAMETER["false_northing",0],UNIT["metre",1,AUTHORITY["EPSG","9001"]],AXIS["Easting",EAST],AXIS["Northing",NORTH],AUTHORITY["EPSG","26391"]]</t>
  </si>
  <si>
    <t xml:space="preserve">+proj=tmerc +lat_0=4 +lon_0=4.5 +k=0.99975 +x_0=230738.26 +y_0=0 +ellps=clrk80 +towgs84=-92,-93,122,0,0,0,0 +units=m +no_defs </t>
  </si>
  <si>
    <t>PROJCS["Minna / Nigeria Mid Belt",GEOGCS["Minna",DATUM["Minna",SPHEROID["Clarke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4],PARAMETER["central_meridian",8.5],PARAMETER["scale_factor",0.99975],PARAMETER["false_easting",670553.98],PARAMETER["false_northing",0],UNIT["metre",1,AUTHORITY["EPSG","9001"]],AXIS["Easting",EAST],AXIS["Northing",NORTH],AUTHORITY["EPSG","26392"]]</t>
  </si>
  <si>
    <t xml:space="preserve">+proj=tmerc +lat_0=4 +lon_0=8.5 +k=0.99975 +x_0=670553.98 +y_0=0 +ellps=clrk80 +towgs84=-92,-93,122,0,0,0,0 +units=m +no_defs </t>
  </si>
  <si>
    <t>PROJCS["Minna / Nigeria East Belt",GEOGCS["Minna",DATUM["Minna",SPHEROID["Clarke 1880 (RGS)",6378249.145,293.465,AUTHORITY["EPSG","7012"]],TOWGS84[-92,-93,122,0,0,0,0],AUTHORITY["EPSG","6263"]],PRIMEM["Greenwich",0,AUTHORITY["EPSG","8901"]],UNIT["degree",0.0174532925199433,AUTHORITY["EPSG","9122"]],AUTHORITY["EPSG","4263"]],PROJECTION["Transverse_Mercator"],PARAMETER["latitude_of_origin",4],PARAMETER["central_meridian",12.5],PARAMETER["scale_factor",0.99975],PARAMETER["false_easting",1110369.7],PARAMETER["false_northing",0],UNIT["metre",1,AUTHORITY["EPSG","9001"]],AXIS["Easting",EAST],AXIS["Northing",NORTH],AUTHORITY["EPSG","26393"]]</t>
  </si>
  <si>
    <t xml:space="preserve">+proj=tmerc +lat_0=4 +lon_0=12.5 +k=0.99975 +x_0=1110369.7 +y_0=0 +ellps=clrk80 +towgs84=-92,-93,122,0,0,0,0 +units=m +no_defs </t>
  </si>
  <si>
    <t>PROJCS["Mhast / UTM zone 32S (deprecated)",GEOGCS["Mhast",DATUM["Mhast",SPHEROID["International 1924",6378388,297,AUTHORITY["EPSG","7022"]],TOWGS84[-252.95,-4.11,-96.38,0,0,0,0],AUTHORITY["EPSG","6264"]],PRIMEM["Greenwich",0,AUTHORITY["EPSG","8901"]],UNIT["degree",0.0174532925199433,AUTHORITY["EPSG","9122"]],AUTHORITY["EPSG","4264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26432"]]</t>
  </si>
  <si>
    <t xml:space="preserve">+proj=utm +zone=32 +south +ellps=intl +towgs84=-252.95,-4.11,-96.38,0,0,0,0 +units=m +no_defs </t>
  </si>
  <si>
    <t>PROJCS["Monte Mario (Rome) / Italy zone 1 (deprecated)",GEOGCS["Monte Mario (Rome)",DATUM["Monte_Mario_Rome",SPHEROID["International 1924",6378388,297,AUTHORITY["EPSG","7022"]],TOWGS84[-104.1,-49.1,-9.9,0.971,-2.917,0.714,-11.68],AUTHORITY["EPSG","6806"]],PRIMEM["Rome",12.45233333333333,AUTHORITY["EPSG","8906"]],UNIT["degree",0.0174532925199433,AUTHORITY["EPSG","9122"]],AUTHORITY["EPSG","4806"]],PROJECTION["Transverse_Mercator"],PARAMETER["latitude_of_origin",0],PARAMETER["central_meridian",-3.45233333333333],PARAMETER["scale_factor",0.9996],PARAMETER["false_easting",1500000],PARAMETER["false_northing",0],UNIT["metre",1,AUTHORITY["EPSG","9001"]],AXIS["X",EAST],AXIS["Y",NORTH],AUTHORITY["EPSG","26591"]]</t>
  </si>
  <si>
    <t xml:space="preserve">+proj=tmerc +lat_0=0 +lon_0=-3.45233333333333 +k=0.9996 +x_0=1500000 +y_0=0 +ellps=intl +towgs84=-104.1,-49.1,-9.9,0.971,-2.917,0.714,-11.68 +pm=rome +units=m +no_defs </t>
  </si>
  <si>
    <t>PROJCS["Monte Mario (Rome) / Italy zone 2 (deprecated)",GEOGCS["Monte Mario (Rome)",DATUM["Monte_Mario_Rome",SPHEROID["International 1924",6378388,297,AUTHORITY["EPSG","7022"]],TOWGS84[-104.1,-49.1,-9.9,0.971,-2.917,0.714,-11.68],AUTHORITY["EPSG","6806"]],PRIMEM["Rome",12.45233333333333,AUTHORITY["EPSG","8906"]],UNIT["degree",0.0174532925199433,AUTHORITY["EPSG","9122"]],AUTHORITY["EPSG","4806"]],PROJECTION["Transverse_Mercator"],PARAMETER["latitude_of_origin",0],PARAMETER["central_meridian",2.54766666666666],PARAMETER["scale_factor",0.9996],PARAMETER["false_easting",2520000],PARAMETER["false_northing",0],UNIT["metre",1,AUTHORITY["EPSG","9001"]],AXIS["X",EAST],AXIS["Y",NORTH],AUTHORITY["EPSG","26592"]]</t>
  </si>
  <si>
    <t xml:space="preserve">+proj=tmerc +lat_0=0 +lon_0=2.54766666666666 +k=0.9996 +x_0=2520000 +y_0=0 +ellps=intl +towgs84=-104.1,-49.1,-9.9,0.971,-2.917,0.714,-11.68 +pm=rome +units=m +no_defs </t>
  </si>
  <si>
    <t>PROJCS["M'poraloko / UTM zone 32N",GEOGCS["M'poraloko",DATUM["M_poraloko",SPHEROID["Clarke 1880 (IGN)",6378249.2,293.4660212936269,AUTHORITY["EPSG","7011"]],TOWGS84[-74,-130,42,0,0,0,0],AUTHORITY["EPSG","6266"]],PRIMEM["Greenwich",0,AUTHORITY["EPSG","8901"]],UNIT["degree",0.0174532925199433,AUTHORITY["EPSG","9122"]],AUTHORITY["EPSG","4266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26632"]]</t>
  </si>
  <si>
    <t xml:space="preserve">+proj=utm +zone=32 +a=6378249.2 +b=6356515 +towgs84=-74,-130,42,0,0,0,0 +units=m +no_defs </t>
  </si>
  <si>
    <t>PROJCS["M'poraloko / UTM zone 32S",GEOGCS["M'poraloko",DATUM["M_poraloko",SPHEROID["Clarke 1880 (IGN)",6378249.2,293.4660212936269,AUTHORITY["EPSG","7011"]],TOWGS84[-74,-130,42,0,0,0,0],AUTHORITY["EPSG","6266"]],PRIMEM["Greenwich",0,AUTHORITY["EPSG","8901"]],UNIT["degree",0.0174532925199433,AUTHORITY["EPSG","9122"]],AUTHORITY["EPSG","4266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26692"]]</t>
  </si>
  <si>
    <t xml:space="preserve">+proj=utm +zone=32 +south +a=6378249.2 +b=6356515 +towgs84=-74,-130,42,0,0,0,0 +units=m +no_defs </t>
  </si>
  <si>
    <t>PROJCS["NAD27 / UTM zone 1N",GEOGCS["NAD27",DATUM["North_American_Datum_1927",SPHEROID["Clarke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26701"]]</t>
  </si>
  <si>
    <t>PROJCS["NAD27 / UTM zone 2N",GEOGCS["NAD27",DATUM["North_American_Datum_1927",SPHEROID["Clarke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26702"]]</t>
  </si>
  <si>
    <t>PROJCS["NAD27 / UTM zone 3N",GEOGCS["NAD27",DATUM["North_American_Datum_1927",SPHEROID["Clarke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26703"]]</t>
  </si>
  <si>
    <t>PROJCS["NAD27 / UTM zone 4N",GEOGCS["NAD27",DATUM["North_American_Datum_1927",SPHEROID["Clarke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26704"]]</t>
  </si>
  <si>
    <t>PROJCS["NAD27 / UTM zone 5N",GEOGCS["NAD27",DATUM["North_American_Datum_1927",SPHEROID["Clarke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26705"]]</t>
  </si>
  <si>
    <t>PROJCS["NAD27 / UTM zone 6N",GEOGCS["NAD27",DATUM["North_American_Datum_1927",SPHEROID["Clarke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26706"]]</t>
  </si>
  <si>
    <t>PROJCS["NAD27 / UTM zone 12N",GEOGCS["NAD27",DATUM["North_American_Datum_1927",SPHEROID["Clarke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26712"]]</t>
  </si>
  <si>
    <t>PROJCS["NAD27 / UTM zone 13N",GEOGCS["NAD27",DATUM["North_American_Datum_1927",SPHEROID["Clarke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26713"]]</t>
  </si>
  <si>
    <t>PROJCS["NAD27 / UTM zone 14N",GEOGCS["NAD27",DATUM["North_American_Datum_1927",SPHEROID["Clarke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26714"]]</t>
  </si>
  <si>
    <t>PROJCS["NAD27 / UTM zone 15N",GEOGCS["NAD27",DATUM["North_American_Datum_1927",SPHEROID["Clarke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26715"]]</t>
  </si>
  <si>
    <t>PROJCS["NAD27 / UTM zone 16N",GEOGCS["NAD27",DATUM["North_American_Datum_1927",SPHEROID["Clarke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26716"]]</t>
  </si>
  <si>
    <t>PROJCS["NAD27 / UTM zone 17N",GEOGCS["NAD27",DATUM["North_American_Datum_1927",SPHEROID["Clarke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26717"]]</t>
  </si>
  <si>
    <t>PROJCS["NAD27 / UTM zone 18N",GEOGCS["NAD27",DATUM["North_American_Datum_1927",SPHEROID["Clarke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26718"]]</t>
  </si>
  <si>
    <t>PROJCS["NAD27 / UTM zone 19N",GEOGCS["NAD27",DATUM["North_American_Datum_1927",SPHEROID["Clarke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26719"]]</t>
  </si>
  <si>
    <t>PROJCS["NAD27 / UTM zone 20N",GEOGCS["NAD27",DATUM["North_American_Datum_1927",SPHEROID["Clarke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26720"]]</t>
  </si>
  <si>
    <t>PROJCS["NAD27 / UTM zone 21N",GEOGCS["NAD27",DATUM["North_American_Datum_1927",SPHEROID["Clarke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26721"]]</t>
  </si>
  <si>
    <t>PROJCS["NAD27 / UTM zone 22N",GEOGCS["NAD27",DATUM["North_American_Datum_1927",SPHEROID["Clarke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26722"]]</t>
  </si>
  <si>
    <t>PROJCS["NAD27 / Alabama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30.5],PARAMETER["central_meridian",-85.83333333333333],PARAMETER["scale_factor",0.99996],PARAMETER["false_easting",500000],PARAMETER["false_northing",0],UNIT["US survey foot",0.3048006096012192,AUTHORITY["EPSG","9003"]],AXIS["X",EAST],AXIS["Y",NORTH],AUTHORITY["EPSG","26729"]]</t>
  </si>
  <si>
    <t>PROJCS["NAD27 / Alabama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30],PARAMETER["central_meridian",-87.5],PARAMETER["scale_factor",0.999933333],PARAMETER["false_easting",500000],PARAMETER["false_northing",0],UNIT["US survey foot",0.3048006096012192,AUTHORITY["EPSG","9003"]],AXIS["X",EAST],AXIS["Y",NORTH],AUTHORITY["EPSG","26730"]]</t>
  </si>
  <si>
    <t>PROJCS["NAD27 / Alaska zone 1",GEOGCS["NAD27",DATUM["North_American_Datum_1927",SPHEROID["Clarke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Hotine_Oblique_Mercator"],PARAMETER["latitude_of_center",57],PARAMETER["longitude_of_center",-133.6666666666667],PARAMETER["azimuth",323.1301023611111],PARAMETER["rectified_grid_angle",323.1301023611111],PARAMETER["scale_factor",0.9999],PARAMETER["false_easting",16404166.67],PARAMETER["false_northing",-16404166.67],UNIT["US survey foot",0.3048006096012192,AUTHORITY["EPSG","9003"]],AXIS["X",EAST],AXIS["Y",NORTH],AUTHORITY["EPSG","26731"]]</t>
  </si>
  <si>
    <t>PROJCS["NAD27 / Alaska zone 2",GEOGCS["NAD27",DATUM["North_American_Datum_1927",SPHEROID["Clarke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-142],PARAMETER["scale_factor",0.9999],PARAMETER["false_easting",500000],PARAMETER["false_northing",0],UNIT["US survey foot",0.3048006096012192,AUTHORITY["EPSG","9003"]],AXIS["X",EAST],AXIS["Y",NORTH],AUTHORITY["EPSG","26732"]]</t>
  </si>
  <si>
    <t>PROJCS["NAD27 / Alaska zone 3",GEOGCS["NAD27",DATUM["North_American_Datum_1927",SPHEROID["Clarke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-146],PARAMETER["scale_factor",0.9999],PARAMETER["false_easting",500000],PARAMETER["false_northing",0],UNIT["US survey foot",0.3048006096012192,AUTHORITY["EPSG","9003"]],AXIS["X",EAST],AXIS["Y",NORTH],AUTHORITY["EPSG","26733"]]</t>
  </si>
  <si>
    <t>PROJCS["NAD27 / Alaska zone 4",GEOGCS["NAD27",DATUM["North_American_Datum_1927",SPHEROID["Clarke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-150],PARAMETER["scale_factor",0.9999],PARAMETER["false_easting",500000],PARAMETER["false_northing",0],UNIT["US survey foot",0.3048006096012192,AUTHORITY["EPSG","9003"]],AXIS["X",EAST],AXIS["Y",NORTH],AUTHORITY["EPSG","26734"]]</t>
  </si>
  <si>
    <t>PROJCS["NAD27 / Alaska zone 5",GEOGCS["NAD27",DATUM["North_American_Datum_1927",SPHEROID["Clarke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-154],PARAMETER["scale_factor",0.9999],PARAMETER["false_easting",500000],PARAMETER["false_northing",0],UNIT["US survey foot",0.3048006096012192,AUTHORITY["EPSG","9003"]],AXIS["X",EAST],AXIS["Y",NORTH],AUTHORITY["EPSG","26735"]]</t>
  </si>
  <si>
    <t>PROJCS["NAD27 / Alaska zone 6",GEOGCS["NAD27",DATUM["North_American_Datum_1927",SPHEROID["Clarke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-158],PARAMETER["scale_factor",0.9999],PARAMETER["false_easting",500000],PARAMETER["false_northing",0],UNIT["US survey foot",0.3048006096012192,AUTHORITY["EPSG","9003"]],AXIS["X",EAST],AXIS["Y",NORTH],AUTHORITY["EPSG","26736"]]</t>
  </si>
  <si>
    <t>PROJCS["NAD27 / Alaska zone 7",GEOGCS["NAD27",DATUM["North_American_Datum_1927",SPHEROID["Clarke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-162],PARAMETER["scale_factor",0.9999],PARAMETER["false_easting",700000],PARAMETER["false_northing",0],UNIT["US survey foot",0.3048006096012192,AUTHORITY["EPSG","9003"]],AXIS["X",EAST],AXIS["Y",NORTH],AUTHORITY["EPSG","26737"]]</t>
  </si>
  <si>
    <t>GEOCCS["CR05",DATUM["Costa_Rica_2005",SPHEROID["WGS 84",6378137,298.257223563,AUTHORITY["EPSG","7030"]],AUTHORITY["EPSG","1065"]],PRIMEM["Greenwich",0,AUTHORITY["EPSG","8901"]],UNIT["metre",1,AUTHORITY["EPSG","9001"]],AXIS["Geocentric X",OTHER],AXIS["Geocentric Y",OTHER],AXIS["Geocentric Z",NORTH],AUTHORITY["EPSG","5363"]]</t>
  </si>
  <si>
    <t>PROJCS["NAD27 / Alaska zone 8",GEOGCS["NAD27",DATUM["North_American_Datum_1927",SPHEROID["Clarke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-166],PARAMETER["scale_factor",0.9999],PARAMETER["false_easting",500000],PARAMETER["false_northing",0],UNIT["US survey foot",0.3048006096012192,AUTHORITY["EPSG","9003"]],AXIS["X",EAST],AXIS["Y",NORTH],AUTHORITY["EPSG","26738"]]</t>
  </si>
  <si>
    <t>PROJCS["NAD27 / Alaska zone 9",GEOGCS["NAD27",DATUM["North_American_Datum_1927",SPHEROID["Clarke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54],PARAMETER["central_meridian",-170],PARAMETER["scale_factor",0.9999],PARAMETER["false_easting",600000],PARAMETER["false_northing",0],UNIT["US survey foot",0.3048006096012192,AUTHORITY["EPSG","9003"]],AXIS["X",EAST],AXIS["Y",NORTH],AUTHORITY["EPSG","26739"]]</t>
  </si>
  <si>
    <t>PROJCS["NAD27 / Alaska zone 10",GEOGCS["NAD27",DATUM["North_American_Datum_1927",SPHEROID["Clarke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53.83333333333334],PARAMETER["standard_parallel_2",51.83333333333334],PARAMETER["latitude_of_origin",51],PARAMETER["central_meridian",-176],PARAMETER["false_easting",3000000],PARAMETER["false_northing",0],UNIT["US survey foot",0.3048006096012192,AUTHORITY["EPSG","9003"]],AXIS["X",EAST],AXIS["Y",NORTH],AUTHORITY["EPSG","26740"]]</t>
  </si>
  <si>
    <t>PROJCS["NAD27 / California zone 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0],UNIT["US survey foot",0.3048006096012192,AUTHORITY["EPSG","9003"]],AXIS["X",EAST],AXIS["Y",NORTH],AUTHORITY["EPSG","26741"]]</t>
  </si>
  <si>
    <t>PROJCS["NAD27 / California zone II",GEOGCS["NAD27",DATUM["North_American_Datum_1927",SPHEROID["Clarke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0],UNIT["US survey foot",0.3048006096012192,AUTHORITY["EPSG","9003"]],AXIS["X",EAST],AXIS["Y",NORTH],AUTHORITY["EPSG","26742"]]</t>
  </si>
  <si>
    <t>PROJCS["NAD27 / California zone III",GEOGCS["NAD27",DATUM["North_American_Datum_1927",SPHEROID["Clarke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0],UNIT["US survey foot",0.3048006096012192,AUTHORITY["EPSG","9003"]],AXIS["X",EAST],AXIS["Y",NORTH],AUTHORITY["EPSG","26743"]]</t>
  </si>
  <si>
    <t>PROJCS["NAD27 / California zone IV",GEOGCS["NAD27",DATUM["North_American_Datum_1927",SPHEROID["Clarke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37.25],PARAMETER["standard_parallel_2",36],PARAMETER["latitude_of_origin",35.33333333333334],PARAMETER["central_meridian",-119],PARAMETER["false_easting",2000000],PARAMETER["false_northing",0],UNIT["US survey foot",0.3048006096012192,AUTHORITY["EPSG","9003"]],AXIS["X",EAST],AXIS["Y",NORTH],AUTHORITY["EPSG","26744"]]</t>
  </si>
  <si>
    <t>PROJCS["NAD27 / California zone V",GEOGCS["NAD27",DATUM["North_American_Datum_1927",SPHEROID["Clarke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0],UNIT["US survey foot",0.3048006096012192,AUTHORITY["EPSG","9003"]],AXIS["X",EAST],AXIS["Y",NORTH],AUTHORITY["EPSG","26745"]]</t>
  </si>
  <si>
    <t>PROJCS["NAD27 / California zone VI",GEOGCS["NAD27",DATUM["North_American_Datum_1927",SPHEROID["Clarke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0],UNIT["US survey foot",0.3048006096012192,AUTHORITY["EPSG","9003"]],AXIS["X",EAST],AXIS["Y",NORTH],AUTHORITY["EPSG","26746"]]</t>
  </si>
  <si>
    <t>PROJCS["NAD27 / California zone VII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34.41666666666666],PARAMETER["standard_parallel_2",33.86666666666667],PARAMETER["latitude_of_origin",34.13333333333333],PARAMETER["central_meridian",-118.3333333333333],PARAMETER["false_easting",4186692.58],PARAMETER["false_northing",416926.74],UNIT["US survey foot",0.3048006096012192,AUTHORITY["EPSG","9003"]],AXIS["X",EAST],AXIS["Y",NORTH],AUTHORITY["EPSG","26747"]]</t>
  </si>
  <si>
    <t>PROJCS["NAD27 / Arizona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-110.1666666666667],PARAMETER["scale_factor",0.9999],PARAMETER["false_easting",500000],PARAMETER["false_northing",0],UNIT["US survey foot",0.3048006096012192,AUTHORITY["EPSG","9003"]],AXIS["X",EAST],AXIS["Y",NORTH],AUTHORITY["EPSG","26748"]]</t>
  </si>
  <si>
    <t>PROJCS["NAD27 / Arizona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-111.9166666666667],PARAMETER["scale_factor",0.9999],PARAMETER["false_easting",500000],PARAMETER["false_northing",0],UNIT["US survey foot",0.3048006096012192,AUTHORITY["EPSG","9003"]],AXIS["X",EAST],AXIS["Y",NORTH],AUTHORITY["EPSG","26749"]]</t>
  </si>
  <si>
    <t>PROJCS["NAD27 / Arizona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-113.75],PARAMETER["scale_factor",0.999933333],PARAMETER["false_easting",500000],PARAMETER["false_northing",0],UNIT["US survey foot",0.3048006096012192,AUTHORITY["EPSG","9003"]],AXIS["X",EAST],AXIS["Y",NORTH],AUTHORITY["EPSG","26750"]]</t>
  </si>
  <si>
    <t>PROJCS["NAD27 / Arkansas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36.23333333333333],PARAMETER["standard_parallel_2",34.93333333333333],PARAMETER["latitude_of_origin",34.33333333333334],PARAMETER["central_meridian",-92],PARAMETER["false_easting",2000000],PARAMETER["false_northing",0],UNIT["US survey foot",0.3048006096012192,AUTHORITY["EPSG","9003"]],AXIS["X",EAST],AXIS["Y",NORTH],AUTHORITY["EPSG","26751"]]</t>
  </si>
  <si>
    <t>PROJCS["NAD27 / Arkansas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34.76666666666667],PARAMETER["standard_parallel_2",33.3],PARAMETER["latitude_of_origin",32.66666666666666],PARAMETER["central_meridian",-92],PARAMETER["false_easting",2000000],PARAMETER["false_northing",0],UNIT["US survey foot",0.3048006096012192,AUTHORITY["EPSG","9003"]],AXIS["X",EAST],AXIS["Y",NORTH],AUTHORITY["EPSG","26752"]]</t>
  </si>
  <si>
    <t>PROJCS["NAD27 / Colorado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39.71666666666667],PARAMETER["standard_parallel_2",40.78333333333333],PARAMETER["latitude_of_origin",39.33333333333334],PARAMETER["central_meridian",-105.5],PARAMETER["false_easting",2000000],PARAMETER["false_northing",0],UNIT["US survey foot",0.3048006096012192,AUTHORITY["EPSG","9003"]],AXIS["X",EAST],AXIS["Y",NORTH],AUTHORITY["EPSG","26753"]]</t>
  </si>
  <si>
    <t>PROJCS["NAD27 / Colorado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39.75],PARAMETER["standard_parallel_2",38.45],PARAMETER["latitude_of_origin",37.83333333333334],PARAMETER["central_meridian",-105.5],PARAMETER["false_easting",2000000],PARAMETER["false_northing",0],UNIT["US survey foot",0.3048006096012192,AUTHORITY["EPSG","9003"]],AXIS["X",EAST],AXIS["Y",NORTH],AUTHORITY["EPSG","26754"]]</t>
  </si>
  <si>
    <t>PROJCS["NAD27 / Idaho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41.66666666666666],PARAMETER["central_meridian",-114],PARAMETER["scale_factor",0.999947368],PARAMETER["false_easting",500000],PARAMETER["false_northing",0],UNIT["US survey foot",0.3048006096012192,AUTHORITY["EPSG","9003"]],AXIS["X",EAST],AXIS["Y",NORTH],AUTHORITY["EPSG","26769"]]</t>
  </si>
  <si>
    <t>PROJCS["NAD27 / Colorado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38.43333333333333],PARAMETER["standard_parallel_2",37.23333333333333],PARAMETER["latitude_of_origin",36.66666666666666],PARAMETER["central_meridian",-105.5],PARAMETER["false_easting",2000000],PARAMETER["false_northing",0],UNIT["US survey foot",0.3048006096012192,AUTHORITY["EPSG","9003"]],AXIS["X",EAST],AXIS["Y",NORTH],AUTHORITY["EPSG","26755"]]</t>
  </si>
  <si>
    <t>PROJCS["NAD27 / Connecticut",GEOGCS["NAD27",DATUM["North_American_Datum_1927",SPHEROID["Clarke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41.86666666666667],PARAMETER["standard_parallel_2",41.2],PARAMETER["latitude_of_origin",40.83333333333334],PARAMETER["central_meridian",-72.75],PARAMETER["false_easting",600000],PARAMETER["false_northing",0],UNIT["US survey foot",0.3048006096012192,AUTHORITY["EPSG","9003"]],AXIS["X",EAST],AXIS["Y",NORTH],AUTHORITY["EPSG","26756"]]</t>
  </si>
  <si>
    <t>PROJCS["NAD27 / Delaware",GEOGCS["NAD27",DATUM["North_American_Datum_1927",SPHEROID["Clarke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38],PARAMETER["central_meridian",-75.41666666666667],PARAMETER["scale_factor",0.999995],PARAMETER["false_easting",500000],PARAMETER["false_northing",0],UNIT["US survey foot",0.3048006096012192,AUTHORITY["EPSG","9003"]],AXIS["X",EAST],AXIS["Y",NORTH],AUTHORITY["EPSG","26757"]]</t>
  </si>
  <si>
    <t>PROJCS["NAD27 / Florida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24.33333333333333],PARAMETER["central_meridian",-81],PARAMETER["scale_factor",0.999941177],PARAMETER["false_easting",500000],PARAMETER["false_northing",0],UNIT["US survey foot",0.3048006096012192,AUTHORITY["EPSG","9003"]],AXIS["X",EAST],AXIS["Y",NORTH],AUTHORITY["EPSG","26758"]]</t>
  </si>
  <si>
    <t>PROJCS["NAD27 / Florida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24.33333333333333],PARAMETER["central_meridian",-82],PARAMETER["scale_factor",0.999941177],PARAMETER["false_easting",500000],PARAMETER["false_northing",0],UNIT["US survey foot",0.3048006096012192,AUTHORITY["EPSG","9003"]],AXIS["X",EAST],AXIS["Y",NORTH],AUTHORITY["EPSG","26759"]]</t>
  </si>
  <si>
    <t>PROJCS["NAD27 / Florida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30.75],PARAMETER["standard_parallel_2",29.58333333333333],PARAMETER["latitude_of_origin",29],PARAMETER["central_meridian",-84.5],PARAMETER["false_easting",2000000],PARAMETER["false_northing",0],UNIT["US survey foot",0.3048006096012192,AUTHORITY["EPSG","9003"]],AXIS["X",EAST],AXIS["Y",NORTH],AUTHORITY["EPSG","26760"]]</t>
  </si>
  <si>
    <t>PROJCS["NAD27 / Georgia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30],PARAMETER["central_meridian",-82.16666666666667],PARAMETER["scale_factor",0.9999],PARAMETER["false_easting",500000],PARAMETER["false_northing",0],UNIT["US survey foot",0.3048006096012192,AUTHORITY["EPSG","9003"]],AXIS["X",EAST],AXIS["Y",NORTH],AUTHORITY["EPSG","26766"]]</t>
  </si>
  <si>
    <t>PROJCS["NAD27 / Georgia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30],PARAMETER["central_meridian",-84.16666666666667],PARAMETER["scale_factor",0.9999],PARAMETER["false_easting",500000],PARAMETER["false_northing",0],UNIT["US survey foot",0.3048006096012192,AUTHORITY["EPSG","9003"]],AXIS["X",EAST],AXIS["Y",NORTH],AUTHORITY["EPSG","26767"]]</t>
  </si>
  <si>
    <t>PROJCS["NAD27 / Idaho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41.66666666666666],PARAMETER["central_meridian",-112.1666666666667],PARAMETER["scale_factor",0.999947368],PARAMETER["false_easting",500000],PARAMETER["false_northing",0],UNIT["US survey foot",0.3048006096012192,AUTHORITY["EPSG","9003"]],AXIS["X",EAST],AXIS["Y",NORTH],AUTHORITY["EPSG","26768"]]</t>
  </si>
  <si>
    <t>PROJCS["NAD27 / Idaho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41.66666666666666],PARAMETER["central_meridian",-115.75],PARAMETER["scale_factor",0.999933333],PARAMETER["false_easting",500000],PARAMETER["false_northing",0],UNIT["US survey foot",0.3048006096012192,AUTHORITY["EPSG","9003"]],AXIS["X",EAST],AXIS["Y",NORTH],AUTHORITY["EPSG","26770"]]</t>
  </si>
  <si>
    <t>PROJCS["NAD27 / Illinois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36.66666666666666],PARAMETER["central_meridian",-88.33333333333333],PARAMETER["scale_factor",0.999975],PARAMETER["false_easting",500000],PARAMETER["false_northing",0],UNIT["US survey foot",0.3048006096012192,AUTHORITY["EPSG","9003"]],AXIS["X",EAST],AXIS["Y",NORTH],AUTHORITY["EPSG","26771"]]</t>
  </si>
  <si>
    <t>PROJCS["NAD27 / Illinois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36.66666666666666],PARAMETER["central_meridian",-90.16666666666667],PARAMETER["scale_factor",0.999941177],PARAMETER["false_easting",500000],PARAMETER["false_northing",0],UNIT["US survey foot",0.3048006096012192,AUTHORITY["EPSG","9003"]],AXIS["X",EAST],AXIS["Y",NORTH],AUTHORITY["EPSG","26772"]]</t>
  </si>
  <si>
    <t>PROJCS["NAD27 / Indiana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37.5],PARAMETER["central_meridian",-85.66666666666667],PARAMETER["scale_factor",0.999966667],PARAMETER["false_easting",500000],PARAMETER["false_northing",0],UNIT["US survey foot",0.3048006096012192,AUTHORITY["EPSG","9003"]],AXIS["X",EAST],AXIS["Y",NORTH],AUTHORITY["EPSG","26773"]]</t>
  </si>
  <si>
    <t>PROJCS["NAD27 / Indiana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37.5],PARAMETER["central_meridian",-87.08333333333333],PARAMETER["scale_factor",0.999966667],PARAMETER["false_easting",500000],PARAMETER["false_northing",0],UNIT["US survey foot",0.3048006096012192,AUTHORITY["EPSG","9003"]],AXIS["X",EAST],AXIS["Y",NORTH],AUTHORITY["EPSG","26774"]]</t>
  </si>
  <si>
    <t>PROJCS["NAD27 / Iowa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43.26666666666667],PARAMETER["standard_parallel_2",42.06666666666667],PARAMETER["latitude_of_origin",41.5],PARAMETER["central_meridian",-93.5],PARAMETER["false_easting",2000000],PARAMETER["false_northing",0],UNIT["US survey foot",0.3048006096012192,AUTHORITY["EPSG","9003"]],AXIS["X",EAST],AXIS["Y",NORTH],AUTHORITY["EPSG","26775"]]</t>
  </si>
  <si>
    <t>PROJCS["NAD27 / Iowa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41.78333333333333],PARAMETER["standard_parallel_2",40.61666666666667],PARAMETER["latitude_of_origin",40],PARAMETER["central_meridian",-93.5],PARAMETER["false_easting",2000000],PARAMETER["false_northing",0],UNIT["US survey foot",0.3048006096012192,AUTHORITY["EPSG","9003"]],AXIS["X",EAST],AXIS["Y",NORTH],AUTHORITY["EPSG","26776"]]</t>
  </si>
  <si>
    <t>PROJCS["NAD27 / Kansas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39.78333333333333],PARAMETER["standard_parallel_2",38.71666666666667],PARAMETER["latitude_of_origin",38.33333333333334],PARAMETER["central_meridian",-98],PARAMETER["false_easting",2000000],PARAMETER["false_northing",0],UNIT["US survey foot",0.3048006096012192,AUTHORITY["EPSG","9003"]],AXIS["X",EAST],AXIS["Y",NORTH],AUTHORITY["EPSG","26777"]]</t>
  </si>
  <si>
    <t>PROJCS["NAD27 / Kansas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38.56666666666667],PARAMETER["standard_parallel_2",37.26666666666667],PARAMETER["latitude_of_origin",36.66666666666666],PARAMETER["central_meridian",-98.5],PARAMETER["false_easting",2000000],PARAMETER["false_northing",0],UNIT["US survey foot",0.3048006096012192,AUTHORITY["EPSG","9003"]],AXIS["X",EAST],AXIS["Y",NORTH],AUTHORITY["EPSG","26778"]]</t>
  </si>
  <si>
    <t>PROJCS["NAD27 / Kentucky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37.96666666666667],PARAMETER["standard_parallel_2",38.96666666666667],PARAMETER["latitude_of_origin",37.5],PARAMETER["central_meridian",-84.25],PARAMETER["false_easting",2000000],PARAMETER["false_northing",0],UNIT["US survey foot",0.3048006096012192,AUTHORITY["EPSG","9003"]],AXIS["X",EAST],AXIS["Y",NORTH],AUTHORITY["EPSG","26779"]]</t>
  </si>
  <si>
    <t>PROJCS["NAD27 / Kentucky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36.73333333333333],PARAMETER["standard_parallel_2",37.93333333333333],PARAMETER["latitude_of_origin",36.33333333333334],PARAMETER["central_meridian",-85.75],PARAMETER["false_easting",2000000],PARAMETER["false_northing",0],UNIT["US survey foot",0.3048006096012192,AUTHORITY["EPSG","9003"]],AXIS["X",EAST],AXIS["Y",NORTH],AUTHORITY["EPSG","26780"]]</t>
  </si>
  <si>
    <t>PROJCS["NAD27 / Louisiana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31.16666666666667],PARAMETER["standard_parallel_2",32.66666666666666],PARAMETER["latitude_of_origin",30.66666666666667],PARAMETER["central_meridian",-92.5],PARAMETER["false_easting",2000000],PARAMETER["false_northing",0],UNIT["US survey foot",0.3048006096012192,AUTHORITY["EPSG","9003"]],AXIS["X",EAST],AXIS["Y",NORTH],AUTHORITY["EPSG","26781"]]</t>
  </si>
  <si>
    <t>PROJCS["NAD27 / Louisiana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29.3],PARAMETER["standard_parallel_2",30.7],PARAMETER["latitude_of_origin",28.66666666666667],PARAMETER["central_meridian",-91.33333333333333],PARAMETER["false_easting",2000000],PARAMETER["false_northing",0],UNIT["US survey foot",0.3048006096012192,AUTHORITY["EPSG","9003"]],AXIS["X",EAST],AXIS["Y",NORTH],AUTHORITY["EPSG","26782"]]</t>
  </si>
  <si>
    <t>PROJCS["NAD27 / Maine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43.83333333333334],PARAMETER["central_meridian",-68.5],PARAMETER["scale_factor",0.9999],PARAMETER["false_easting",500000],PARAMETER["false_northing",0],UNIT["US survey foot",0.3048006096012192,AUTHORITY["EPSG","9003"]],AXIS["X",EAST],AXIS["Y",NORTH],AUTHORITY["EPSG","26783"]]</t>
  </si>
  <si>
    <t>PROJCS["NAD27 / Maine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42.83333333333334],PARAMETER["central_meridian",-70.16666666666667],PARAMETER["scale_factor",0.999966667],PARAMETER["false_easting",500000],PARAMETER["false_northing",0],UNIT["US survey foot",0.3048006096012192,AUTHORITY["EPSG","9003"]],AXIS["X",EAST],AXIS["Y",NORTH],AUTHORITY["EPSG","26784"]]</t>
  </si>
  <si>
    <t>PROJCS["NAD27 / Maryland",GEOGCS["NAD27",DATUM["North_American_Datum_1927",SPHEROID["Clarke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38.3],PARAMETER["standard_parallel_2",39.45],PARAMETER["latitude_of_origin",37.83333333333334],PARAMETER["central_meridian",-77],PARAMETER["false_easting",800000.0000000002],PARAMETER["false_northing",0],UNIT["US survey foot",0.3048006096012192,AUTHORITY["EPSG","9003"]],AXIS["X",EAST],AXIS["Y",NORTH],AUTHORITY["EPSG","26785"]]</t>
  </si>
  <si>
    <t>PROJCS["NAD27 / Massachusetts Mainland",GEOGCS["NAD27",DATUM["North_American_Datum_1927",SPHEROID["Clarke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41.71666666666667],PARAMETER["standard_parallel_2",42.68333333333333],PARAMETER["latitude_of_origin",41],PARAMETER["central_meridian",-71.5],PARAMETER["false_easting",600000],PARAMETER["false_northing",0],UNIT["US survey foot",0.3048006096012192,AUTHORITY["EPSG","9003"]],AXIS["X",EAST],AXIS["Y",NORTH],AUTHORITY["EPSG","26786"]]</t>
  </si>
  <si>
    <t>PROJCS["NAD83(CSRS) / MTM zone 12",GEOGCS["NAD83(CSRS)",DATUM["NAD83_Canadian_Spatial_Reference_System",SPHEROID["GRS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-81],PARAMETER["scale_factor",0.9999],PARAMETER["false_easting",304800],PARAMETER["false_northing",0],UNIT["metre",1,AUTHORITY["EPSG","9001"]],AXIS["Easting",EAST],AXIS["Northing",NORTH],AUTHORITY["EPSG","26892"]]</t>
  </si>
  <si>
    <t xml:space="preserve">+proj=tmerc +lat_0=0 +lon_0=-81 +k=0.9999 +x_0=304800 +y_0=0 +ellps=GRS80 +towgs84=0,0,0,0,0,0,0 +units=m +no_defs </t>
  </si>
  <si>
    <t>PROJCS["NAD27 / Massachusetts Island",GEOGCS["NAD27",DATUM["North_American_Datum_1927",SPHEROID["Clarke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41.28333333333333],PARAMETER["standard_parallel_2",41.48333333333333],PARAMETER["latitude_of_origin",41],PARAMETER["central_meridian",-70.5],PARAMETER["false_easting",200000],PARAMETER["false_northing",0],UNIT["US survey foot",0.3048006096012192,AUTHORITY["EPSG","9003"]],AXIS["X",EAST],AXIS["Y",NORTH],AUTHORITY["EPSG","26787"]]</t>
  </si>
  <si>
    <t>PROJCS["NAD27 / Minnesota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47.03333333333333],PARAMETER["standard_parallel_2",48.63333333333333],PARAMETER["latitude_of_origin",46.5],PARAMETER["central_meridian",-93.1],PARAMETER["false_easting",2000000],PARAMETER["false_northing",0],UNIT["US survey foot",0.3048006096012192,AUTHORITY["EPSG","9003"]],AXIS["X",EAST],AXIS["Y",NORTH],AUTHORITY["EPSG","26791"]]</t>
  </si>
  <si>
    <t>PROJCS["NAD27 / Minnesota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45.61666666666667],PARAMETER["standard_parallel_2",47.05],PARAMETER["latitude_of_origin",45],PARAMETER["central_meridian",-94.25],PARAMETER["false_easting",2000000],PARAMETER["false_northing",0],UNIT["US survey foot",0.3048006096012192,AUTHORITY["EPSG","9003"]],AXIS["X",EAST],AXIS["Y",NORTH],AUTHORITY["EPSG","26792"]]</t>
  </si>
  <si>
    <t>PROJCS["NAD27 / Minnesota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43.78333333333333],PARAMETER["standard_parallel_2",45.21666666666667],PARAMETER["latitude_of_origin",43],PARAMETER["central_meridian",-94],PARAMETER["false_easting",2000000],PARAMETER["false_northing",0],UNIT["US survey foot",0.3048006096012192,AUTHORITY["EPSG","9003"]],AXIS["X",EAST],AXIS["Y",NORTH],AUTHORITY["EPSG","26793"]]</t>
  </si>
  <si>
    <t>PROJCS["NAD27 / Mississippi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29.66666666666667],PARAMETER["central_meridian",-88.83333333333333],PARAMETER["scale_factor",0.99996],PARAMETER["false_easting",500000],PARAMETER["false_northing",0],UNIT["US survey foot",0.3048006096012192,AUTHORITY["EPSG","9003"]],AXIS["X",EAST],AXIS["Y",NORTH],AUTHORITY["EPSG","26794"]]</t>
  </si>
  <si>
    <t>PROJCS["NAD27 / Mississippi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30.5],PARAMETER["central_meridian",-90.33333333333333],PARAMETER["scale_factor",0.999941177],PARAMETER["false_easting",500000],PARAMETER["false_northing",0],UNIT["US survey foot",0.3048006096012192,AUTHORITY["EPSG","9003"]],AXIS["X",EAST],AXIS["Y",NORTH],AUTHORITY["EPSG","26795"]]</t>
  </si>
  <si>
    <t>PROJCS["NAD27 / Missouri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35.83333333333334],PARAMETER["central_meridian",-90.5],PARAMETER["scale_factor",0.999933333],PARAMETER["false_easting",500000],PARAMETER["false_northing",0],UNIT["US survey foot",0.3048006096012192,AUTHORITY["EPSG","9003"]],AXIS["X",EAST],AXIS["Y",NORTH],AUTHORITY["EPSG","26796"]]</t>
  </si>
  <si>
    <t>PROJCS["NAD27 / Missouri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35.83333333333334],PARAMETER["central_meridian",-92.5],PARAMETER["scale_factor",0.999933333],PARAMETER["false_easting",500000],PARAMETER["false_northing",0],UNIT["US survey foot",0.3048006096012192,AUTHORITY["EPSG","9003"]],AXIS["X",EAST],AXIS["Y",NORTH],AUTHORITY["EPSG","26797"]]</t>
  </si>
  <si>
    <t>PROJCS["NAD27 / Missouri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36.16666666666666],PARAMETER["central_meridian",-94.5],PARAMETER["scale_factor",0.999941177],PARAMETER["false_easting",500000],PARAMETER["false_northing",0],UNIT["US survey foot",0.3048006096012192,AUTHORITY["EPSG","9003"]],AXIS["X",EAST],AXIS["Y",NORTH],AUTHORITY["EPSG","26798"]]</t>
  </si>
  <si>
    <t>PROJCS["NAD27 / California zone VII",GEOGCS["NAD27",DATUM["North_American_Datum_1927",SPHEROID["Clarke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34.41666666666666],PARAMETER["standard_parallel_2",33.86666666666667],PARAMETER["latitude_of_origin",34.13333333333333],PARAMETER["central_meridian",-118.3333333333333],PARAMETER["false_easting",4186692.58],PARAMETER["false_northing",4160926.74],UNIT["US survey foot",0.3048006096012192,AUTHORITY["EPSG","9003"]],AXIS["X",EAST],AXIS["Y",NORTH],AUTHORITY["EPSG","26799"]]</t>
  </si>
  <si>
    <t>PROJCS["NAD Michigan / Michigan East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Transverse_Mercator"],PARAMETER["latitude_of_origin",41.5],PARAMETER["central_meridian",-83.66666666666667],PARAMETER["scale_factor",0.999942857],PARAMETER["false_easting",500000],PARAMETER["false_northing",0],UNIT["US survey foot",0.3048006096012192,AUTHORITY["EPSG","9003"]],AXIS["X",EAST],AXIS["Y",NORTH],AUTHORITY["EPSG","26801"]]</t>
  </si>
  <si>
    <t>PROJCS["NAD Michigan / Michigan Old Central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Transverse_Mercator"],PARAMETER["latitude_of_origin",41.5],PARAMETER["central_meridian",-85.75],PARAMETER["scale_factor",0.999909091],PARAMETER["false_easting",500000],PARAMETER["false_northing",0],UNIT["US survey foot",0.3048006096012192,AUTHORITY["EPSG","9003"]],AXIS["X",EAST],AXIS["Y",NORTH],AUTHORITY["EPSG","26802"]]</t>
  </si>
  <si>
    <t>PROJCS["NAD Michigan / Michigan West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Transverse_Mercator"],PARAMETER["latitude_of_origin",41.5],PARAMETER["central_meridian",-88.75],PARAMETER["scale_factor",0.999909091],PARAMETER["false_easting",500000],PARAMETER["false_northing",0],UNIT["US survey foot",0.3048006096012192,AUTHORITY["EPSG","9003"]],AXIS["X",EAST],AXIS["Y",NORTH],AUTHORITY["EPSG","26803"]]</t>
  </si>
  <si>
    <t>PROJCS["NAD Michigan / Michigan North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Lambert_Conformal_Conic_2SP"],PARAMETER["standard_parallel_1",45.48333333333333],PARAMETER["standard_parallel_2",47.08333333333334],PARAMETER["latitude_of_origin",44.78333333333333],PARAMETER["central_meridian",-87],PARAMETER["false_easting",2000000],PARAMETER["false_northing",0],UNIT["US survey foot",0.3048006096012192,AUTHORITY["EPSG","9003"]],AXIS["X",EAST],AXIS["Y",NORTH],AUTHORITY["EPSG","26811"]]</t>
  </si>
  <si>
    <t>PROJCS["NAD Michigan / Michigan Central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Lambert_Conformal_Conic_2SP"],PARAMETER["standard_parallel_1",44.18333333333333],PARAMETER["standard_parallel_2",45.7],PARAMETER["latitude_of_origin",43.31666666666667],PARAMETER["central_meridian",-84.33333333333333],PARAMETER["false_easting",2000000],PARAMETER["false_northing",0],UNIT["US survey foot",0.3048006096012192,AUTHORITY["EPSG","9003"]],AXIS["X",EAST],AXIS["Y",NORTH],AUTHORITY["EPSG","26812"]]</t>
  </si>
  <si>
    <t>PROJCS["NAD Michigan / Michigan South (deprecated)",GEOGCS["NAD27 Michigan",DATUM["NAD27_Michigan",SPHEROID["Clarke 1866 Michigan",6378450.047548896,294.9786971646772,AUTHORITY["EPSG","7009"]],AUTHORITY["EPSG","6268"]],PRIMEM["Greenwich",0,AUTHORITY["EPSG","8901"]],UNIT["degree",0.0174532925199433,AUTHORITY["EPSG","9122"]],AUTHORITY["EPSG","4268"]],PROJECTION["Lambert_Conformal_Conic_2SP"],PARAMETER["standard_parallel_1",42.1],PARAMETER["standard_parallel_2",43.66666666666666],PARAMETER["latitude_of_origin",41.5],PARAMETER["central_meridian",-84.33333333333333],PARAMETER["false_easting",2000000],PARAMETER["false_northing",0],UNIT["US survey foot",0.3048006096012192,AUTHORITY["EPSG","9003"]],AXIS["X",EAST],AXIS["Y",NORTH],AUTHORITY["EPSG","26813"]]</t>
  </si>
  <si>
    <t>PROJCS["NAD83 / Maine East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26814"]]</t>
  </si>
  <si>
    <t>GEOCCS["MACARIO SOLIS",DATUM["Sistema_Geodesico_Nacional_de_Panama_MACARIO_SOLIS",SPHEROID["GRS 1980",6378137,298.257222101,AUTHORITY["EPSG","7019"]],AUTHORITY["EPSG","1066"]],PRIMEM["Greenwich",0,AUTHORITY["EPSG","8901"]],UNIT["metre",1,AUTHORITY["EPSG","9001"]],AXIS["Geocentric X",OTHER],AXIS["Geocentric Y",OTHER],AXIS["Geocentric Z",NORTH],AUTHORITY["EPSG","5368"]]</t>
  </si>
  <si>
    <t>PROJCS["NAD83 / Maine West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26815"]]</t>
  </si>
  <si>
    <t>PROJCS["NAD83 / Minnesota North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48.63333333333333],PARAMETER["standard_parallel_2",47.03333333333333],PARAMETER["latitude_of_origin",46.5],PARAMETER["central_meridian",-93.1],PARAMETER["false_easting",800000.0000101601],PARAMETER["false_northing",99999.99998984],UNIT["metre",1,AUTHORITY["EPSG","9001"]],AXIS["X",EAST],AXIS["Y",NORTH],AUTHORITY["EPSG","26819"]]</t>
  </si>
  <si>
    <t>PROJCS["NAD83 / Minnesota Central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47.05],PARAMETER["standard_parallel_2",45.61666666666667],PARAMETER["latitude_of_origin",45],PARAMETER["central_meridian",-94.25],PARAMETER["false_easting",800000.0000101601],PARAMETER["false_northing",99999.99998984],UNIT["metre",1,AUTHORITY["EPSG","9001"]],AXIS["X",EAST],AXIS["Y",NORTH],AUTHORITY["EPSG","26820"]]</t>
  </si>
  <si>
    <t>PROJCS["NAD83 / Minnesota South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45.21666666666667],PARAMETER["standard_parallel_2",43.78333333333333],PARAMETER["latitude_of_origin",43],PARAMETER["central_meridian",-94],PARAMETER["false_easting",800000.0000101601],PARAMETER["false_northing",99999.99998984],UNIT["metre",1,AUTHORITY["EPSG","9001"]],AXIS["X",EAST],AXIS["Y",NORTH],AUTHORITY["EPSG","26821"]]</t>
  </si>
  <si>
    <t>PROJCS["NAD83 / Nebraska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40],PARAMETER["latitude_of_origin",39.83333333333334],PARAMETER["central_meridian",-100],PARAMETER["false_easting",500000.0000101601],PARAMETER["false_northing",0],UNIT["metre",1,AUTHORITY["EPSG","9001"]],AXIS["X",EAST],AXIS["Y",NORTH],AUTHORITY["EPSG","26822"]]</t>
  </si>
  <si>
    <t>PROJCS["NAD83 / West Virginia North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40.25],PARAMETER["standard_parallel_2",39],PARAMETER["latitude_of_origin",38.5],PARAMETER["central_meridian",-79.5],PARAMETER["false_easting",1968500],PARAMETER["false_northing",0],UNIT["metre",1,AUTHORITY["EPSG","9001"]],AXIS["X",EAST],AXIS["Y",NORTH],AUTHORITY["EPSG","26823"]]</t>
  </si>
  <si>
    <t>PROJCS["NAD83 / West Virginia South (ftUS)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metre",1,AUTHORITY["EPSG","9001"]],AXIS["X",EAST],AXIS["Y",NORTH],AUTHORITY["EPSG","26824"]]</t>
  </si>
  <si>
    <t>PROJCS["NAD83(HARN) / Maine East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26825"]]</t>
  </si>
  <si>
    <t>PROJCS["NAD83(CSRS) / MTM zone 13",GEOGCS["NAD83(CSRS)",DATUM["NAD83_Canadian_Spatial_Reference_System",SPHEROID["GRS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-84],PARAMETER["scale_factor",0.9999],PARAMETER["false_easting",304800],PARAMETER["false_northing",0],UNIT["metre",1,AUTHORITY["EPSG","9001"]],AXIS["Easting",EAST],AXIS["Northing",NORTH],AUTHORITY["EPSG","26893"]]</t>
  </si>
  <si>
    <t xml:space="preserve">+proj=tmerc +lat_0=0 +lon_0=-84 +k=0.9999 +x_0=304800 +y_0=0 +ellps=GRS80 +towgs84=0,0,0,0,0,0,0 +units=m +no_defs </t>
  </si>
  <si>
    <t>PROJCS["NAD83(HARN) / Maine West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26826"]]</t>
  </si>
  <si>
    <t>PROJCS["NAD83(HARN) / Minnesota North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48.63333333333333],PARAMETER["standard_parallel_2",47.03333333333333],PARAMETER["latitude_of_origin",46.5],PARAMETER["central_meridian",-93.1],PARAMETER["false_easting",800000.0000101601],PARAMETER["false_northing",99999.99998984],UNIT["metre",1,AUTHORITY["EPSG","9001"]],AXIS["X",EAST],AXIS["Y",NORTH],AUTHORITY["EPSG","26830"]]</t>
  </si>
  <si>
    <t xml:space="preserve">+proj=lcc +lat_1=48.63333333333333 +lat_2=47.03333333333333 +lat_0=46.5 +lon_0=-93.09999999999999 +x_0=800000.0000101601 +y_0=99999.99998984 +ellps=GRS80 +towgs84=0,0,0,0,0,0,0 +units=m +no_defs </t>
  </si>
  <si>
    <t>PROJCS["NAD83(HARN) / Minnesota Central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47.05],PARAMETER["standard_parallel_2",45.61666666666667],PARAMETER["latitude_of_origin",45],PARAMETER["central_meridian",-94.25],PARAMETER["false_easting",800000.0000101601],PARAMETER["false_northing",99999.99998984],UNIT["metre",1,AUTHORITY["EPSG","9001"]],AXIS["X",EAST],AXIS["Y",NORTH],AUTHORITY["EPSG","26831"]]</t>
  </si>
  <si>
    <t xml:space="preserve">+proj=lcc +lat_1=47.05 +lat_2=45.61666666666667 +lat_0=45 +lon_0=-94.25 +x_0=800000.0000101601 +y_0=99999.99998984 +ellps=GRS80 +towgs84=0,0,0,0,0,0,0 +units=m +no_defs </t>
  </si>
  <si>
    <t>PROJCS["NAD83(HARN) / Minnesota South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45.21666666666667],PARAMETER["standard_parallel_2",43.78333333333333],PARAMETER["latitude_of_origin",43],PARAMETER["central_meridian",-94],PARAMETER["false_easting",800000.0000101601],PARAMETER["false_northing",99999.99998984],UNIT["metre",1,AUTHORITY["EPSG","9001"]],AXIS["X",EAST],AXIS["Y",NORTH],AUTHORITY["EPSG","26832"]]</t>
  </si>
  <si>
    <t xml:space="preserve">+proj=lcc +lat_1=45.21666666666667 +lat_2=43.78333333333333 +lat_0=43 +lon_0=-94 +x_0=800000.0000101601 +y_0=99999.99998984 +ellps=GRS80 +towgs84=0,0,0,0,0,0,0 +units=m +no_defs </t>
  </si>
  <si>
    <t>PROJCS["NAD83(HARN) / Nebraska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40],PARAMETER["latitude_of_origin",39.83333333333334],PARAMETER["central_meridian",-100],PARAMETER["false_easting",500000.0000101601],PARAMETER["false_northing",0],UNIT["metre",1,AUTHORITY["EPSG","9001"]],AXIS["X",EAST],AXIS["Y",NORTH],AUTHORITY["EPSG","26833"]]</t>
  </si>
  <si>
    <t xml:space="preserve">+proj=lcc +lat_1=43 +lat_2=40 +lat_0=39.83333333333334 +lon_0=-100 +x_0=500000.0000101601 +y_0=0 +ellps=GRS80 +towgs84=0,0,0,0,0,0,0 +units=m +no_defs </t>
  </si>
  <si>
    <t>PROJCS["NAD83(HARN) / West Virginia North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40.25],PARAMETER["standard_parallel_2",39],PARAMETER["latitude_of_origin",38.5],PARAMETER["central_meridian",-79.5],PARAMETER["false_easting",1968500],PARAMETER["false_northing",0],UNIT["metre",1,AUTHORITY["EPSG","9001"]],AXIS["X",EAST],AXIS["Y",NORTH],AUTHORITY["EPSG","26834"]]</t>
  </si>
  <si>
    <t xml:space="preserve">+proj=lcc +lat_1=40.25 +lat_2=39 +lat_0=38.5 +lon_0=-79.5 +x_0=1968500 +y_0=0 +ellps=GRS80 +towgs84=0,0,0,0,0,0,0 +units=m +no_defs </t>
  </si>
  <si>
    <t>PROJCS["NAD83(HARN) / West Virginia South (ftUS) (deprecated)",GEOGCS["NAD83(HARN)",DATUM["NAD83_High_Accuracy_Reference_Network",SPHEROID["GRS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metre",1,AUTHORITY["EPSG","9001"]],AXIS["X",EAST],AXIS["Y",NORTH],AUTHORITY["EPSG","26835"]]</t>
  </si>
  <si>
    <t xml:space="preserve">+proj=lcc +lat_1=38.88333333333333 +lat_2=37.48333333333333 +lat_0=37 +lon_0=-81 +x_0=1968500 +y_0=0 +ellps=GRS80 +towgs84=0,0,0,0,0,0,0 +units=m +no_defs </t>
  </si>
  <si>
    <t>PROJCS["NAD83(NSRS2007) / Maine East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26836"]]</t>
  </si>
  <si>
    <t>GEOCCS["Peru96",DATUM["Peru96",SPHEROID["GRS 1980",6378137,298.257222101,AUTHORITY["EPSG","7019"]],AUTHORITY["EPSG","1067"]],PRIMEM["Greenwich",0,AUTHORITY["EPSG","8901"]],UNIT["metre",1,AUTHORITY["EPSG","9001"]],AXIS["Geocentric X",OTHER],AXIS["Geocentric Y",OTHER],AXIS["Geocentric Z",NORTH],AUTHORITY["EPSG","5369"]]</t>
  </si>
  <si>
    <t>PROJCS["NAD83(NSRS2007) / Maine West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26837"]]</t>
  </si>
  <si>
    <t>PROJCS["NAD83(NSRS2007) / Minnesota North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48.63333333333333],PARAMETER["standard_parallel_2",47.03333333333333],PARAMETER["latitude_of_origin",46.5],PARAMETER["central_meridian",-93.1],PARAMETER["false_easting",800000.0000101601],PARAMETER["false_northing",99999.99998984],UNIT["metre",1,AUTHORITY["EPSG","9001"]],AXIS["X",EAST],AXIS["Y",NORTH],AUTHORITY["EPSG","26841"]]</t>
  </si>
  <si>
    <t>PROJCS["NAD83(NSRS2007) / Minnesota Central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47.05],PARAMETER["standard_parallel_2",45.61666666666667],PARAMETER["latitude_of_origin",45],PARAMETER["central_meridian",-94.25],PARAMETER["false_easting",800000.0000101601],PARAMETER["false_northing",99999.99998984],UNIT["metre",1,AUTHORITY["EPSG","9001"]],AXIS["X",EAST],AXIS["Y",NORTH],AUTHORITY["EPSG","26842"]]</t>
  </si>
  <si>
    <t>PROJCS["NAD83(NSRS2007) / Minnesota South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45.21666666666667],PARAMETER["standard_parallel_2",43.78333333333333],PARAMETER["latitude_of_origin",43],PARAMETER["central_meridian",-94],PARAMETER["false_easting",800000.0000101601],PARAMETER["false_northing",99999.99998984],UNIT["metre",1,AUTHORITY["EPSG","9001"]],AXIS["X",EAST],AXIS["Y",NORTH],AUTHORITY["EPSG","26843"]]</t>
  </si>
  <si>
    <t>PROJCS["NAD83(NSRS2007) / Nebraska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40],PARAMETER["latitude_of_origin",39.83333333333334],PARAMETER["central_meridian",-100],PARAMETER["false_easting",500000.0000101601],PARAMETER["false_northing",0],UNIT["metre",1,AUTHORITY["EPSG","9001"]],AXIS["X",EAST],AXIS["Y",NORTH],AUTHORITY["EPSG","26844"]]</t>
  </si>
  <si>
    <t>PROJCS["NAD83(NSRS2007) / West Virginia North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40.25],PARAMETER["standard_parallel_2",39],PARAMETER["latitude_of_origin",38.5],PARAMETER["central_meridian",-79.5],PARAMETER["false_easting",1968500],PARAMETER["false_northing",0],UNIT["metre",1,AUTHORITY["EPSG","9001"]],AXIS["X",EAST],AXIS["Y",NORTH],AUTHORITY["EPSG","26845"]]</t>
  </si>
  <si>
    <t>PROJCS["NAD83(NSRS2007) / West Virginia South (ftUS) (deprecated)",GEOGCS["NAD83(NSRS2007)",DATUM["NAD83_National_Spatial_Reference_System_2007",SPHEROID["GRS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metre",1,AUTHORITY["EPSG","9001"]],AXIS["X",EAST],AXIS["Y",NORTH],AUTHORITY["EPSG","26846"]]</t>
  </si>
  <si>
    <t>PROJCS["NAD83 / Maine East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43.66666666666666],PARAMETER["central_meridian",-68.5],PARAMETER["scale_factor",0.9999],PARAMETER["false_easting",984250.0000000002],PARAMETER["false_northing",0],UNIT["US survey foot",0.3048006096012192,AUTHORITY["EPSG","9003"]],AXIS["X",EAST],AXIS["Y",NORTH],AUTHORITY["EPSG","26847"]]</t>
  </si>
  <si>
    <t>PROJCS["NAD83 / Maine West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42.83333333333334],PARAMETER["central_meridian",-70.16666666666667],PARAMETER["scale_factor",0.999966667],PARAMETER["false_easting",2952750],PARAMETER["false_northing",0],UNIT["US survey foot",0.3048006096012192,AUTHORITY["EPSG","9003"]],AXIS["X",EAST],AXIS["Y",NORTH],AUTHORITY["EPSG","26848"]]</t>
  </si>
  <si>
    <t>PROJCS["NAD83 / Minnesota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48.63333333333333],PARAMETER["standard_parallel_2",47.03333333333333],PARAMETER["latitude_of_origin",46.5],PARAMETER["central_meridian",-93.1],PARAMETER["false_easting",2624666.6667],PARAMETER["false_northing",328083.3333],UNIT["US survey foot",0.3048006096012192,AUTHORITY["EPSG","9003"]],AXIS["X",EAST],AXIS["Y",NORTH],AUTHORITY["EPSG","26849"]]</t>
  </si>
  <si>
    <t>PROJCS["NAD83 / Minnesota Central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47.05],PARAMETER["standard_parallel_2",45.61666666666667],PARAMETER["latitude_of_origin",45],PARAMETER["central_meridian",-94.25],PARAMETER["false_easting",2624666.6667],PARAMETER["false_northing",328083.3333],UNIT["US survey foot",0.3048006096012192,AUTHORITY["EPSG","9003"]],AXIS["X",EAST],AXIS["Y",NORTH],AUTHORITY["EPSG","26850"]]</t>
  </si>
  <si>
    <t>PROJCS["NAD83 / Minnesota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45.21666666666667],PARAMETER["standard_parallel_2",43.78333333333333],PARAMETER["latitude_of_origin",43],PARAMETER["central_meridian",-94],PARAMETER["false_easting",2624666.6667],PARAMETER["false_northing",328083.3333],UNIT["US survey foot",0.3048006096012192,AUTHORITY["EPSG","9003"]],AXIS["X",EAST],AXIS["Y",NORTH],AUTHORITY["EPSG","26851"]]</t>
  </si>
  <si>
    <t>PROJCS["NAD83 / Nebraska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foot",0.3048006096012192,AUTHORITY["EPSG","9003"]],AXIS["X",EAST],AXIS["Y",NORTH],AUTHORITY["EPSG","26852"]]</t>
  </si>
  <si>
    <t>PROJCS["NAD83 / West Virginia North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40.25],PARAMETER["standard_parallel_2",39],PARAMETER["latitude_of_origin",38.5],PARAMETER["central_meridian",-79.5],PARAMETER["false_easting",1968500],PARAMETER["false_northing",0],UNIT["US survey foot",0.3048006096012192,AUTHORITY["EPSG","9003"]],AXIS["X",EAST],AXIS["Y",NORTH],AUTHORITY["EPSG","26853"]]</t>
  </si>
  <si>
    <t>PROJCS["NAD83 / West Virginia South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US survey foot",0.3048006096012192,AUTHORITY["EPSG","9003"]],AXIS["X",EAST],AXIS["Y",NORTH],AUTHORITY["EPSG","26854"]]</t>
  </si>
  <si>
    <t>PROJCS["NAD83(HARN) / Maine East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43.66666666666666],PARAMETER["central_meridian",-68.5],PARAMETER["scale_factor",0.9999],PARAMETER["false_easting",984250.0000000002],PARAMETER["false_northing",0],UNIT["US survey foot",0.3048006096012192,AUTHORITY["EPSG","9003"]],AXIS["X",EAST],AXIS["Y",NORTH],AUTHORITY["EPSG","26855"]]</t>
  </si>
  <si>
    <t xml:space="preserve">+proj=tmerc +lat_0=43.66666666666666 +lon_0=-68.5 +k=0.9999 +x_0=300000.0000000001 +y_0=0 +ellps=GRS80 +towgs84=0,0,0,0,0,0,0 +units=us-ft +no_defs </t>
  </si>
  <si>
    <t>PROJCS["WGS 84 / UTM zone 13N",GEOGCS["WGS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32613"]]</t>
  </si>
  <si>
    <t>PROJCS["NAD83(HARN) / Maine West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Transverse_Mercator"],PARAMETER["latitude_of_origin",42.83333333333334],PARAMETER["central_meridian",-70.16666666666667],PARAMETER["scale_factor",0.999966667],PARAMETER["false_easting",2952750],PARAMETER["false_northing",0],UNIT["US survey foot",0.3048006096012192,AUTHORITY["EPSG","9003"]],AXIS["X",EAST],AXIS["Y",NORTH],AUTHORITY["EPSG","26856"]]</t>
  </si>
  <si>
    <t xml:space="preserve">+proj=tmerc +lat_0=42.83333333333334 +lon_0=-70.16666666666667 +k=0.999966667 +x_0=900000 +y_0=0 +ellps=GRS80 +towgs84=0,0,0,0,0,0,0 +units=us-ft +no_defs </t>
  </si>
  <si>
    <t>PROJCS["NAD83(HARN) / Minnesota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48.63333333333333],PARAMETER["standard_parallel_2",47.03333333333333],PARAMETER["latitude_of_origin",46.5],PARAMETER["central_meridian",-93.1],PARAMETER["false_easting",2624666.6667],PARAMETER["false_northing",328083.3333],UNIT["US survey foot",0.3048006096012192,AUTHORITY["EPSG","9003"]],AXIS["X",EAST],AXIS["Y",NORTH],AUTHORITY["EPSG","26857"]]</t>
  </si>
  <si>
    <t xml:space="preserve">+proj=lcc +lat_1=48.63333333333333 +lat_2=47.03333333333333 +lat_0=46.5 +lon_0=-93.09999999999999 +x_0=800000.0000101599 +y_0=99999.99998983997 +ellps=GRS80 +towgs84=0,0,0,0,0,0,0 +units=us-ft +no_defs </t>
  </si>
  <si>
    <t>PROJCS["NAD83(HARN) / Minnesota Central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47.05],PARAMETER["standard_parallel_2",45.61666666666667],PARAMETER["latitude_of_origin",45],PARAMETER["central_meridian",-94.25],PARAMETER["false_easting",2624666.6667],PARAMETER["false_northing",328083.3333],UNIT["US survey foot",0.3048006096012192,AUTHORITY["EPSG","9003"]],AXIS["X",EAST],AXIS["Y",NORTH],AUTHORITY["EPSG","26858"]]</t>
  </si>
  <si>
    <t xml:space="preserve">+proj=lcc +lat_1=47.05 +lat_2=45.61666666666667 +lat_0=45 +lon_0=-94.25 +x_0=800000.0000101599 +y_0=99999.99998983997 +ellps=GRS80 +towgs84=0,0,0,0,0,0,0 +units=us-ft +no_defs </t>
  </si>
  <si>
    <t>PROJCS["NAD83(HARN) / Minnesota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45.21666666666667],PARAMETER["standard_parallel_2",43.78333333333333],PARAMETER["latitude_of_origin",43],PARAMETER["central_meridian",-94],PARAMETER["false_easting",2624666.6667],PARAMETER["false_northing",328083.3333],UNIT["US survey foot",0.3048006096012192,AUTHORITY["EPSG","9003"]],AXIS["X",EAST],AXIS["Y",NORTH],AUTHORITY["EPSG","26859"]]</t>
  </si>
  <si>
    <t xml:space="preserve">+proj=lcc +lat_1=45.21666666666667 +lat_2=43.78333333333333 +lat_0=43 +lon_0=-94 +x_0=800000.0000101599 +y_0=99999.99998983997 +ellps=GRS80 +towgs84=0,0,0,0,0,0,0 +units=us-ft +no_defs </t>
  </si>
  <si>
    <t>PROJCS["NAD83(HARN) / Nebraska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foot",0.3048006096012192,AUTHORITY["EPSG","9003"]],AXIS["X",EAST],AXIS["Y",NORTH],AUTHORITY["EPSG","26860"]]</t>
  </si>
  <si>
    <t>PROJCS["NAD83(HARN) / West Virginia North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40.25],PARAMETER["standard_parallel_2",39],PARAMETER["latitude_of_origin",38.5],PARAMETER["central_meridian",-79.5],PARAMETER["false_easting",1968500],PARAMETER["false_northing",0],UNIT["US survey foot",0.3048006096012192,AUTHORITY["EPSG","9003"]],AXIS["X",EAST],AXIS["Y",NORTH],AUTHORITY["EPSG","26861"]]</t>
  </si>
  <si>
    <t xml:space="preserve">+proj=lcc +lat_1=40.25 +lat_2=39 +lat_0=38.5 +lon_0=-79.5 +x_0=600000 +y_0=0 +ellps=GRS80 +towgs84=0,0,0,0,0,0,0 +units=us-ft +no_defs </t>
  </si>
  <si>
    <t>PROJCS["NAD83(HARN) / West Virginia South (ftUS)",GEOGCS["NAD83(HARN)",DATUM["NAD83_High_Accuracy_Reference_Network",SPHEROID["GRS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US survey foot",0.3048006096012192,AUTHORITY["EPSG","9003"]],AXIS["X",EAST],AXIS["Y",NORTH],AUTHORITY["EPSG","26862"]]</t>
  </si>
  <si>
    <t xml:space="preserve">+proj=lcc +lat_1=38.88333333333333 +lat_2=37.48333333333333 +lat_0=37 +lon_0=-81 +x_0=600000 +y_0=0 +ellps=GRS80 +towgs84=0,0,0,0,0,0,0 +units=us-ft +no_defs </t>
  </si>
  <si>
    <t>PROJCS["NAD83(NSRS2007) / Maine East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43.66666666666666],PARAMETER["central_meridian",-68.5],PARAMETER["scale_factor",0.9999],PARAMETER["false_easting",984250.0000000002],PARAMETER["false_northing",0],UNIT["US survey foot",0.3048006096012192,AUTHORITY["EPSG","9003"]],AXIS["X",EAST],AXIS["Y",NORTH],AUTHORITY["EPSG","26863"]]</t>
  </si>
  <si>
    <t>PROJCS["NAD83(NSRS2007) / Maine West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Transverse_Mercator"],PARAMETER["latitude_of_origin",42.83333333333334],PARAMETER["central_meridian",-70.16666666666667],PARAMETER["scale_factor",0.999966667],PARAMETER["false_easting",2952750],PARAMETER["false_northing",0],UNIT["US survey foot",0.3048006096012192,AUTHORITY["EPSG","9003"]],AXIS["X",EAST],AXIS["Y",NORTH],AUTHORITY["EPSG","26864"]]</t>
  </si>
  <si>
    <t>PROJCS["NAD83(NSRS2007) / Minnesota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48.63333333333333],PARAMETER["standard_parallel_2",47.03333333333333],PARAMETER["latitude_of_origin",46.5],PARAMETER["central_meridian",-93.1],PARAMETER["false_easting",2624666.6667],PARAMETER["false_northing",328083.3333],UNIT["US survey foot",0.3048006096012192,AUTHORITY["EPSG","9003"]],AXIS["X",EAST],AXIS["Y",NORTH],AUTHORITY["EPSG","26865"]]</t>
  </si>
  <si>
    <t>PROJCS["NAD83(NSRS2007) / Minnesota Central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47.05],PARAMETER["standard_parallel_2",45.61666666666667],PARAMETER["latitude_of_origin",45],PARAMETER["central_meridian",-94.25],PARAMETER["false_easting",2624666.6667],PARAMETER["false_northing",328083.3333],UNIT["US survey foot",0.3048006096012192,AUTHORITY["EPSG","9003"]],AXIS["X",EAST],AXIS["Y",NORTH],AUTHORITY["EPSG","26866"]]</t>
  </si>
  <si>
    <t>PROJCS["NAD83(NSRS2007) / Minnesota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45.21666666666667],PARAMETER["standard_parallel_2",43.78333333333333],PARAMETER["latitude_of_origin",43],PARAMETER["central_meridian",-94],PARAMETER["false_easting",2624666.6667],PARAMETER["false_northing",328083.3333],UNIT["US survey foot",0.3048006096012192,AUTHORITY["EPSG","9003"]],AXIS["X",EAST],AXIS["Y",NORTH],AUTHORITY["EPSG","26867"]]</t>
  </si>
  <si>
    <t>PROJCS["NAD83(NSRS2007) / Nebraska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43],PARAMETER["standard_parallel_2",40],PARAMETER["latitude_of_origin",39.83333333333334],PARAMETER["central_meridian",-100],PARAMETER["false_easting",1640416.6667],PARAMETER["false_northing",0],UNIT["US survey foot",0.3048006096012192,AUTHORITY["EPSG","9003"]],AXIS["X",EAST],AXIS["Y",NORTH],AUTHORITY["EPSG","26868"]]</t>
  </si>
  <si>
    <t>PROJCS["NAD83(NSRS2007) / West Virginia North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40.25],PARAMETER["standard_parallel_2",39],PARAMETER["latitude_of_origin",38.5],PARAMETER["central_meridian",-79.5],PARAMETER["false_easting",1968500],PARAMETER["false_northing",0],UNIT["US survey foot",0.3048006096012192,AUTHORITY["EPSG","9003"]],AXIS["X",EAST],AXIS["Y",NORTH],AUTHORITY["EPSG","26869"]]</t>
  </si>
  <si>
    <t>PROJCS["NAD83(NSRS2007) / West Virginia South (ftUS)",GEOGCS["NAD83(NSRS2007)",DATUM["NAD83_National_Spatial_Reference_System_2007",SPHEROID["GRS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PROJECTION["Lambert_Conformal_Conic_2SP"],PARAMETER["standard_parallel_1",38.88333333333333],PARAMETER["standard_parallel_2",37.48333333333333],PARAMETER["latitude_of_origin",37],PARAMETER["central_meridian",-81],PARAMETER["false_easting",1968500],PARAMETER["false_northing",0],UNIT["US survey foot",0.3048006096012192,AUTHORITY["EPSG","9003"]],AXIS["X",EAST],AXIS["Y",NORTH],AUTHORITY["EPSG","26870"]]</t>
  </si>
  <si>
    <t>PROJCS["NAD83(CSRS) / MTM zone 11",GEOGCS["NAD83(CSRS)",DATUM["NAD83_Canadian_Spatial_Reference_System",SPHEROID["GRS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-82.5],PARAMETER["scale_factor",0.9999],PARAMETER["false_easting",304800],PARAMETER["false_northing",0],UNIT["metre",1,AUTHORITY["EPSG","9001"]],AXIS["Easting",EAST],AXIS["Northing",NORTH],AUTHORITY["EPSG","26891"]]</t>
  </si>
  <si>
    <t xml:space="preserve">+proj=tmerc +lat_0=0 +lon_0=-82.5 +k=0.9999 +x_0=304800 +y_0=0 +ellps=GRS80 +towgs84=0,0,0,0,0,0,0 +units=m +no_defs </t>
  </si>
  <si>
    <t>PROJCS["NAD83(CSRS) / MTM zone 14",GEOGCS["NAD83(CSRS)",DATUM["NAD83_Canadian_Spatial_Reference_System",SPHEROID["GRS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-87],PARAMETER["scale_factor",0.9999],PARAMETER["false_easting",304800],PARAMETER["false_northing",0],UNIT["metre",1,AUTHORITY["EPSG","9001"]],AXIS["Easting",EAST],AXIS["Northing",NORTH],AUTHORITY["EPSG","26894"]]</t>
  </si>
  <si>
    <t xml:space="preserve">+proj=tmerc +lat_0=0 +lon_0=-87 +k=0.9999 +x_0=304800 +y_0=0 +ellps=GRS80 +towgs84=0,0,0,0,0,0,0 +units=m +no_defs </t>
  </si>
  <si>
    <t>PROJCS["NAD83(CSRS) / MTM zone 15",GEOGCS["NAD83(CSRS)",DATUM["NAD83_Canadian_Spatial_Reference_System",SPHEROID["GRS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-90],PARAMETER["scale_factor",0.9999],PARAMETER["false_easting",304800],PARAMETER["false_northing",0],UNIT["metre",1,AUTHORITY["EPSG","9001"]],AXIS["Easting",EAST],AXIS["Northing",NORTH],AUTHORITY["EPSG","26895"]]</t>
  </si>
  <si>
    <t xml:space="preserve">+proj=tmerc +lat_0=0 +lon_0=-90 +k=0.9999 +x_0=304800 +y_0=0 +ellps=GRS80 +towgs84=0,0,0,0,0,0,0 +units=m +no_defs </t>
  </si>
  <si>
    <t>PROJCS["NAD83(CSRS) / MTM zone 16",GEOGCS["NAD83(CSRS)",DATUM["NAD83_Canadian_Spatial_Reference_System",SPHEROID["GRS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-93],PARAMETER["scale_factor",0.9999],PARAMETER["false_easting",304800],PARAMETER["false_northing",0],UNIT["metre",1,AUTHORITY["EPSG","9001"]],AXIS["Easting",EAST],AXIS["Northing",NORTH],AUTHORITY["EPSG","26896"]]</t>
  </si>
  <si>
    <t xml:space="preserve">+proj=tmerc +lat_0=0 +lon_0=-93 +k=0.9999 +x_0=304800 +y_0=0 +ellps=GRS80 +towgs84=0,0,0,0,0,0,0 +units=m +no_defs </t>
  </si>
  <si>
    <t>PROJCS["NAD83(CSRS) / MTM zone 17",GEOGCS["NAD83(CSRS)",DATUM["NAD83_Canadian_Spatial_Reference_System",SPHEROID["GRS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-96],PARAMETER["scale_factor",0.9999],PARAMETER["false_easting",304800],PARAMETER["false_northing",0],UNIT["metre",1,AUTHORITY["EPSG","9001"]],AXIS["Easting",EAST],AXIS["Northing",NORTH],AUTHORITY["EPSG","26897"]]</t>
  </si>
  <si>
    <t xml:space="preserve">+proj=tmerc +lat_0=0 +lon_0=-96 +k=0.9999 +x_0=304800 +y_0=0 +ellps=GRS80 +towgs84=0,0,0,0,0,0,0 +units=m +no_defs </t>
  </si>
  <si>
    <t>PROJCS["NAD83(CSRS) / MTM zone 1",GEOGCS["NAD83(CSRS)",DATUM["NAD83_Canadian_Spatial_Reference_System",SPHEROID["GRS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-53],PARAMETER["scale_factor",0.9999],PARAMETER["false_easting",304800],PARAMETER["false_northing",0],UNIT["metre",1,AUTHORITY["EPSG","9001"]],AXIS["E(X)",EAST],AXIS["N(Y)",NORTH],AUTHORITY["EPSG","26898"]]</t>
  </si>
  <si>
    <t xml:space="preserve">+proj=tmerc +lat_0=0 +lon_0=-53 +k=0.9999 +x_0=304800 +y_0=0 +ellps=GRS80 +towgs84=0,0,0,0,0,0,0 +units=m +no_defs </t>
  </si>
  <si>
    <t>PROJCS["NAD83(CSRS) / MTM zone 2",GEOGCS["NAD83(CSRS)",DATUM["NAD83_Canadian_Spatial_Reference_System",SPHEROID["GRS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-56],PARAMETER["scale_factor",0.9999],PARAMETER["false_easting",304800],PARAMETER["false_northing",0],UNIT["metre",1,AUTHORITY["EPSG","9001"]],AXIS["E(X)",EAST],AXIS["N(Y)",NORTH],AUTHORITY["EPSG","26899"]]</t>
  </si>
  <si>
    <t xml:space="preserve">+proj=tmerc +lat_0=0 +lon_0=-56 +k=0.9999 +x_0=304800 +y_0=0 +ellps=GRS80 +towgs84=0,0,0,0,0,0,0 +units=m +no_defs </t>
  </si>
  <si>
    <t>PROJCS["NAD83 / UTM zone 1N",GEOGCS["NAD83",DATUM["North_American_Datum_1983",SPHEROID["GRS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26901"]]</t>
  </si>
  <si>
    <t>PROJCS["NAD83 / UTM zone 2N",GEOGCS["NAD83",DATUM["North_American_Datum_1983",SPHEROID["GRS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26902"]]</t>
  </si>
  <si>
    <t>PROJCS["NAD83 / UTM zone 3N",GEOGCS["NAD83",DATUM["North_American_Datum_1983",SPHEROID["GRS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26903"]]</t>
  </si>
  <si>
    <t>PROJCS["NAD83 / UTM zone 4N",GEOGCS["NAD83",DATUM["North_American_Datum_1983",SPHEROID["GRS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26904"]]</t>
  </si>
  <si>
    <t>PROJCS["NAD83 / UTM zone 5N",GEOGCS["NAD83",DATUM["North_American_Datum_1983",SPHEROID["GRS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26905"]]</t>
  </si>
  <si>
    <t>PROJCS["NAD83 / UTM zone 6N",GEOGCS["NAD83",DATUM["North_American_Datum_1983",SPHEROID["GRS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26906"]]</t>
  </si>
  <si>
    <t>PROJCS["NAD83 / UTM zone 7N",GEOGCS["NAD83",DATUM["North_American_Datum_1983",SPHEROID["GRS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26907"]]</t>
  </si>
  <si>
    <t>PROJCS["NAD83 / UTM zone 8N",GEOGCS["NAD83",DATUM["North_American_Datum_1983",SPHEROID["GRS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26908"]]</t>
  </si>
  <si>
    <t>PROJCS["NAD83 / UTM zone 9N",GEOGCS["NAD83",DATUM["North_American_Datum_1983",SPHEROID["GRS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26909"]]</t>
  </si>
  <si>
    <t>PROJCS["NAD83 / UTM zone 10N",GEOGCS["NAD83",DATUM["North_American_Datum_1983",SPHEROID["GRS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26910"]]</t>
  </si>
  <si>
    <t>PROJCS["NAD83 / UTM zone 11N",GEOGCS["NAD83",DATUM["North_American_Datum_1983",SPHEROID["GRS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26911"]]</t>
  </si>
  <si>
    <t>PROJCS["NAD83 / UTM zone 12N",GEOGCS["NAD83",DATUM["North_American_Datum_1983",SPHEROID["GRS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26912"]]</t>
  </si>
  <si>
    <t>PROJCS["NAD83 / UTM zone 13N",GEOGCS["NAD83",DATUM["North_American_Datum_1983",SPHEROID["GRS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26913"]]</t>
  </si>
  <si>
    <t>PROJCS["NAD83 / UTM zone 14N",GEOGCS["NAD83",DATUM["North_American_Datum_1983",SPHEROID["GRS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26914"]]</t>
  </si>
  <si>
    <t>PROJCS["NAD83 / UTM zone 15N",GEOGCS["NAD83",DATUM["North_American_Datum_1983",SPHEROID["GRS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26915"]]</t>
  </si>
  <si>
    <t>PROJCS["NAD83 / UTM zone 16N",GEOGCS["NAD83",DATUM["North_American_Datum_1983",SPHEROID["GRS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26916"]]</t>
  </si>
  <si>
    <t>PROJCS["NAD83 / UTM zone 17N",GEOGCS["NAD83",DATUM["North_American_Datum_1983",SPHEROID["GRS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26917"]]</t>
  </si>
  <si>
    <t>PROJCS["NAD83 / UTM zone 18N",GEOGCS["NAD83",DATUM["North_American_Datum_1983",SPHEROID["GRS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26918"]]</t>
  </si>
  <si>
    <t>PROJCS["NAD83 / UTM zone 19N",GEOGCS["NAD83",DATUM["North_American_Datum_1983",SPHEROID["GRS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26919"]]</t>
  </si>
  <si>
    <t>PROJCS["NAD83 / UTM zone 20N",GEOGCS["NAD83",DATUM["North_American_Datum_1983",SPHEROID["GRS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26920"]]</t>
  </si>
  <si>
    <t>PROJCS["NAD83 / UTM zone 21N",GEOGCS["NAD83",DATUM["North_American_Datum_1983",SPHEROID["GRS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26921"]]</t>
  </si>
  <si>
    <t>PROJCS["NAD83 / UTM zone 22N",GEOGCS["NAD83",DATUM["North_American_Datum_1983",SPHEROID["GRS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26922"]]</t>
  </si>
  <si>
    <t>PROJCS["NAD83 / UTM zone 23N",GEOGCS["NAD83",DATUM["North_American_Datum_1983",SPHEROID["GRS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26923"]]</t>
  </si>
  <si>
    <t>PROJCS["NAD83 / Alabama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30.5],PARAMETER["central_meridian",-85.83333333333333],PARAMETER["scale_factor",0.99996],PARAMETER["false_easting",200000],PARAMETER["false_northing",0],UNIT["metre",1,AUTHORITY["EPSG","9001"]],AXIS["X",EAST],AXIS["Y",NORTH],AUTHORITY["EPSG","26929"]]</t>
  </si>
  <si>
    <t>PROJCS["NAD83 / Alabama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-87.5],PARAMETER["scale_factor",0.999933333],PARAMETER["false_easting",600000],PARAMETER["false_northing",0],UNIT["metre",1,AUTHORITY["EPSG","9001"]],AXIS["X",EAST],AXIS["Y",NORTH],AUTHORITY["EPSG","26930"]]</t>
  </si>
  <si>
    <t>GEOCCS["SIRGAS-ROU98",DATUM["SIRGAS_ROU98",SPHEROID["WGS 84",6378137,298.257223563,AUTHORITY["EPSG","7030"]],AUTHORITY["EPSG","1068"]],PRIMEM["Greenwich",0,AUTHORITY["EPSG","8901"]],UNIT["metre",1,AUTHORITY["EPSG","9001"]],AXIS["Geocentric X",OTHER],AXIS["Geocentric Y",OTHER],AXIS["Geocentric Z",NORTH],AUTHORITY["EPSG","5379"]]</t>
  </si>
  <si>
    <t>PROJCS["NAD83 / Alaska zone 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Hotine_Oblique_Mercator"],PARAMETER["latitude_of_center",57],PARAMETER["longitude_of_center",-133.6666666666667],PARAMETER["azimuth",323.1301023611111],PARAMETER["rectified_grid_angle",323.1301023611111],PARAMETER["scale_factor",0.9999],PARAMETER["false_easting",5000000],PARAMETER["false_northing",-5000000],UNIT["metre",1,AUTHORITY["EPSG","9001"]],AXIS["X",EAST],AXIS["Y",NORTH],AUTHORITY["EPSG","26931"]]</t>
  </si>
  <si>
    <t>PROJCS["NAD83 / Alaska zone 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-142],PARAMETER["scale_factor",0.9999],PARAMETER["false_easting",500000],PARAMETER["false_northing",0],UNIT["metre",1,AUTHORITY["EPSG","9001"]],AXIS["X",EAST],AXIS["Y",NORTH],AUTHORITY["EPSG","26932"]]</t>
  </si>
  <si>
    <t>PROJCS["NAD83 / Alaska zone 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-146],PARAMETER["scale_factor",0.9999],PARAMETER["false_easting",500000],PARAMETER["false_northing",0],UNIT["metre",1,AUTHORITY["EPSG","9001"]],AXIS["X",EAST],AXIS["Y",NORTH],AUTHORITY["EPSG","26933"]]</t>
  </si>
  <si>
    <t>PROJCS["NAD83 / Alaska zone 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-150],PARAMETER["scale_factor",0.9999],PARAMETER["false_easting",500000],PARAMETER["false_northing",0],UNIT["metre",1,AUTHORITY["EPSG","9001"]],AXIS["X",EAST],AXIS["Y",NORTH],AUTHORITY["EPSG","26934"]]</t>
  </si>
  <si>
    <t>PROJCS["NAD83 / Alaska zone 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-154],PARAMETER["scale_factor",0.9999],PARAMETER["false_easting",500000],PARAMETER["false_northing",0],UNIT["metre",1,AUTHORITY["EPSG","9001"]],AXIS["X",EAST],AXIS["Y",NORTH],AUTHORITY["EPSG","26935"]]</t>
  </si>
  <si>
    <t>PROJCS["NAD83 / Alaska zone 6",GEOGCS["NAD83",DATUM["North_American_Datum_1983",SPHEROID["GRS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-158],PARAMETER["scale_factor",0.9999],PARAMETER["false_easting",500000],PARAMETER["false_northing",0],UNIT["metre",1,AUTHORITY["EPSG","9001"]],AXIS["X",EAST],AXIS["Y",NORTH],AUTHORITY["EPSG","26936"]]</t>
  </si>
  <si>
    <t>PROJCS["NAD83 / Alaska zone 7",GEOGCS["NAD83",DATUM["North_American_Datum_1983",SPHEROID["GRS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-162],PARAMETER["scale_factor",0.9999],PARAMETER["false_easting",500000],PARAMETER["false_northing",0],UNIT["metre",1,AUTHORITY["EPSG","9001"]],AXIS["X",EAST],AXIS["Y",NORTH],AUTHORITY["EPSG","26937"]]</t>
  </si>
  <si>
    <t>PROJCS["NAD83 / Alaska zone 8",GEOGCS["NAD83",DATUM["North_American_Datum_1983",SPHEROID["GRS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-166],PARAMETER["scale_factor",0.9999],PARAMETER["false_easting",500000],PARAMETER["false_northing",0],UNIT["metre",1,AUTHORITY["EPSG","9001"]],AXIS["X",EAST],AXIS["Y",NORTH],AUTHORITY["EPSG","26938"]]</t>
  </si>
  <si>
    <t>PROJCS["NAD83 / Alaska zone 9",GEOGCS["NAD83",DATUM["North_American_Datum_1983",SPHEROID["GRS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54],PARAMETER["central_meridian",-170],PARAMETER["scale_factor",0.9999],PARAMETER["false_easting",500000],PARAMETER["false_northing",0],UNIT["metre",1,AUTHORITY["EPSG","9001"]],AXIS["X",EAST],AXIS["Y",NORTH],AUTHORITY["EPSG","26939"]]</t>
  </si>
  <si>
    <t>PROJCS["NAD83 / Alaska zone 10",GEOGCS["NAD83",DATUM["North_American_Datum_1983",SPHEROID["GRS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53.83333333333334],PARAMETER["standard_parallel_2",51.83333333333334],PARAMETER["latitude_of_origin",51],PARAMETER["central_meridian",-176],PARAMETER["false_easting",1000000],PARAMETER["false_northing",0],UNIT["metre",1,AUTHORITY["EPSG","9001"]],AXIS["X",EAST],AXIS["Y",NORTH],AUTHORITY["EPSG","26940"]]</t>
  </si>
  <si>
    <t>PROJCS["NAD83 / California zone 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41.66666666666666],PARAMETER["standard_parallel_2",40],PARAMETER["latitude_of_origin",39.33333333333334],PARAMETER["central_meridian",-122],PARAMETER["false_easting",2000000],PARAMETER["false_northing",500000],UNIT["metre",1,AUTHORITY["EPSG","9001"]],AXIS["X",EAST],AXIS["Y",NORTH],AUTHORITY["EPSG","26941"]]</t>
  </si>
  <si>
    <t>PROJCS["NAD83 / California zone 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39.83333333333334],PARAMETER["standard_parallel_2",38.33333333333334],PARAMETER["latitude_of_origin",37.66666666666666],PARAMETER["central_meridian",-122],PARAMETER["false_easting",2000000],PARAMETER["false_northing",500000],UNIT["metre",1,AUTHORITY["EPSG","9001"]],AXIS["X",EAST],AXIS["Y",NORTH],AUTHORITY["EPSG","26942"]]</t>
  </si>
  <si>
    <t>PROJCS["NAD83 / California zone 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38.43333333333333],PARAMETER["standard_parallel_2",37.06666666666667],PARAMETER["latitude_of_origin",36.5],PARAMETER["central_meridian",-120.5],PARAMETER["false_easting",2000000],PARAMETER["false_northing",500000],UNIT["metre",1,AUTHORITY["EPSG","9001"]],AXIS["X",EAST],AXIS["Y",NORTH],AUTHORITY["EPSG","26943"]]</t>
  </si>
  <si>
    <t>PROJCS["NAD83 / California zone 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37.25],PARAMETER["standard_parallel_2",36],PARAMETER["latitude_of_origin",35.33333333333334],PARAMETER["central_meridian",-119],PARAMETER["false_easting",2000000],PARAMETER["false_northing",500000],UNIT["metre",1,AUTHORITY["EPSG","9001"]],AXIS["X",EAST],AXIS["Y",NORTH],AUTHORITY["EPSG","26944"]]</t>
  </si>
  <si>
    <t>PROJCS["NAD83 / California zone 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35.46666666666667],PARAMETER["standard_parallel_2",34.03333333333333],PARAMETER["latitude_of_origin",33.5],PARAMETER["central_meridian",-118],PARAMETER["false_easting",2000000],PARAMETER["false_northing",500000],UNIT["metre",1,AUTHORITY["EPSG","9001"]],AXIS["X",EAST],AXIS["Y",NORTH],AUTHORITY["EPSG","26945"]]</t>
  </si>
  <si>
    <t>PROJCS["NAD83 / California zone 6",GEOGCS["NAD83",DATUM["North_American_Datum_1983",SPHEROID["GRS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33.88333333333333],PARAMETER["standard_parallel_2",32.78333333333333],PARAMETER["latitude_of_origin",32.16666666666666],PARAMETER["central_meridian",-116.25],PARAMETER["false_easting",2000000],PARAMETER["false_northing",500000],UNIT["metre",1,AUTHORITY["EPSG","9001"]],AXIS["X",EAST],AXIS["Y",NORTH],AUTHORITY["EPSG","26946"]]</t>
  </si>
  <si>
    <t>PROJCS["NAD83 / Arizona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-110.1666666666667],PARAMETER["scale_factor",0.9999],PARAMETER["false_easting",213360],PARAMETER["false_northing",0],UNIT["metre",1,AUTHORITY["EPSG","9001"]],AXIS["X",EAST],AXIS["Y",NORTH],AUTHORITY["EPSG","26948"]]</t>
  </si>
  <si>
    <t>PROJCS["NAD83 / Arizona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-111.9166666666667],PARAMETER["scale_factor",0.9999],PARAMETER["false_easting",213360],PARAMETER["false_northing",0],UNIT["metre",1,AUTHORITY["EPSG","9001"]],AXIS["X",EAST],AXIS["Y",NORTH],AUTHORITY["EPSG","26949"]]</t>
  </si>
  <si>
    <t>PROJCS["NAD83 / Arizona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-113.75],PARAMETER["scale_factor",0.999933333],PARAMETER["false_easting",213360],PARAMETER["false_northing",0],UNIT["metre",1,AUTHORITY["EPSG","9001"]],AXIS["X",EAST],AXIS["Y",NORTH],AUTHORITY["EPSG","26950"]]</t>
  </si>
  <si>
    <t>PROJCS["NAD83 / Arkansas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36.23333333333333],PARAMETER["standard_parallel_2",34.93333333333333],PARAMETER["latitude_of_origin",34.33333333333334],PARAMETER["central_meridian",-92],PARAMETER["false_easting",400000],PARAMETER["false_northing",0],UNIT["metre",1,AUTHORITY["EPSG","9001"]],AXIS["X",EAST],AXIS["Y",NORTH],AUTHORITY["EPSG","26951"]]</t>
  </si>
  <si>
    <t>PROJCS["NAD83 / Arkansas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34.76666666666667],PARAMETER["standard_parallel_2",33.3],PARAMETER["latitude_of_origin",32.66666666666666],PARAMETER["central_meridian",-92],PARAMETER["false_easting",400000],PARAMETER["false_northing",400000],UNIT["metre",1,AUTHORITY["EPSG","9001"]],AXIS["X",EAST],AXIS["Y",NORTH],AUTHORITY["EPSG","26952"]]</t>
  </si>
  <si>
    <t>PROJCS["NAD83 / Colorado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40.78333333333333],PARAMETER["standard_parallel_2",39.71666666666667],PARAMETER["latitude_of_origin",39.33333333333334],PARAMETER["central_meridian",-105.5],PARAMETER["false_easting",914401.8289],PARAMETER["false_northing",304800.6096],UNIT["metre",1,AUTHORITY["EPSG","9001"]],AXIS["X",EAST],AXIS["Y",NORTH],AUTHORITY["EPSG","26953"]]</t>
  </si>
  <si>
    <t>PROJCS["NAD83 / Colorado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39.75],PARAMETER["standard_parallel_2",38.45],PARAMETER["latitude_of_origin",37.83333333333334],PARAMETER["central_meridian",-105.5],PARAMETER["false_easting",914401.8289],PARAMETER["false_northing",304800.6096],UNIT["metre",1,AUTHORITY["EPSG","9001"]],AXIS["X",EAST],AXIS["Y",NORTH],AUTHORITY["EPSG","26954"]]</t>
  </si>
  <si>
    <t>PROJCS["NAD83 / Colorado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38.43333333333333],PARAMETER["standard_parallel_2",37.23333333333333],PARAMETER["latitude_of_origin",36.66666666666666],PARAMETER["central_meridian",-105.5],PARAMETER["false_easting",914401.8289],PARAMETER["false_northing",304800.6096],UNIT["metre",1,AUTHORITY["EPSG","9001"]],AXIS["X",EAST],AXIS["Y",NORTH],AUTHORITY["EPSG","26955"]]</t>
  </si>
  <si>
    <t>PROJCS["NAD83 / Connecticut",GEOGCS["NAD83",DATUM["North_American_Datum_1983",SPHEROID["GRS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41.86666666666667],PARAMETER["standard_parallel_2",41.2],PARAMETER["latitude_of_origin",40.83333333333334],PARAMETER["central_meridian",-72.75],PARAMETER["false_easting",304800.6096],PARAMETER["false_northing",152400.3048],UNIT["metre",1,AUTHORITY["EPSG","9001"]],AXIS["X",EAST],AXIS["Y",NORTH],AUTHORITY["EPSG","26956"]]</t>
  </si>
  <si>
    <t>PROJCS["NAD83 / Delaware",GEOGCS["NAD83",DATUM["North_American_Datum_1983",SPHEROID["GRS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38],PARAMETER["central_meridian",-75.41666666666667],PARAMETER["scale_factor",0.999995],PARAMETER["false_easting",200000],PARAMETER["false_northing",0],UNIT["metre",1,AUTHORITY["EPSG","9001"]],AXIS["X",EAST],AXIS["Y",NORTH],AUTHORITY["EPSG","26957"]]</t>
  </si>
  <si>
    <t>PROJCS["NAD83 / Florida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24.33333333333333],PARAMETER["central_meridian",-81],PARAMETER["scale_factor",0.999941177],PARAMETER["false_easting",200000],PARAMETER["false_northing",0],UNIT["metre",1,AUTHORITY["EPSG","9001"]],AXIS["X",EAST],AXIS["Y",NORTH],AUTHORITY["EPSG","26958"]]</t>
  </si>
  <si>
    <t>PROJCS["NAD83 / Florida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24.33333333333333],PARAMETER["central_meridian",-82],PARAMETER["scale_factor",0.999941177],PARAMETER["false_easting",200000],PARAMETER["false_northing",0],UNIT["metre",1,AUTHORITY["EPSG","9001"]],AXIS["X",EAST],AXIS["Y",NORTH],AUTHORITY["EPSG","26959"]]</t>
  </si>
  <si>
    <t>PROJCS["NAD83 / Florida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30.75],PARAMETER["standard_parallel_2",29.58333333333333],PARAMETER["latitude_of_origin",29],PARAMETER["central_meridian",-84.5],PARAMETER["false_easting",600000],PARAMETER["false_northing",0],UNIT["metre",1,AUTHORITY["EPSG","9001"]],AXIS["X",EAST],AXIS["Y",NORTH],AUTHORITY["EPSG","26960"]]</t>
  </si>
  <si>
    <t>PROJCS["NAD83 / Hawaii zone 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18.83333333333333],PARAMETER["central_meridian",-155.5],PARAMETER["scale_factor",0.999966667],PARAMETER["false_easting",500000],PARAMETER["false_northing",0],UNIT["metre",1,AUTHORITY["EPSG","9001"]],AXIS["X",EAST],AXIS["Y",NORTH],AUTHORITY["EPSG","26961"]]</t>
  </si>
  <si>
    <t>PROJCS["NAD83 / Hawaii zone 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20.33333333333333],PARAMETER["central_meridian",-156.6666666666667],PARAMETER["scale_factor",0.999966667],PARAMETER["false_easting",500000],PARAMETER["false_northing",0],UNIT["metre",1,AUTHORITY["EPSG","9001"]],AXIS["X",EAST],AXIS["Y",NORTH],AUTHORITY["EPSG","26962"]]</t>
  </si>
  <si>
    <t>PROJCS["NAD83 / Hawaii zone 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21.16666666666667],PARAMETER["central_meridian",-158],PARAMETER["scale_factor",0.99999],PARAMETER["false_easting",500000],PARAMETER["false_northing",0],UNIT["metre",1,AUTHORITY["EPSG","9001"]],AXIS["X",EAST],AXIS["Y",NORTH],AUTHORITY["EPSG","26963"]]</t>
  </si>
  <si>
    <t>PROJCS["NAD83 / Hawaii zone 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21.83333333333333],PARAMETER["central_meridian",-159.5],PARAMETER["scale_factor",0.99999],PARAMETER["false_easting",500000],PARAMETER["false_northing",0],UNIT["metre",1,AUTHORITY["EPSG","9001"]],AXIS["X",EAST],AXIS["Y",NORTH],AUTHORITY["EPSG","26964"]]</t>
  </si>
  <si>
    <t>PROJCS["NAD83 / Hawaii zone 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21.66666666666667],PARAMETER["central_meridian",-160.1666666666667],PARAMETER["scale_factor",1],PARAMETER["false_easting",500000],PARAMETER["false_northing",0],UNIT["metre",1,AUTHORITY["EPSG","9001"]],AXIS["X",EAST],AXIS["Y",NORTH],AUTHORITY["EPSG","26965"]]</t>
  </si>
  <si>
    <t>PROJCS["NAD83 / Georgia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-82.16666666666667],PARAMETER["scale_factor",0.9999],PARAMETER["false_easting",200000],PARAMETER["false_northing",0],UNIT["metre",1,AUTHORITY["EPSG","9001"]],AXIS["X",EAST],AXIS["Y",NORTH],AUTHORITY["EPSG","26966"]]</t>
  </si>
  <si>
    <t>PROJCS["NAD83 / Georgia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30],PARAMETER["central_meridian",-84.16666666666667],PARAMETER["scale_factor",0.9999],PARAMETER["false_easting",700000],PARAMETER["false_northing",0],UNIT["metre",1,AUTHORITY["EPSG","9001"]],AXIS["X",EAST],AXIS["Y",NORTH],AUTHORITY["EPSG","26967"]]</t>
  </si>
  <si>
    <t>PROJCS["NAD83 / Idaho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-112.1666666666667],PARAMETER["scale_factor",0.999947368],PARAMETER["false_easting",200000],PARAMETER["false_northing",0],UNIT["metre",1,AUTHORITY["EPSG","9001"]],AXIS["X",EAST],AXIS["Y",NORTH],AUTHORITY["EPSG","26968"]]</t>
  </si>
  <si>
    <t>PROJCS["WGS 84 / UTM zone 14N",GEOGCS["WGS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32614"]]</t>
  </si>
  <si>
    <t>PROJCS["NAD83 / Idaho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-114],PARAMETER["scale_factor",0.999947368],PARAMETER["false_easting",500000],PARAMETER["false_northing",0],UNIT["metre",1,AUTHORITY["EPSG","9001"]],AXIS["X",EAST],AXIS["Y",NORTH],AUTHORITY["EPSG","26969"]]</t>
  </si>
  <si>
    <t>PROJCS["NAD83 / Idaho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41.66666666666666],PARAMETER["central_meridian",-115.75],PARAMETER["scale_factor",0.999933333],PARAMETER["false_easting",800000],PARAMETER["false_northing",0],UNIT["metre",1,AUTHORITY["EPSG","9001"]],AXIS["X",EAST],AXIS["Y",NORTH],AUTHORITY["EPSG","26970"]]</t>
  </si>
  <si>
    <t>PROJCS["NAD83 / Illinois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36.66666666666666],PARAMETER["central_meridian",-88.33333333333333],PARAMETER["scale_factor",0.999975],PARAMETER["false_easting",300000],PARAMETER["false_northing",0],UNIT["metre",1,AUTHORITY["EPSG","9001"]],AXIS["X",EAST],AXIS["Y",NORTH],AUTHORITY["EPSG","26971"]]</t>
  </si>
  <si>
    <t>PROJCS["NAD83 / Illinois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36.66666666666666],PARAMETER["central_meridian",-90.16666666666667],PARAMETER["scale_factor",0.999941177],PARAMETER["false_easting",700000],PARAMETER["false_northing",0],UNIT["metre",1,AUTHORITY["EPSG","9001"]],AXIS["X",EAST],AXIS["Y",NORTH],AUTHORITY["EPSG","26972"]]</t>
  </si>
  <si>
    <t>PROJCS["NAD83 / Indiana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-85.66666666666667],PARAMETER["scale_factor",0.999966667],PARAMETER["false_easting",100000],PARAMETER["false_northing",250000],UNIT["metre",1,AUTHORITY["EPSG","9001"]],AXIS["X",EAST],AXIS["Y",NORTH],AUTHORITY["EPSG","26973"]]</t>
  </si>
  <si>
    <t>PROJCS["NAD83 / Indiana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37.5],PARAMETER["central_meridian",-87.08333333333333],PARAMETER["scale_factor",0.999966667],PARAMETER["false_easting",900000],PARAMETER["false_northing",250000],UNIT["metre",1,AUTHORITY["EPSG","9001"]],AXIS["X",EAST],AXIS["Y",NORTH],AUTHORITY["EPSG","26974"]]</t>
  </si>
  <si>
    <t>PROJCS["NAD83 / Iowa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43.26666666666667],PARAMETER["standard_parallel_2",42.06666666666667],PARAMETER["latitude_of_origin",41.5],PARAMETER["central_meridian",-93.5],PARAMETER["false_easting",1500000],PARAMETER["false_northing",1000000],UNIT["metre",1,AUTHORITY["EPSG","9001"]],AXIS["X",EAST],AXIS["Y",NORTH],AUTHORITY["EPSG","26975"]]</t>
  </si>
  <si>
    <t>PROJCS["NAD83 / Iowa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40.61666666666667],PARAMETER["latitude_of_origin",40],PARAMETER["central_meridian",-93.5],PARAMETER["false_easting",500000],PARAMETER["false_northing",0],UNIT["metre",1,AUTHORITY["EPSG","9001"]],AXIS["X",EAST],AXIS["Y",NORTH],AUTHORITY["EPSG","26976"]]</t>
  </si>
  <si>
    <t>PROJCS["NAD83 / Kansas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39.78333333333333],PARAMETER["standard_parallel_2",38.71666666666667],PARAMETER["latitude_of_origin",38.33333333333334],PARAMETER["central_meridian",-98],PARAMETER["false_easting",400000],PARAMETER["false_northing",0],UNIT["metre",1,AUTHORITY["EPSG","9001"]],AXIS["X",EAST],AXIS["Y",NORTH],AUTHORITY["EPSG","26977"]]</t>
  </si>
  <si>
    <t>GEOCCS["SIRGAS_ES2007.8",DATUM["SIRGAS_ES2007_8",SPHEROID["GRS 1980",6378137,298.257222101,AUTHORITY["EPSG","7019"]],AUTHORITY["EPSG","1069"]],PRIMEM["Greenwich",0,AUTHORITY["EPSG","8901"]],UNIT["metre",1,AUTHORITY["EPSG","9001"]],AXIS["Geocentric X",OTHER],AXIS["Geocentric Y",OTHER],AXIS["Geocentric Z",NORTH],AUTHORITY["EPSG","5391"]]</t>
  </si>
  <si>
    <t>PROJCS["NAD83 / Kansas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38.56666666666667],PARAMETER["standard_parallel_2",37.26666666666667],PARAMETER["latitude_of_origin",36.66666666666666],PARAMETER["central_meridian",-98.5],PARAMETER["false_easting",400000],PARAMETER["false_northing",400000],UNIT["metre",1,AUTHORITY["EPSG","9001"]],AXIS["X",EAST],AXIS["Y",NORTH],AUTHORITY["EPSG","26978"]]</t>
  </si>
  <si>
    <t>PROJCS["NAD83 / Kentucky North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37.96666666666667],PARAMETER["latitude_of_origin",37.5],PARAMETER["central_meridian",-84.25],PARAMETER["false_easting",500000],PARAMETER["false_northing",0],UNIT["metre",1,AUTHORITY["EPSG","9001"]],AXIS["X",EAST],AXIS["Y",NORTH],AUTHORITY["EPSG","26979"]]</t>
  </si>
  <si>
    <t>PROJCS["NAD83 / Kentucky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37.93333333333333],PARAMETER["standard_parallel_2",36.73333333333333],PARAMETER["latitude_of_origin",36.33333333333334],PARAMETER["central_meridian",-85.75],PARAMETER["false_easting",500000],PARAMETER["false_northing",500000],UNIT["metre",1,AUTHORITY["EPSG","9001"]],AXIS["X",EAST],AXIS["Y",NORTH],AUTHORITY["EPSG","26980"]]</t>
  </si>
  <si>
    <t>PROJCS["NAD83 / Louisiana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32.66666666666666],PARAMETER["standard_parallel_2",31.16666666666667],PARAMETER["latitude_of_origin",30.5],PARAMETER["central_meridian",-92.5],PARAMETER["false_easting",1000000],PARAMETER["false_northing",0],UNIT["metre",1,AUTHORITY["EPSG","9001"]],AXIS["X",EAST],AXIS["Y",NORTH],AUTHORITY["EPSG","26981"]]</t>
  </si>
  <si>
    <t>PROJCS["NAD83 / Louisiana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30.7],PARAMETER["standard_parallel_2",29.3],PARAMETER["latitude_of_origin",28.5],PARAMETER["central_meridian",-91.33333333333333],PARAMETER["false_easting",1000000],PARAMETER["false_northing",0],UNIT["metre",1,AUTHORITY["EPSG","9001"]],AXIS["X",EAST],AXIS["Y",NORTH],AUTHORITY["EPSG","26982"]]</t>
  </si>
  <si>
    <t>PROJCS["NAD83 / Maine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43.66666666666666],PARAMETER["central_meridian",-68.5],PARAMETER["scale_factor",0.9999],PARAMETER["false_easting",300000],PARAMETER["false_northing",0],UNIT["metre",1,AUTHORITY["EPSG","9001"]],AXIS["X",EAST],AXIS["Y",NORTH],AUTHORITY["EPSG","26983"]]</t>
  </si>
  <si>
    <t>PROJCS["NAD83 / Maine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42.83333333333334],PARAMETER["central_meridian",-70.16666666666667],PARAMETER["scale_factor",0.999966667],PARAMETER["false_easting",900000],PARAMETER["false_northing",0],UNIT["metre",1,AUTHORITY["EPSG","9001"]],AXIS["X",EAST],AXIS["Y",NORTH],AUTHORITY["EPSG","26984"]]</t>
  </si>
  <si>
    <t>PROJCS["NAD83 / Maryland",GEOGCS["NAD83",DATUM["North_American_Datum_1983",SPHEROID["GRS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39.45],PARAMETER["standard_parallel_2",38.3],PARAMETER["latitude_of_origin",37.66666666666666],PARAMETER["central_meridian",-77],PARAMETER["false_easting",400000],PARAMETER["false_northing",0],UNIT["metre",1,AUTHORITY["EPSG","9001"]],AXIS["X",EAST],AXIS["Y",NORTH],AUTHORITY["EPSG","26985"]]</t>
  </si>
  <si>
    <t>PROJCS["NAD83 / Massachusetts Mainland",GEOGCS["NAD83",DATUM["North_American_Datum_1983",SPHEROID["GRS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42.68333333333333],PARAMETER["standard_parallel_2",41.71666666666667],PARAMETER["latitude_of_origin",41],PARAMETER["central_meridian",-71.5],PARAMETER["false_easting",200000],PARAMETER["false_northing",750000],UNIT["metre",1,AUTHORITY["EPSG","9001"]],AXIS["X",EAST],AXIS["Y",NORTH],AUTHORITY["EPSG","26986"]]</t>
  </si>
  <si>
    <t>PROJCS["NAD83 / Massachusetts Island",GEOGCS["NAD83",DATUM["North_American_Datum_1983",SPHEROID["GRS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41.48333333333333],PARAMETER["standard_parallel_2",41.28333333333333],PARAMETER["latitude_of_origin",41],PARAMETER["central_meridian",-70.5],PARAMETER["false_easting",500000],PARAMETER["false_northing",0],UNIT["metre",1,AUTHORITY["EPSG","9001"]],AXIS["X",EAST],AXIS["Y",NORTH],AUTHORITY["EPSG","26987"]]</t>
  </si>
  <si>
    <t>PROJCS["NAD83 / Michigan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47.08333333333334],PARAMETER["standard_parallel_2",45.48333333333333],PARAMETER["latitude_of_origin",44.78333333333333],PARAMETER["central_meridian",-87],PARAMETER["false_easting",8000000],PARAMETER["false_northing",0],UNIT["metre",1,AUTHORITY["EPSG","9001"]],AXIS["X",EAST],AXIS["Y",NORTH],AUTHORITY["EPSG","26988"]]</t>
  </si>
  <si>
    <t>PROJCS["NAD83 / Michigan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45.7],PARAMETER["standard_parallel_2",44.18333333333333],PARAMETER["latitude_of_origin",43.31666666666667],PARAMETER["central_meridian",-84.36666666666666],PARAMETER["false_easting",6000000],PARAMETER["false_northing",0],UNIT["metre",1,AUTHORITY["EPSG","9001"]],AXIS["X",EAST],AXIS["Y",NORTH],AUTHORITY["EPSG","26989"]]</t>
  </si>
  <si>
    <t>PROJCS["NAD83 / Michigan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43.66666666666666],PARAMETER["standard_parallel_2",42.1],PARAMETER["latitude_of_origin",41.5],PARAMETER["central_meridian",-84.36666666666666],PARAMETER["false_easting",4000000],PARAMETER["false_northing",0],UNIT["metre",1,AUTHORITY["EPSG","9001"]],AXIS["X",EAST],AXIS["Y",NORTH],AUTHORITY["EPSG","26990"]]</t>
  </si>
  <si>
    <t>PROJCS["NAD83 / Minnesota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48.63333333333333],PARAMETER["standard_parallel_2",47.03333333333333],PARAMETER["latitude_of_origin",46.5],PARAMETER["central_meridian",-93.1],PARAMETER["false_easting",800000],PARAMETER["false_northing",100000],UNIT["metre",1,AUTHORITY["EPSG","9001"]],AXIS["X",EAST],AXIS["Y",NORTH],AUTHORITY["EPSG","26991"]]</t>
  </si>
  <si>
    <t>PROJCS["NAD83 / Minnesota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47.05],PARAMETER["standard_parallel_2",45.61666666666667],PARAMETER["latitude_of_origin",45],PARAMETER["central_meridian",-94.25],PARAMETER["false_easting",800000],PARAMETER["false_northing",100000],UNIT["metre",1,AUTHORITY["EPSG","9001"]],AXIS["X",EAST],AXIS["Y",NORTH],AUTHORITY["EPSG","26992"]]</t>
  </si>
  <si>
    <t>PROJCS["NAD83 / Minnesota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45.21666666666667],PARAMETER["standard_parallel_2",43.78333333333333],PARAMETER["latitude_of_origin",43],PARAMETER["central_meridian",-94],PARAMETER["false_easting",800000],PARAMETER["false_northing",100000],UNIT["metre",1,AUTHORITY["EPSG","9001"]],AXIS["X",EAST],AXIS["Y",NORTH],AUTHORITY["EPSG","26993"]]</t>
  </si>
  <si>
    <t>PROJCS["NAD83 / Mississippi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29.5],PARAMETER["central_meridian",-88.83333333333333],PARAMETER["scale_factor",0.99995],PARAMETER["false_easting",300000],PARAMETER["false_northing",0],UNIT["metre",1,AUTHORITY["EPSG","9001"]],AXIS["X",EAST],AXIS["Y",NORTH],AUTHORITY["EPSG","26994"]]</t>
  </si>
  <si>
    <t>PROJCS["NAD83 / Mississippi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29.5],PARAMETER["central_meridian",-90.33333333333333],PARAMETER["scale_factor",0.99995],PARAMETER["false_easting",700000],PARAMETER["false_northing",0],UNIT["metre",1,AUTHORITY["EPSG","9001"]],AXIS["X",EAST],AXIS["Y",NORTH],AUTHORITY["EPSG","26995"]]</t>
  </si>
  <si>
    <t>PROJCS["NAD83 / Missouri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35.83333333333334],PARAMETER["central_meridian",-90.5],PARAMETER["scale_factor",0.999933333],PARAMETER["false_easting",250000],PARAMETER["false_northing",0],UNIT["metre",1,AUTHORITY["EPSG","9001"]],AXIS["X",EAST],AXIS["Y",NORTH],AUTHORITY["EPSG","26996"]]</t>
  </si>
  <si>
    <t>PROJCS["NAD83 / Missouri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35.83333333333334],PARAMETER["central_meridian",-92.5],PARAMETER["scale_factor",0.999933333],PARAMETER["false_easting",500000],PARAMETER["false_northing",0],UNIT["metre",1,AUTHORITY["EPSG","9001"]],AXIS["X",EAST],AXIS["Y",NORTH],AUTHORITY["EPSG","26997"]]</t>
  </si>
  <si>
    <t>PROJCS["NAD83 / Missouri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36.16666666666666],PARAMETER["central_meridian",-94.5],PARAMETER["scale_factor",0.999941177],PARAMETER["false_easting",850000],PARAMETER["false_northing",0],UNIT["metre",1,AUTHORITY["EPSG","9001"]],AXIS["X",EAST],AXIS["Y",NORTH],AUTHORITY["EPSG","26998"]]</t>
  </si>
  <si>
    <t>PROJCS["Nahrwan 1967 / UTM zone 37N (deprecated)",GEOGCS["Nahrwan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27037"]]</t>
  </si>
  <si>
    <t xml:space="preserve">+proj=utm +zone=37 +ellps=clrk80 +towgs84=-249,-156,381,0,0,0,0 +units=m +no_defs </t>
  </si>
  <si>
    <t>PROJCS["Nahrwan 1967 / UTM zone 38N (deprecated)",GEOGCS["Nahrwan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27038"]]</t>
  </si>
  <si>
    <t xml:space="preserve">+proj=utm +zone=38 +ellps=clrk80 +towgs84=-249,-156,381,0,0,0,0 +units=m +no_defs </t>
  </si>
  <si>
    <t>PROJCS["Nahrwan 1967 / UTM zone 39N",GEOGCS["Nahrwan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27039"]]</t>
  </si>
  <si>
    <t xml:space="preserve">+proj=utm +zone=39 +ellps=clrk80 +towgs84=-249,-156,381,0,0,0,0 +units=m +no_defs </t>
  </si>
  <si>
    <t>PROJCS["Nahrwan 1967 / UTM zone 40N",GEOGCS["Nahrwan 1967",DATUM["Nahrwan_1967",SPHEROID["Clarke 1880 (RGS)",6378249.145,293.465,AUTHORITY["EPSG","7012"]],TOWGS84[-249,-156,381,0,0,0,0],AUTHORITY["EPSG","6270"]],PRIMEM["Greenwich",0,AUTHORITY["EPSG","8901"]],UNIT["degree",0.0174532925199433,AUTHORITY["EPSG","9122"]],AUTHORITY["EPSG","4270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27040"]]</t>
  </si>
  <si>
    <t xml:space="preserve">+proj=utm +zone=40 +ellps=clrk80 +towgs84=-249,-156,381,0,0,0,0 +units=m +no_defs </t>
  </si>
  <si>
    <t>PROJCS["Naparima 1972 / UTM zone 20N",GEOGCS["Naparima 1972",DATUM["Naparima_1972",SPHEROID["International 1924",6378388,297,AUTHORITY["EPSG","7022"]],TOWGS84[-10,375,165,0,0,0,0],AUTHORITY["EPSG","6271"]],PRIMEM["Greenwich",0,AUTHORITY["EPSG","8901"]],UNIT["degree",0.0174532925199433,AUTHORITY["EPSG","9122"]],AUTHORITY["EPSG","4271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27120"]]</t>
  </si>
  <si>
    <t xml:space="preserve">+proj=utm +zone=20 +ellps=intl +towgs84=-10,375,165,0,0,0,0 +units=m +no_defs </t>
  </si>
  <si>
    <t>PROJCS["NZGD49 / New Zealand Map Grid",GEOGCS["NZGD49",DATUM["New_Zealand_Geodetic_Datum_1949",SPHEROID["International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New_Zealand_Map_Grid"],PARAMETER["latitude_of_origin",-41],PARAMETER["central_meridian",173],PARAMETER["false_easting",2510000],PARAMETER["false_northing",6023150],UNIT["metre",1,AUTHORITY["EPSG","9001"]],AXIS["Easting",EAST],AXIS["Northing",NORTH],AUTHORITY["EPSG","27200"]]</t>
  </si>
  <si>
    <t xml:space="preserve">+proj=nzmg +lat_0=-41 +lon_0=173 +x_0=2510000 +y_0=6023150 +datum=nzgd49 +units=m +towgs84=59.47,-5.04,187.44,0.47,-0.1,1.024,-4.5993 +nadgrids=nzgd2kgrid0005.gsb +no_defs </t>
  </si>
  <si>
    <t>PROJCS["Datum 73 / UTM zone 29N",GEOGCS["Datum 73",DATUM["Datum_73",SPHEROID["International 1924",6378388,297,AUTHORITY["EPSG","7022"]],TOWGS84[-223.237,110.193,36.649,0,0,0,0],AUTHORITY["EPSG","6274"]],PRIMEM["Greenwich",0,AUTHORITY["EPSG","8901"]],UNIT["degree",0.0174532925199433,AUTHORITY["EPSG","9122"]],AUTHORITY["EPSG","4274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27429"]]</t>
  </si>
  <si>
    <t xml:space="preserve">+proj=utm +zone=29 +ellps=intl +towgs84=-223.237,110.193,36.649,0,0,0,0 +units=m +no_defs </t>
  </si>
  <si>
    <t>PROJCS["NZGD49 / Mount Eden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-36.87986527777778],PARAMETER["central_meridian",174.7643393611111],PARAMETER["scale_factor",0.9999],PARAMETER["false_easting",300000],PARAMETER["false_northing",700000],UNIT["metre",1,AUTHORITY["EPSG","9001"]],AUTHORITY["EPSG","27205"]]</t>
  </si>
  <si>
    <t xml:space="preserve">+proj=tmerc +lat_0=-36.87986527777778 +lon_0=174.7643393611111 +k=0.9999 +x_0=300000 +y_0=700000 +datum=nzgd49 +units=m +towgs84=59.47,-5.04,187.44,0.47,-0.1,1.024,-4.5993 +nadgrids=nzgd2kgrid0005.gsb +no_defs </t>
  </si>
  <si>
    <t>PROJCS["NZGD49 / Bay of Plenty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-37.76124980555556],PARAMETER["central_meridian",176.46619725],PARAMETER["scale_factor",1],PARAMETER["false_easting",300000],PARAMETER["false_northing",700000],UNIT["metre",1,AUTHORITY["EPSG","9001"]],AUTHORITY["EPSG","27206"]]</t>
  </si>
  <si>
    <t xml:space="preserve">+proj=tmerc +lat_0=-37.76124980555556 +lon_0=176.46619725 +k=1 +x_0=300000 +y_0=700000 +datum=nzgd49 +units=m +towgs84=59.47,-5.04,187.44,0.47,-0.1,1.024,-4.5993 +nadgrids=nzgd2kgrid0005.gsb +no_defs </t>
  </si>
  <si>
    <t>PROJCS["NZGD49 / Poverty Bay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-38.62470277777778],PARAMETER["central_meridian",177.8856362777778],PARAMETER["scale_factor",1],PARAMETER["false_easting",300000],PARAMETER["false_northing",700000],UNIT["metre",1,AUTHORITY["EPSG","9001"]],AUTHORITY["EPSG","27207"]]</t>
  </si>
  <si>
    <t xml:space="preserve">+proj=tmerc +lat_0=-38.62470277777778 +lon_0=177.8856362777778 +k=1 +x_0=300000 +y_0=700000 +datum=nzgd49 +units=m +towgs84=59.47,-5.04,187.44,0.47,-0.1,1.024,-4.5993 +nadgrids=nzgd2kgrid0005.gsb +no_defs </t>
  </si>
  <si>
    <t>PROJCS["NZGD49 / Hawkes Bay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-39.65092930555556],PARAMETER["central_meridian",176.6736805277778],PARAMETER["scale_factor",1],PARAMETER["false_easting",300000],PARAMETER["false_northing",700000],UNIT["metre",1,AUTHORITY["EPSG","9001"]],AUTHORITY["EPSG","27208"]]</t>
  </si>
  <si>
    <t xml:space="preserve">+proj=tmerc +lat_0=-39.65092930555556 +lon_0=176.6736805277778 +k=1 +x_0=300000 +y_0=700000 +datum=nzgd49 +units=m +towgs84=59.47,-5.04,187.44,0.47,-0.1,1.024,-4.5993 +nadgrids=nzgd2kgrid0005.gsb +no_defs </t>
  </si>
  <si>
    <t>PROJCS["NZGD49 / Taranaki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-39.13575830555556],PARAMETER["central_meridian",174.22801175],PARAMETER["scale_factor",1],PARAMETER["false_easting",300000],PARAMETER["false_northing",700000],UNIT["metre",1,AUTHORITY["EPSG","9001"]],AUTHORITY["EPSG","27209"]]</t>
  </si>
  <si>
    <t xml:space="preserve">+proj=tmerc +lat_0=-39.13575830555556 +lon_0=174.22801175 +k=1 +x_0=300000 +y_0=700000 +datum=nzgd49 +units=m +towgs84=59.47,-5.04,187.44,0.47,-0.1,1.024,-4.5993 +nadgrids=nzgd2kgrid0005.gsb +no_defs </t>
  </si>
  <si>
    <t>PROJCS["NZGD49 / Tuhirangi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-39.51247038888889],PARAMETER["central_meridian",175.6400368055556],PARAMETER["scale_factor",1],PARAMETER["false_easting",300000],PARAMETER["false_northing",700000],UNIT["metre",1,AUTHORITY["EPSG","9001"]],AUTHORITY["EPSG","27210"]]</t>
  </si>
  <si>
    <t xml:space="preserve">+proj=tmerc +lat_0=-39.51247038888889 +lon_0=175.6400368055556 +k=1 +x_0=300000 +y_0=700000 +datum=nzgd49 +units=m +towgs84=59.47,-5.04,187.44,0.47,-0.1,1.024,-4.5993 +nadgrids=nzgd2kgrid0005.gsb +no_defs </t>
  </si>
  <si>
    <t>PROJCS["NZGD49 / Wanganui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-40.24194713888889],PARAMETER["central_meridian",175.4880996111111],PARAMETER["scale_factor",1],PARAMETER["false_easting",300000],PARAMETER["false_northing",700000],UNIT["metre",1,AUTHORITY["EPSG","9001"]],AUTHORITY["EPSG","27211"]]</t>
  </si>
  <si>
    <t xml:space="preserve">+proj=tmerc +lat_0=-40.24194713888889 +lon_0=175.4880996111111 +k=1 +x_0=300000 +y_0=700000 +datum=nzgd49 +units=m +towgs84=59.47,-5.04,187.44,0.47,-0.1,1.024,-4.5993 +nadgrids=nzgd2kgrid0005.gsb +no_defs </t>
  </si>
  <si>
    <t>PROJCS["NZGD49 / Wairarapa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-40.92553263888889],PARAMETER["central_meridian",175.6473496666667],PARAMETER["scale_factor",1],PARAMETER["false_easting",300000],PARAMETER["false_northing",700000],UNIT["metre",1,AUTHORITY["EPSG","9001"]],AUTHORITY["EPSG","27212"]]</t>
  </si>
  <si>
    <t xml:space="preserve">+proj=tmerc +lat_0=-40.92553263888889 +lon_0=175.6473496666667 +k=1 +x_0=300000 +y_0=700000 +datum=nzgd49 +units=m +towgs84=59.47,-5.04,187.44,0.47,-0.1,1.024,-4.5993 +nadgrids=nzgd2kgrid0005.gsb +no_defs </t>
  </si>
  <si>
    <t>PROJCS["WGS 84 / UTM zone 15N",GEOGCS["WGS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32615"]]</t>
  </si>
  <si>
    <t>PROJCS["NZGD49 / Wellington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-41.30131963888888],PARAMETER["central_meridian",174.7766231111111],PARAMETER["scale_factor",1],PARAMETER["false_easting",300000],PARAMETER["false_northing",700000],UNIT["metre",1,AUTHORITY["EPSG","9001"]],AUTHORITY["EPSG","27213"]]</t>
  </si>
  <si>
    <t>PROJCS["NZGD49 / Collingwood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-40.71475905555556],PARAMETER["central_meridian",172.6720465],PARAMETER["scale_factor",1],PARAMETER["false_easting",300000],PARAMETER["false_northing",700000],UNIT["metre",1,AUTHORITY["EPSG","9001"]],AUTHORITY["EPSG","27214"]]</t>
  </si>
  <si>
    <t xml:space="preserve">+proj=tmerc +lat_0=-40.71475905555556 +lon_0=172.6720465 +k=1 +x_0=300000 +y_0=700000 +datum=nzgd49 +units=m +towgs84=59.47,-5.04,187.44,0.47,-0.1,1.024,-4.5993 +nadgrids=nzgd2kgrid0005.gsb +no_defs </t>
  </si>
  <si>
    <t>PROJCS["NZGD49 / Nelson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-41.27454472222222],PARAMETER["central_meridian",173.2993168055555],PARAMETER["scale_factor",1],PARAMETER["false_easting",300000],PARAMETER["false_northing",700000],UNIT["metre",1,AUTHORITY["EPSG","9001"]],AUTHORITY["EPSG","27215"]]</t>
  </si>
  <si>
    <t xml:space="preserve">+proj=tmerc +lat_0=-41.27454472222222 +lon_0=173.2993168055555 +k=1 +x_0=300000 +y_0=700000 +datum=nzgd49 +units=m +towgs84=59.47,-5.04,187.44,0.47,-0.1,1.024,-4.5993 +nadgrids=nzgd2kgrid0005.gsb +no_defs </t>
  </si>
  <si>
    <t>PROJCS["NZGD49 / Karamea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-41.28991152777778],PARAMETER["central_meridian",172.1090281944444],PARAMETER["scale_factor",1],PARAMETER["false_easting",300000],PARAMETER["false_northing",700000],UNIT["metre",1,AUTHORITY["EPSG","9001"]],AUTHORITY["EPSG","27216"]]</t>
  </si>
  <si>
    <t xml:space="preserve">+proj=tmerc +lat_0=-41.28991152777778 +lon_0=172.1090281944444 +k=1 +x_0=300000 +y_0=700000 +datum=nzgd49 +units=m +towgs84=59.47,-5.04,187.44,0.47,-0.1,1.024,-4.5993 +nadgrids=nzgd2kgrid0005.gsb +no_defs </t>
  </si>
  <si>
    <t>PROJCS["NZGD49 / Buller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-41.81080286111111],PARAMETER["central_meridian",171.5812600555556],PARAMETER["scale_factor",1],PARAMETER["false_easting",300000],PARAMETER["false_northing",700000],UNIT["metre",1,AUTHORITY["EPSG","9001"]],AUTHORITY["EPSG","27217"]]</t>
  </si>
  <si>
    <t xml:space="preserve">+proj=tmerc +lat_0=-41.81080286111111 +lon_0=171.5812600555556 +k=1 +x_0=300000 +y_0=700000 +datum=nzgd49 +units=m +towgs84=59.47,-5.04,187.44,0.47,-0.1,1.024,-4.5993 +nadgrids=nzgd2kgrid0005.gsb +no_defs </t>
  </si>
  <si>
    <t>PROJCS["NZGD49 / Grey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-42.33369427777778],PARAMETER["central_meridian",171.5497713055556],PARAMETER["scale_factor",1],PARAMETER["false_easting",300000],PARAMETER["false_northing",700000],UNIT["metre",1,AUTHORITY["EPSG","9001"]],AUTHORITY["EPSG","27218"]]</t>
  </si>
  <si>
    <t xml:space="preserve">+proj=tmerc +lat_0=-42.33369427777778 +lon_0=171.5497713055556 +k=1 +x_0=300000 +y_0=700000 +datum=nzgd49 +units=m +towgs84=59.47,-5.04,187.44,0.47,-0.1,1.024,-4.5993 +nadgrids=nzgd2kgrid0005.gsb +no_defs </t>
  </si>
  <si>
    <t>PROJCS["NZGD49 / Amuri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-42.68911658333333],PARAMETER["central_meridian",173.0101333888889],PARAMETER["scale_factor",1],PARAMETER["false_easting",300000],PARAMETER["false_northing",700000],UNIT["metre",1,AUTHORITY["EPSG","9001"]],AUTHORITY["EPSG","27219"]]</t>
  </si>
  <si>
    <t xml:space="preserve">+proj=tmerc +lat_0=-42.68911658333333 +lon_0=173.0101333888889 +k=1 +x_0=300000 +y_0=700000 +datum=nzgd49 +units=m +towgs84=59.47,-5.04,187.44,0.47,-0.1,1.024,-4.5993 +nadgrids=nzgd2kgrid0005.gsb +no_defs </t>
  </si>
  <si>
    <t>PROJCS["NZGD49 / Marlborough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-41.54448666666666],PARAMETER["central_meridian",173.8020741111111],PARAMETER["scale_factor",1],PARAMETER["false_easting",300000],PARAMETER["false_northing",700000],UNIT["metre",1,AUTHORITY["EPSG","9001"]],AUTHORITY["EPSG","27220"]]</t>
  </si>
  <si>
    <t xml:space="preserve">+proj=tmerc +lat_0=-41.54448666666666 +lon_0=173.8020741111111 +k=1 +x_0=300000 +y_0=700000 +datum=nzgd49 +units=m +towgs84=59.47,-5.04,187.44,0.47,-0.1,1.024,-4.5993 +nadgrids=nzgd2kgrid0005.gsb +no_defs </t>
  </si>
  <si>
    <t>PROJCS["GDA94 / MGA zone 48",GEOGCS["GDA94",DATUM["Geocentric_Datum_of_Australia_1994",SPHEROID["GRS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28348"]]</t>
  </si>
  <si>
    <t xml:space="preserve">+proj=utm +zone=48 +south +ellps=GRS80 +towgs84=0,0,0,0,0,0,0 +units=m +no_defs </t>
  </si>
  <si>
    <t>PROJCS["NZGD49 / Hokitika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-42.88632236111111],PARAMETER["central_meridian",170.9799935],PARAMETER["scale_factor",1],PARAMETER["false_easting",300000],PARAMETER["false_northing",700000],UNIT["metre",1,AUTHORITY["EPSG","9001"]],AUTHORITY["EPSG","27221"]]</t>
  </si>
  <si>
    <t xml:space="preserve">+proj=tmerc +lat_0=-42.88632236111111 +lon_0=170.9799935 +k=1 +x_0=300000 +y_0=700000 +datum=nzgd49 +units=m +towgs84=59.47,-5.04,187.44,0.47,-0.1,1.024,-4.5993 +nadgrids=nzgd2kgrid0005.gsb +no_defs </t>
  </si>
  <si>
    <t>PROJCS["NZGD49 / Okarito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-43.11012813888889],PARAMETER["central_meridian",170.2609258333333],PARAMETER["scale_factor",1],PARAMETER["false_easting",300000],PARAMETER["false_northing",700000],UNIT["metre",1,AUTHORITY["EPSG","9001"]],AUTHORITY["EPSG","27222"]]</t>
  </si>
  <si>
    <t xml:space="preserve">+proj=tmerc +lat_0=-43.11012813888889 +lon_0=170.2609258333333 +k=1 +x_0=300000 +y_0=700000 +datum=nzgd49 +units=m +towgs84=59.47,-5.04,187.44,0.47,-0.1,1.024,-4.5993 +nadgrids=nzgd2kgrid0005.gsb +no_defs </t>
  </si>
  <si>
    <t>PROJCS["NZGD49 / Jacksons Bay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-43.97780288888889],PARAMETER["central_meridian",168.606267],PARAMETER["scale_factor",1],PARAMETER["false_easting",300000],PARAMETER["false_northing",700000],UNIT["metre",1,AUTHORITY["EPSG","9001"]],AUTHORITY["EPSG","27223"]]</t>
  </si>
  <si>
    <t xml:space="preserve">+proj=tmerc +lat_0=-43.97780288888889 +lon_0=168.606267 +k=1 +x_0=300000 +y_0=700000 +datum=nzgd49 +units=m +towgs84=59.47,-5.04,187.44,0.47,-0.1,1.024,-4.5993 +nadgrids=nzgd2kgrid0005.gsb +no_defs </t>
  </si>
  <si>
    <t>PROJCS["NZGD49 / Mount Pleasant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-43.59063758333333],PARAMETER["central_meridian",172.7271935833333],PARAMETER["scale_factor",1],PARAMETER["false_easting",300000],PARAMETER["false_northing",700000],UNIT["metre",1,AUTHORITY["EPSG","9001"]],AUTHORITY["EPSG","27224"]]</t>
  </si>
  <si>
    <t xml:space="preserve">+proj=tmerc +lat_0=-43.59063758333333 +lon_0=172.7271935833333 +k=1 +x_0=300000 +y_0=700000 +datum=nzgd49 +units=m +towgs84=59.47,-5.04,187.44,0.47,-0.1,1.024,-4.5993 +nadgrids=nzgd2kgrid0005.gsb +no_defs </t>
  </si>
  <si>
    <t>PROJCS["NZGD49 / Gawler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-43.74871155555556],PARAMETER["central_meridian",171.3607484722222],PARAMETER["scale_factor",1],PARAMETER["false_easting",300000],PARAMETER["false_northing",700000],UNIT["metre",1,AUTHORITY["EPSG","9001"]],AUTHORITY["EPSG","27225"]]</t>
  </si>
  <si>
    <t xml:space="preserve">+proj=tmerc +lat_0=-43.74871155555556 +lon_0=171.3607484722222 +k=1 +x_0=300000 +y_0=700000 +datum=nzgd49 +units=m +towgs84=59.47,-5.04,187.44,0.47,-0.1,1.024,-4.5993 +nadgrids=nzgd2kgrid0005.gsb +no_defs </t>
  </si>
  <si>
    <t>PROJCS["NZGD49 / Timaru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-44.40222036111111],PARAMETER["central_meridian",171.0572508333333],PARAMETER["scale_factor",1],PARAMETER["false_easting",300000],PARAMETER["false_northing",700000],UNIT["metre",1,AUTHORITY["EPSG","9001"]],AUTHORITY["EPSG","27226"]]</t>
  </si>
  <si>
    <t xml:space="preserve">+proj=tmerc +lat_0=-44.40222036111111 +lon_0=171.0572508333333 +k=1 +x_0=300000 +y_0=700000 +datum=nzgd49 +units=m +towgs84=59.47,-5.04,187.44,0.47,-0.1,1.024,-4.5993 +nadgrids=nzgd2kgrid0005.gsb +no_defs </t>
  </si>
  <si>
    <t>PROJCS["NZGD49 / Lindis Peak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-44.73526797222222],PARAMETER["central_meridian",169.4677550833333],PARAMETER["scale_factor",1],PARAMETER["false_easting",300000],PARAMETER["false_northing",700000],UNIT["metre",1,AUTHORITY["EPSG","9001"]],AUTHORITY["EPSG","27227"]]</t>
  </si>
  <si>
    <t xml:space="preserve">+proj=tmerc +lat_0=-44.73526797222222 +lon_0=169.4677550833333 +k=1 +x_0=300000 +y_0=700000 +datum=nzgd49 +units=m +towgs84=59.47,-5.04,187.44,0.47,-0.1,1.024,-4.5993 +nadgrids=nzgd2kgrid0005.gsb +no_defs </t>
  </si>
  <si>
    <t>PROJCS["NZGD49 / Mount Nicholas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-45.13290258333333],PARAMETER["central_meridian",168.3986411944444],PARAMETER["scale_factor",1],PARAMETER["false_easting",300000],PARAMETER["false_northing",700000],UNIT["metre",1,AUTHORITY["EPSG","9001"]],AUTHORITY["EPSG","27228"]]</t>
  </si>
  <si>
    <t xml:space="preserve">+proj=tmerc +lat_0=-45.13290258333333 +lon_0=168.3986411944444 +k=1 +x_0=300000 +y_0=700000 +datum=nzgd49 +units=m +towgs84=59.47,-5.04,187.44,0.47,-0.1,1.024,-4.5993 +nadgrids=nzgd2kgrid0005.gsb +no_defs </t>
  </si>
  <si>
    <t>PROJCS["WGS 84 / UTM zone 16N",GEOGCS["WGS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32616"]]</t>
  </si>
  <si>
    <t>PROJCS["NZGD49 / Mount York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-45.56372616666666],PARAMETER["central_meridian",167.7388617777778],PARAMETER["scale_factor",1],PARAMETER["false_easting",300000],PARAMETER["false_northing",700000],UNIT["metre",1,AUTHORITY["EPSG","9001"]],AUTHORITY["EPSG","27229"]]</t>
  </si>
  <si>
    <t xml:space="preserve">+proj=tmerc +lat_0=-45.56372616666666 +lon_0=167.7388617777778 +k=1 +x_0=300000 +y_0=700000 +datum=nzgd49 +units=m +towgs84=59.47,-5.04,187.44,0.47,-0.1,1.024,-4.5993 +nadgrids=nzgd2kgrid0005.gsb +no_defs </t>
  </si>
  <si>
    <t>PROJCS["NZGD49 / Observation Point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-45.81619661111111],PARAMETER["central_meridian",170.6285951666667],PARAMETER["scale_factor",1],PARAMETER["false_easting",300000],PARAMETER["false_northing",700000],UNIT["metre",1,AUTHORITY["EPSG","9001"]],AUTHORITY["EPSG","27230"]]</t>
  </si>
  <si>
    <t xml:space="preserve">+proj=tmerc +lat_0=-45.81619661111111 +lon_0=170.6285951666667 +k=1 +x_0=300000 +y_0=700000 +datum=nzgd49 +units=m +towgs84=59.47,-5.04,187.44,0.47,-0.1,1.024,-4.5993 +nadgrids=nzgd2kgrid0005.gsb +no_defs </t>
  </si>
  <si>
    <t>PROJCS["NZGD49 / North Taieri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-45.86151336111111],PARAMETER["central_meridian",170.2825891111111],PARAMETER["scale_factor",0.99996],PARAMETER["false_easting",300000],PARAMETER["false_northing",700000],UNIT["metre",1,AUTHORITY["EPSG","9001"]],AUTHORITY["EPSG","27231"]]</t>
  </si>
  <si>
    <t xml:space="preserve">+proj=tmerc +lat_0=-45.86151336111111 +lon_0=170.2825891111111 +k=0.99996 +x_0=300000 +y_0=700000 +datum=nzgd49 +units=m +towgs84=59.47,-5.04,187.44,0.47,-0.1,1.024,-4.5993 +nadgrids=nzgd2kgrid0005.gsb +no_defs </t>
  </si>
  <si>
    <t>PROJCS["NZGD49 / Bluff Circuit",GEOGCS["NZGD49",DATUM["New_Zealand_Geodetic_Datum_1949",SPHEROID["International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-46.60000961111111],PARAMETER["central_meridian",168.342872],PARAMETER["scale_factor",1],PARAMETER["false_easting",300002.66],PARAMETER["false_northing",699999.58],UNIT["metre",1,AUTHORITY["EPSG","9001"]],AUTHORITY["EPSG","27232"]]</t>
  </si>
  <si>
    <t xml:space="preserve">+proj=tmerc +lat_0=-46.60000961111111 +lon_0=168.342872 +k=1 +x_0=300002.66 +y_0=699999.58 +datum=nzgd49 +units=m +towgs84=59.47,-5.04,187.44,0.47,-0.1,1.024,-4.5993 +nadgrids=nzgd2kgrid0005.gsb +no_defs </t>
  </si>
  <si>
    <t>PROJCS["NZGD49 / UTM zone 58S",GEOGCS["NZGD49",DATUM["New_Zealand_Geodetic_Datum_1949",SPHEROID["International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27258"]]</t>
  </si>
  <si>
    <t xml:space="preserve">+proj=utm +zone=58 +south +datum=nzgd49 +units=m +towgs84=59.47,-5.04,187.44,0.47,-0.1,1.024,-4.5993 +nadgrids=nzgd2kgrid0005.gsb +no_defs </t>
  </si>
  <si>
    <t>PROJCS["NZGD49 / UTM zone 59S",GEOGCS["NZGD49",DATUM["New_Zealand_Geodetic_Datum_1949",SPHEROID["International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27259"]]</t>
  </si>
  <si>
    <t xml:space="preserve">+proj=utm +zone=59 +south +datum=nzgd49 +units=m +towgs84=59.47,-5.04,187.44,0.47,-0.1,1.024,-4.5993 +nadgrids=nzgd2kgrid0005.gsb +no_defs </t>
  </si>
  <si>
    <t>PROJCS["NZGD49 / UTM zone 60S",GEOGCS["NZGD49",DATUM["New_Zealand_Geodetic_Datum_1949",SPHEROID["International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27260"]]</t>
  </si>
  <si>
    <t xml:space="preserve">+proj=utm +zone=60 +south +datum=nzgd49 +units=m +towgs84=59.47,-5.04,187.44,0.47,-0.1,1.024,-4.5993 +nadgrids=nzgd2kgrid0005.gsb +no_defs </t>
  </si>
  <si>
    <t>PROJCS["NZGD49 / North Island Grid",GEOGCS["NZGD49",DATUM["New_Zealand_Geodetic_Datum_1949",SPHEROID["International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-39],PARAMETER["central_meridian",175.5],PARAMETER["scale_factor",1],PARAMETER["false_easting",300000],PARAMETER["false_northing",400000],UNIT["British yard (Sears 1922)",0.9143984146160287,AUTHORITY["EPSG","9040"]],AXIS["Easting",EAST],AXIS["Northing",NORTH],AUTHORITY["EPSG","27291"]]</t>
  </si>
  <si>
    <t xml:space="preserve">+proj=tmerc +lat_0=-39 +lon_0=175.5 +k=1 +x_0=274319.5243848086 +y_0=365759.3658464114 +datum=nzgd49 +to_meter=0.9143984146160287 +towgs84=59.47,-5.04,187.44,0.47,-0.1,1.024,-4.5993 +nadgrids=nzgd2kgrid0005.gsb +no_defs </t>
  </si>
  <si>
    <t>PROJCS["GDA94 / MGA zone 49",GEOGCS["GDA94",DATUM["Geocentric_Datum_of_Australia_1994",SPHEROID["GRS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28349"]]</t>
  </si>
  <si>
    <t xml:space="preserve">+proj=utm +zone=49 +south +ellps=GRS80 +towgs84=0,0,0,0,0,0,0 +units=m +no_defs </t>
  </si>
  <si>
    <t>PROJCS["NZGD49 / South Island Grid",GEOGCS["NZGD49",DATUM["New_Zealand_Geodetic_Datum_1949",SPHEROID["International 1924",6378388,297,AUTHORITY["EPSG","7022"]],TOWGS84[59.47,-5.04,187.44,0.47,-0.1,1.024,-4.5993],AUTHORITY["EPSG","6272"]],PRIMEM["Greenwich",0,AUTHORITY["EPSG","8901"]],UNIT["degree",0.0174532925199433,AUTHORITY["EPSG","9122"]],AUTHORITY["EPSG","4272"]],PROJECTION["Transverse_Mercator"],PARAMETER["latitude_of_origin",-44],PARAMETER["central_meridian",171.5],PARAMETER["scale_factor",1],PARAMETER["false_easting",500000],PARAMETER["false_northing",500000],UNIT["British yard (Sears 1922)",0.9143984146160287,AUTHORITY["EPSG","9040"]],AXIS["Easting",EAST],AXIS["Northing",NORTH],AUTHORITY["EPSG","27292"]]</t>
  </si>
  <si>
    <t xml:space="preserve">+proj=tmerc +lat_0=-44 +lon_0=171.5 +k=1 +x_0=457199.2073080143 +y_0=457199.2073080143 +datum=nzgd49 +to_meter=0.9143984146160287 +towgs84=59.47,-5.04,187.44,0.47,-0.1,1.024,-4.5993 +nadgrids=nzgd2kgrid0005.gsb +no_defs </t>
  </si>
  <si>
    <t>PROJCS["NGO 1948 (Oslo) / NGO zone 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-4.666666666666667],PARAMETER["scale_factor",1],PARAMETER["false_easting",0],PARAMETER["false_northing",0],UNIT["metre",1,AUTHORITY["EPSG","9001"]],AUTHORITY["EPSG","27391"]]</t>
  </si>
  <si>
    <t xml:space="preserve">+proj=tmerc +lat_0=58 +lon_0=-4.666666666666667 +k=1 +x_0=0 +y_0=0 +a=6377492.018 +b=6356173.508712696 +towgs84=278.3,93,474.5,7.889,0.05,-6.61,6.21 +pm=oslo +units=m +no_defs </t>
  </si>
  <si>
    <t>PROJCS["NGO 1948 (Oslo) / NGO zone II",GEOGCS["NGO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-2.333333333333333],PARAMETER["scale_factor",1],PARAMETER["false_easting",0],PARAMETER["false_northing",0],UNIT["metre",1,AUTHORITY["EPSG","9001"]],AUTHORITY["EPSG","27392"]]</t>
  </si>
  <si>
    <t xml:space="preserve">+proj=tmerc +lat_0=58 +lon_0=-2.333333333333333 +k=1 +x_0=0 +y_0=0 +a=6377492.018 +b=6356173.508712696 +towgs84=278.3,93,474.5,7.889,0.05,-6.61,6.21 +pm=oslo +units=m +no_defs </t>
  </si>
  <si>
    <t>PROJCS["NGO 1948 (Oslo) / NGO zone III",GEOGCS["NGO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0],PARAMETER["scale_factor",1],PARAMETER["false_easting",0],PARAMETER["false_northing",0],UNIT["metre",1,AUTHORITY["EPSG","9001"]],AUTHORITY["EPSG","27393"]]</t>
  </si>
  <si>
    <t xml:space="preserve">+proj=tmerc +lat_0=58 +lon_0=0 +k=1 +x_0=0 +y_0=0 +a=6377492.018 +b=6356173.508712696 +towgs84=278.3,93,474.5,7.889,0.05,-6.61,6.21 +pm=oslo +units=m +no_defs </t>
  </si>
  <si>
    <t>PROJCS["NGO 1948 (Oslo) / NGO zone IV",GEOGCS["NGO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2.5],PARAMETER["scale_factor",1],PARAMETER["false_easting",0],PARAMETER["false_northing",0],UNIT["metre",1,AUTHORITY["EPSG","9001"]],AUTHORITY["EPSG","27394"]]</t>
  </si>
  <si>
    <t xml:space="preserve">+proj=tmerc +lat_0=58 +lon_0=2.5 +k=1 +x_0=0 +y_0=0 +a=6377492.018 +b=6356173.508712696 +towgs84=278.3,93,474.5,7.889,0.05,-6.61,6.21 +pm=oslo +units=m +no_defs </t>
  </si>
  <si>
    <t>PROJCS["NGO 1948 (Oslo) / NGO zone V",GEOGCS["NGO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6.166666666666667],PARAMETER["scale_factor",1],PARAMETER["false_easting",0],PARAMETER["false_northing",0],UNIT["metre",1,AUTHORITY["EPSG","9001"]],AUTHORITY["EPSG","27395"]]</t>
  </si>
  <si>
    <t xml:space="preserve">+proj=tmerc +lat_0=58 +lon_0=6.166666666666667 +k=1 +x_0=0 +y_0=0 +a=6377492.018 +b=6356173.508712696 +towgs84=278.3,93,474.5,7.889,0.05,-6.61,6.21 +pm=oslo +units=m +no_defs </t>
  </si>
  <si>
    <t>PROJCS["NGO 1948 (Oslo) / NGO zone VI",GEOGCS["NGO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10.16666666666667],PARAMETER["scale_factor",1],PARAMETER["false_easting",0],PARAMETER["false_northing",0],UNIT["metre",1,AUTHORITY["EPSG","9001"]],AUTHORITY["EPSG","27396"]]</t>
  </si>
  <si>
    <t xml:space="preserve">+proj=tmerc +lat_0=58 +lon_0=10.16666666666667 +k=1 +x_0=0 +y_0=0 +a=6377492.018 +b=6356173.508712696 +towgs84=278.3,93,474.5,7.889,0.05,-6.61,6.21 +pm=oslo +units=m +no_defs </t>
  </si>
  <si>
    <t>PROJCS["NGO 1948 (Oslo) / NGO zone VII",GEOGCS["NGO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14.16666666666667],PARAMETER["scale_factor",1],PARAMETER["false_easting",0],PARAMETER["false_northing",0],UNIT["metre",1,AUTHORITY["EPSG","9001"]],AUTHORITY["EPSG","27397"]]</t>
  </si>
  <si>
    <t xml:space="preserve">+proj=tmerc +lat_0=58 +lon_0=14.16666666666667 +k=1 +x_0=0 +y_0=0 +a=6377492.018 +b=6356173.508712696 +towgs84=278.3,93,474.5,7.889,0.05,-6.61,6.21 +pm=oslo +units=m +no_defs </t>
  </si>
  <si>
    <t>PROJCS["NGO 1948 (Oslo) / NGO zone VIII",GEOGCS["NGO 1948 (Oslo)",DATUM["NGO_1948_Oslo",SPHEROID["Bessel Modified",6377492.018,299.1528128,AUTHORITY["EPSG","7005"]],TOWGS84[278.3,93,474.5,7.889,0.05,-6.61,6.21],AUTHORITY["EPSG","6817"]],PRIMEM["Oslo",10.72291666666667,AUTHORITY["EPSG","8913"]],UNIT["degree",0.0174532925199433,AUTHORITY["EPSG","9122"]],AUTHORITY["EPSG","4817"]],PROJECTION["Transverse_Mercator"],PARAMETER["latitude_of_origin",58],PARAMETER["central_meridian",18.33333333333333],PARAMETER["scale_factor",1],PARAMETER["false_easting",0],PARAMETER["false_northing",0],UNIT["metre",1,AUTHORITY["EPSG","9001"]],AUTHORITY["EPSG","27398"]]</t>
  </si>
  <si>
    <t xml:space="preserve">+proj=tmerc +lat_0=58 +lon_0=18.33333333333333 +k=1 +x_0=0 +y_0=0 +a=6377492.018 +b=6356173.508712696 +towgs84=278.3,93,474.5,7.889,0.05,-6.61,6.21 +pm=oslo +units=m +no_defs </t>
  </si>
  <si>
    <t>PROJCS["Datum 73 / Modified Portuguese Grid (deprecated)",GEOGCS["Datum 73",DATUM["Datum_73",SPHEROID["International 1924",6378388,297,AUTHORITY["EPSG","7022"]],TOWGS84[-223.237,110.193,36.649,0,0,0,0],AUTHORITY["EPSG","6274"]],PRIMEM["Greenwich",0,AUTHORITY["EPSG","8901"]],UNIT["degree",0.0174532925199433,AUTHORITY["EPSG","9122"]],AUTHORITY["EPSG","4274"]],PROJECTION["Transverse_Mercator"],PARAMETER["latitude_of_origin",39.66666666666666],PARAMETER["central_meridian",-8.131906111111112],PARAMETER["scale_factor",1],PARAMETER["false_easting",180.598],PARAMETER["false_northing",-86.99],UNIT["metre",1,AUTHORITY["EPSG","9001"]],AUTHORITY["EPSG","27492"]]</t>
  </si>
  <si>
    <t xml:space="preserve">+proj=tmerc +lat_0=39.66666666666666 +lon_0=-8.131906111111112 +k=1 +x_0=180.598 +y_0=-86.98999999999999 +ellps=intl +towgs84=-223.237,110.193,36.649,0,0,0,0 +units=m +no_defs </t>
  </si>
  <si>
    <t>PROJCS["Datum 73 / Modified Portuguese Grid",GEOGCS["Datum 73",DATUM["Datum_73",SPHEROID["International 1924",6378388,297,AUTHORITY["EPSG","7022"]],TOWGS84[-223.237,110.193,36.649,0,0,0,0],AUTHORITY["EPSG","6274"]],PRIMEM["Greenwich",0,AUTHORITY["EPSG","8901"]],UNIT["degree",0.0174532925199433,AUTHORITY["EPSG","9122"]],AUTHORITY["EPSG","4274"]],PROJECTION["Transverse_Mercator"],PARAMETER["latitude_of_origin",39.66666666666666],PARAMETER["central_meridian",-8.131906111111112],PARAMETER["scale_factor",1],PARAMETER["false_easting",180.598],PARAMETER["false_northing",-86.99],UNIT["metre",1,AUTHORITY["EPSG","9001"]],AXIS["X",EAST],AXIS["Y",NORTH],AUTHORITY["EPSG","27493"]]</t>
  </si>
  <si>
    <t>PROJCS["ATF (Paris) / Nord de Guerre",GEOGCS["ATF (Paris)",DATUM["Ancienne_Triangulation_Francaise_Paris",SPHEROID["Plessis 1817",6376523,308.64,AUTHORITY["EPSG","7027"]],AUTHORITY["EPSG","6901"]],PRIMEM["Paris RGS",2.337208333333333,AUTHORITY["EPSG","8914"]],UNIT["grad",0.01570796326794897,AUTHORITY["EPSG","9105"]],AUTHORITY["EPSG","4901"]],PROJECTION["Lambert_Conformal_Conic_1SP"],PARAMETER["latitude_of_origin",55],PARAMETER["central_meridian",5.999999999999998],PARAMETER["scale_factor",0.99950908],PARAMETER["false_easting",500000],PARAMETER["false_northing",300000],UNIT["metre",1,AUTHORITY["EPSG","9001"]],AXIS["X",EAST],AXIS["Y",NORTH],AUTHORITY["EPSG","27500"]]</t>
  </si>
  <si>
    <t>PROJCS["NTF (Paris) / Lambert Nord France",GEOGCS["NTF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55],PARAMETER["central_meridian",0],PARAMETER["scale_factor",0.999877341],PARAMETER["false_easting",600000],PARAMETER["false_northing",200000],UNIT["metre",1,AUTHORITY["EPSG","9001"]],AXIS["X",EAST],AXIS["Y",NORTH],AUTHORITY["EPSG","27561"]]</t>
  </si>
  <si>
    <t xml:space="preserve">+proj=lcc +lat_1=49.50000000000001 +lat_0=49.50000000000001 +lon_0=0 +k_0=0.999877341 +x_0=600000 +y_0=200000 +a=6378249.2 +b=6356515 +towgs84=-168,-60,320,0,0,0,0 +pm=paris +units=m +no_defs </t>
  </si>
  <si>
    <t>PROJCS["NTF (Paris) / Lambert Centre France",GEOGCS["NTF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200000],UNIT["metre",1,AUTHORITY["EPSG","9001"]],AXIS["X",EAST],AXIS["Y",NORTH],AUTHORITY["EPSG","27562"]]</t>
  </si>
  <si>
    <t xml:space="preserve">+proj=lcc +lat_1=46.8 +lat_0=46.8 +lon_0=0 +k_0=0.99987742 +x_0=600000 +y_0=200000 +a=6378249.2 +b=6356515 +towgs84=-168,-60,320,0,0,0,0 +pm=paris +units=m +no_defs </t>
  </si>
  <si>
    <t>PROJCS["NTF (Paris) / Lambert Sud France",GEOGCS["NTF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200000],UNIT["metre",1,AUTHORITY["EPSG","9001"]],AXIS["X",EAST],AXIS["Y",NORTH],AUTHORITY["EPSG","27563"]]</t>
  </si>
  <si>
    <t xml:space="preserve">+proj=lcc +lat_1=44.10000000000001 +lat_0=44.10000000000001 +lon_0=0 +k_0=0.999877499 +x_0=600000 +y_0=200000 +a=6378249.2 +b=6356515 +towgs84=-168,-60,320,0,0,0,0 +pm=paris +units=m +no_defs </t>
  </si>
  <si>
    <t>PROJCS["NTF (Paris) / Lambert Corse",GEOGCS["NTF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46.85],PARAMETER["central_meridian",0],PARAMETER["scale_factor",0.99994471],PARAMETER["false_easting",234.358],PARAMETER["false_northing",185861.369],UNIT["metre",1,AUTHORITY["EPSG","9001"]],AXIS["X",EAST],AXIS["Y",NORTH],AUTHORITY["EPSG","27564"]]</t>
  </si>
  <si>
    <t xml:space="preserve">+proj=lcc +lat_1=42.16500000000001 +lat_0=42.16500000000001 +lon_0=0 +k_0=0.99994471 +x_0=234.358 +y_0=185861.369 +a=6378249.2 +b=6356515 +towgs84=-168,-60,320,0,0,0,0 +pm=paris +units=m +no_defs </t>
  </si>
  <si>
    <t>PROJCS["NTF (Paris) / Lambert zone 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55],PARAMETER["central_meridian",0],PARAMETER["scale_factor",0.999877341],PARAMETER["false_easting",600000],PARAMETER["false_northing",1200000],UNIT["metre",1,AUTHORITY["EPSG","9001"]],AXIS["X",EAST],AXIS["Y",NORTH],AUTHORITY["EPSG","27571"]]</t>
  </si>
  <si>
    <t xml:space="preserve">+proj=lcc +lat_1=49.50000000000001 +lat_0=49.50000000000001 +lon_0=0 +k_0=0.999877341 +x_0=600000 +y_0=1200000 +a=6378249.2 +b=6356515 +towgs84=-168,-60,320,0,0,0,0 +pm=paris +units=m +no_defs </t>
  </si>
  <si>
    <t>PROJCS["WGS 84 / UTM zone 17N",GEOGCS["WGS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32617"]]</t>
  </si>
  <si>
    <t>PROJCS["NTF (Paris) / Lambert zone II",GEOGCS["NTF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2200000],UNIT["metre",1,AUTHORITY["EPSG","9001"]],AXIS["X",EAST],AXIS["Y",NORTH],AUTHORITY["EPSG","27572"]]</t>
  </si>
  <si>
    <t xml:space="preserve">+proj=lcc +lat_1=46.8 +lat_0=46.8 +lon_0=0 +k_0=0.99987742 +x_0=600000 +y_0=2200000 +a=6378249.2 +b=6356515 +towgs84=-168,-60,320,0,0,0,0 +pm=paris +units=m +no_defs </t>
  </si>
  <si>
    <t>PROJCS["NTF (Paris) / Lambert zone III",GEOGCS["NTF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3200000],UNIT["metre",1,AUTHORITY["EPSG","9001"]],AXIS["X",EAST],AXIS["Y",NORTH],AUTHORITY["EPSG","27573"]]</t>
  </si>
  <si>
    <t xml:space="preserve">+proj=lcc +lat_1=44.10000000000001 +lat_0=44.10000000000001 +lon_0=0 +k_0=0.999877499 +x_0=600000 +y_0=3200000 +a=6378249.2 +b=6356515 +towgs84=-168,-60,320,0,0,0,0 +pm=paris +units=m +no_defs </t>
  </si>
  <si>
    <t>PROJCS["NTF (Paris) / Lambert zone IV",GEOGCS["NTF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46.85],PARAMETER["central_meridian",0],PARAMETER["scale_factor",0.99994471],PARAMETER["false_easting",234.358],PARAMETER["false_northing",4185861.369],UNIT["metre",1,AUTHORITY["EPSG","9001"]],AXIS["X",EAST],AXIS["Y",NORTH],AUTHORITY["EPSG","27574"]]</t>
  </si>
  <si>
    <t xml:space="preserve">+proj=lcc +lat_1=42.16500000000001 +lat_0=42.16500000000001 +lon_0=0 +k_0=0.99994471 +x_0=234.358 +y_0=4185861.369 +a=6378249.2 +b=6356515 +towgs84=-168,-60,320,0,0,0,0 +pm=paris +units=m +no_defs </t>
  </si>
  <si>
    <t>PROJCS["NTF (Paris) / France I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55],PARAMETER["central_meridian",0],PARAMETER["scale_factor",0.999877341],PARAMETER["false_easting",600000],PARAMETER["false_northing",1200000],UNIT["metre",1,AUTHORITY["EPSG","9001"]],AXIS["X",EAST],AXIS["Y",NORTH],AUTHORITY["EPSG","27581"]]</t>
  </si>
  <si>
    <t>PROJCS["NTF (Paris) / France II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2200000],UNIT["metre",1,AUTHORITY["EPSG","9001"]],AXIS["X",EAST],AXIS["Y",NORTH],AUTHORITY["EPSG","27582"]]</t>
  </si>
  <si>
    <t>PROJCS["NTF (Paris) / France III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3200000],UNIT["metre",1,AUTHORITY["EPSG","9001"]],AXIS["X",EAST],AXIS["Y",NORTH],AUTHORITY["EPSG","27583"]]</t>
  </si>
  <si>
    <t>PROJCS["NTF (Paris) / France IV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46.85],PARAMETER["central_meridian",0],PARAMETER["scale_factor",0.99994471],PARAMETER["false_easting",234.358],PARAMETER["false_northing",4185861.369],UNIT["metre",1,AUTHORITY["EPSG","9001"]],AXIS["X",EAST],AXIS["Y",NORTH],AUTHORITY["EPSG","27584"]]</t>
  </si>
  <si>
    <t>PROJCS["NTF (Paris) / Nord France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55],PARAMETER["central_meridian",0],PARAMETER["scale_factor",0.999877341],PARAMETER["false_easting",600000],PARAMETER["false_northing",200000],UNIT["metre",1,AUTHORITY["EPSG","9001"]],AXIS["X",EAST],AXIS["Y",NORTH],AUTHORITY["EPSG","27591"]]</t>
  </si>
  <si>
    <t>GEOCCS["RGAF09",DATUM["Reseau_Geodesique_des_Antilles_Francaises_2009",SPHEROID["GRS 1980",6378137,298.257222101,AUTHORITY["EPSG","7019"]],AUTHORITY["EPSG","1073"]],PRIMEM["Greenwich",0,AUTHORITY["EPSG","8901"]],UNIT["metre",1,AUTHORITY["EPSG","9001"]],AXIS["Geocentric X",OTHER],AXIS["Geocentric Y",OTHER],AXIS["Geocentric Z",NORTH],AUTHORITY["EPSG","5487"]]</t>
  </si>
  <si>
    <t>PROJCS["NTF (Paris) / Centre France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200000],UNIT["metre",1,AUTHORITY["EPSG","9001"]],AXIS["X",EAST],AXIS["Y",NORTH],AUTHORITY["EPSG","27592"]]</t>
  </si>
  <si>
    <t>PROJCS["NTF (Paris) / Sud France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200000],UNIT["metre",1,AUTHORITY["EPSG","9001"]],AXIS["X",EAST],AXIS["Y",NORTH],AUTHORITY["EPSG","27593"]]</t>
  </si>
  <si>
    <t>PROJCS["NTF (Paris) / Corse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46.85],PARAMETER["central_meridian",0],PARAMETER["scale_factor",0.99994471],PARAMETER["false_easting",234.358],PARAMETER["false_northing",185861.369],UNIT["metre",1,AUTHORITY["EPSG","9001"]],AXIS["X",EAST],AXIS["Y",NORTH],AUTHORITY["EPSG","27594"]]</t>
  </si>
  <si>
    <t>PROJCS["OSGB 1936 / British National Grid",GEOGCS["OSGB 1936",DATUM["OSGB_1936",SPHEROID["Airy 1830",6377563.396,299.3249646,AUTHORITY["EPSG","7001"]],TOWGS84[446.448,-125.157,542.06,0.15,0.247,0.842,-20.489]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0.9996012717],PARAMETER["false_easting",400000],PARAMETER["false_northing",-100000],UNIT["metre",1,AUTHORITY["EPSG","9001"]],AXIS["Easting",EAST],AXIS["Northing",NORTH],AUTHORITY["EPSG","27700"]]</t>
  </si>
  <si>
    <t>PROJCS["Palestine 1923 / Palestine Grid",GEOGCS["Palestine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,PROJECTION["Cassini_Soldner"],PARAMETER["latitude_of_origin",31.73409694444445],PARAMETER["central_meridian",35.21208055555556],PARAMETER["false_easting",170251.555],PARAMETER["false_northing",126867.909],UNIT["metre",1,AUTHORITY["EPSG","9001"]],AXIS["Easting",EAST],AXIS["Northing",NORTH],AUTHORITY["EPSG","28191"]]</t>
  </si>
  <si>
    <t xml:space="preserve">+proj=cass +lat_0=31.73409694444445 +lon_0=35.21208055555556 +x_0=170251.555 +y_0=126867.909 +a=6378300.789 +b=6356566.435 +towgs84=-275.7224,94.7824,340.8944,-8.001,-4.42,-11.821,1 +units=m +no_defs </t>
  </si>
  <si>
    <t>PROJCS["Palestine 1923 / Palestine Belt",GEOGCS["Palestine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,PROJECTION["Transverse_Mercator"],PARAMETER["latitude_of_origin",31.73409694444445],PARAMETER["central_meridian",35.21208055555556],PARAMETER["scale_factor",1],PARAMETER["false_easting",170251.555],PARAMETER["false_northing",1126867.909],UNIT["metre",1,AUTHORITY["EPSG","9001"]],AXIS["Easting",EAST],AXIS["Northing",NORTH],AUTHORITY["EPSG","28192"]]</t>
  </si>
  <si>
    <t xml:space="preserve">+proj=tmerc +lat_0=31.73409694444445 +lon_0=35.21208055555556 +k=1 +x_0=170251.555 +y_0=1126867.909 +a=6378300.789 +b=6356566.435 +towgs84=-275.7224,94.7824,340.8944,-8.001,-4.42,-11.821,1 +units=m +no_defs </t>
  </si>
  <si>
    <t>PROJCS["Palestine 1923 / Israeli CS Grid",GEOGCS["Palestine 1923",DATUM["Palestine_1923",SPHEROID["Clarke 1880 (Benoit)",6378300.789,293.4663155389811,AUTHORITY["EPSG","7010"]],TOWGS84[-275.7224,94.7824,340.8944,-8.001,-4.42,-11.821,1],AUTHORITY["EPSG","6281"]],PRIMEM["Greenwich",0,AUTHORITY["EPSG","8901"]],UNIT["degree",0.0174532925199433,AUTHORITY["EPSG","9122"]],AUTHORITY["EPSG","4281"]],PROJECTION["Cassini_Soldner"],PARAMETER["latitude_of_origin",31.73409694444445],PARAMETER["central_meridian",35.21208055555556],PARAMETER["false_easting",170251.555],PARAMETER["false_northing",1126867.909],UNIT["metre",1,AUTHORITY["EPSG","9001"]],AXIS["Easting",EAST],AXIS["Northing",NORTH],AUTHORITY["EPSG","28193"]]</t>
  </si>
  <si>
    <t xml:space="preserve">+proj=cass +lat_0=31.73409694444445 +lon_0=35.21208055555556 +x_0=170251.555 +y_0=1126867.909 +a=6378300.789 +b=6356566.435 +towgs84=-275.7224,94.7824,340.8944,-8.001,-4.42,-11.821,1 +units=m +no_defs </t>
  </si>
  <si>
    <t>PROJCS["Pointe Noire / UTM zone 32S",GEOGCS["Pointe Noire",DATUM["Congo_1960_Pointe_Noire",SPHEROID["Clarke 1880 (IGN)",6378249.2,293.4660212936269,AUTHORITY["EPSG","7011"]],TOWGS84[-148,51,-291,0,0,0,0],AUTHORITY["EPSG","6282"]],PRIMEM["Greenwich",0,AUTHORITY["EPSG","8901"]],UNIT["degree",0.0174532925199433,AUTHORITY["EPSG","9122"]],AUTHORITY["EPSG","4282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28232"]]</t>
  </si>
  <si>
    <t xml:space="preserve">+proj=utm +zone=32 +south +a=6378249.2 +b=6356515 +towgs84=-148,51,-291,0,0,0,0 +units=m +no_defs </t>
  </si>
  <si>
    <t>PROJCS["WGS 84 / UTM zone 18N",GEOGCS["WGS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32618"]]</t>
  </si>
  <si>
    <t>PROJCS["GDA94 / MGA zone 50",GEOGCS["GDA94",DATUM["Geocentric_Datum_of_Australia_1994",SPHEROID["GRS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28350"]]</t>
  </si>
  <si>
    <t xml:space="preserve">+proj=utm +zone=50 +south +ellps=GRS80 +towgs84=0,0,0,0,0,0,0 +units=m +no_defs </t>
  </si>
  <si>
    <t>PROJCS["GDA94 / MGA zone 51",GEOGCS["GDA94",DATUM["Geocentric_Datum_of_Australia_1994",SPHEROID["GRS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28351"]]</t>
  </si>
  <si>
    <t xml:space="preserve">+proj=utm +zone=51 +south +ellps=GRS80 +towgs84=0,0,0,0,0,0,0 +units=m +no_defs </t>
  </si>
  <si>
    <t>PROJCS["GDA94 / MGA zone 52",GEOGCS["GDA94",DATUM["Geocentric_Datum_of_Australia_1994",SPHEROID["GRS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28352"]]</t>
  </si>
  <si>
    <t xml:space="preserve">+proj=utm +zone=52 +south +ellps=GRS80 +towgs84=0,0,0,0,0,0,0 +units=m +no_defs </t>
  </si>
  <si>
    <t>PROJCS["GDA94 / MGA zone 53",GEOGCS["GDA94",DATUM["Geocentric_Datum_of_Australia_1994",SPHEROID["GRS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28353"]]</t>
  </si>
  <si>
    <t xml:space="preserve">+proj=utm +zone=53 +south +ellps=GRS80 +towgs84=0,0,0,0,0,0,0 +units=m +no_defs </t>
  </si>
  <si>
    <t>PROJCS["GDA94 / MGA zone 54",GEOGCS["GDA94",DATUM["Geocentric_Datum_of_Australia_1994",SPHEROID["GRS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28354"]]</t>
  </si>
  <si>
    <t>PROJCS["GDA94 / MGA zone 55",GEOGCS["GDA94",DATUM["Geocentric_Datum_of_Australia_1994",SPHEROID["GRS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28355"]]</t>
  </si>
  <si>
    <t>PROJCS["GDA94 / MGA zone 56",GEOGCS["GDA94",DATUM["Geocentric_Datum_of_Australia_1994",SPHEROID["GRS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28356"]]</t>
  </si>
  <si>
    <t>PROJCS["GDA94 / MGA zone 57",GEOGCS["GDA94",DATUM["Geocentric_Datum_of_Australia_1994",SPHEROID["GRS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28357"]]</t>
  </si>
  <si>
    <t>PROJCS["GDA94 / MGA zone 58",GEOGCS["GDA94",DATUM["Geocentric_Datum_of_Australia_1994",SPHEROID["GRS 1980",6378137,298.257222101,AUTHORITY["EPSG","7019"]],TOWGS84[0,0,0,0,0,0,0],AUTHORITY["EPSG","6283"]],PRIMEM["Greenwich",0,AUTHORITY["EPSG","8901"]],UNIT["degree",0.0174532925199433,AUTHORITY["EPSG","9122"]],AUTHORITY["EPSG","4283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28358"]]</t>
  </si>
  <si>
    <t>PROJCS["Pulkovo 1942 / Gauss-Kruger zone 2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9],PARAMETER["scale_factor",1],PARAMETER["false_easting",2500000],PARAMETER["false_northing",0],UNIT["metre",1,AUTHORITY["EPSG","9001"]],AUTHORITY["EPSG","28402"]]</t>
  </si>
  <si>
    <t xml:space="preserve">+proj=tmerc +lat_0=0 +lon_0=9 +k=1 +x_0=2500000 +y_0=0 +ellps=krass +towgs84=23.92,-141.27,-80.9,0,0.35,0.82,-0.12 +units=m +no_defs </t>
  </si>
  <si>
    <t>PROJCS["Pulkovo 1942 / Gauss-Kruger zone 3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15],PARAMETER["scale_factor",1],PARAMETER["false_easting",3500000],PARAMETER["false_northing",0],UNIT["metre",1,AUTHORITY["EPSG","9001"]],AUTHORITY["EPSG","28403"]]</t>
  </si>
  <si>
    <t xml:space="preserve">+proj=tmerc +lat_0=0 +lon_0=15 +k=1 +x_0=3500000 +y_0=0 +ellps=krass +towgs84=23.92,-141.27,-80.9,0,0.35,0.82,-0.12 +units=m +no_defs </t>
  </si>
  <si>
    <t>PROJCS["Pulkovo 1942 / Gauss-Kruger zone 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4500000],PARAMETER["false_northing",0],UNIT["metre",1,AUTHORITY["EPSG","9001"]],AUTHORITY["EPSG","28404"]]</t>
  </si>
  <si>
    <t xml:space="preserve">+proj=tmerc +lat_0=0 +lon_0=21 +k=1 +x_0=4500000 +y_0=0 +ellps=krass +towgs84=23.92,-141.27,-80.9,0,0.35,0.82,-0.12 +units=m +no_defs </t>
  </si>
  <si>
    <t>PROJCS["Pulkovo 1942 / Gauss-Kruger zone 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5500000],PARAMETER["false_northing",0],UNIT["metre",1,AUTHORITY["EPSG","9001"]],AUTHORITY["EPSG","28405"]]</t>
  </si>
  <si>
    <t xml:space="preserve">+proj=tmerc +lat_0=0 +lon_0=27 +k=1 +x_0=5500000 +y_0=0 +ellps=krass +towgs84=23.92,-141.27,-80.9,0,0.35,0.82,-0.12 +units=m +no_defs </t>
  </si>
  <si>
    <t>PROJCS["Pulkovo 1942 / Gauss-Kruger zone 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6500000],PARAMETER["false_northing",0],UNIT["metre",1,AUTHORITY["EPSG","9001"]],AUTHORITY["EPSG","28406"]]</t>
  </si>
  <si>
    <t xml:space="preserve">+proj=tmerc +lat_0=0 +lon_0=33 +k=1 +x_0=6500000 +y_0=0 +ellps=krass +towgs84=23.92,-141.27,-80.9,0,0.35,0.82,-0.12 +units=m +no_defs </t>
  </si>
  <si>
    <t>PROJCS["Pulkovo 1942 / Gauss-Kruger zone 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7500000],PARAMETER["false_northing",0],UNIT["metre",1,AUTHORITY["EPSG","9001"]],AUTHORITY["EPSG","28407"]]</t>
  </si>
  <si>
    <t xml:space="preserve">+proj=tmerc +lat_0=0 +lon_0=39 +k=1 +x_0=7500000 +y_0=0 +ellps=krass +towgs84=23.92,-141.27,-80.9,0,0.35,0.82,-0.12 +units=m +no_defs </t>
  </si>
  <si>
    <t>PROJCS["Pulkovo 1942 / Gauss-Kruger zone 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8500000],PARAMETER["false_northing",0],UNIT["metre",1,AUTHORITY["EPSG","9001"]],AUTHORITY["EPSG","28408"]]</t>
  </si>
  <si>
    <t xml:space="preserve">+proj=tmerc +lat_0=0 +lon_0=45 +k=1 +x_0=8500000 +y_0=0 +ellps=krass +towgs84=23.92,-141.27,-80.9,0,0.35,0.82,-0.12 +units=m +no_defs </t>
  </si>
  <si>
    <t>PROJCS["Pulkovo 1942 / Gauss-Kruger zone 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9500000],PARAMETER["false_northing",0],UNIT["metre",1,AUTHORITY["EPSG","9001"]],AUTHORITY["EPSG","28409"]]</t>
  </si>
  <si>
    <t xml:space="preserve">+proj=tmerc +lat_0=0 +lon_0=51 +k=1 +x_0=9500000 +y_0=0 +ellps=krass +towgs84=23.92,-141.27,-80.9,0,0.35,0.82,-0.12 +units=m +no_defs </t>
  </si>
  <si>
    <t>PROJCS["Pulkovo 1942 / Gauss-Kruger zone 10",GEOGCS["Pulkovo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10500000],PARAMETER["false_northing",0],UNIT["metre",1,AUTHORITY["EPSG","9001"]],AUTHORITY["EPSG","28410"]]</t>
  </si>
  <si>
    <t xml:space="preserve">+proj=tmerc +lat_0=0 +lon_0=57 +k=1 +x_0=10500000 +y_0=0 +ellps=krass +towgs84=23.92,-141.27,-80.9,0,0.35,0.82,-0.12 +units=m +no_defs </t>
  </si>
  <si>
    <t>PROJCS["Pulkovo 1942 / Gauss-Kruger zone 11",GEOGCS["Pulkovo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11500000],PARAMETER["false_northing",0],UNIT["metre",1,AUTHORITY["EPSG","9001"]],AUTHORITY["EPSG","28411"]]</t>
  </si>
  <si>
    <t xml:space="preserve">+proj=tmerc +lat_0=0 +lon_0=63 +k=1 +x_0=11500000 +y_0=0 +ellps=krass +towgs84=23.92,-141.27,-80.9,0,0.35,0.82,-0.12 +units=m +no_defs </t>
  </si>
  <si>
    <t>PROJCS["Pulkovo 1942 / Gauss-Kruger zone 12",GEOGCS["Pulkovo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12500000],PARAMETER["false_northing",0],UNIT["metre",1,AUTHORITY["EPSG","9001"]],AUTHORITY["EPSG","28412"]]</t>
  </si>
  <si>
    <t xml:space="preserve">+proj=tmerc +lat_0=0 +lon_0=69 +k=1 +x_0=12500000 +y_0=0 +ellps=krass +towgs84=23.92,-141.27,-80.9,0,0.35,0.82,-0.12 +units=m +no_defs </t>
  </si>
  <si>
    <t>PROJCS["Pulkovo 1942 / Gauss-Kruger zone 13",GEOGCS["Pulkovo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13500000],PARAMETER["false_northing",0],UNIT["metre",1,AUTHORITY["EPSG","9001"]],AUTHORITY["EPSG","28413"]]</t>
  </si>
  <si>
    <t xml:space="preserve">+proj=tmerc +lat_0=0 +lon_0=75 +k=1 +x_0=13500000 +y_0=0 +ellps=krass +towgs84=23.92,-141.27,-80.9,0,0.35,0.82,-0.12 +units=m +no_defs </t>
  </si>
  <si>
    <t>PROJCS["Pulkovo 1942 / Gauss-Kruger zone 14",GEOGCS["Pulkovo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14500000],PARAMETER["false_northing",0],UNIT["metre",1,AUTHORITY["EPSG","9001"]],AUTHORITY["EPSG","28414"]]</t>
  </si>
  <si>
    <t xml:space="preserve">+proj=tmerc +lat_0=0 +lon_0=81 +k=1 +x_0=14500000 +y_0=0 +ellps=krass +towgs84=23.92,-141.27,-80.9,0,0.35,0.82,-0.12 +units=m +no_defs </t>
  </si>
  <si>
    <t>PROJCS["Pulkovo 1942 / Gauss-Kruger zone 15",GEOGCS["Pulkovo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15500000],PARAMETER["false_northing",0],UNIT["metre",1,AUTHORITY["EPSG","9001"]],AUTHORITY["EPSG","28415"]]</t>
  </si>
  <si>
    <t xml:space="preserve">+proj=tmerc +lat_0=0 +lon_0=87 +k=1 +x_0=15500000 +y_0=0 +ellps=krass +towgs84=23.92,-141.27,-80.9,0,0.35,0.82,-0.12 +units=m +no_defs </t>
  </si>
  <si>
    <t>PROJCS["Pulkovo 1942 / Gauss-Kruger zone 16",GEOGCS["Pulkovo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16500000],PARAMETER["false_northing",0],UNIT["metre",1,AUTHORITY["EPSG","9001"]],AUTHORITY["EPSG","28416"]]</t>
  </si>
  <si>
    <t xml:space="preserve">+proj=tmerc +lat_0=0 +lon_0=93 +k=1 +x_0=16500000 +y_0=0 +ellps=krass +towgs84=23.92,-141.27,-80.9,0,0.35,0.82,-0.12 +units=m +no_defs </t>
  </si>
  <si>
    <t>PROJCS["Pulkovo 1942 / Gauss-Kruger zone 17",GEOGCS["Pulkovo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17500000],PARAMETER["false_northing",0],UNIT["metre",1,AUTHORITY["EPSG","9001"]],AUTHORITY["EPSG","28417"]]</t>
  </si>
  <si>
    <t xml:space="preserve">+proj=tmerc +lat_0=0 +lon_0=99 +k=1 +x_0=17500000 +y_0=0 +ellps=krass +towgs84=23.92,-141.27,-80.9,0,0.35,0.82,-0.12 +units=m +no_defs </t>
  </si>
  <si>
    <t>PROJCS["Pulkovo 1942 / Gauss-Kruger zone 18",GEOGCS["Pulkovo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18500000],PARAMETER["false_northing",0],UNIT["metre",1,AUTHORITY["EPSG","9001"]],AUTHORITY["EPSG","28418"]]</t>
  </si>
  <si>
    <t xml:space="preserve">+proj=tmerc +lat_0=0 +lon_0=105 +k=1 +x_0=18500000 +y_0=0 +ellps=krass +towgs84=23.92,-141.27,-80.9,0,0.35,0.82,-0.12 +units=m +no_defs </t>
  </si>
  <si>
    <t>PROJCS["Pulkovo 1942 / Gauss-Kruger zone 19",GEOGCS["Pulkovo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19500000],PARAMETER["false_northing",0],UNIT["metre",1,AUTHORITY["EPSG","9001"]],AUTHORITY["EPSG","28419"]]</t>
  </si>
  <si>
    <t xml:space="preserve">+proj=tmerc +lat_0=0 +lon_0=111 +k=1 +x_0=19500000 +y_0=0 +ellps=krass +towgs84=23.92,-141.27,-80.9,0,0.35,0.82,-0.12 +units=m +no_defs </t>
  </si>
  <si>
    <t>PROJCS["Pulkovo 1942 / Gauss-Kruger zone 20",GEOGCS["Pulkovo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20500000],PARAMETER["false_northing",0],UNIT["metre",1,AUTHORITY["EPSG","9001"]],AUTHORITY["EPSG","28420"]]</t>
  </si>
  <si>
    <t xml:space="preserve">+proj=tmerc +lat_0=0 +lon_0=117 +k=1 +x_0=20500000 +y_0=0 +ellps=krass +towgs84=23.92,-141.27,-80.9,0,0.35,0.82,-0.12 +units=m +no_defs </t>
  </si>
  <si>
    <t>PROJCS["Pulkovo 1942 / Gauss-Kruger zone 21",GEOGCS["Pulkovo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21500000],PARAMETER["false_northing",0],UNIT["metre",1,AUTHORITY["EPSG","9001"]],AUTHORITY["EPSG","28421"]]</t>
  </si>
  <si>
    <t xml:space="preserve">+proj=tmerc +lat_0=0 +lon_0=123 +k=1 +x_0=21500000 +y_0=0 +ellps=krass +towgs84=23.92,-141.27,-80.9,0,0.35,0.82,-0.12 +units=m +no_defs </t>
  </si>
  <si>
    <t>PROJCS["Pulkovo 1942 / Gauss-Kruger zone 22",GEOGCS["Pulkovo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22500000],PARAMETER["false_northing",0],UNIT["metre",1,AUTHORITY["EPSG","9001"]],AUTHORITY["EPSG","28422"]]</t>
  </si>
  <si>
    <t xml:space="preserve">+proj=tmerc +lat_0=0 +lon_0=129 +k=1 +x_0=22500000 +y_0=0 +ellps=krass +towgs84=23.92,-141.27,-80.9,0,0.35,0.82,-0.12 +units=m +no_defs </t>
  </si>
  <si>
    <t>PROJCS["Pulkovo 1942 / Gauss-Kruger zone 23",GEOGCS["Pulkovo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23500000],PARAMETER["false_northing",0],UNIT["metre",1,AUTHORITY["EPSG","9001"]],AUTHORITY["EPSG","28423"]]</t>
  </si>
  <si>
    <t xml:space="preserve">+proj=tmerc +lat_0=0 +lon_0=135 +k=1 +x_0=23500000 +y_0=0 +ellps=krass +towgs84=23.92,-141.27,-80.9,0,0.35,0.82,-0.12 +units=m +no_defs </t>
  </si>
  <si>
    <t>PROJCS["Pulkovo 1942 / Gauss-Kruger zone 24",GEOGCS["Pulkovo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24500000],PARAMETER["false_northing",0],UNIT["metre",1,AUTHORITY["EPSG","9001"]],AUTHORITY["EPSG","28424"]]</t>
  </si>
  <si>
    <t xml:space="preserve">+proj=tmerc +lat_0=0 +lon_0=141 +k=1 +x_0=24500000 +y_0=0 +ellps=krass +towgs84=23.92,-141.27,-80.9,0,0.35,0.82,-0.12 +units=m +no_defs </t>
  </si>
  <si>
    <t>PROJCS["Pulkovo 1942 / Gauss-Kruger zone 25",GEOGCS["Pulkovo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25500000],PARAMETER["false_northing",0],UNIT["metre",1,AUTHORITY["EPSG","9001"]],AUTHORITY["EPSG","28425"]]</t>
  </si>
  <si>
    <t xml:space="preserve">+proj=tmerc +lat_0=0 +lon_0=147 +k=1 +x_0=25500000 +y_0=0 +ellps=krass +towgs84=23.92,-141.27,-80.9,0,0.35,0.82,-0.12 +units=m +no_defs </t>
  </si>
  <si>
    <t>PROJCS["Pulkovo 1942 / Gauss-Kruger zone 26",GEOGCS["Pulkovo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26500000],PARAMETER["false_northing",0],UNIT["metre",1,AUTHORITY["EPSG","9001"]],AUTHORITY["EPSG","28426"]]</t>
  </si>
  <si>
    <t xml:space="preserve">+proj=tmerc +lat_0=0 +lon_0=153 +k=1 +x_0=26500000 +y_0=0 +ellps=krass +towgs84=23.92,-141.27,-80.9,0,0.35,0.82,-0.12 +units=m +no_defs </t>
  </si>
  <si>
    <t>PROJCS["Pulkovo 1942 / Gauss-Kruger zone 27",GEOGCS["Pulkovo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27500000],PARAMETER["false_northing",0],UNIT["metre",1,AUTHORITY["EPSG","9001"]],AUTHORITY["EPSG","28427"]]</t>
  </si>
  <si>
    <t xml:space="preserve">+proj=tmerc +lat_0=0 +lon_0=159 +k=1 +x_0=27500000 +y_0=0 +ellps=krass +towgs84=23.92,-141.27,-80.9,0,0.35,0.82,-0.12 +units=m +no_defs </t>
  </si>
  <si>
    <t>PROJCS["Pulkovo 1942 / Gauss-Kruger zone 28",GEOGCS["Pulkovo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28500000],PARAMETER["false_northing",0],UNIT["metre",1,AUTHORITY["EPSG","9001"]],AUTHORITY["EPSG","28428"]]</t>
  </si>
  <si>
    <t xml:space="preserve">+proj=tmerc +lat_0=0 +lon_0=165 +k=1 +x_0=28500000 +y_0=0 +ellps=krass +towgs84=23.92,-141.27,-80.9,0,0.35,0.82,-0.12 +units=m +no_defs </t>
  </si>
  <si>
    <t>PROJCS["Pulkovo 1942 / Gauss-Kruger zone 29",GEOGCS["Pulkovo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29500000],PARAMETER["false_northing",0],UNIT["metre",1,AUTHORITY["EPSG","9001"]],AUTHORITY["EPSG","28429"]]</t>
  </si>
  <si>
    <t xml:space="preserve">+proj=tmerc +lat_0=0 +lon_0=171 +k=1 +x_0=29500000 +y_0=0 +ellps=krass +towgs84=23.92,-141.27,-80.9,0,0.35,0.82,-0.12 +units=m +no_defs </t>
  </si>
  <si>
    <t>PROJCS["Pulkovo 1942 / Gauss-Kruger zone 30",GEOGCS["Pulkovo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30500000],PARAMETER["false_northing",0],UNIT["metre",1,AUTHORITY["EPSG","9001"]],AUTHORITY["EPSG","28430"]]</t>
  </si>
  <si>
    <t xml:space="preserve">+proj=tmerc +lat_0=0 +lon_0=177 +k=1 +x_0=30500000 +y_0=0 +ellps=krass +towgs84=23.92,-141.27,-80.9,0,0.35,0.82,-0.12 +units=m +no_defs </t>
  </si>
  <si>
    <t>PROJCS["Pulkovo 1942 / Gauss-Kruger zone 31",GEOGCS["Pulkovo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31500000],PARAMETER["false_northing",0],UNIT["metre",1,AUTHORITY["EPSG","9001"]],AUTHORITY["EPSG","28431"]]</t>
  </si>
  <si>
    <t xml:space="preserve">+proj=tmerc +lat_0=0 +lon_0=-177 +k=1 +x_0=31500000 +y_0=0 +ellps=krass +towgs84=23.92,-141.27,-80.9,0,0.35,0.82,-0.12 +units=m +no_defs </t>
  </si>
  <si>
    <t>PROJCS["Pulkovo 1942 / Gauss-Kruger zone 32",GEOGCS["Pulkovo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32500000],PARAMETER["false_northing",0],UNIT["metre",1,AUTHORITY["EPSG","9001"]],AUTHORITY["EPSG","28432"]]</t>
  </si>
  <si>
    <t xml:space="preserve">+proj=tmerc +lat_0=0 +lon_0=-171 +k=1 +x_0=32500000 +y_0=0 +ellps=krass +towgs84=23.92,-141.27,-80.9,0,0.35,0.82,-0.12 +units=m +no_defs </t>
  </si>
  <si>
    <t>PROJCS["Pulkovo 1942 / Gauss-Kruger 2N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9],PARAMETER["scale_factor",1],PARAMETER["false_easting",500000],PARAMETER["false_northing",0],UNIT["metre",1,AUTHORITY["EPSG","9001"]],AUTHORITY["EPSG","28462"]]</t>
  </si>
  <si>
    <t>PROJCS["Pulkovo 1942 / Gauss-Kruger 3N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15],PARAMETER["scale_factor",1],PARAMETER["false_easting",500000],PARAMETER["false_northing",0],UNIT["metre",1,AUTHORITY["EPSG","9001"]],AUTHORITY["EPSG","28463"]]</t>
  </si>
  <si>
    <t>PROJCS["Pulkovo 1942 / Gauss-Kruger 4N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21],PARAMETER["scale_factor",1],PARAMETER["false_easting",500000],PARAMETER["false_northing",0],UNIT["metre",1,AUTHORITY["EPSG","9001"]],AUTHORITY["EPSG","28464"]]</t>
  </si>
  <si>
    <t>PROJCS["Pulkovo 1942 / Gauss-Kruger 5N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27],PARAMETER["scale_factor",1],PARAMETER["false_easting",500000],PARAMETER["false_northing",0],UNIT["metre",1,AUTHORITY["EPSG","9001"]],AUTHORITY["EPSG","28465"]]</t>
  </si>
  <si>
    <t>PROJCS["Pulkovo 1942 / Gauss-Kruger 6N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33],PARAMETER["scale_factor",1],PARAMETER["false_easting",500000],PARAMETER["false_northing",0],UNIT["metre",1,AUTHORITY["EPSG","9001"]],AUTHORITY["EPSG","28466"]]</t>
  </si>
  <si>
    <t>PROJCS["Pulkovo 1942 / Gauss-Kruger 7N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39],PARAMETER["scale_factor",1],PARAMETER["false_easting",500000],PARAMETER["false_northing",0],UNIT["metre",1,AUTHORITY["EPSG","9001"]],AUTHORITY["EPSG","28467"]]</t>
  </si>
  <si>
    <t>PROJCS["Pulkovo 1942 / Gauss-Kruger 8N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45],PARAMETER["scale_factor",1],PARAMETER["false_easting",500000],PARAMETER["false_northing",0],UNIT["metre",1,AUTHORITY["EPSG","9001"]],AUTHORITY["EPSG","28468"]]</t>
  </si>
  <si>
    <t>PROJCS["Pulkovo 1942 / Gauss-Kruger 9N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51],PARAMETER["scale_factor",1],PARAMETER["false_easting",500000],PARAMETER["false_northing",0],UNIT["metre",1,AUTHORITY["EPSG","9001"]],AUTHORITY["EPSG","28469"]]</t>
  </si>
  <si>
    <t>PROJCS["Pulkovo 1942 / Gauss-Kruger 10N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57],PARAMETER["scale_factor",1],PARAMETER["false_easting",500000],PARAMETER["false_northing",0],UNIT["metre",1,AUTHORITY["EPSG","9001"]],AUTHORITY["EPSG","28470"]]</t>
  </si>
  <si>
    <t>PROJCS["Sudan / UTM zone 35N (deprecated)",GEOGCS["Sudan",DATUM["Sudan",SPHEROID["Clarke 1880 (IGN)",6378249.2,293.4660212936269,AUTHORITY["EPSG","7011"]],AUTHORITY["EPSG","6296"]],PRIMEM["Greenwich",0,AUTHORITY["EPSG","8901"]],UNIT["degree",0.0174532925199433,AUTHORITY["EPSG","9108"]],AUTHORITY["EPSG","4296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29635"]]</t>
  </si>
  <si>
    <t>PROJCS["Pulkovo 1942 / Gauss-Kruger 11N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63],PARAMETER["scale_factor",1],PARAMETER["false_easting",500000],PARAMETER["false_northing",0],UNIT["metre",1,AUTHORITY["EPSG","9001"]],AUTHORITY["EPSG","28471"]]</t>
  </si>
  <si>
    <t>PROJCS["Pulkovo 1942 / Gauss-Kruger 12N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69],PARAMETER["scale_factor",1],PARAMETER["false_easting",500000],PARAMETER["false_northing",0],UNIT["metre",1,AUTHORITY["EPSG","9001"]],AUTHORITY["EPSG","28472"]]</t>
  </si>
  <si>
    <t>PROJCS["Pulkovo 1942 / Gauss-Kruger 13N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75],PARAMETER["scale_factor",1],PARAMETER["false_easting",500000],PARAMETER["false_northing",0],UNIT["metre",1,AUTHORITY["EPSG","9001"]],AUTHORITY["EPSG","28473"]]</t>
  </si>
  <si>
    <t>PROJCS["Pulkovo 1942 / Gauss-Kruger 14N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81],PARAMETER["scale_factor",1],PARAMETER["false_easting",500000],PARAMETER["false_northing",0],UNIT["metre",1,AUTHORITY["EPSG","9001"]],AUTHORITY["EPSG","28474"]]</t>
  </si>
  <si>
    <t>PROJCS["Pulkovo 1942 / Gauss-Kruger 15N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87],PARAMETER["scale_factor",1],PARAMETER["false_easting",500000],PARAMETER["false_northing",0],UNIT["metre",1,AUTHORITY["EPSG","9001"]],AUTHORITY["EPSG","28475"]]</t>
  </si>
  <si>
    <t>PROJCS["Pulkovo 1942 / Gauss-Kruger 16N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93],PARAMETER["scale_factor",1],PARAMETER["false_easting",500000],PARAMETER["false_northing",0],UNIT["metre",1,AUTHORITY["EPSG","9001"]],AUTHORITY["EPSG","28476"]]</t>
  </si>
  <si>
    <t>PROJCS["Pulkovo 1942 / Gauss-Kruger 17N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99],PARAMETER["scale_factor",1],PARAMETER["false_easting",500000],PARAMETER["false_northing",0],UNIT["metre",1,AUTHORITY["EPSG","9001"]],AUTHORITY["EPSG","28477"]]</t>
  </si>
  <si>
    <t>PROJCS["Pulkovo 1942 / Gauss-Kruger 18N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105],PARAMETER["scale_factor",1],PARAMETER["false_easting",500000],PARAMETER["false_northing",0],UNIT["metre",1,AUTHORITY["EPSG","9001"]],AUTHORITY["EPSG","28478"]]</t>
  </si>
  <si>
    <t>PROJCS["Pulkovo 1942 / Gauss-Kruger 19N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111],PARAMETER["scale_factor",1],PARAMETER["false_easting",500000],PARAMETER["false_northing",0],UNIT["metre",1,AUTHORITY["EPSG","9001"]],AUTHORITY["EPSG","28479"]]</t>
  </si>
  <si>
    <t>PROJCS["Sudan / UTM zone 36N (deprecated)",GEOGCS["Sudan",DATUM["Sudan",SPHEROID["Clarke 1880 (IGN)",6378249.2,293.4660212936269,AUTHORITY["EPSG","7011"]],AUTHORITY["EPSG","6296"]],PRIMEM["Greenwich",0,AUTHORITY["EPSG","8901"]],UNIT["degree",0.0174532925199433,AUTHORITY["EPSG","9108"]],AUTHORITY["EPSG","4296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29636"]]</t>
  </si>
  <si>
    <t>PROJCS["Pulkovo 1942 / Gauss-Kruger 20N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117],PARAMETER["scale_factor",1],PARAMETER["false_easting",500000],PARAMETER["false_northing",0],UNIT["metre",1,AUTHORITY["EPSG","9001"]],AUTHORITY["EPSG","28480"]]</t>
  </si>
  <si>
    <t>PROJCS["Pulkovo 1942 / Gauss-Kruger 21N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123],PARAMETER["scale_factor",1],PARAMETER["false_easting",500000],PARAMETER["false_northing",0],UNIT["metre",1,AUTHORITY["EPSG","9001"]],AUTHORITY["EPSG","28481"]]</t>
  </si>
  <si>
    <t>PROJCS["Pulkovo 1942 / Gauss-Kruger 22N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129],PARAMETER["scale_factor",1],PARAMETER["false_easting",500000],PARAMETER["false_northing",0],UNIT["metre",1,AUTHORITY["EPSG","9001"]],AUTHORITY["EPSG","28482"]]</t>
  </si>
  <si>
    <t>PROJCS["Pulkovo 1942 / Gauss-Kruger 23N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135],PARAMETER["scale_factor",1],PARAMETER["false_easting",500000],PARAMETER["false_northing",0],UNIT["metre",1,AUTHORITY["EPSG","9001"]],AUTHORITY["EPSG","28483"]]</t>
  </si>
  <si>
    <t>PROJCS["Pulkovo 1942 / Gauss-Kruger 24N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141],PARAMETER["scale_factor",1],PARAMETER["false_easting",500000],PARAMETER["false_northing",0],UNIT["metre",1,AUTHORITY["EPSG","9001"]],AUTHORITY["EPSG","28484"]]</t>
  </si>
  <si>
    <t>PROJCS["Pulkovo 1942 / Gauss-Kruger 25N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147],PARAMETER["scale_factor",1],PARAMETER["false_easting",500000],PARAMETER["false_northing",0],UNIT["metre",1,AUTHORITY["EPSG","9001"]],AUTHORITY["EPSG","28485"]]</t>
  </si>
  <si>
    <t>PROJCS["Pulkovo 1942 / Gauss-Kruger 26N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153],PARAMETER["scale_factor",1],PARAMETER["false_easting",500000],PARAMETER["false_northing",0],UNIT["metre",1,AUTHORITY["EPSG","9001"]],AUTHORITY["EPSG","28486"]]</t>
  </si>
  <si>
    <t>PROJCS["Pulkovo 1942 / Gauss-Kruger 27N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159],PARAMETER["scale_factor",1],PARAMETER["false_easting",500000],PARAMETER["false_northing",0],UNIT["metre",1,AUTHORITY["EPSG","9001"]],AUTHORITY["EPSG","28487"]]</t>
  </si>
  <si>
    <t>PROJCS["Pulkovo 1942 / Gauss-Kruger 28N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165],PARAMETER["scale_factor",1],PARAMETER["false_easting",500000],PARAMETER["false_northing",0],UNIT["metre",1,AUTHORITY["EPSG","9001"]],AUTHORITY["EPSG","28488"]]</t>
  </si>
  <si>
    <t>PROJCS["RT38 2.5 gon W (deprecated)",GEOGCS["RT38",DATUM["Stockholm_1938",SPHEROID["Bessel 1841",6377397.155,299.1528128,AUTHORITY["EPSG","7004"]],AUTHORITY["EPSG","6308"]],PRIMEM["Greenwich",0,AUTHORITY["EPSG","8901"]],UNIT["degree",0.0174532925199433,AUTHORITY["EPSG","9122"]],AUTHORITY["EPSG","4308"]],PROJECTION["Transverse_Mercator"],PARAMETER["latitude_of_origin",0],PARAMETER["central_meridian",15.80827777777778],PARAMETER["scale_factor",1],PARAMETER["false_easting",1500000],PARAMETER["false_northing",0],UNIT["metre",1,AUTHORITY["EPSG","9001"]],AUTHORITY["EPSG","30800"]]</t>
  </si>
  <si>
    <t>PROJCS["Pulkovo 1942 / Gauss-Kruger 29N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171],PARAMETER["scale_factor",1],PARAMETER["false_easting",500000],PARAMETER["false_northing",0],UNIT["metre",1,AUTHORITY["EPSG","9001"]],AUTHORITY["EPSG","28489"]]</t>
  </si>
  <si>
    <t>PROJCS["Pulkovo 1942 / Gauss-Kruger 30N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177],PARAMETER["scale_factor",1],PARAMETER["false_easting",500000],PARAMETER["false_northing",0],UNIT["metre",1,AUTHORITY["EPSG","9001"]],AUTHORITY["EPSG","28490"]]</t>
  </si>
  <si>
    <t>PROJCS["Pulkovo 1942 / Gauss-Kruger 31N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-177],PARAMETER["scale_factor",1],PARAMETER["false_easting",500000],PARAMETER["false_northing",0],UNIT["metre",1,AUTHORITY["EPSG","9001"]],AUTHORITY["EPSG","28491"]]</t>
  </si>
  <si>
    <t>PROJCS["Pulkovo 1942 / Gauss-Kruger 32N (deprecated)",GEOGCS["Pulkovo 1942",DATUM["Pulkovo_1942",SPHEROID["Krassowsky 1940",6378245,298.3,AUTHORITY["EPSG","7024"]],TOWGS84[23.92,-141.27,-80.9,0,0.35,0.82,-0.12],AUTHORITY["EPSG","6284"]],PRIMEM["Greenwich",0,AUTHORITY["EPSG","8901"]],UNIT["degree",0.0174532925199433,AUTHORITY["EPSG","9122"]],AUTHORITY["EPSG","4284"]],PROJECTION["Transverse_Mercator"],PARAMETER["latitude_of_origin",0],PARAMETER["central_meridian",-171],PARAMETER["scale_factor",1],PARAMETER["false_easting",500000],PARAMETER["false_northing",0],UNIT["metre",1,AUTHORITY["EPSG","9001"]],AUTHORITY["EPSG","28492"]]</t>
  </si>
  <si>
    <t>PROJCS["Qatar 1974 / Qatar National Grid",GEOGCS["Qatar 1974",DATUM["Qatar_1974",SPHEROID["International 1924",6378388,297,AUTHORITY["EPSG","7022"]],TOWGS84[-128.16,-282.42,21.93,0,0,0,0],AUTHORITY["EPSG","6285"]],PRIMEM["Greenwich",0,AUTHORITY["EPSG","8901"]],UNIT["degree",0.0174532925199433,AUTHORITY["EPSG","9122"]],AUTHORITY["EPSG","4285"]],PROJECTION["Transverse_Mercator"],PARAMETER["latitude_of_origin",24.45],PARAMETER["central_meridian",51.21666666666667],PARAMETER["scale_factor",0.99999],PARAMETER["false_easting",200000],PARAMETER["false_northing",300000],UNIT["metre",1,AUTHORITY["EPSG","9001"]],AXIS["Easting",EAST],AXIS["Northing",NORTH],AUTHORITY["EPSG","28600"]]</t>
  </si>
  <si>
    <t xml:space="preserve">+proj=tmerc +lat_0=24.45 +lon_0=51.21666666666667 +k=0.99999 +x_0=200000 +y_0=300000 +ellps=intl +towgs84=-128.16,-282.42,21.93,0,0,0,0 +units=m +no_defs </t>
  </si>
  <si>
    <t>PROJCS["Amersfoort / RD Old",GEOGCS["Amersfoort",DATUM["Amersfoort",SPHEROID["Bessel 1841",6377397.155,299.1528128,AUTHORITY["EPSG","7004"]],TOWGS84[565.2369,50.0087,465.658,-0.406857,0.350733,-1.87035,4.0812],AUTHORITY["EPSG","6289"]],PRIMEM["Greenwich",0,AUTHORITY["EPSG","8901"]],UNIT["degree",0.0174532925199433,AUTHORITY["EPSG","9122"]],AUTHORITY["EPSG","4289"]],PROJECTION["Oblique_Stereographic"],PARAMETER["latitude_of_origin",52.15616055555555],PARAMETER["central_meridian",5.38763888888889],PARAMETER["scale_factor",0.9999079],PARAMETER["false_easting",0],PARAMETER["false_northing",0],UNIT["metre",1,AUTHORITY["EPSG","9001"]],AXIS["X",EAST],AXIS["Y",NORTH],AUTHORITY["EPSG","28991"]]</t>
  </si>
  <si>
    <t xml:space="preserve">+proj=sterea +lat_0=52.15616055555555 +lon_0=5.38763888888889 +k=0.9999079 +x_0=0 +y_0=0 +ellps=bessel +towgs84=565.2369,50.0087,465.658,-0.406857,0.350733,-1.87035,4.0812 +units=m +no_defs </t>
  </si>
  <si>
    <t>PROJCS["Amersfoort / RD New",GEOGCS["Amersfoort",DATUM["Amersfoort",SPHEROID["Bessel 1841",6377397.155,299.1528128,AUTHORITY["EPSG","7004"]],TOWGS84[565.2369,50.0087,465.658,-0.406857,0.350733,-1.87035,4.0812],AUTHORITY["EPSG","6289"]],PRIMEM["Greenwich",0,AUTHORITY["EPSG","8901"]],UNIT["degree",0.0174532925199433,AUTHORITY["EPSG","9122"]],AUTHORITY["EPSG","4289"]],PROJECTION["Oblique_Stereographic"],PARAMETER["latitude_of_origin",52.15616055555555],PARAMETER["central_meridian",5.38763888888889],PARAMETER["scale_factor",0.9999079],PARAMETER["false_easting",155000],PARAMETER["false_northing",463000],UNIT["metre",1,AUTHORITY["EPSG","9001"]],AXIS["X",EAST],AXIS["Y",NORTH],AUTHORITY["EPSG","28992"]]</t>
  </si>
  <si>
    <t xml:space="preserve">+proj=sterea +lat_0=52.15616055555555 +lon_0=5.38763888888889 +k=0.9999079 +x_0=155000 +y_0=463000 +ellps=bessel +towgs84=565.2369,50.0087,465.658,-0.406857,0.350733,-1.87035,4.0812 +units=m +no_defs </t>
  </si>
  <si>
    <t>PROJCS["SAD69 / Brazil Polyconic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Polyconic"],PARAMETER["latitude_of_origin",0],PARAMETER["central_meridian",-54],PARAMETER["false_easting",5000000],PARAMETER["false_northing",10000000],UNIT["metre",1,AUTHORITY["EPSG","9001"]],AXIS["X",EAST],AXIS["Y",NORTH],AUTHORITY["EPSG","29100"]]</t>
  </si>
  <si>
    <t xml:space="preserve">+proj=poly +lat_0=0 +lon_0=-54 +x_0=5000000 +y_0=10000000 +ellps=GRS67 +towgs84=-57,1,-41,0,0,0,0 +units=m +no_defs </t>
  </si>
  <si>
    <t>PROJCS["SAD69 / Brazil Polyconic",GEOGCS["SAD69",DATUM["South_American_Datum_1969",SPHEROID["GRS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Polyconic"],PARAMETER["latitude_of_origin",0],PARAMETER["central_meridian",-54],PARAMETER["false_easting",5000000],PARAMETER["false_northing",10000000],UNIT["metre",1,AUTHORITY["EPSG","9001"]],AXIS["X",EAST],AXIS["Y",NORTH],AUTHORITY["EPSG","29101"]]</t>
  </si>
  <si>
    <t xml:space="preserve">+proj=poly +lat_0=0 +lon_0=-54 +x_0=5000000 +y_0=10000000 +ellps=aust_SA +towgs84=-66.87,4.37,-38.52,0,0,0,0 +units=m +no_defs </t>
  </si>
  <si>
    <t>GEOCCS["PNG94",DATUM["Papua_New_Guinea_Geodetic_Datum_1994",SPHEROID["GRS 1980",6378137,298.257222101,AUTHORITY["EPSG","7019"]],AUTHORITY["EPSG","1076"]],PRIMEM["Greenwich",0,AUTHORITY["EPSG","8901"]],UNIT["metre",1,AUTHORITY["EPSG","9001"]],AXIS["Geocentric X",OTHER],AXIS["Geocentric Y",OTHER],AXIS["Geocentric Z",NORTH],AUTHORITY["EPSG","5544"]]</t>
  </si>
  <si>
    <t>PROJCS["SAD69 / UTM zone 18N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29118"]]</t>
  </si>
  <si>
    <t xml:space="preserve">+proj=utm +zone=18 +ellps=GRS67 +towgs84=-57,1,-41,0,0,0,0 +units=m +no_defs </t>
  </si>
  <si>
    <t>PROJCS["SAD69 / UTM zone 19N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29119"]]</t>
  </si>
  <si>
    <t xml:space="preserve">+proj=utm +zone=19 +ellps=GRS67 +towgs84=-57,1,-41,0,0,0,0 +units=m +no_defs </t>
  </si>
  <si>
    <t>PROJCS["SAD69 / UTM zone 20N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29120"]]</t>
  </si>
  <si>
    <t xml:space="preserve">+proj=utm +zone=20 +ellps=GRS67 +towgs84=-57,1,-41,0,0,0,0 +units=m +no_defs </t>
  </si>
  <si>
    <t>PROJCS["SAD69 / UTM zone 21N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29121"]]</t>
  </si>
  <si>
    <t xml:space="preserve">+proj=utm +zone=21 +ellps=GRS67 +towgs84=-57,1,-41,0,0,0,0 +units=m +no_defs </t>
  </si>
  <si>
    <t>PROJCS["SAD69 / UTM zone 22N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29122"]]</t>
  </si>
  <si>
    <t xml:space="preserve">+proj=utm +zone=22 +ellps=GRS67 +towgs84=-57,1,-41,0,0,0,0 +units=m +no_defs </t>
  </si>
  <si>
    <t>PROJCS["SAD69 / UTM zone 18N",GEOGCS["SAD69",DATUM["South_American_Datum_1969",SPHEROID["GRS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29168"]]</t>
  </si>
  <si>
    <t xml:space="preserve">+proj=utm +zone=18 +ellps=aust_SA +towgs84=-66.87,4.37,-38.52,0,0,0,0 +units=m +no_defs </t>
  </si>
  <si>
    <t>PROJCS["SAD69 / UTM zone 19N",GEOGCS["SAD69",DATUM["South_American_Datum_1969",SPHEROID["GRS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29169"]]</t>
  </si>
  <si>
    <t xml:space="preserve">+proj=utm +zone=19 +ellps=aust_SA +towgs84=-66.87,4.37,-38.52,0,0,0,0 +units=m +no_defs </t>
  </si>
  <si>
    <t>PROJCS["SAD69 / UTM zone 20N",GEOGCS["SAD69",DATUM["South_American_Datum_1969",SPHEROID["GRS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29170"]]</t>
  </si>
  <si>
    <t xml:space="preserve">+proj=utm +zone=20 +ellps=aust_SA +towgs84=-66.87,4.37,-38.52,0,0,0,0 +units=m +no_defs </t>
  </si>
  <si>
    <t>PROJCS["SAD69 / UTM zone 21N",GEOGCS["SAD69",DATUM["South_American_Datum_1969",SPHEROID["GRS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29171"]]</t>
  </si>
  <si>
    <t xml:space="preserve">+proj=utm +zone=21 +ellps=aust_SA +towgs84=-66.87,4.37,-38.52,0,0,0,0 +units=m +no_defs </t>
  </si>
  <si>
    <t>PROJCS["SAD69 / UTM zone 22N",GEOGCS["SAD69",DATUM["South_American_Datum_1969",SPHEROID["GRS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29172"]]</t>
  </si>
  <si>
    <t xml:space="preserve">+proj=utm +zone=22 +ellps=aust_SA +towgs84=-66.87,4.37,-38.52,0,0,0,0 +units=m +no_defs </t>
  </si>
  <si>
    <t>PROJCS["SAD69 / UTM zone 17S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29177"]]</t>
  </si>
  <si>
    <t xml:space="preserve">+proj=utm +zone=17 +south +ellps=GRS67 +towgs84=-57,1,-41,0,0,0,0 +units=m +no_defs </t>
  </si>
  <si>
    <t>PROJCS["SAD69 / UTM zone 18S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29178"]]</t>
  </si>
  <si>
    <t xml:space="preserve">+proj=utm +zone=18 +south +ellps=GRS67 +towgs84=-57,1,-41,0,0,0,0 +units=m +no_defs </t>
  </si>
  <si>
    <t>PROJCS["SAD69 / UTM zone 19S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29179"]]</t>
  </si>
  <si>
    <t xml:space="preserve">+proj=utm +zone=19 +south +ellps=GRS67 +towgs84=-57,1,-41,0,0,0,0 +units=m +no_defs </t>
  </si>
  <si>
    <t>PROJCS["SAD69 / UTM zone 20S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29180"]]</t>
  </si>
  <si>
    <t xml:space="preserve">+proj=utm +zone=20 +south +ellps=GRS67 +towgs84=-57,1,-41,0,0,0,0 +units=m +no_defs </t>
  </si>
  <si>
    <t>PROJCS["SAD69 / UTM zone 21S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29181"]]</t>
  </si>
  <si>
    <t xml:space="preserve">+proj=utm +zone=21 +south +ellps=GRS67 +towgs84=-57,1,-41,0,0,0,0 +units=m +no_defs </t>
  </si>
  <si>
    <t>PROJCS["SAD69 / UTM zone 22S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29182"]]</t>
  </si>
  <si>
    <t xml:space="preserve">+proj=utm +zone=22 +south +ellps=GRS67 +towgs84=-57,1,-41,0,0,0,0 +units=m +no_defs </t>
  </si>
  <si>
    <t>PROJCS["SAD69 / UTM zone 23S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29183"]]</t>
  </si>
  <si>
    <t xml:space="preserve">+proj=utm +zone=23 +south +ellps=GRS67 +towgs84=-57,1,-41,0,0,0,0 +units=m +no_defs </t>
  </si>
  <si>
    <t>PROJCS["SAD69 / UTM zone 24S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29184"]]</t>
  </si>
  <si>
    <t xml:space="preserve">+proj=utm +zone=24 +south +ellps=GRS67 +towgs84=-57,1,-41,0,0,0,0 +units=m +no_defs </t>
  </si>
  <si>
    <t>PROJCS["SAD69 / UTM zone 25S (deprecated)",GEOGCS["SAD69",DATUM["South_American_Datum_1969",SPHEROID["GRS 1967",6378160,298.247167427,AUTHORITY["EPSG","7036"]],TOWGS84[-57,1,-41,0,0,0,0],AUTHORITY["EPSG","6291"]],PRIMEM["Greenwich",0,AUTHORITY["EPSG","8901"]],UNIT["degree",0.0174532925199433,AUTHORITY["EPSG","9108"]],AUTHORITY["EPSG","4291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29185"]]</t>
  </si>
  <si>
    <t xml:space="preserve">+proj=utm +zone=25 +south +ellps=GRS67 +towgs84=-57,1,-41,0,0,0,0 +units=m +no_defs </t>
  </si>
  <si>
    <t>PROJCS["SAD69 / UTM zone 17S",GEOGCS["SAD69",DATUM["South_American_Datum_1969",SPHEROID["GRS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29187"]]</t>
  </si>
  <si>
    <t xml:space="preserve">+proj=utm +zone=17 +south +ellps=aust_SA +towgs84=-66.87,4.37,-38.52,0,0,0,0 +units=m +no_defs </t>
  </si>
  <si>
    <t>PROJCS["SAD69 / UTM zone 18S",GEOGCS["SAD69",DATUM["South_American_Datum_1969",SPHEROID["GRS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29188"]]</t>
  </si>
  <si>
    <t xml:space="preserve">+proj=utm +zone=18 +south +ellps=aust_SA +towgs84=-66.87,4.37,-38.52,0,0,0,0 +units=m +no_defs </t>
  </si>
  <si>
    <t>PROJCS["SAD69 / UTM zone 19S",GEOGCS["SAD69",DATUM["South_American_Datum_1969",SPHEROID["GRS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29189"]]</t>
  </si>
  <si>
    <t xml:space="preserve">+proj=utm +zone=19 +south +ellps=aust_SA +towgs84=-66.87,4.37,-38.52,0,0,0,0 +units=m +no_defs </t>
  </si>
  <si>
    <t>PROJCS["SAD69 / UTM zone 20S",GEOGCS["SAD69",DATUM["South_American_Datum_1969",SPHEROID["GRS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29190"]]</t>
  </si>
  <si>
    <t xml:space="preserve">+proj=utm +zone=20 +south +ellps=aust_SA +towgs84=-66.87,4.37,-38.52,0,0,0,0 +units=m +no_defs </t>
  </si>
  <si>
    <t>PROJCS["SAD69 / UTM zone 21S",GEOGCS["SAD69",DATUM["South_American_Datum_1969",SPHEROID["GRS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29191"]]</t>
  </si>
  <si>
    <t xml:space="preserve">+proj=utm +zone=21 +south +ellps=aust_SA +towgs84=-66.87,4.37,-38.52,0,0,0,0 +units=m +no_defs </t>
  </si>
  <si>
    <t>PROJCS["SAD69 / UTM zone 22S",GEOGCS["SAD69",DATUM["South_American_Datum_1969",SPHEROID["GRS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29192"]]</t>
  </si>
  <si>
    <t>PROJCS["SAD69 / UTM zone 23S",GEOGCS["SAD69",DATUM["South_American_Datum_1969",SPHEROID["GRS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29193"]]</t>
  </si>
  <si>
    <t xml:space="preserve">+proj=utm +zone=23 +south +ellps=aust_SA +towgs84=-66.87,4.37,-38.52,0,0,0,0 +units=m +no_defs </t>
  </si>
  <si>
    <t>PROJCS["SAD69 / UTM zone 24S",GEOGCS["SAD69",DATUM["South_American_Datum_1969",SPHEROID["GRS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29194"]]</t>
  </si>
  <si>
    <t xml:space="preserve">+proj=utm +zone=24 +south +ellps=aust_SA +towgs84=-66.87,4.37,-38.52,0,0,0,0 +units=m +no_defs </t>
  </si>
  <si>
    <t>PROJCS["SAD69 / UTM zone 25S",GEOGCS["SAD69",DATUM["South_American_Datum_1969",SPHEROID["GRS 1967 Modified",6378160,298.25,AUTHORITY["EPSG","7050"]],TOWGS84[-66.87,4.37,-38.52,0,0,0,0],AUTHORITY["EPSG","6618"]],PRIMEM["Greenwich",0,AUTHORITY["EPSG","8901"]],UNIT["degree",0.0174532925199433,AUTHORITY["EPSG","9122"]],AUTHORITY["EPSG","4618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29195"]]</t>
  </si>
  <si>
    <t xml:space="preserve">+proj=utm +zone=25 +south +ellps=aust_SA +towgs84=-66.87,4.37,-38.52,0,0,0,0 +units=m +no_defs </t>
  </si>
  <si>
    <t>PROJCS["Sapper Hill 1943 / UTM zone 20S",GEOGCS["Sapper Hill 1943",DATUM["Sapper_Hill_1943",SPHEROID["International 1924",6378388,297,AUTHORITY["EPSG","7022"]],TOWGS84[-355,21,72,0,0,0,0],AUTHORITY["EPSG","6292"]],PRIMEM["Greenwich",0,AUTHORITY["EPSG","8901"]],UNIT["degree",0.0174532925199433,AUTHORITY["EPSG","9122"]],AUTHORITY["EPSG","4292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29220"]]</t>
  </si>
  <si>
    <t xml:space="preserve">+proj=utm +zone=20 +south +ellps=intl +towgs84=-355,21,72,0,0,0,0 +units=m +no_defs </t>
  </si>
  <si>
    <t>PROJCS["Sapper Hill 1943 / UTM zone 21S",GEOGCS["Sapper Hill 1943",DATUM["Sapper_Hill_1943",SPHEROID["International 1924",6378388,297,AUTHORITY["EPSG","7022"]],TOWGS84[-355,21,72,0,0,0,0],AUTHORITY["EPSG","6292"]],PRIMEM["Greenwich",0,AUTHORITY["EPSG","8901"]],UNIT["degree",0.0174532925199433,AUTHORITY["EPSG","9122"]],AUTHORITY["EPSG","4292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29221"]]</t>
  </si>
  <si>
    <t xml:space="preserve">+proj=utm +zone=21 +south +ellps=intl +towgs84=-355,21,72,0,0,0,0 +units=m +no_defs </t>
  </si>
  <si>
    <t>PROJCS["Schwarzeck / UTM zone 33S",GEOGCS["Schwarzeck",DATUM["Schwarzeck",SPHEROID["Bessel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29333"]]</t>
  </si>
  <si>
    <t xml:space="preserve">+proj=utm +zone=33 +south +ellps=bess_nam +towgs84=616,97,-251,0,0,0,0 +units=m +no_defs </t>
  </si>
  <si>
    <t>PROJCS["Schwarzeck / Lo22/11",GEOGCS["Schwarzeck",DATUM["Schwarzeck",SPHEROID["Bessel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11],PARAMETER["scale_factor",1],PARAMETER["false_easting",0],PARAMETER["false_northing",0],UNIT["German legal metre",1.0000135965,AUTHORITY["EPSG","9031"]],AXIS["Y",WEST],AXIS["X",SOUTH],AUTHORITY["EPSG","29371"]]</t>
  </si>
  <si>
    <t xml:space="preserve">+proj=tmerc +lat_0=-22 +lon_0=11 +k=1 +x_0=0 +y_0=0 +axis=wsu +ellps=bess_nam +towgs84=616,97,-251,0,0,0,0 +to_meter=1.0000135965 +no_defs </t>
  </si>
  <si>
    <t>PROJCS["Schwarzeck / Lo22/13",GEOGCS["Schwarzeck",DATUM["Schwarzeck",SPHEROID["Bessel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13],PARAMETER["scale_factor",1],PARAMETER["false_easting",0],PARAMETER["false_northing",0],UNIT["German legal metre",1.0000135965,AUTHORITY["EPSG","9031"]],AXIS["Y",WEST],AXIS["X",SOUTH],AUTHORITY["EPSG","29373"]]</t>
  </si>
  <si>
    <t xml:space="preserve">+proj=tmerc +lat_0=-22 +lon_0=13 +k=1 +x_0=0 +y_0=0 +axis=wsu +ellps=bess_nam +towgs84=616,97,-251,0,0,0,0 +to_meter=1.0000135965 +no_defs </t>
  </si>
  <si>
    <t>PROJCS["Schwarzeck / Lo22/15",GEOGCS["Schwarzeck",DATUM["Schwarzeck",SPHEROID["Bessel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15],PARAMETER["scale_factor",1],PARAMETER["false_easting",0],PARAMETER["false_northing",0],UNIT["German legal metre",1.0000135965,AUTHORITY["EPSG","9031"]],AXIS["Y",WEST],AXIS["X",SOUTH],AUTHORITY["EPSG","29375"]]</t>
  </si>
  <si>
    <t xml:space="preserve">+proj=tmerc +lat_0=-22 +lon_0=15 +k=1 +x_0=0 +y_0=0 +axis=wsu +ellps=bess_nam +towgs84=616,97,-251,0,0,0,0 +to_meter=1.0000135965 +no_defs </t>
  </si>
  <si>
    <t>PROJCS["Schwarzeck / Lo22/17",GEOGCS["Schwarzeck",DATUM["Schwarzeck",SPHEROID["Bessel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17],PARAMETER["scale_factor",1],PARAMETER["false_easting",0],PARAMETER["false_northing",0],UNIT["German legal metre",1.0000135965,AUTHORITY["EPSG","9031"]],AXIS["Y",WEST],AXIS["X",SOUTH],AUTHORITY["EPSG","29377"]]</t>
  </si>
  <si>
    <t xml:space="preserve">+proj=tmerc +lat_0=-22 +lon_0=17 +k=1 +x_0=0 +y_0=0 +axis=wsu +ellps=bess_nam +towgs84=616,97,-251,0,0,0,0 +to_meter=1.0000135965 +no_defs </t>
  </si>
  <si>
    <t>PROJCS["Schwarzeck / Lo22/19",GEOGCS["Schwarzeck",DATUM["Schwarzeck",SPHEROID["Bessel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19],PARAMETER["scale_factor",1],PARAMETER["false_easting",0],PARAMETER["false_northing",0],UNIT["German legal metre",1.0000135965,AUTHORITY["EPSG","9031"]],AXIS["Y",WEST],AXIS["X",SOUTH],AUTHORITY["EPSG","29379"]]</t>
  </si>
  <si>
    <t xml:space="preserve">+proj=tmerc +lat_0=-22 +lon_0=19 +k=1 +x_0=0 +y_0=0 +axis=wsu +ellps=bess_nam +towgs84=616,97,-251,0,0,0,0 +to_meter=1.0000135965 +no_defs </t>
  </si>
  <si>
    <t>PROJCS["Schwarzeck / Lo22/21",GEOGCS["Schwarzeck",DATUM["Schwarzeck",SPHEROID["Bessel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21],PARAMETER["scale_factor",1],PARAMETER["false_easting",0],PARAMETER["false_northing",0],UNIT["German legal metre",1.0000135965,AUTHORITY["EPSG","9031"]],AXIS["Y",WEST],AXIS["X",SOUTH],AUTHORITY["EPSG","29381"]]</t>
  </si>
  <si>
    <t xml:space="preserve">+proj=tmerc +lat_0=-22 +lon_0=21 +k=1 +x_0=0 +y_0=0 +axis=wsu +ellps=bess_nam +towgs84=616,97,-251,0,0,0,0 +to_meter=1.0000135965 +no_defs </t>
  </si>
  <si>
    <t>PROJCS["Schwarzeck / Lo22/23",GEOGCS["Schwarzeck",DATUM["Schwarzeck",SPHEROID["Bessel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23],PARAMETER["scale_factor",1],PARAMETER["false_easting",0],PARAMETER["false_northing",0],UNIT["German legal metre",1.0000135965,AUTHORITY["EPSG","9031"]],AXIS["Y",WEST],AXIS["X",SOUTH],AUTHORITY["EPSG","29383"]]</t>
  </si>
  <si>
    <t xml:space="preserve">+proj=tmerc +lat_0=-22 +lon_0=23 +k=1 +x_0=0 +y_0=0 +axis=wsu +ellps=bess_nam +towgs84=616,97,-251,0,0,0,0 +to_meter=1.0000135965 +no_defs </t>
  </si>
  <si>
    <t>PROJCS["Schwarzeck / Lo22/25",GEOGCS["Schwarzeck",DATUM["Schwarzeck",SPHEROID["Bessel Namibia (GLM)",6377483.865280419,299.1528128,AUTHORITY["EPSG","7046"]],TOWGS84[616,97,-251,0,0,0,0],AUTHORITY["EPSG","6293"]],PRIMEM["Greenwich",0,AUTHORITY["EPSG","8901"]],UNIT["degree",0.0174532925199433,AUTHORITY["EPSG","9122"]],AUTHORITY["EPSG","4293"]],PROJECTION["Transverse_Mercator_South_Orientated"],PARAMETER["latitude_of_origin",-22],PARAMETER["central_meridian",25],PARAMETER["scale_factor",1],PARAMETER["false_easting",0],PARAMETER["false_northing",0],UNIT["German legal metre",1.0000135965,AUTHORITY["EPSG","9031"]],AXIS["Y",WEST],AXIS["X",SOUTH],AUTHORITY["EPSG","29385"]]</t>
  </si>
  <si>
    <t xml:space="preserve">+proj=tmerc +lat_0=-22 +lon_0=25 +k=1 +x_0=0 +y_0=0 +axis=wsu +ellps=bess_nam +towgs84=616,97,-251,0,0,0,0 +to_meter=1.0000135965 +no_defs </t>
  </si>
  <si>
    <t>GEOCCS["UCS-2000",DATUM["Ukraine_2000",SPHEROID["Krassowsky 1940",6378245,298.3,AUTHORITY["EPSG","7024"]],AUTHORITY["EPSG","1077"]],PRIMEM["Greenwich",0,AUTHORITY["EPSG","8901"]],UNIT["metre",1,AUTHORITY["EPSG","9001"]],AXIS["Geocentric X",OTHER],AXIS["Geocentric Y",OTHER],AXIS["Geocentric Z",NORTH],AUTHORITY["EPSG","5558"]]</t>
  </si>
  <si>
    <t>PROJCS["Tananarive (Paris) / Laborde Grid (deprecated)",GEOGCS["Tananarive (Paris)",DATUM["Tananarive_1925_Paris",SPHEROID["International 1924",6378388,297,AUTHORITY["EPSG","7022"]],TOWGS84[-189,-242,-91,0,0,0,0],AUTHORITY["EPSG","6810"]],PRIMEM["Paris",2.33722917,AUTHORITY["EPSG","8903"]],UNIT["grad",0.01570796326794897,AUTHORITY["EPSG","9105"]],AUTHORITY["EPSG","4810"]],PROJECTION["Hotine_Oblique_Mercator_Azimuth_Center"],PARAMETER["latitude_of_center",-21],PARAMETER["longitude_of_center",49],PARAMETER["azimuth",21],PARAMETER["rectified_grid_angle",21],PARAMETER["scale_factor",0.9995],PARAMETER["false_easting",400000],PARAMETER["false_northing",800000],UNIT["metre",1,AUTHORITY["EPSG","9001"]],AXIS["X",EAST],AXIS["Y",NORTH],AUTHORITY["EPSG","29700"]]</t>
  </si>
  <si>
    <t xml:space="preserve">+proj=omerc +lat_0=-18.9 +lonc=44.10000000000001 +alpha=18.9 +k=0.9995000000000001 +x_0=400000 +y_0=800000 +gamma=18.9 +ellps=intl +towgs84=-189,-242,-91,0,0,0,0 +pm=paris +units=m +no_defs </t>
  </si>
  <si>
    <t>PROJCS["Tananarive (Paris) / Laborde Grid",GEOGCS["Tananarive (Paris)",DATUM["Tananarive_1925_Paris",SPHEROID["International 1924",6378388,297,AUTHORITY["EPSG","7022"]],TOWGS84[-189,-242,-91,0,0,0,0],AUTHORITY["EPSG","6810"]],PRIMEM["Paris",2.33722917,AUTHORITY["EPSG","8903"]],UNIT["grad",0.01570796326794897,AUTHORITY["EPSG","9105"]],AUTHORITY["EPSG","4810"]],PROJECTION["Laborde_Oblique_Mercator"],PARAMETER["latitude_of_center",-21],PARAMETER["longitude_of_center",49],PARAMETER["azimuth",21],PARAMETER["rectified_grid_angle",100],PARAMETER["scale_factor",0.9995],PARAMETER["false_easting",400000],PARAMETER["false_northing",800000],UNIT["metre",1,AUTHORITY["EPSG","9001"]],AUTHORITY["EPSG","29701"]]</t>
  </si>
  <si>
    <t>PROJCS["Tananarive (Paris) / Laborde Grid approximation",GEOGCS["Tananarive (Paris)",DATUM["Tananarive_1925_Paris",SPHEROID["International 1924",6378388,297,AUTHORITY["EPSG","7022"]],TOWGS84[-189,-242,-91,0,0,0,0],AUTHORITY["EPSG","6810"]],PRIMEM["Paris",2.33722917,AUTHORITY["EPSG","8903"]],UNIT["grad",0.01570796326794897,AUTHORITY["EPSG","9105"]],AUTHORITY["EPSG","4810"]],PROJECTION["Hotine_Oblique_Mercator_Azimuth_Center"],PARAMETER["latitude_of_center",-21],PARAMETER["longitude_of_center",49],PARAMETER["azimuth",21],PARAMETER["rectified_grid_angle",21],PARAMETER["scale_factor",0.9995],PARAMETER["false_easting",400000],PARAMETER["false_northing",800000],UNIT["metre",1,AUTHORITY["EPSG","9001"]],AUTHORITY["EPSG","29702"]]</t>
  </si>
  <si>
    <t>PROJCS["Tananarive / UTM zone 38S",GEOGCS["Tananarive",DATUM["Tananarive_1925",SPHEROID["International 1924",6378388,297,AUTHORITY["EPSG","7022"]],TOWGS84[-189,-242,-91,0,0,0,0],AUTHORITY["EPSG","6297"]],PRIMEM["Greenwich",0,AUTHORITY["EPSG","8901"]],UNIT["degree",0.0174532925199433,AUTHORITY["EPSG","9122"]],AUTHORITY["EPSG","4297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29738"]]</t>
  </si>
  <si>
    <t xml:space="preserve">+proj=utm +zone=38 +south +ellps=intl +towgs84=-189,-242,-91,0,0,0,0 +units=m +no_defs </t>
  </si>
  <si>
    <t>PROJCS["Tananarive / UTM zone 39S",GEOGCS["Tananarive",DATUM["Tananarive_1925",SPHEROID["International 1924",6378388,297,AUTHORITY["EPSG","7022"]],TOWGS84[-189,-242,-91,0,0,0,0],AUTHORITY["EPSG","6297"]],PRIMEM["Greenwich",0,AUTHORITY["EPSG","8901"]],UNIT["degree",0.0174532925199433,AUTHORITY["EPSG","9122"]],AUTHORITY["EPSG","4297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29739"]]</t>
  </si>
  <si>
    <t xml:space="preserve">+proj=utm +zone=39 +south +ellps=intl +towgs84=-189,-242,-91,0,0,0,0 +units=m +no_defs </t>
  </si>
  <si>
    <t>PROJCS["Timbalai 1948 / UTM zone 49N",GEOGCS["Timbalai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29849"]]</t>
  </si>
  <si>
    <t xml:space="preserve">+proj=utm +zone=49 +ellps=evrstSS +towgs84=-679,669,-48,0,0,0,0 +units=m +no_defs </t>
  </si>
  <si>
    <t>PROJCS["Timbalai 1948 / UTM zone 50N",GEOGCS["Timbalai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29850"]]</t>
  </si>
  <si>
    <t xml:space="preserve">+proj=utm +zone=50 +ellps=evrstSS +towgs84=-679,669,-48,0,0,0,0 +units=m +no_defs </t>
  </si>
  <si>
    <t>PROJCS["Timbalai 1948 / RSO Borneo (ch)",GEOGCS["Timbalai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Hotine_Oblique_Mercator_Azimuth_Center"],PARAMETER["latitude_of_center",4],PARAMETER["longitude_of_center",115],PARAMETER["azimuth",53.31582047222222],PARAMETER["rectified_grid_angle",53.13010236111111],PARAMETER["scale_factor",0.99984],PARAMETER["false_easting",29352.4763],PARAMETER["false_northing",22014.3572],UNIT["British chain (Sears 1922)",20.11676512155263,AUTHORITY["EPSG","9042"]],AXIS["Easting",EAST],AXIS["Northing",NORTH],AUTHORITY["EPSG","29871"]]</t>
  </si>
  <si>
    <t xml:space="preserve">+proj=omerc +lat_0=4 +lonc=115 +alpha=53.31582047222222 +k=0.99984 +x_0=590476.8714630401 +y_0=442857.653094361 +gamma=53.13010236111111 +ellps=evrstSS +towgs84=-679,669,-48,0,0,0,0 +to_meter=20.11676512155263 +no_defs </t>
  </si>
  <si>
    <t>PROJCS["Timbalai 1948 / RSO Borneo (ftSe)",GEOGCS["Timbalai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Hotine_Oblique_Mercator_Azimuth_Center"],PARAMETER["latitude_of_center",4],PARAMETER["longitude_of_center",115],PARAMETER["azimuth",53.31582047222222],PARAMETER["rectified_grid_angle",53.13010236111111],PARAMETER["scale_factor",0.99984],PARAMETER["false_easting",1937263.44],PARAMETER["false_northing",1452947.58],UNIT["British foot (Sears 1922)",0.3047994715386762,AUTHORITY["EPSG","9041"]],AXIS["Easting",EAST],AXIS["Northing",NORTH],AUTHORITY["EPSG","29872"]]</t>
  </si>
  <si>
    <t xml:space="preserve">+proj=omerc +lat_0=4 +lonc=115 +alpha=53.31582047222222 +k=0.99984 +x_0=590476.8727431979 +y_0=442857.6545573985 +gamma=53.13010236111111 +ellps=evrstSS +towgs84=-679,669,-48,0,0,0,0 +to_meter=0.3047994715386762 +no_defs </t>
  </si>
  <si>
    <t>PROJCS["Timbalai 1948 / RSO Borneo (m)",GEOGCS["Timbalai 1948",DATUM["Timbalai_1948",SPHEROID["Everest 1830 (1967 Definition)",6377298.556,300.8017,AUTHORITY["EPSG","7016"]],TOWGS84[-679,669,-48,0,0,0,0],AUTHORITY["EPSG","6298"]],PRIMEM["Greenwich",0,AUTHORITY["EPSG","8901"]],UNIT["degree",0.0174532925199433,AUTHORITY["EPSG","9122"]],AUTHORITY["EPSG","4298"]],PROJECTION["Hotine_Oblique_Mercator_Azimuth_Center"],PARAMETER["latitude_of_center",4],PARAMETER["longitude_of_center",115],PARAMETER["azimuth",53.31582047222222],PARAMETER["rectified_grid_angle",53.13010236111111],PARAMETER["scale_factor",0.99984],PARAMETER["false_easting",590476.87],PARAMETER["false_northing",442857.65],UNIT["metre",1,AUTHORITY["EPSG","9001"]],AXIS["Easting",EAST],AXIS["Northing",NORTH],AUTHORITY["EPSG","29873"]]</t>
  </si>
  <si>
    <t xml:space="preserve">+proj=omerc +lat_0=4 +lonc=115 +alpha=53.31582047222222 +k=0.99984 +x_0=590476.87 +y_0=442857.65 +gamma=53.13010236111111 +ellps=evrstSS +towgs84=-679,669,-48,0,0,0,0 +units=m +no_defs </t>
  </si>
  <si>
    <t>PROJCS["TM65 / Irish National Grid (deprecated)",GEOGCS["TM65",DATUM["TM65",SPHEROID["Airy Modified 1849",6377340.189,299.3249646,AUTHORITY["EPSG","7002"]],TOWGS84[482.5,-130.6,564.6,-1.042,-0.214,-0.631,8.15],AUTHORITY["EPSG","6299"]],PRIMEM["Greenwich",0,AUTHORITY["EPSG","8901"]],UNIT["degree",0.0174532925199433,AUTHORITY["EPSG","9122"]],AUTHORITY["EPSG","4299"]],PROJECTION["Transverse_Mercator"],PARAMETER["latitude_of_origin",53.5],PARAMETER["central_meridian",-8],PARAMETER["scale_factor",1.000035],PARAMETER["false_easting",200000],PARAMETER["false_northing",250000],UNIT["metre",1,AUTHORITY["EPSG","9001"]],AXIS["Easting",EAST],AXIS["Northing",NORTH],AUTHORITY["EPSG","29900"]]</t>
  </si>
  <si>
    <t>PROJCS["OSNI 1952 / Irish National Grid",GEOGCS["OSNI 1952",DATUM["OSNI_1952",SPHEROID["Airy 1830",6377563.396,299.3249646,AUTHORITY["EPSG","7001"]],TOWGS84[482.5,-130.6,564.6,-1.042,-0.214,-0.631,8.15],AUTHORITY["EPSG","6188"]],PRIMEM["Greenwich",0,AUTHORITY["EPSG","8901"]],UNIT["degree",0.0174532925199433,AUTHORITY["EPSG","9122"]],AUTHORITY["EPSG","4188"]],PROJECTION["Transverse_Mercator"],PARAMETER["latitude_of_origin",53.5],PARAMETER["central_meridian",-8],PARAMETER["scale_factor",1],PARAMETER["false_easting",200000],PARAMETER["false_northing",250000],UNIT["metre",1,AUTHORITY["EPSG","9001"]],AXIS["Easting",EAST],AXIS["Northing",NORTH],AUTHORITY["EPSG","29901"]]</t>
  </si>
  <si>
    <t xml:space="preserve">+proj=tmerc +lat_0=53.5 +lon_0=-8 +k=1 +x_0=200000 +y_0=250000 +ellps=airy +towgs84=482.5,-130.6,564.6,-1.042,-0.214,-0.631,8.15 +units=m +no_defs </t>
  </si>
  <si>
    <t>PROJCS["TM65 / Irish Grid",GEOGCS["TM65",DATUM["TM65",SPHEROID["Airy Modified 1849",6377340.189,299.3249646,AUTHORITY["EPSG","7002"]],TOWGS84[482.5,-130.6,564.6,-1.042,-0.214,-0.631,8.15],AUTHORITY["EPSG","6299"]],PRIMEM["Greenwich",0,AUTHORITY["EPSG","8901"]],UNIT["degree",0.0174532925199433,AUTHORITY["EPSG","9122"]],AUTHORITY["EPSG","4299"]],PROJECTION["Transverse_Mercator"],PARAMETER["latitude_of_origin",53.5],PARAMETER["central_meridian",-8],PARAMETER["scale_factor",1.000035],PARAMETER["false_easting",200000],PARAMETER["false_northing",250000],UNIT["metre",1,AUTHORITY["EPSG","9001"]],AXIS["Easting",EAST],AXIS["Northing",NORTH],AUTHORITY["EPSG","29902"]]</t>
  </si>
  <si>
    <t>PROJCS["TM75 / Irish Grid",GEOGCS["TM75",DATUM["Geodetic_Datum_of_1965",SPHEROID["Airy Modified 1849",6377340.189,299.3249646,AUTHORITY["EPSG","7002"]],TOWGS84[482.5,-130.6,564.6,-1.042,-0.214,-0.631,8.15],AUTHORITY["EPSG","6300"]],PRIMEM["Greenwich",0,AUTHORITY["EPSG","8901"]],UNIT["degree",0.0174532925199433,AUTHORITY["EPSG","9122"]],AUTHORITY["EPSG","4300"]],PROJECTION["Transverse_Mercator"],PARAMETER["latitude_of_origin",53.5],PARAMETER["central_meridian",-8],PARAMETER["scale_factor",1.000035],PARAMETER["false_easting",200000],PARAMETER["false_northing",250000],UNIT["metre",1,AUTHORITY["EPSG","9001"]],AXIS["Easting",EAST],AXIS["Northing",NORTH],AUTHORITY["EPSG","29903"]]</t>
  </si>
  <si>
    <t xml:space="preserve">+proj=tmerc +lat_0=53.5 +lon_0=-8 +k=1.000035 +x_0=200000 +y_0=250000 +ellps=mod_airy +towgs84=482.5,-130.6,564.6,-1.042,-0.214,-0.631,8.15 +units=m +no_defs </t>
  </si>
  <si>
    <t>PROJCS["Tokyo / Japan Plane Rectangular CS 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33],PARAMETER["central_meridian",129.5],PARAMETER["scale_factor",0.9999],PARAMETER["false_easting",0],PARAMETER["false_northing",0],UNIT["metre",1,AUTHORITY["EPSG","9001"]],AUTHORITY["EPSG","30161"]]</t>
  </si>
  <si>
    <t xml:space="preserve">+proj=tmerc +lat_0=33 +lon_0=129.5 +k=0.9999 +x_0=0 +y_0=0 +ellps=bessel +towgs84=-146.414,507.337,680.507,0,0,0,0 +units=m +no_defs </t>
  </si>
  <si>
    <t>PROJCS["Tokyo / Japan Plane Rectangular CS 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33],PARAMETER["central_meridian",131],PARAMETER["scale_factor",0.9999],PARAMETER["false_easting",0],PARAMETER["false_northing",0],UNIT["metre",1,AUTHORITY["EPSG","9001"]],AUTHORITY["EPSG","30162"]]</t>
  </si>
  <si>
    <t xml:space="preserve">+proj=tmerc +lat_0=33 +lon_0=131 +k=0.9999 +x_0=0 +y_0=0 +ellps=bessel +towgs84=-146.414,507.337,680.507,0,0,0,0 +units=m +no_defs </t>
  </si>
  <si>
    <t>PROJCS["Tokyo / Japan Plane Rectangular CS III",GEOGCS["Tokyo",DATUM["Tokyo",SPHEROID["Bessel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132.1666666666667],PARAMETER["scale_factor",0.9999],PARAMETER["false_easting",0],PARAMETER["false_northing",0],UNIT["metre",1,AUTHORITY["EPSG","9001"]],AUTHORITY["EPSG","30163"]]</t>
  </si>
  <si>
    <t xml:space="preserve">+proj=tmerc +lat_0=36 +lon_0=132.1666666666667 +k=0.9999 +x_0=0 +y_0=0 +ellps=bessel +towgs84=-146.414,507.337,680.507,0,0,0,0 +units=m +no_defs </t>
  </si>
  <si>
    <t>PROJCS["Tokyo / Japan Plane Rectangular CS IV",GEOGCS["Tokyo",DATUM["Tokyo",SPHEROID["Bessel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33],PARAMETER["central_meridian",133.5],PARAMETER["scale_factor",0.9999],PARAMETER["false_easting",0],PARAMETER["false_northing",0],UNIT["metre",1,AUTHORITY["EPSG","9001"]],AUTHORITY["EPSG","30164"]]</t>
  </si>
  <si>
    <t xml:space="preserve">+proj=tmerc +lat_0=33 +lon_0=133.5 +k=0.9999 +x_0=0 +y_0=0 +ellps=bessel +towgs84=-146.414,507.337,680.507,0,0,0,0 +units=m +no_defs </t>
  </si>
  <si>
    <t>GEOCCS["FEH2010",DATUM["Fehmarnbelt_Datum_2010",SPHEROID["GRS 1980",6378137,298.257222101,AUTHORITY["EPSG","7019"]],AUTHORITY["EPSG","1078"]],PRIMEM["Greenwich",0,AUTHORITY["EPSG","8901"]],UNIT["metre",1,AUTHORITY["EPSG","9001"]],AXIS["Geocentric X",OTHER],AXIS["Geocentric Y",OTHER],AXIS["Geocentric Z",NORTH],AUTHORITY["EPSG","5591"]]</t>
  </si>
  <si>
    <t>PROJCS["Tokyo / Japan Plane Rectangular CS V",GEOGCS["Tokyo",DATUM["Tokyo",SPHEROID["Bessel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134.3333333333333],PARAMETER["scale_factor",0.9999],PARAMETER["false_easting",0],PARAMETER["false_northing",0],UNIT["metre",1,AUTHORITY["EPSG","9001"]],AUTHORITY["EPSG","30165"]]</t>
  </si>
  <si>
    <t xml:space="preserve">+proj=tmerc +lat_0=36 +lon_0=134.3333333333333 +k=0.9999 +x_0=0 +y_0=0 +ellps=bessel +towgs84=-146.414,507.337,680.507,0,0,0,0 +units=m +no_defs </t>
  </si>
  <si>
    <t>PROJCS["Tokyo / Japan Plane Rectangular CS VI",GEOGCS["Tokyo",DATUM["Tokyo",SPHEROID["Bessel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136],PARAMETER["scale_factor",0.9999],PARAMETER["false_easting",0],PARAMETER["false_northing",0],UNIT["metre",1,AUTHORITY["EPSG","9001"]],AUTHORITY["EPSG","30166"]]</t>
  </si>
  <si>
    <t xml:space="preserve">+proj=tmerc +lat_0=36 +lon_0=136 +k=0.9999 +x_0=0 +y_0=0 +ellps=bessel +towgs84=-146.414,507.337,680.507,0,0,0,0 +units=m +no_defs </t>
  </si>
  <si>
    <t>PROJCS["Tokyo / Japan Plane Rectangular CS VII",GEOGCS["Tokyo",DATUM["Tokyo",SPHEROID["Bessel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137.1666666666667],PARAMETER["scale_factor",0.9999],PARAMETER["false_easting",0],PARAMETER["false_northing",0],UNIT["metre",1,AUTHORITY["EPSG","9001"]],AUTHORITY["EPSG","30167"]]</t>
  </si>
  <si>
    <t xml:space="preserve">+proj=tmerc +lat_0=36 +lon_0=137.1666666666667 +k=0.9999 +x_0=0 +y_0=0 +ellps=bessel +towgs84=-146.414,507.337,680.507,0,0,0,0 +units=m +no_defs </t>
  </si>
  <si>
    <t>PROJCS["Tokyo / Japan Plane Rectangular CS VIII",GEOGCS["Tokyo",DATUM["Tokyo",SPHEROID["Bessel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138.5],PARAMETER["scale_factor",0.9999],PARAMETER["false_easting",0],PARAMETER["false_northing",0],UNIT["metre",1,AUTHORITY["EPSG","9001"]],AUTHORITY["EPSG","30168"]]</t>
  </si>
  <si>
    <t xml:space="preserve">+proj=tmerc +lat_0=36 +lon_0=138.5 +k=0.9999 +x_0=0 +y_0=0 +ellps=bessel +towgs84=-146.414,507.337,680.507,0,0,0,0 +units=m +no_defs </t>
  </si>
  <si>
    <t>PROJCS["Tokyo / Japan Plane Rectangular CS IX",GEOGCS["Tokyo",DATUM["Tokyo",SPHEROID["Bessel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36],PARAMETER["central_meridian",139.8333333333333],PARAMETER["scale_factor",0.9999],PARAMETER["false_easting",0],PARAMETER["false_northing",0],UNIT["metre",1,AUTHORITY["EPSG","9001"]],AUTHORITY["EPSG","30169"]]</t>
  </si>
  <si>
    <t xml:space="preserve">+proj=tmerc +lat_0=36 +lon_0=139.8333333333333 +k=0.9999 +x_0=0 +y_0=0 +ellps=bessel +towgs84=-146.414,507.337,680.507,0,0,0,0 +units=m +no_defs </t>
  </si>
  <si>
    <t>PROJCS["Tokyo / Japan Plane Rectangular CS X",GEOGCS["Tokyo",DATUM["Tokyo",SPHEROID["Bessel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40],PARAMETER["central_meridian",140.8333333333333],PARAMETER["scale_factor",0.9999],PARAMETER["false_easting",0],PARAMETER["false_northing",0],UNIT["metre",1,AUTHORITY["EPSG","9001"]],AUTHORITY["EPSG","30170"]]</t>
  </si>
  <si>
    <t xml:space="preserve">+proj=tmerc +lat_0=40 +lon_0=140.8333333333333 +k=0.9999 +x_0=0 +y_0=0 +ellps=bessel +towgs84=-146.414,507.337,680.507,0,0,0,0 +units=m +no_defs </t>
  </si>
  <si>
    <t>PROJCS["Tokyo / Japan Plane Rectangular CS XI",GEOGCS["Tokyo",DATUM["Tokyo",SPHEROID["Bessel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44],PARAMETER["central_meridian",140.25],PARAMETER["scale_factor",0.9999],PARAMETER["false_easting",0],PARAMETER["false_northing",0],UNIT["metre",1,AUTHORITY["EPSG","9001"]],AUTHORITY["EPSG","30171"]]</t>
  </si>
  <si>
    <t xml:space="preserve">+proj=tmerc +lat_0=44 +lon_0=140.25 +k=0.9999 +x_0=0 +y_0=0 +ellps=bessel +towgs84=-146.414,507.337,680.507,0,0,0,0 +units=m +no_defs </t>
  </si>
  <si>
    <t>PROJCS["Tokyo / Japan Plane Rectangular CS XII",GEOGCS["Tokyo",DATUM["Tokyo",SPHEROID["Bessel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44],PARAMETER["central_meridian",142.25],PARAMETER["scale_factor",0.9999],PARAMETER["false_easting",0],PARAMETER["false_northing",0],UNIT["metre",1,AUTHORITY["EPSG","9001"]],AUTHORITY["EPSG","30172"]]</t>
  </si>
  <si>
    <t xml:space="preserve">+proj=tmerc +lat_0=44 +lon_0=142.25 +k=0.9999 +x_0=0 +y_0=0 +ellps=bessel +towgs84=-146.414,507.337,680.507,0,0,0,0 +units=m +no_defs </t>
  </si>
  <si>
    <t>PROJCS["Tokyo / Japan Plane Rectangular CS XIII",GEOGCS["Tokyo",DATUM["Tokyo",SPHEROID["Bessel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44],PARAMETER["central_meridian",144.25],PARAMETER["scale_factor",0.9999],PARAMETER["false_easting",0],PARAMETER["false_northing",0],UNIT["metre",1,AUTHORITY["EPSG","9001"]],AUTHORITY["EPSG","30173"]]</t>
  </si>
  <si>
    <t xml:space="preserve">+proj=tmerc +lat_0=44 +lon_0=144.25 +k=0.9999 +x_0=0 +y_0=0 +ellps=bessel +towgs84=-146.414,507.337,680.507,0,0,0,0 +units=m +no_defs </t>
  </si>
  <si>
    <t>PROJCS["Tokyo / Japan Plane Rectangular CS XIV",GEOGCS["Tokyo",DATUM["Tokyo",SPHEROID["Bessel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142],PARAMETER["scale_factor",0.9999],PARAMETER["false_easting",0],PARAMETER["false_northing",0],UNIT["metre",1,AUTHORITY["EPSG","9001"]],AUTHORITY["EPSG","30174"]]</t>
  </si>
  <si>
    <t xml:space="preserve">+proj=tmerc +lat_0=26 +lon_0=142 +k=0.9999 +x_0=0 +y_0=0 +ellps=bessel +towgs84=-146.414,507.337,680.507,0,0,0,0 +units=m +no_defs </t>
  </si>
  <si>
    <t>PROJCS["Tokyo / Japan Plane Rectangular CS XV",GEOGCS["Tokyo",DATUM["Tokyo",SPHEROID["Bessel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127.5],PARAMETER["scale_factor",0.9999],PARAMETER["false_easting",0],PARAMETER["false_northing",0],UNIT["metre",1,AUTHORITY["EPSG","9001"]],AUTHORITY["EPSG","30175"]]</t>
  </si>
  <si>
    <t xml:space="preserve">+proj=tmerc +lat_0=26 +lon_0=127.5 +k=0.9999 +x_0=0 +y_0=0 +ellps=bessel +towgs84=-146.414,507.337,680.507,0,0,0,0 +units=m +no_defs </t>
  </si>
  <si>
    <t>PROJCS["Tokyo / Japan Plane Rectangular CS XVI",GEOGCS["Tokyo",DATUM["Tokyo",SPHEROID["Bessel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124],PARAMETER["scale_factor",0.9999],PARAMETER["false_easting",0],PARAMETER["false_northing",0],UNIT["metre",1,AUTHORITY["EPSG","9001"]],AUTHORITY["EPSG","30176"]]</t>
  </si>
  <si>
    <t xml:space="preserve">+proj=tmerc +lat_0=26 +lon_0=124 +k=0.9999 +x_0=0 +y_0=0 +ellps=bessel +towgs84=-146.414,507.337,680.507,0,0,0,0 +units=m +no_defs </t>
  </si>
  <si>
    <t>PROJCS["Tokyo / Japan Plane Rectangular CS XVII",GEOGCS["Tokyo",DATUM["Tokyo",SPHEROID["Bessel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131],PARAMETER["scale_factor",0.9999],PARAMETER["false_easting",0],PARAMETER["false_northing",0],UNIT["metre",1,AUTHORITY["EPSG","9001"]],AUTHORITY["EPSG","30177"]]</t>
  </si>
  <si>
    <t xml:space="preserve">+proj=tmerc +lat_0=26 +lon_0=131 +k=0.9999 +x_0=0 +y_0=0 +ellps=bessel +towgs84=-146.414,507.337,680.507,0,0,0,0 +units=m +no_defs </t>
  </si>
  <si>
    <t>PROJCS["Tokyo / Japan Plane Rectangular CS XVIII",GEOGCS["Tokyo",DATUM["Tokyo",SPHEROID["Bessel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20],PARAMETER["central_meridian",136],PARAMETER["scale_factor",0.9999],PARAMETER["false_easting",0],PARAMETER["false_northing",0],UNIT["metre",1,AUTHORITY["EPSG","9001"]],AUTHORITY["EPSG","30178"]]</t>
  </si>
  <si>
    <t xml:space="preserve">+proj=tmerc +lat_0=20 +lon_0=136 +k=0.9999 +x_0=0 +y_0=0 +ellps=bessel +towgs84=-146.414,507.337,680.507,0,0,0,0 +units=m +no_defs </t>
  </si>
  <si>
    <t>PROJCS["Tokyo / Japan Plane Rectangular CS XIX",GEOGCS["Tokyo",DATUM["Tokyo",SPHEROID["Bessel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PROJECTION["Transverse_Mercator"],PARAMETER["latitude_of_origin",26],PARAMETER["central_meridian",154],PARAMETER["scale_factor",0.9999],PARAMETER["false_easting",0],PARAMETER["false_northing",0],UNIT["metre",1,AUTHORITY["EPSG","9001"]],AUTHORITY["EPSG","30179"]]</t>
  </si>
  <si>
    <t xml:space="preserve">+proj=tmerc +lat_0=26 +lon_0=154 +k=0.9999 +x_0=0 +y_0=0 +ellps=bessel +towgs84=-146.414,507.337,680.507,0,0,0,0 +units=m +no_defs </t>
  </si>
  <si>
    <t>PROJCS["Trinidad 1903 / Trinidad Grid",GEOGCS["Trinidad 1903",DATUM["Trinidad_1903",SPHEROID["Clarke 1858",6378293.645208759,294.2606763692606,AUTHORITY["EPSG","7007"]],TOWGS84[-61.702,284.488,472.052,0,0,0,0],AUTHORITY["EPSG","6302"]],PRIMEM["Greenwich",0,AUTHORITY["EPSG","8901"]],UNIT["degree",0.0174532925199433,AUTHORITY["EPSG","9122"]],AUTHORITY["EPSG","4302"]],PROJECTION["Cassini_Soldner"],PARAMETER["latitude_of_origin",10.44166666666667],PARAMETER["central_meridian",-61.33333333333334],PARAMETER["false_easting",430000],PARAMETER["false_northing",325000],UNIT["Clarke's link",0.201166195164,AUTHORITY["EPSG","9039"]],AXIS["Easting",EAST],AXIS["Northing",NORTH],AUTHORITY["EPSG","30200"]]</t>
  </si>
  <si>
    <t xml:space="preserve">+proj=cass +lat_0=10.44166666666667 +lon_0=-61.33333333333334 +x_0=86501.46392051999 +y_0=65379.0134283 +a=6378293.645208759 +b=6356617.987679838 +towgs84=-61.702,284.488,472.052,0,0,0,0 +to_meter=0.201166195164 +no_defs </t>
  </si>
  <si>
    <t>PROJCS["TC(1948) / UTM zone 39N",GEOGCS["TC(1948)",DATUM["Trucial_Coast_1948",SPHEROID["Helmert 1906",6378200,298.3,AUTHORITY["EPSG","7020"]],AUTHORITY["EPSG","6303"]],PRIMEM["Greenwich",0,AUTHORITY["EPSG","8901"]],UNIT["degree",0.0174532925199433,AUTHORITY["EPSG","9122"]],AUTHORITY["EPSG","4303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30339"]]</t>
  </si>
  <si>
    <t>PROJCS["TC(1948) / UTM zone 40N",GEOGCS["TC(1948)",DATUM["Trucial_Coast_1948",SPHEROID["Helmert 1906",6378200,298.3,AUTHORITY["EPSG","7020"]],AUTHORITY["EPSG","6303"]],PRIMEM["Greenwich",0,AUTHORITY["EPSG","8901"]],UNIT["degree",0.0174532925199433,AUTHORITY["EPSG","9122"]],AUTHORITY["EPSG","4303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30340"]]</t>
  </si>
  <si>
    <t>PROJCS["Voirol 1875 / Nord Algerie (ancienne)",GEOGCS["Voirol 1875",DATUM["Voirol_1875",SPHEROID["Clarke 1880 (IGN)",6378249.2,293.4660212936269,AUTHORITY["EPSG","7011"]],TOWGS84[-73,-247,227,0,0,0,0],AUTHORITY["EPSG","6304"]],PRIMEM["Greenwich",0,AUTHORITY["EPSG","8901"]],UNIT["degree",0.0174532925199433,AUTHORITY["EPSG","9122"]],AUTHORITY["EPSG","4304"]],PROJECTION["Lambert_Conformal_Conic_1SP"],PARAMETER["latitude_of_origin",36],PARAMETER["central_meridian",2.7],PARAMETER["scale_factor",0.999625544],PARAMETER["false_easting",500000],PARAMETER["false_northing",300000],UNIT["metre",1,AUTHORITY["EPSG","9001"]],AXIS["X",EAST],AXIS["Y",NORTH],AUTHORITY["EPSG","30491"]]</t>
  </si>
  <si>
    <t xml:space="preserve">+proj=lcc +lat_1=36 +lat_0=36 +lon_0=2.7 +k_0=0.999625544 +x_0=500000 +y_0=300000 +a=6378249.2 +b=6356515 +towgs84=-73,-247,227,0,0,0,0 +units=m +no_defs </t>
  </si>
  <si>
    <t>PROJCS["Yoff / UTM zone 28N",GEOGCS["Yoff",DATUM["Yoff",SPHEROID["Clarke 1880 (IGN)",6378249.2,293.4660212936269,AUTHORITY["EPSG","7011"]],TOWGS84[-30,190,89,0,0,0,0],AUTHORITY["EPSG","6310"]],PRIMEM["Greenwich",0,AUTHORITY["EPSG","8901"]],UNIT["degree",0.0174532925199433,AUTHORITY["EPSG","9122"]],AUTHORITY["EPSG","4310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31028"]]</t>
  </si>
  <si>
    <t xml:space="preserve">+proj=utm +zone=28 +a=6378249.2 +b=6356515 +towgs84=-30,190,89,0,0,0,0 +units=m +no_defs </t>
  </si>
  <si>
    <t>PROJCS["Voirol 1875 / Sud Algerie (ancienne)",GEOGCS["Voirol 1875",DATUM["Voirol_1875",SPHEROID["Clarke 1880 (IGN)",6378249.2,293.4660212936269,AUTHORITY["EPSG","7011"]],TOWGS84[-73,-247,227,0,0,0,0],AUTHORITY["EPSG","6304"]],PRIMEM["Greenwich",0,AUTHORITY["EPSG","8901"]],UNIT["degree",0.0174532925199433,AUTHORITY["EPSG","9122"]],AUTHORITY["EPSG","4304"]],PROJECTION["Lambert_Conformal_Conic_1SP"],PARAMETER["latitude_of_origin",33.3],PARAMETER["central_meridian",2.7],PARAMETER["scale_factor",0.999625769],PARAMETER["false_easting",500000],PARAMETER["false_northing",300000],UNIT["metre",1,AUTHORITY["EPSG","9001"]],AXIS["X",EAST],AXIS["Y",NORTH],AUTHORITY["EPSG","30492"]]</t>
  </si>
  <si>
    <t xml:space="preserve">+proj=lcc +lat_1=33.3 +lat_0=33.3 +lon_0=2.7 +k_0=0.999625769 +x_0=500000 +y_0=300000 +a=6378249.2 +b=6356515 +towgs84=-73,-247,227,0,0,0,0 +units=m +no_defs </t>
  </si>
  <si>
    <t>PROJCS["Voirol 1879 / Nord Algerie (ancienne)",GEOGCS["Voirol 1879",DATUM["Voirol_1879",SPHEROID["Clarke 1880 (IGN)",6378249.2,293.4660212936269,AUTHORITY["EPSG","7011"]],AUTHORITY["EPSG","6671"]],PRIMEM["Greenwich",0,AUTHORITY["EPSG","8901"]],UNIT["degree",0.0174532925199433,AUTHORITY["EPSG","9122"]],AUTHORITY["EPSG","4671"]],PROJECTION["Lambert_Conformal_Conic_1SP"],PARAMETER["latitude_of_origin",36],PARAMETER["central_meridian",2.7],PARAMETER["scale_factor",0.999625544],PARAMETER["false_easting",500000],PARAMETER["false_northing",300000],UNIT["metre",1,AUTHORITY["EPSG","9001"]],AXIS["X",EAST],AXIS["Y",NORTH],AUTHORITY["EPSG","30493"]]</t>
  </si>
  <si>
    <t>PROJCS["Voirol 1879 / Sud Algerie (ancienne)",GEOGCS["Voirol 1879",DATUM["Voirol_1879",SPHEROID["Clarke 1880 (IGN)",6378249.2,293.4660212936269,AUTHORITY["EPSG","7011"]],AUTHORITY["EPSG","6671"]],PRIMEM["Greenwich",0,AUTHORITY["EPSG","8901"]],UNIT["degree",0.0174532925199433,AUTHORITY["EPSG","9122"]],AUTHORITY["EPSG","4671"]],PROJECTION["Lambert_Conformal_Conic_1SP"],PARAMETER["latitude_of_origin",33.3],PARAMETER["central_meridian",2.7],PARAMETER["scale_factor",0.999625769],PARAMETER["false_easting",500000],PARAMETER["false_northing",300000],UNIT["metre",1,AUTHORITY["EPSG","9001"]],AXIS["X",EAST],AXIS["Y",NORTH],AUTHORITY["EPSG","30494"]]</t>
  </si>
  <si>
    <t>PROJCS["Nord Sahara 1959 / UTM zone 29N",GEOGCS["Nord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30729"]]</t>
  </si>
  <si>
    <t xml:space="preserve">+proj=utm +zone=29 +ellps=clrk80 +towgs84=-209.3622,-87.8162,404.6198,0.0046,3.4784,0.5805,-1.4547 +units=m +no_defs </t>
  </si>
  <si>
    <t>PROJCS["Nord Sahara 1959 / UTM zone 30N",GEOGCS["Nord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30730"]]</t>
  </si>
  <si>
    <t xml:space="preserve">+proj=utm +zone=30 +ellps=clrk80 +towgs84=-209.3622,-87.8162,404.6198,0.0046,3.4784,0.5805,-1.4547 +units=m +no_defs </t>
  </si>
  <si>
    <t>PROJCS["Nord Sahara 1959 / UTM zone 31N",GEOGCS["Nord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30731"]]</t>
  </si>
  <si>
    <t xml:space="preserve">+proj=utm +zone=31 +ellps=clrk80 +towgs84=-209.3622,-87.8162,404.6198,0.0046,3.4784,0.5805,-1.4547 +units=m +no_defs </t>
  </si>
  <si>
    <t>PROJCS["Nord Sahara 1959 / UTM zone 32N",GEOGCS["Nord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30732"]]</t>
  </si>
  <si>
    <t xml:space="preserve">+proj=utm +zone=32 +ellps=clrk80 +towgs84=-209.3622,-87.8162,404.6198,0.0046,3.4784,0.5805,-1.4547 +units=m +no_defs </t>
  </si>
  <si>
    <t>PROJCS["Nord Sahara 1959 / Nord Algerie",GEOGCS["Nord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Lambert_Conformal_Conic_1SP"],PARAMETER["latitude_of_origin",36],PARAMETER["central_meridian",2.7],PARAMETER["scale_factor",0.999625544],PARAMETER["false_easting",500135],PARAMETER["false_northing",300090],UNIT["metre",1,AUTHORITY["EPSG","9001"]],AXIS["X",EAST],AXIS["Y",NORTH],AUTHORITY["EPSG","30791"]]</t>
  </si>
  <si>
    <t xml:space="preserve">+proj=lcc +lat_1=36 +lat_0=36 +lon_0=2.7 +k_0=0.999625544 +x_0=500135 +y_0=300090 +ellps=clrk80 +towgs84=-209.3622,-87.8162,404.6198,0.0046,3.4784,0.5805,-1.4547 +units=m +no_defs </t>
  </si>
  <si>
    <t>PROJCS["Nord Sahara 1959 / Sud Algerie",GEOGCS["Nord Sahara 1959",DATUM["Nord_Sahara_1959",SPHEROID["Clarke 1880 (RGS)",6378249.145,293.465,AUTHORITY["EPSG","7012"]],TOWGS84[-209.3622,-87.8162,404.6198,0.0046,3.4784,0.5805,-1.4547],AUTHORITY["EPSG","6307"]],PRIMEM["Greenwich",0,AUTHORITY["EPSG","8901"]],UNIT["degree",0.0174532925199433,AUTHORITY["EPSG","9122"]],AUTHORITY["EPSG","4307"]],PROJECTION["Lambert_Conformal_Conic_1SP"],PARAMETER["latitude_of_origin",33.3],PARAMETER["central_meridian",2.7],PARAMETER["scale_factor",0.999625769],PARAMETER["false_easting",500135],PARAMETER["false_northing",300090],UNIT["metre",1,AUTHORITY["EPSG","9001"]],AXIS["X",EAST],AXIS["Y",NORTH],AUTHORITY["EPSG","30792"]]</t>
  </si>
  <si>
    <t xml:space="preserve">+proj=lcc +lat_1=33.3 +lat_0=33.3 +lon_0=2.7 +k_0=0.999625769 +x_0=500135 +y_0=300090 +ellps=clrk80 +towgs84=-209.3622,-87.8162,404.6198,0.0046,3.4784,0.5805,-1.4547 +units=m +no_defs </t>
  </si>
  <si>
    <t>PROJCS["Zanderij / UTM zone 21N",GEOGCS["Zanderij",DATUM["Zanderij",SPHEROID["International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31121"]]</t>
  </si>
  <si>
    <t xml:space="preserve">+proj=utm +zone=21 +ellps=intl +towgs84=-265,120,-358,0,0,0,0 +units=m +no_defs </t>
  </si>
  <si>
    <t>PROJCS["Zanderij / TM 54 NW",GEOGCS["Zanderij",DATUM["Zanderij",SPHEROID["International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,PROJECTION["Transverse_Mercator"],PARAMETER["latitude_of_origin",0],PARAMETER["central_meridian",-54],PARAMETER["scale_factor",0.9996],PARAMETER["false_easting",500000],PARAMETER["false_northing",0],UNIT["metre",1,AUTHORITY["EPSG","9001"]],AXIS["Easting",EAST],AXIS["Northing",NORTH],AUTHORITY["EPSG","31154"]]</t>
  </si>
  <si>
    <t xml:space="preserve">+proj=tmerc +lat_0=0 +lon_0=-54 +k=0.9996 +x_0=500000 +y_0=0 +ellps=intl +towgs84=-265,120,-358,0,0,0,0 +units=m +no_defs </t>
  </si>
  <si>
    <t>PROJCS["Zanderij / Suriname Old TM",GEOGCS["Zanderij",DATUM["Zanderij",SPHEROID["International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,PROJECTION["Transverse_Mercator"],PARAMETER["latitude_of_origin",0],PARAMETER["central_meridian",-55.68333333333333],PARAMETER["scale_factor",0.9996],PARAMETER["false_easting",500000],PARAMETER["false_northing",0],UNIT["metre",1,AUTHORITY["EPSG","9001"]],AXIS["Easting",EAST],AXIS["Northing",NORTH],AUTHORITY["EPSG","31170"]]</t>
  </si>
  <si>
    <t xml:space="preserve">+proj=tmerc +lat_0=0 +lon_0=-55.68333333333333 +k=0.9996 +x_0=500000 +y_0=0 +ellps=intl +towgs84=-265,120,-358,0,0,0,0 +units=m +no_defs </t>
  </si>
  <si>
    <t>PROJCS["Zanderij / Suriname TM",GEOGCS["Zanderij",DATUM["Zanderij",SPHEROID["International 1924",6378388,297,AUTHORITY["EPSG","7022"]],TOWGS84[-265,120,-358,0,0,0,0],AUTHORITY["EPSG","6311"]],PRIMEM["Greenwich",0,AUTHORITY["EPSG","8901"]],UNIT["degree",0.0174532925199433,AUTHORITY["EPSG","9122"]],AUTHORITY["EPSG","4311"]],PROJECTION["Transverse_Mercator"],PARAMETER["latitude_of_origin",0],PARAMETER["central_meridian",-55.68333333333333],PARAMETER["scale_factor",0.9999],PARAMETER["false_easting",500000],PARAMETER["false_northing",0],UNIT["metre",1,AUTHORITY["EPSG","9001"]],AXIS["Easting",EAST],AXIS["Northing",NORTH],AUTHORITY["EPSG","31171"]]</t>
  </si>
  <si>
    <t xml:space="preserve">+proj=tmerc +lat_0=0 +lon_0=-55.68333333333333 +k=0.9999 +x_0=500000 +y_0=0 +ellps=intl +towgs84=-265,120,-358,0,0,0,0 +units=m +no_defs </t>
  </si>
  <si>
    <t>PROJCS["MGI (Ferro) / Austria GK West Zone",GEOGCS["MGI (Ferro)",DATUM["Militar_Geographische_Institut_Ferro",SPHEROID["Bessel 1841",6377397.155,299.1528128,AUTHORITY["EPSG","7004"]],TOWGS84[577.326,90.129,463.919,5.137,1.474,5.297,2.4232],AUTHORITY["EPSG","6805"]],PRIMEM["Ferro",-17.66666666666667,AUTHORITY["EPSG","8909"]],UNIT["degree",0.0174532925199433,AUTHORITY["EPSG","9122"]],AUTHORITY["EPSG","4805"]],PROJECTION["Transverse_Mercator"],PARAMETER["latitude_of_origin",0],PARAMETER["central_meridian",28],PARAMETER["scale_factor",1],PARAMETER["false_easting",0],PARAMETER["false_northing",-5000000],UNIT["metre",1,AUTHORITY["EPSG","9001"]],AUTHORITY["EPSG","31251"]]</t>
  </si>
  <si>
    <t xml:space="preserve">+proj=tmerc +lat_0=0 +lon_0=28 +k=1 +x_0=0 +y_0=-5000000 +ellps=bessel +towgs84=577.326,90.129,463.919,5.137,1.474,5.297,2.4232 +pm=ferro +units=m +no_defs </t>
  </si>
  <si>
    <t>PROJCS["MGI (Ferro) / Austria GK Central Zone",GEOGCS["MGI (Ferro)",DATUM["Militar_Geographische_Institut_Ferro",SPHEROID["Bessel 1841",6377397.155,299.1528128,AUTHORITY["EPSG","7004"]],TOWGS84[577.326,90.129,463.919,5.137,1.474,5.297,2.4232],AUTHORITY["EPSG","6805"]],PRIMEM["Ferro",-17.66666666666667,AUTHORITY["EPSG","8909"]],UNIT["degree",0.0174532925199433,AUTHORITY["EPSG","9122"]],AUTHORITY["EPSG","4805"]],PROJECTION["Transverse_Mercator"],PARAMETER["latitude_of_origin",0],PARAMETER["central_meridian",31],PARAMETER["scale_factor",1],PARAMETER["false_easting",0],PARAMETER["false_northing",-5000000],UNIT["metre",1,AUTHORITY["EPSG","9001"]],AUTHORITY["EPSG","31252"]]</t>
  </si>
  <si>
    <t xml:space="preserve">+proj=tmerc +lat_0=0 +lon_0=31 +k=1 +x_0=0 +y_0=-5000000 +ellps=bessel +towgs84=577.326,90.129,463.919,5.137,1.474,5.297,2.4232 +pm=ferro +units=m +no_defs </t>
  </si>
  <si>
    <t>PROJCS["MGI (Ferro) / Austria GK East Zone",GEOGCS["MGI (Ferro)",DATUM["Militar_Geographische_Institut_Ferro",SPHEROID["Bessel 1841",6377397.155,299.1528128,AUTHORITY["EPSG","7004"]],TOWGS84[577.326,90.129,463.919,5.137,1.474,5.297,2.4232],AUTHORITY["EPSG","6805"]],PRIMEM["Ferro",-17.66666666666667,AUTHORITY["EPSG","8909"]],UNIT["degree",0.0174532925199433,AUTHORITY["EPSG","9122"]],AUTHORITY["EPSG","4805"]],PROJECTION["Transverse_Mercator"],PARAMETER["latitude_of_origin",0],PARAMETER["central_meridian",34],PARAMETER["scale_factor",1],PARAMETER["false_easting",0],PARAMETER["false_northing",-5000000],UNIT["metre",1,AUTHORITY["EPSG","9001"]],AUTHORITY["EPSG","31253"]]</t>
  </si>
  <si>
    <t xml:space="preserve">+proj=tmerc +lat_0=0 +lon_0=34 +k=1 +x_0=0 +y_0=-5000000 +ellps=bessel +towgs84=577.326,90.129,463.919,5.137,1.474,5.297,2.4232 +pm=ferro +units=m +no_defs </t>
  </si>
  <si>
    <t>PROJCS["MGI / Austria GK West",GEOGCS["MGI",DATUM["Militar_Geographische_Institute",SPHEROID["Bessel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10.33333333333333],PARAMETER["scale_factor",1],PARAMETER["false_easting",0],PARAMETER["false_northing",-5000000],UNIT["metre",1,AUTHORITY["EPSG","9001"]],AUTHORITY["EPSG","31254"]]</t>
  </si>
  <si>
    <t>PROJCS["MGI / Austria GK Central",GEOGCS["MGI",DATUM["Militar_Geographische_Institute",SPHEROID["Bessel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13.33333333333333],PARAMETER["scale_factor",1],PARAMETER["false_easting",0],PARAMETER["false_northing",-5000000],UNIT["metre",1,AUTHORITY["EPSG","9001"]],AUTHORITY["EPSG","31255"]]</t>
  </si>
  <si>
    <t>GEOCCS["DB_REF",DATUM["Deutsche_Bahn_Reference_System",SPHEROID["Bessel 1841",6377397.155,299.1528128,AUTHORITY["EPSG","7004"]],AUTHORITY["EPSG","1081"]],PRIMEM["Greenwich",0,AUTHORITY["EPSG","8901"]],UNIT["metre",1,AUTHORITY["EPSG","9001"]],AXIS["Geocentric X",OTHER],AXIS["Geocentric Y",OTHER],AXIS["Geocentric Z",NORTH],AUTHORITY["EPSG","5828"]]</t>
  </si>
  <si>
    <t>PROJCS["MGI / Austria GK East",GEOGCS["MGI",DATUM["Militar_Geographische_Institute",SPHEROID["Bessel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16.33333333333333],PARAMETER["scale_factor",1],PARAMETER["false_easting",0],PARAMETER["false_northing",-5000000],UNIT["metre",1,AUTHORITY["EPSG","9001"]],AUTHORITY["EPSG","31256"]]</t>
  </si>
  <si>
    <t>PROJCS["MGI / Austria GK M28",GEOGCS["MGI",DATUM["Militar_Geographische_Institute",SPHEROID["Bessel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10.33333333333333],PARAMETER["scale_factor",1],PARAMETER["false_easting",150000],PARAMETER["false_northing",-5000000],UNIT["metre",1,AUTHORITY["EPSG","9001"]],AUTHORITY["EPSG","31257"]]</t>
  </si>
  <si>
    <t>PROJCS["MGI / Austria GK M31",GEOGCS["MGI",DATUM["Militar_Geographische_Institute",SPHEROID["Bessel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13.33333333333333],PARAMETER["scale_factor",1],PARAMETER["false_easting",450000],PARAMETER["false_northing",-5000000],UNIT["metre",1,AUTHORITY["EPSG","9001"]],AUTHORITY["EPSG","31258"]]</t>
  </si>
  <si>
    <t>PROJCS["MGI / Austria GK M34",GEOGCS["MGI",DATUM["Militar_Geographische_Institute",SPHEROID["Bessel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16.33333333333333],PARAMETER["scale_factor",1],PARAMETER["false_easting",750000],PARAMETER["false_northing",-5000000],UNIT["metre",1,AUTHORITY["EPSG","9001"]],AUTHORITY["EPSG","31259"]]</t>
  </si>
  <si>
    <t>PROJCS["MGI / 3-degree Gauss zone 5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15],PARAMETER["scale_factor",1],PARAMETER["false_easting",5500000],PARAMETER["false_northing",0],UNIT["metre",1,AUTHORITY["EPSG","9001"]],AXIS["X",EAST],AXIS["Y",NORTH],AUTHORITY["EPSG","31265"]]</t>
  </si>
  <si>
    <t>PROJCS["MGI / 3-degree Gauss zone 6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18],PARAMETER["scale_factor",1],PARAMETER["false_easting",6500000],PARAMETER["false_northing",0],UNIT["metre",1,AUTHORITY["EPSG","9001"]],AXIS["X",EAST],AXIS["Y",NORTH],AUTHORITY["EPSG","31266"]]</t>
  </si>
  <si>
    <t>PROJCS["MGI / 3-degree Gauss zone 7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21],PARAMETER["scale_factor",1],PARAMETER["false_easting",7500000],PARAMETER["false_northing",0],UNIT["metre",1,AUTHORITY["EPSG","9001"]],AXIS["X",EAST],AXIS["Y",NORTH],AUTHORITY["EPSG","31267"]]</t>
  </si>
  <si>
    <t>PROJCS["MGI / 3-degree Gauss zone 8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24],PARAMETER["scale_factor",1],PARAMETER["false_easting",8500000],PARAMETER["false_northing",0],UNIT["metre",1,AUTHORITY["EPSG","9001"]],AXIS["X",EAST],AXIS["Y",NORTH],AUTHORITY["EPSG","31268"]]</t>
  </si>
  <si>
    <t>PROJCS["MGI / Balkans zone 5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15],PARAMETER["scale_factor",0.9999],PARAMETER["false_easting",5500000],PARAMETER["false_northing",0],UNIT["metre",1,AUTHORITY["EPSG","9001"]],AUTHORITY["EPSG","31275"]]</t>
  </si>
  <si>
    <t>PROJCS["DHDN / 3-degree Gauss-Kruger zone 2",GEOGCS["DHDN",DATUM["Deutsches_Hauptdreiecksnetz",SPHEROID["Bessel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6],PARAMETER["scale_factor",1],PARAMETER["false_easting",2500000],PARAMETER["false_northing",0],UNIT["metre",1,AUTHORITY["EPSG","9001"]],AUTHORITY["EPSG","31466"]]</t>
  </si>
  <si>
    <t>PROJCS["MGI / Balkans zone 6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18],PARAMETER["scale_factor",0.9999],PARAMETER["false_easting",6500000],PARAMETER["false_northing",0],UNIT["metre",1,AUTHORITY["EPSG","9001"]],AUTHORITY["EPSG","31276"]]</t>
  </si>
  <si>
    <t>PROJCS["MGI / Balkans zone 7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21],PARAMETER["scale_factor",0.9999],PARAMETER["false_easting",7500000],PARAMETER["false_northing",0],UNIT["metre",1,AUTHORITY["EPSG","9001"]],AUTHORITY["EPSG","31277"]]</t>
  </si>
  <si>
    <t>PROJCS["MGI / Balkans zone 8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21],PARAMETER["scale_factor",0.9999],PARAMETER["false_easting",7500000],PARAMETER["false_northing",0],UNIT["metre",1,AUTHORITY["EPSG","9001"]],AUTHORITY["EPSG","31278"]]</t>
  </si>
  <si>
    <t>PROJCS["MGI / Balkans zone 8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24],PARAMETER["scale_factor",0.9999],PARAMETER["false_easting",8500000],PARAMETER["false_northing",0],UNIT["metre",1,AUTHORITY["EPSG","9001"]],AUTHORITY["EPSG","31279"]]</t>
  </si>
  <si>
    <t>PROJCS["MGI (Ferro) / Austria West Zone",GEOGCS["MGI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28],PARAMETER["scale_factor",1],PARAMETER["false_easting",0],PARAMETER["false_northing",0],UNIT["metre",1,AUTHORITY["EPSG","9001"]],AUTHORITY["EPSG","31281"]]</t>
  </si>
  <si>
    <t xml:space="preserve">+proj=tmerc +lat_0=0 +lon_0=28 +k=1 +x_0=0 +y_0=0 +ellps=bessel +towgs84=682,-203,480,0,0,0,0 +pm=ferro +units=m +no_defs </t>
  </si>
  <si>
    <t>PROJCS["MGI (Ferro) / Austria Central Zone",GEOGCS["MGI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31],PARAMETER["scale_factor",1],PARAMETER["false_easting",0],PARAMETER["false_northing",0],UNIT["metre",1,AUTHORITY["EPSG","9001"]],AUTHORITY["EPSG","31282"]]</t>
  </si>
  <si>
    <t xml:space="preserve">+proj=tmerc +lat_0=0 +lon_0=31 +k=1 +x_0=0 +y_0=0 +ellps=bessel +towgs84=682,-203,480,0,0,0,0 +pm=ferro +units=m +no_defs </t>
  </si>
  <si>
    <t>PROJCS["MGI (Ferro) / Austria East Zone",GEOGCS["MGI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34],PARAMETER["scale_factor",1],PARAMETER["false_easting",0],PARAMETER["false_northing",0],UNIT["metre",1,AUTHORITY["EPSG","9001"]],AUTHORITY["EPSG","31283"]]</t>
  </si>
  <si>
    <t xml:space="preserve">+proj=tmerc +lat_0=0 +lon_0=34 +k=1 +x_0=0 +y_0=0 +ellps=bessel +towgs84=682,-203,480,0,0,0,0 +pm=ferro +units=m +no_defs </t>
  </si>
  <si>
    <t>PROJCS["MGI / Austria M28",GEOGCS["MGI",DATUM["Militar_Geographische_Institute",SPHEROID["Bessel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10.33333333333333],PARAMETER["scale_factor",1],PARAMETER["false_easting",150000],PARAMETER["false_northing",0],UNIT["metre",1,AUTHORITY["EPSG","9001"]],AUTHORITY["EPSG","31284"]]</t>
  </si>
  <si>
    <t>PROJCS["MGI / Austria M31",GEOGCS["MGI",DATUM["Militar_Geographische_Institute",SPHEROID["Bessel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13.33333333333333],PARAMETER["scale_factor",1],PARAMETER["false_easting",450000],PARAMETER["false_northing",0],UNIT["metre",1,AUTHORITY["EPSG","9001"]],AUTHORITY["EPSG","31285"]]</t>
  </si>
  <si>
    <t>PROJCS["MGI / Austria M34",GEOGCS["MGI",DATUM["Militar_Geographische_Institute",SPHEROID["Bessel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16.33333333333333],PARAMETER["scale_factor",1],PARAMETER["false_easting",750000],PARAMETER["false_northing",0],UNIT["metre",1,AUTHORITY["EPSG","9001"]],AUTHORITY["EPSG","31286"]]</t>
  </si>
  <si>
    <t>PROJCS["MGI / Austria Lambert",GEOGCS["MGI",DATUM["Militar_Geographische_Institute",SPHEROID["Bessel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Lambert_Conformal_Conic_2SP"],PARAMETER["standard_parallel_1",49],PARAMETER["standard_parallel_2",46],PARAMETER["latitude_of_origin",47.5],PARAMETER["central_meridian",13.33333333333333],PARAMETER["false_easting",400000],PARAMETER["false_northing",400000],UNIT["metre",1,AUTHORITY["EPSG","9001"]],AUTHORITY["EPSG","31287"]]</t>
  </si>
  <si>
    <t>PROJCS["MGI (Ferro) / M28",GEOGCS["MGI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28],PARAMETER["scale_factor",1],PARAMETER["false_easting",150000],PARAMETER["false_northing",0],UNIT["metre",1,AUTHORITY["EPSG","9001"]],AUTHORITY["EPSG","31288"]]</t>
  </si>
  <si>
    <t xml:space="preserve">+proj=tmerc +lat_0=0 +lon_0=28 +k=1 +x_0=150000 +y_0=0 +ellps=bessel +towgs84=682,-203,480,0,0,0,0 +pm=ferro +units=m +no_defs </t>
  </si>
  <si>
    <t>PROJCS["MGI (Ferro) / M31",GEOGCS["MGI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31],PARAMETER["scale_factor",1],PARAMETER["false_easting",450000],PARAMETER["false_northing",0],UNIT["metre",1,AUTHORITY["EPSG","9001"]],AUTHORITY["EPSG","31289"]]</t>
  </si>
  <si>
    <t xml:space="preserve">+proj=tmerc +lat_0=0 +lon_0=31 +k=1 +x_0=450000 +y_0=0 +ellps=bessel +towgs84=682,-203,480,0,0,0,0 +pm=ferro +units=m +no_defs </t>
  </si>
  <si>
    <t>PROJCS["MGI (Ferro) / M34",GEOGCS["MGI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34],PARAMETER["scale_factor",1],PARAMETER["false_easting",750000],PARAMETER["false_northing",0],UNIT["metre",1,AUTHORITY["EPSG","9001"]],AUTHORITY["EPSG","31290"]]</t>
  </si>
  <si>
    <t xml:space="preserve">+proj=tmerc +lat_0=0 +lon_0=34 +k=1 +x_0=750000 +y_0=0 +ellps=bessel +towgs84=682,-203,480,0,0,0,0 +pm=ferro +units=m +no_defs </t>
  </si>
  <si>
    <t>PROJCS["MGI (Ferro) / Austria West Zone (deprecated)",GEOGCS["MGI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28],PARAMETER["scale_factor",1],PARAMETER["false_easting",0],PARAMETER["false_northing",0],UNIT["metre",1,AUTHORITY["EPSG","9001"]],AXIS["X",EAST],AXIS["Y",NORTH],AUTHORITY["EPSG","31291"]]</t>
  </si>
  <si>
    <t>PROJCS["MGI (Ferro) / Austria Central Zone (deprecated)",GEOGCS["MGI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31],PARAMETER["scale_factor",1],PARAMETER["false_easting",0],PARAMETER["false_northing",0],UNIT["metre",1,AUTHORITY["EPSG","9001"]],AXIS["X",EAST],AXIS["Y",NORTH],AUTHORITY["EPSG","31292"]]</t>
  </si>
  <si>
    <t>PROJCS["MGI (Ferro) / Austria East Zone (deprecated)",GEOGCS["MGI (Ferro)",DATUM["Militar_Geographische_Institut_Ferro",SPHEROID["Bessel 1841",6377397.155,299.1528128,AUTHORITY["EPSG","7004"]],TOWGS84[682,-203,480,0,0,0,0],AUTHORITY["EPSG","6805"]],PRIMEM["Ferro",-17.66666666666667,AUTHORITY["EPSG","8909"]],UNIT["degree",0.0174532925199433,AUTHORITY["EPSG","9122"]],AUTHORITY["EPSG","4805"]],PROJECTION["Transverse_Mercator"],PARAMETER["latitude_of_origin",0],PARAMETER["central_meridian",34],PARAMETER["scale_factor",1],PARAMETER["false_easting",0],PARAMETER["false_northing",0],UNIT["metre",1,AUTHORITY["EPSG","9001"]],AXIS["X",EAST],AXIS["Y",NORTH],AUTHORITY["EPSG","31293"]]</t>
  </si>
  <si>
    <t>PROJCS["MGI / M28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10.33333333333333],PARAMETER["scale_factor",1],PARAMETER["false_easting",150000],PARAMETER["false_northing",0],UNIT["metre",1,AUTHORITY["EPSG","9001"]],AXIS["X",EAST],AXIS["Y",NORTH],AUTHORITY["EPSG","31294"]]</t>
  </si>
  <si>
    <t>PROJCS["MGI / M31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13.33333333333333],PARAMETER["scale_factor",1],PARAMETER["false_easting",450000],PARAMETER["false_northing",0],UNIT["metre",1,AUTHORITY["EPSG","9001"]],AXIS["X",EAST],AXIS["Y",NORTH],AUTHORITY["EPSG","31295"]]</t>
  </si>
  <si>
    <t>GEOCCS["TGD2005",DATUM["Tonga_Geodetic_Datum_2005",SPHEROID["GRS 1980",6378137,298.257222101,AUTHORITY["EPSG","7019"]],AUTHORITY["EPSG","1095"]],PRIMEM["Greenwich",0,AUTHORITY["EPSG","8901"]],UNIT["metre",1,AUTHORITY["EPSG","9001"]],AXIS["Geocentric X",OTHER],AXIS["Geocentric Y",OTHER],AXIS["Geocentric Z",NORTH],AUTHORITY["EPSG","5884"]]</t>
  </si>
  <si>
    <t>PROJCS["MGI / M34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Transverse_Mercator"],PARAMETER["latitude_of_origin",0],PARAMETER["central_meridian",16.33333333333333],PARAMETER["scale_factor",1],PARAMETER["false_easting",750000],PARAMETER["false_northing",0],UNIT["metre",1,AUTHORITY["EPSG","9001"]],AXIS["X",EAST],AXIS["Y",NORTH],AUTHORITY["EPSG","31296"]]</t>
  </si>
  <si>
    <t>PROJCS["MGI / Austria Lambert (deprecated)",GEOGCS["MGI",DATUM["Militar_Geographische_Institute",SPHEROID["Bessel 1841",6377397.155,299.1528128,AUTHORITY["EPSG","7004"]],TOWGS84[577.326,90.129,463.919,5.137,1.474,5.297,2.4232],AUTHORITY["EPSG","6312"]],PRIMEM["Greenwich",0,AUTHORITY["EPSG","8901"]],UNIT["degree",0.0174532925199433,AUTHORITY["EPSG","9122"]],AUTHORITY["EPSG","4312"]],PROJECTION["Lambert_Conformal_Conic_2SP"],PARAMETER["standard_parallel_1",49],PARAMETER["standard_parallel_2",46],PARAMETER["latitude_of_origin",47.5],PARAMETER["central_meridian",13.33333333333333],PARAMETER["false_easting",400000],PARAMETER["false_northing",400000],UNIT["metre",1,AUTHORITY["EPSG","9001"]],AXIS["X",EAST],AXIS["Y",NORTH],AUTHORITY["EPSG","31297"]]</t>
  </si>
  <si>
    <t>PROJCS["Belge 1972 / Belge Lambert 72",GEOGCS["Belge 1972",DATUM["Reseau_National_Belge_1972",SPHEROID["International 1924",6378388,297,AUTHORITY["EPSG","7022"]],TOWGS84[-106.8686,52.2978,-103.7239,0.3366,-0.457,1.8422,-1.2747],AUTHORITY["EPSG","6313"]],PRIMEM["Greenwich",0,AUTHORITY["EPSG","8901"]],UNIT["degree",0.0174532925199433,AUTHORITY["EPSG","9122"]],AUTHORITY["EPSG","4313"]],PROJECTION["Lambert_Conformal_Conic_2SP_Belgium"],PARAMETER["standard_parallel_1",49.83333333333334],PARAMETER["standard_parallel_2",51.16666666666666],PARAMETER["latitude_of_origin",90],PARAMETER["central_meridian",4.356939722222222],PARAMETER["false_easting",150000.01256],PARAMETER["false_northing",5400088.4378],UNIT["metre",1,AUTHORITY["EPSG","9001"]],AXIS["X",EAST],AXIS["Y",NORTH],AUTHORITY["EPSG","31300"]]</t>
  </si>
  <si>
    <t xml:space="preserve">+proj=lcc +lat_1=49.83333333333334 +lat_2=51.16666666666666 +lat_0=90 +lon_0=4.356939722222222 +x_0=150000.01256 +y_0=5400088.4378 +ellps=intl +towgs84=-106.8686,52.2978,-103.7239,0.3366,-0.457,1.8422,-1.2747 +units=m +no_defs </t>
  </si>
  <si>
    <t>PROJCS["Belge 1972 / Belgian Lambert 72",GEOGCS["Belge 1972",DATUM["Reseau_National_Belge_1972",SPHEROID["International 1924",6378388,297,AUTHORITY["EPSG","7022"]],TOWGS84[-106.8686,52.2978,-103.7239,0.3366,-0.457,1.8422,-1.2747],AUTHORITY["EPSG","6313"]],PRIMEM["Greenwich",0,AUTHORITY["EPSG","8901"]],UNIT["degree",0.0174532925199433,AUTHORITY["EPSG","9122"]],AUTHORITY["EPSG","4313"]],PROJECTION["Lambert_Conformal_Conic_2SP"],PARAMETER["standard_parallel_1",51.16666723333333],PARAMETER["standard_parallel_2",49.8333339],PARAMETER["latitude_of_origin",90],PARAMETER["central_meridian",4.367486666666666],PARAMETER["false_easting",150000.013],PARAMETER["false_northing",5400088.438],UNIT["metre",1,AUTHORITY["EPSG","9001"]],AXIS["X",EAST],AXIS["Y",NORTH],AUTHORITY["EPSG","31370"]]</t>
  </si>
  <si>
    <t xml:space="preserve">+proj=lcc +lat_1=51.16666723333333 +lat_2=49.8333339 +lat_0=90 +lon_0=4.367486666666666 +x_0=150000.013 +y_0=5400088.438 +ellps=intl +towgs84=-106.8686,52.2978,-103.7239,0.3366,-0.457,1.8422,-1.2747 +units=m +no_defs </t>
  </si>
  <si>
    <t>PROJCS["DHDN / 3-degree Gauss zone 1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3],PARAMETER["scale_factor",1],PARAMETER["false_easting",1500000],PARAMETER["false_northing",0],UNIT["metre",1,AUTHORITY["EPSG","9001"]],AXIS["X",EAST],AXIS["Y",NORTH],AUTHORITY["EPSG","31461"]]</t>
  </si>
  <si>
    <t>PROJCS["DHDN / 3-degree Gauss zone 2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6],PARAMETER["scale_factor",1],PARAMETER["false_easting",2500000],PARAMETER["false_northing",0],UNIT["metre",1,AUTHORITY["EPSG","9001"]],AXIS["X",EAST],AXIS["Y",NORTH],AUTHORITY["EPSG","31462"]]</t>
  </si>
  <si>
    <t>PROJCS["DHDN / 3-degree Gauss zone 3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9],PARAMETER["scale_factor",1],PARAMETER["false_easting",3500000],PARAMETER["false_northing",0],UNIT["metre",1,AUTHORITY["EPSG","9001"]],AXIS["X",EAST],AXIS["Y",NORTH],AUTHORITY["EPSG","31463"]]</t>
  </si>
  <si>
    <t>PROJCS["DHDN / 3-degree Gauss zone 4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12],PARAMETER["scale_factor",1],PARAMETER["false_easting",4500000],PARAMETER["false_northing",0],UNIT["metre",1,AUTHORITY["EPSG","9001"]],AXIS["X",EAST],AXIS["Y",NORTH],AUTHORITY["EPSG","31464"]]</t>
  </si>
  <si>
    <t>PROJCS["DHDN / 3-degree Gauss zone 5 (deprecated)",GEOGCS["DHDN",DATUM["Deutsches_Hauptdreiecksnetz",SPHEROID["Bessel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15],PARAMETER["scale_factor",1],PARAMETER["false_easting",5500000],PARAMETER["false_northing",0],UNIT["metre",1,AUTHORITY["EPSG","9001"]],AXIS["X",EAST],AXIS["Y",NORTH],AUTHORITY["EPSG","31465"]]</t>
  </si>
  <si>
    <t>PROJCS["DHDN / 3-degree Gauss-Kruger zone 3",GEOGCS["DHDN",DATUM["Deutsches_Hauptdreiecksnetz",SPHEROID["Bessel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9],PARAMETER["scale_factor",1],PARAMETER["false_easting",3500000],PARAMETER["false_northing",0],UNIT["metre",1,AUTHORITY["EPSG","9001"]],AUTHORITY["EPSG","31467"]]</t>
  </si>
  <si>
    <t>PROJCS["DHDN / 3-degree Gauss-Kruger zone 4",GEOGCS["DHDN",DATUM["Deutsches_Hauptdreiecksnetz",SPHEROID["Bessel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12],PARAMETER["scale_factor",1],PARAMETER["false_easting",4500000],PARAMETER["false_northing",0],UNIT["metre",1,AUTHORITY["EPSG","9001"]],AUTHORITY["EPSG","31468"]]</t>
  </si>
  <si>
    <t>PROJCS["DHDN / 3-degree Gauss-Kruger zone 5",GEOGCS["DHDN",DATUM["Deutsches_Hauptdreiecksnetz",SPHEROID["Bessel 1841",6377397.155,299.1528128,AUTHORITY["EPSG","7004"]],TOWGS84[598.1,73.7,418.2,0.202,0.045,-2.455,6.7],AUTHORITY["EPSG","6314"]],PRIMEM["Greenwich",0,AUTHORITY["EPSG","8901"]],UNIT["degree",0.0174532925199433,AUTHORITY["EPSG","9122"]],AUTHORITY["EPSG","4314"]],PROJECTION["Transverse_Mercator"],PARAMETER["latitude_of_origin",0],PARAMETER["central_meridian",15],PARAMETER["scale_factor",1],PARAMETER["false_easting",5500000],PARAMETER["false_northing",0],UNIT["metre",1,AUTHORITY["EPSG","9001"]],AUTHORITY["EPSG","31469"]]</t>
  </si>
  <si>
    <t>PROJCS["Conakry 1905 / UTM zone 28N",GEOGCS["Conakry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31528"]]</t>
  </si>
  <si>
    <t>PROJCS["Conakry 1905 / UTM zone 29N",GEOGCS["Conakry 1905",DATUM["Conakry_1905",SPHEROID["Clarke 1880 (IGN)",6378249.2,293.4660212936269,AUTHORITY["EPSG","7011"]],TOWGS84[-23,259,-9,0,0,0,0],AUTHORITY["EPSG","6315"]],PRIMEM["Greenwich",0,AUTHORITY["EPSG","8901"]],UNIT["degree",0.0174532925199433,AUTHORITY["EPSG","9122"]],AUTHORITY["EPSG","4315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31529"]]</t>
  </si>
  <si>
    <t>PROJCS["Dealul Piscului 1930 / Stereo 33",GEOGCS["Dealul Piscului 1930",DATUM["Dealul_Piscului_1930",SPHEROID["International 1924",6378388,297,AUTHORITY["EPSG","7022"]],TOWGS84[103.25,-100.4,-307.19,0,0,0,0],AUTHORITY["EPSG","6316"]],PRIMEM["Greenwich",0,AUTHORITY["EPSG","8901"]],UNIT["degree",0.0174532925199433,AUTHORITY["EPSG","9122"]],AUTHORITY["EPSG","4316"]],PROJECTION["Oblique_Stereographic"],PARAMETER["latitude_of_origin",45.9],PARAMETER["central_meridian",25.39246588888889],PARAMETER["scale_factor",0.9996667],PARAMETER["false_easting",500000],PARAMETER["false_northing",500000],UNIT["metre",1,AUTHORITY["EPSG","9001"]],AXIS["X",EAST],AXIS["Y",NORTH],AUTHORITY["EPSG","31600"]]</t>
  </si>
  <si>
    <t xml:space="preserve">+proj=sterea +lat_0=45.9 +lon_0=25.39246588888889 +k=0.9996667 +x_0=500000 +y_0=500000 +ellps=intl +towgs84=103.25,-100.4,-307.19,0,0,0,0 +units=m +no_defs </t>
  </si>
  <si>
    <t>PROJCS["Dealul Piscului 1970/ Stereo 70 (deprecated)",GEOGCS["Dealul Piscului 1970",DATUM["Dealul_Piscului_1970",SPHEROID["Krassowsky 1940",6378245,298.3,AUTHORITY["EPSG","7024"]],TOWGS84[28,-121,-77,0,0,0,0],AUTHORITY["EPSG","6317"]],PRIMEM["Greenwich",0,AUTHORITY["EPSG","8901"]],UNIT["degree",0.0174532925199433,AUTHORITY["EPSG","9122"]],AUTHORITY["EPSG","4317"]],PROJECTION["Oblique_Stereographic"],PARAMETER["latitude_of_origin",46],PARAMETER["central_meridian",25],PARAMETER["scale_factor",0.99975],PARAMETER["false_easting",500000],PARAMETER["false_northing",500000],UNIT["metre",1,AUTHORITY["EPSG","9001"]],AUTHORITY["EPSG","31700"]]</t>
  </si>
  <si>
    <t xml:space="preserve">+proj=sterea +lat_0=46 +lon_0=25 +k=0.99975 +x_0=500000 +y_0=500000 +ellps=krass +towgs84=28,-121,-77,0,0,0,0 +units=m +no_defs </t>
  </si>
  <si>
    <t>PROJCS["NGN / UTM zone 38N",GEOGCS["NGN",DATUM["National_Geodetic_Network",SPHEROID["WGS 84",6378137,298.257223563,AUTHORITY["EPSG","7030"]],TOWGS84[-3.2,-5.7,2.8,0,0,0,0],AUTHORITY["EPSG","6318"]],PRIMEM["Greenwich",0,AUTHORITY["EPSG","8901"]],UNIT["degree",0.0174532925199433,AUTHORITY["EPSG","9122"]],AUTHORITY["EPSG","4318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31838"]]</t>
  </si>
  <si>
    <t xml:space="preserve">+proj=utm +zone=38 +ellps=WGS84 +towgs84=-3.2,-5.7,2.8,0,0,0,0 +units=m +no_defs </t>
  </si>
  <si>
    <t>PROJCS["NGN / UTM zone 39N",GEOGCS["NGN",DATUM["National_Geodetic_Network",SPHEROID["WGS 84",6378137,298.257223563,AUTHORITY["EPSG","7030"]],TOWGS84[-3.2,-5.7,2.8,0,0,0,0],AUTHORITY["EPSG","6318"]],PRIMEM["Greenwich",0,AUTHORITY["EPSG","8901"]],UNIT["degree",0.0174532925199433,AUTHORITY["EPSG","9122"]],AUTHORITY["EPSG","4318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31839"]]</t>
  </si>
  <si>
    <t xml:space="preserve">+proj=utm +zone=39 +ellps=WGS84 +towgs84=-3.2,-5.7,2.8,0,0,0,0 +units=m +no_defs </t>
  </si>
  <si>
    <t>PROJCS["KUDAMS / KTM (deprecated)",GEOGCS["KUDAMS",DATUM["Kuwait_Utility",SPHEROID["GRS 1980",6378137,298.257222101,AUTHORITY["EPSG","7019"]],TOWGS84[-20.8,11.3,2.4,0,0,0,0],AUTHORITY["EPSG","6319"]],PRIMEM["Greenwich",0,AUTHORITY["EPSG","8901"]],UNIT["degree",0.0174532925199433,AUTHORITY["EPSG","9122"]],AUTHORITY["EPSG","4319"]],PROJECTION["Transverse_Mercator"],PARAMETER["latitude_of_origin",0],PARAMETER["central_meridian",48],PARAMETER["scale_factor",0.9996],PARAMETER["false_easting",500000],PARAMETER["false_northing",0],UNIT["metre",1,AUTHORITY["EPSG","9001"]],AXIS["Easting",EAST],AXIS["Northing",NORTH],AUTHORITY["EPSG","31900"]]</t>
  </si>
  <si>
    <t xml:space="preserve">+proj=tmerc +lat_0=0 +lon_0=48 +k=0.9996 +x_0=500000 +y_0=0 +ellps=GRS80 +towgs84=-20.8,11.3,2.4,0,0,0,0 +units=m +no_defs </t>
  </si>
  <si>
    <t>PROJCS["KUDAMS / KTM",GEOGCS["KUDAMS",DATUM["Kuwait_Utility",SPHEROID["GRS 1980",6378137,298.257222101,AUTHORITY["EPSG","7019"]],TOWGS84[-20.8,11.3,2.4,0,0,0,0],AUTHORITY["EPSG","6319"]],PRIMEM["Greenwich",0,AUTHORITY["EPSG","8901"]],UNIT["degree",0.0174532925199433,AUTHORITY["EPSG","9122"]],AUTHORITY["EPSG","4319"]],PROJECTION["Transverse_Mercator"],PARAMETER["latitude_of_origin",0],PARAMETER["central_meridian",48],PARAMETER["scale_factor",1],PARAMETER["false_easting",500000],PARAMETER["false_northing",0],UNIT["metre",1,AUTHORITY["EPSG","9001"]],AXIS["Easting",EAST],AXIS["Northing",NORTH],AUTHORITY["EPSG","31901"]]</t>
  </si>
  <si>
    <t xml:space="preserve">+proj=tmerc +lat_0=0 +lon_0=48 +k=1 +x_0=500000 +y_0=0 +ellps=GRS80 +towgs84=-20.8,11.3,2.4,0,0,0,0 +units=m +no_defs </t>
  </si>
  <si>
    <t>PROJCS["SIRGAS 2000 / UTM zone 11N",GEOGCS["SIRGAS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31965"]]</t>
  </si>
  <si>
    <t>PROJCS["SIRGAS 2000 / UTM zone 12N",GEOGCS["SIRGAS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31966"]]</t>
  </si>
  <si>
    <t>PROJCS["SIRGAS 2000 / UTM zone 13N",GEOGCS["SIRGAS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31967"]]</t>
  </si>
  <si>
    <t>PROJCS["SIRGAS 2000 / UTM zone 14N",GEOGCS["SIRGAS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31968"]]</t>
  </si>
  <si>
    <t>PROJCS["SIRGAS 2000 / UTM zone 15N",GEOGCS["SIRGAS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31969"]]</t>
  </si>
  <si>
    <t>PROJCS["SIRGAS 2000 / UTM zone 16N",GEOGCS["SIRGAS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31970"]]</t>
  </si>
  <si>
    <t>PROJCS["SIRGAS 2000 / UTM zone 17N",GEOGCS["SIRGAS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31971"]]</t>
  </si>
  <si>
    <t>PROJCS["SIRGAS 2000 / UTM zone 18N",GEOGCS["SIRGAS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31972"]]</t>
  </si>
  <si>
    <t>PROJCS["SIRGAS 2000 / UTM zone 19N",GEOGCS["SIRGAS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31973"]]</t>
  </si>
  <si>
    <t>PROJCS["SIRGAS 2000 / UTM zone 20N",GEOGCS["SIRGAS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31974"]]</t>
  </si>
  <si>
    <t>PROJCS["SIRGAS 2000 / UTM zone 21N",GEOGCS["SIRGAS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31975"]]</t>
  </si>
  <si>
    <t>PROJCS["SIRGAS 2000 / UTM zone 22N",GEOGCS["SIRGAS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31976"]]</t>
  </si>
  <si>
    <t>PROJCS["SIRGAS 2000 / UTM zone 17S",GEOGCS["SIRGAS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31977"]]</t>
  </si>
  <si>
    <t>PROJCS["SIRGAS 2000 / UTM zone 18S",GEOGCS["SIRGAS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31978"]]</t>
  </si>
  <si>
    <t>PROJCS["SIRGAS 2000 / UTM zone 19S",GEOGCS["SIRGAS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31979"]]</t>
  </si>
  <si>
    <t>PROJCS["SIRGAS 2000 / UTM zone 20S",GEOGCS["SIRGAS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31980"]]</t>
  </si>
  <si>
    <t>PROJCS["SIRGAS 2000 / UTM zone 21S",GEOGCS["SIRGAS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31981"]]</t>
  </si>
  <si>
    <t>PROJCS["SIRGAS 2000 / UTM zone 22S",GEOGCS["SIRGAS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31982"]]</t>
  </si>
  <si>
    <t xml:space="preserve">+proj=utm +zone=22 +south +ellps=GRS80 +towgs84=0,0,0,0,0,0,0 +units=m +no_defs </t>
  </si>
  <si>
    <t>PROJCS["SIRGAS 2000 / UTM zone 23S",GEOGCS["SIRGAS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31983"]]</t>
  </si>
  <si>
    <t xml:space="preserve">+proj=utm +zone=23 +south +ellps=GRS80 +towgs84=0,0,0,0,0,0,0 +units=m +no_defs </t>
  </si>
  <si>
    <t>PROJCS["SIRGAS 2000 / UTM zone 24S",GEOGCS["SIRGAS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31984"]]</t>
  </si>
  <si>
    <t xml:space="preserve">+proj=utm +zone=24 +south +ellps=GRS80 +towgs84=0,0,0,0,0,0,0 +units=m +no_defs </t>
  </si>
  <si>
    <t>PROJCS["SIRGAS 2000 / UTM zone 25S",GEOGCS["SIRGAS 2000",DATUM["Sistema_de_Referencia_Geocentrico_para_las_AmericaS_2000",SPHEROID["GRS 1980",6378137,298.257222101,AUTHORITY["EPSG","7019"]],TOWGS84[0,0,0,0,0,0,0],AUTHORITY["EPSG","6674"]],PRIMEM["Greenwich",0,AUTHORITY["EPSG","8901"]],UNIT["degree",0.0174532925199433,AUTHORITY["EPSG","9122"]],AUTHORITY["EPSG","4674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31985"]]</t>
  </si>
  <si>
    <t xml:space="preserve">+proj=utm +zone=25 +south +ellps=GRS80 +towgs84=0,0,0,0,0,0,0 +units=m +no_defs </t>
  </si>
  <si>
    <t>PROJCS["SIRGAS 1995 / UTM zone 17N",GEOGCS["SIRGAS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31986"]]</t>
  </si>
  <si>
    <t>PROJCS["SIRGAS 1995 / UTM zone 18N",GEOGCS["SIRGAS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31987"]]</t>
  </si>
  <si>
    <t>PROJCS["SIRGAS 1995 / UTM zone 19N",GEOGCS["SIRGAS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31988"]]</t>
  </si>
  <si>
    <t>PROJCS["SIRGAS 1995 / UTM zone 20N",GEOGCS["SIRGAS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31989"]]</t>
  </si>
  <si>
    <t>PROJCS["SIRGAS 1995 / UTM zone 21N",GEOGCS["SIRGAS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31990"]]</t>
  </si>
  <si>
    <t>PROJCS["SIRGAS 1995 / UTM zone 22N",GEOGCS["SIRGAS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31991"]]</t>
  </si>
  <si>
    <t>PROJCS["SIRGAS 1995 / UTM zone 17S",GEOGCS["SIRGAS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31992"]]</t>
  </si>
  <si>
    <t>PROJCS["SIRGAS 1995 / UTM zone 18S",GEOGCS["SIRGAS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31993"]]</t>
  </si>
  <si>
    <t>PROJCS["SIRGAS 1995 / UTM zone 19S",GEOGCS["SIRGAS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31994"]]</t>
  </si>
  <si>
    <t>PROJCS["SIRGAS 1995 / UTM zone 20S",GEOGCS["SIRGAS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31995"]]</t>
  </si>
  <si>
    <t>PROJCS["SIRGAS 1995 / UTM zone 21S",GEOGCS["SIRGAS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31996"]]</t>
  </si>
  <si>
    <t>PROJCS["SIRGAS 1995 / UTM zone 22S",GEOGCS["SIRGAS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31997"]]</t>
  </si>
  <si>
    <t>PROJCS["SIRGAS 1995 / UTM zone 23S",GEOGCS["SIRGAS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31998"]]</t>
  </si>
  <si>
    <t>PROJCS["SIRGAS 1995 / UTM zone 24S",GEOGCS["SIRGAS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31999"]]</t>
  </si>
  <si>
    <t>PROJCS["SIRGAS 1995 / UTM zone 25S",GEOGCS["SIRGAS 1995",DATUM["Sistema_de_Referencia_Geocentrico_para_America_del_Sur_1995",SPHEROID["GRS 1980",6378137,298.257222101,AUTHORITY["EPSG","7019"]],TOWGS84[0,0,0,0,0,0,0],AUTHORITY["EPSG","6170"]],PRIMEM["Greenwich",0,AUTHORITY["EPSG","8901"]],UNIT["degree",0.0174532925199433,AUTHORITY["EPSG","9122"]],AUTHORITY["EPSG","4170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32000"]]</t>
  </si>
  <si>
    <t>PROJCS["NAD27 / Montana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48.71666666666667],PARAMETER["standard_parallel_2",47.85],PARAMETER["latitude_of_origin",47],PARAMETER["central_meridian",-109.5],PARAMETER["false_easting",2000000],PARAMETER["false_northing",0],UNIT["US survey foot",0.3048006096012192,AUTHORITY["EPSG","9003"]],AXIS["X",EAST],AXIS["Y",NORTH],AUTHORITY["EPSG","32001"]]</t>
  </si>
  <si>
    <t>PROJCS["NAD27 / Montana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47.88333333333333],PARAMETER["standard_parallel_2",46.45],PARAMETER["latitude_of_origin",45.83333333333334],PARAMETER["central_meridian",-109.5],PARAMETER["false_easting",2000000],PARAMETER["false_northing",0],UNIT["US survey foot",0.3048006096012192,AUTHORITY["EPSG","9003"]],AXIS["X",EAST],AXIS["Y",NORTH],AUTHORITY["EPSG","32002"]]</t>
  </si>
  <si>
    <t>GEOCCS["CIGD11",DATUM["Cayman_Islands_Geodetic_Datum_2011",SPHEROID["GRS 1980",6378137,298.257222101,AUTHORITY["EPSG","7019"]],AUTHORITY["EPSG","1100"]],PRIMEM["Greenwich",0,AUTHORITY["EPSG","8901"]],UNIT["metre",1,AUTHORITY["EPSG","9001"]],AXIS["Geocentric X",OTHER],AXIS["Geocentric Y",OTHER],AXIS["Geocentric Z",NORTH],AUTHORITY["EPSG","6133"]]</t>
  </si>
  <si>
    <t>PROJCS["NAD27 / Montana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46.4],PARAMETER["standard_parallel_2",44.86666666666667],PARAMETER["latitude_of_origin",44],PARAMETER["central_meridian",-109.5],PARAMETER["false_easting",2000000],PARAMETER["false_northing",0],UNIT["US survey foot",0.3048006096012192,AUTHORITY["EPSG","9003"]],AXIS["X",EAST],AXIS["Y",NORTH],AUTHORITY["EPSG","32003"]]</t>
  </si>
  <si>
    <t>PROJCS["NAD27 / Nebraska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41.85],PARAMETER["standard_parallel_2",42.81666666666667],PARAMETER["latitude_of_origin",41.33333333333334],PARAMETER["central_meridian",-100],PARAMETER["false_easting",2000000],PARAMETER["false_northing",0],UNIT["US survey foot",0.3048006096012192,AUTHORITY["EPSG","9003"]],AXIS["X",EAST],AXIS["Y",NORTH],AUTHORITY["EPSG","32005"]]</t>
  </si>
  <si>
    <t>PROJCS["NAD27 / Nebraska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40.28333333333333],PARAMETER["standard_parallel_2",41.71666666666667],PARAMETER["latitude_of_origin",39.66666666666666],PARAMETER["central_meridian",-99.5],PARAMETER["false_easting",2000000],PARAMETER["false_northing",0],UNIT["US survey foot",0.3048006096012192,AUTHORITY["EPSG","9003"]],AXIS["X",EAST],AXIS["Y",NORTH],AUTHORITY["EPSG","32006"]]</t>
  </si>
  <si>
    <t>PROJCS["NAD27 / Nevada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34.75],PARAMETER["central_meridian",-115.5833333333333],PARAMETER["scale_factor",0.9999],PARAMETER["false_easting",500000],PARAMETER["false_northing",0],UNIT["US survey foot",0.3048006096012192,AUTHORITY["EPSG","9003"]],AXIS["X",EAST],AXIS["Y",NORTH],AUTHORITY["EPSG","32007"]]</t>
  </si>
  <si>
    <t>PROJCS["NAD27 / Nevada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34.75],PARAMETER["central_meridian",-116.6666666666667],PARAMETER["scale_factor",0.9999],PARAMETER["false_easting",500000],PARAMETER["false_northing",0],UNIT["US survey foot",0.3048006096012192,AUTHORITY["EPSG","9003"]],AXIS["X",EAST],AXIS["Y",NORTH],AUTHORITY["EPSG","32008"]]</t>
  </si>
  <si>
    <t>PROJCS["NAD27 / Nevada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34.75],PARAMETER["central_meridian",-118.5833333333333],PARAMETER["scale_factor",0.9999],PARAMETER["false_easting",500000],PARAMETER["false_northing",0],UNIT["US survey foot",0.3048006096012192,AUTHORITY["EPSG","9003"]],AXIS["X",EAST],AXIS["Y",NORTH],AUTHORITY["EPSG","32009"]]</t>
  </si>
  <si>
    <t>PROJCS["NAD27 / New Hampshire",GEOGCS["NAD27",DATUM["North_American_Datum_1927",SPHEROID["Clarke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42.5],PARAMETER["central_meridian",-71.66666666666667],PARAMETER["scale_factor",0.999966667],PARAMETER["false_easting",500000],PARAMETER["false_northing",0],UNIT["US survey foot",0.3048006096012192,AUTHORITY["EPSG","9003"]],AXIS["X",EAST],AXIS["Y",NORTH],AUTHORITY["EPSG","32010"]]</t>
  </si>
  <si>
    <t>PROJCS["NAD27 / New Jersey",GEOGCS["NAD27",DATUM["North_American_Datum_1927",SPHEROID["Clarke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38.83333333333334],PARAMETER["central_meridian",-74.66666666666667],PARAMETER["scale_factor",0.999975],PARAMETER["false_easting",2000000],PARAMETER["false_northing",0],UNIT["US survey foot",0.3048006096012192,AUTHORITY["EPSG","9003"]],AXIS["X",EAST],AXIS["Y",NORTH],AUTHORITY["EPSG","32011"]]</t>
  </si>
  <si>
    <t>PROJCS["NAD27 / New Mexico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-104.3333333333333],PARAMETER["scale_factor",0.999909091],PARAMETER["false_easting",500000],PARAMETER["false_northing",0],UNIT["US survey foot",0.3048006096012192,AUTHORITY["EPSG","9003"]],AXIS["X",EAST],AXIS["Y",NORTH],AUTHORITY["EPSG","32012"]]</t>
  </si>
  <si>
    <t>PROJCS["NAD27 / New Mexico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-106.25],PARAMETER["scale_factor",0.9999],PARAMETER["false_easting",500000],PARAMETER["false_northing",0],UNIT["US survey foot",0.3048006096012192,AUTHORITY["EPSG","9003"]],AXIS["X",EAST],AXIS["Y",NORTH],AUTHORITY["EPSG","32013"]]</t>
  </si>
  <si>
    <t>PROJCS["NAD27 / New Mexico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31],PARAMETER["central_meridian",-107.8333333333333],PARAMETER["scale_factor",0.999916667],PARAMETER["false_easting",500000],PARAMETER["false_northing",0],UNIT["US survey foot",0.3048006096012192,AUTHORITY["EPSG","9003"]],AXIS["X",EAST],AXIS["Y",NORTH],AUTHORITY["EPSG","32014"]]</t>
  </si>
  <si>
    <t>PROJCS["NAD27 / New York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40],PARAMETER["central_meridian",-74.33333333333333],PARAMETER["scale_factor",0.999966667],PARAMETER["false_easting",500000],PARAMETER["false_northing",0],UNIT["US survey foot",0.3048006096012192,AUTHORITY["EPSG","9003"]],AXIS["X",EAST],AXIS["Y",NORTH],AUTHORITY["EPSG","32015"]]</t>
  </si>
  <si>
    <t>PROJCS["NAD27 / New York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40],PARAMETER["central_meridian",-76.58333333333333],PARAMETER["scale_factor",0.9999375],PARAMETER["false_easting",500000],PARAMETER["false_northing",0],UNIT["US survey foot",0.3048006096012192,AUTHORITY["EPSG","9003"]],AXIS["X",EAST],AXIS["Y",NORTH],AUTHORITY["EPSG","32016"]]</t>
  </si>
  <si>
    <t>PROJCS["NAD27 / New York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40],PARAMETER["central_meridian",-78.58333333333333],PARAMETER["scale_factor",0.9999375],PARAMETER["false_easting",500000],PARAMETER["false_northing",0],UNIT["US survey foot",0.3048006096012192,AUTHORITY["EPSG","9003"]],AXIS["X",EAST],AXIS["Y",NORTH],AUTHORITY["EPSG","32017"]]</t>
  </si>
  <si>
    <t>PROJCS["NAD27 / New York Long Island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41.03333333333333],PARAMETER["standard_parallel_2",40.66666666666666],PARAMETER["latitude_of_origin",40.5],PARAMETER["central_meridian",-74],PARAMETER["false_easting",1000000],PARAMETER["false_northing",0],UNIT["US survey foot",0.3048006096012192,AUTHORITY["EPSG","9003"]],AXIS["X",EAST],AXIS["Y",NORTH],AUTHORITY["EPSG","32018"]]</t>
  </si>
  <si>
    <t>PROJCS["NAD27 / North Carolina",GEOGCS["NAD27",DATUM["North_American_Datum_1927",SPHEROID["Clarke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34.33333333333334],PARAMETER["standard_parallel_2",36.16666666666666],PARAMETER["latitude_of_origin",33.75],PARAMETER["central_meridian",-79],PARAMETER["false_easting",2000000],PARAMETER["false_northing",0],UNIT["US survey foot",0.3048006096012192,AUTHORITY["EPSG","9003"]],AXIS["X",EAST],AXIS["Y",NORTH],AUTHORITY["EPSG","32019"]]</t>
  </si>
  <si>
    <t>PROJCS["NAD27 / North Dakota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47.43333333333333],PARAMETER["standard_parallel_2",48.73333333333333],PARAMETER["latitude_of_origin",47],PARAMETER["central_meridian",-100.5],PARAMETER["false_easting",2000000],PARAMETER["false_northing",0],UNIT["US survey foot",0.3048006096012192,AUTHORITY["EPSG","9003"]],AXIS["X",EAST],AXIS["Y",NORTH],AUTHORITY["EPSG","32020"]]</t>
  </si>
  <si>
    <t>PROJCS["NAD27 / North Dakota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46.18333333333333],PARAMETER["standard_parallel_2",47.48333333333333],PARAMETER["latitude_of_origin",45.66666666666666],PARAMETER["central_meridian",-100.5],PARAMETER["false_easting",2000000],PARAMETER["false_northing",0],UNIT["US survey foot",0.3048006096012192,AUTHORITY["EPSG","9003"]],AXIS["X",EAST],AXIS["Y",NORTH],AUTHORITY["EPSG","32021"]]</t>
  </si>
  <si>
    <t>PROJCS["NAD27 / Ohio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40.43333333333333],PARAMETER["standard_parallel_2",41.7],PARAMETER["latitude_of_origin",39.66666666666666],PARAMETER["central_meridian",-82.5],PARAMETER["false_easting",2000000],PARAMETER["false_northing",0],UNIT["US survey foot",0.3048006096012192,AUTHORITY["EPSG","9003"]],AXIS["X",EAST],AXIS["Y",NORTH],AUTHORITY["EPSG","32022"]]</t>
  </si>
  <si>
    <t>PROJCS["NAD27 / Ohio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38.73333333333333],PARAMETER["standard_parallel_2",40.03333333333333],PARAMETER["latitude_of_origin",38],PARAMETER["central_meridian",-82.5],PARAMETER["false_easting",2000000],PARAMETER["false_northing",0],UNIT["US survey foot",0.3048006096012192,AUTHORITY["EPSG","9003"]],AXIS["X",EAST],AXIS["Y",NORTH],AUTHORITY["EPSG","32023"]]</t>
  </si>
  <si>
    <t>PROJCS["NAD27 / Oklahoma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35.56666666666667],PARAMETER["standard_parallel_2",36.76666666666667],PARAMETER["latitude_of_origin",35],PARAMETER["central_meridian",-98],PARAMETER["false_easting",2000000],PARAMETER["false_northing",0],UNIT["US survey foot",0.3048006096012192,AUTHORITY["EPSG","9003"]],AXIS["X",EAST],AXIS["Y",NORTH],AUTHORITY["EPSG","32024"]]</t>
  </si>
  <si>
    <t>PROJCS["NAD27 / Oklahoma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33.93333333333333],PARAMETER["standard_parallel_2",35.23333333333333],PARAMETER["latitude_of_origin",33.33333333333334],PARAMETER["central_meridian",-98],PARAMETER["false_easting",2000000],PARAMETER["false_northing",0],UNIT["US survey foot",0.3048006096012192,AUTHORITY["EPSG","9003"]],AXIS["X",EAST],AXIS["Y",NORTH],AUTHORITY["EPSG","32025"]]</t>
  </si>
  <si>
    <t>PROJCS["NAD27 / Oregon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44.33333333333334],PARAMETER["standard_parallel_2",46],PARAMETER["latitude_of_origin",43.66666666666666],PARAMETER["central_meridian",-120.5],PARAMETER["false_easting",2000000],PARAMETER["false_northing",0],UNIT["US survey foot",0.3048006096012192,AUTHORITY["EPSG","9003"]],AXIS["X",EAST],AXIS["Y",NORTH],AUTHORITY["EPSG","32026"]]</t>
  </si>
  <si>
    <t>PROJCS["NAD27 / Oregon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42.33333333333334],PARAMETER["standard_parallel_2",44],PARAMETER["latitude_of_origin",41.66666666666666],PARAMETER["central_meridian",-120.5],PARAMETER["false_easting",2000000],PARAMETER["false_northing",0],UNIT["US survey foot",0.3048006096012192,AUTHORITY["EPSG","9003"]],AXIS["X",EAST],AXIS["Y",NORTH],AUTHORITY["EPSG","32027"]]</t>
  </si>
  <si>
    <t>PROJCS["NAD27 / Pennsylvania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40.88333333333333],PARAMETER["standard_parallel_2",41.95],PARAMETER["latitude_of_origin",40.16666666666666],PARAMETER["central_meridian",-77.75],PARAMETER["false_easting",2000000],PARAMETER["false_northing",0],UNIT["US survey foot",0.3048006096012192,AUTHORITY["EPSG","9003"]],AXIS["X",EAST],AXIS["Y",NORTH],AUTHORITY["EPSG","32028"]]</t>
  </si>
  <si>
    <t>PROJCS["NAD27 / Pennsylvania South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39.93333333333333],PARAMETER["standard_parallel_2",40.8],PARAMETER["latitude_of_origin",39.33333333333334],PARAMETER["central_meridian",-77.75],PARAMETER["false_easting",2000000],PARAMETER["false_northing",0],UNIT["US survey foot",0.3048006096012192,AUTHORITY["EPSG","9003"]],AXIS["X",EAST],AXIS["Y",NORTH],AUTHORITY["EPSG","32029"]]</t>
  </si>
  <si>
    <t>PROJCS["WGS 84 / UTM zone 19N",GEOGCS["WGS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32619"]]</t>
  </si>
  <si>
    <t>PROJCS["NAD27 / Rhode Island",GEOGCS["NAD27",DATUM["North_American_Datum_1927",SPHEROID["Clarke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41.08333333333334],PARAMETER["central_meridian",-71.5],PARAMETER["scale_factor",0.9999938],PARAMETER["false_easting",500000],PARAMETER["false_northing",0],UNIT["US survey foot",0.3048006096012192,AUTHORITY["EPSG","9003"]],AXIS["X",EAST],AXIS["Y",NORTH],AUTHORITY["EPSG","32030"]]</t>
  </si>
  <si>
    <t>PROJCS["NAD27 / South Carolina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33.76666666666667],PARAMETER["standard_parallel_2",34.96666666666667],PARAMETER["latitude_of_origin",33],PARAMETER["central_meridian",-81],PARAMETER["false_easting",2000000],PARAMETER["false_northing",0],UNIT["US survey foot",0.3048006096012192,AUTHORITY["EPSG","9003"]],AXIS["X",EAST],AXIS["Y",NORTH],AUTHORITY["EPSG","32031"]]</t>
  </si>
  <si>
    <t>PROJCS["NAD27 / South Carolina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32.33333333333334],PARAMETER["standard_parallel_2",33.66666666666666],PARAMETER["latitude_of_origin",31.83333333333333],PARAMETER["central_meridian",-81],PARAMETER["false_easting",2000000],PARAMETER["false_northing",0],UNIT["US survey foot",0.3048006096012192,AUTHORITY["EPSG","9003"]],AXIS["X",EAST],AXIS["Y",NORTH],AUTHORITY["EPSG","32033"]]</t>
  </si>
  <si>
    <t>PROJCS["NAD27 / South Dakota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44.41666666666666],PARAMETER["standard_parallel_2",45.68333333333333],PARAMETER["latitude_of_origin",43.83333333333334],PARAMETER["central_meridian",-100],PARAMETER["false_easting",2000000],PARAMETER["false_northing",0],UNIT["US survey foot",0.3048006096012192,AUTHORITY["EPSG","9003"]],AXIS["X",EAST],AXIS["Y",NORTH],AUTHORITY["EPSG","32034"]]</t>
  </si>
  <si>
    <t>PROJCS["NAD27 / South Dakota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42.83333333333334],PARAMETER["standard_parallel_2",44.4],PARAMETER["latitude_of_origin",42.33333333333334],PARAMETER["central_meridian",-100.3333333333333],PARAMETER["false_easting",2000000],PARAMETER["false_northing",0],UNIT["US survey foot",0.3048006096012192,AUTHORITY["EPSG","9003"]],AXIS["X",EAST],AXIS["Y",NORTH],AUTHORITY["EPSG","32035"]]</t>
  </si>
  <si>
    <t>PROJCS["NAD27 / Tennessee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35.25],PARAMETER["standard_parallel_2",36.41666666666666],PARAMETER["latitude_of_origin",34.66666666666666],PARAMETER["central_meridian",-86],PARAMETER["false_easting",100000],PARAMETER["false_northing",0],UNIT["US survey foot",0.3048006096012192,AUTHORITY["EPSG","9003"]],AXIS["X",EAST],AXIS["Y",NORTH],AUTHORITY["EPSG","32036"]]</t>
  </si>
  <si>
    <t>PROJCS["NAD27 / Texas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34.65],PARAMETER["standard_parallel_2",36.18333333333333],PARAMETER["latitude_of_origin",34],PARAMETER["central_meridian",-101.5],PARAMETER["false_easting",2000000],PARAMETER["false_northing",0],UNIT["US survey foot",0.3048006096012192,AUTHORITY["EPSG","9003"]],AXIS["X",EAST],AXIS["Y",NORTH],AUTHORITY["EPSG","32037"]]</t>
  </si>
  <si>
    <t>PROJCS["NAD27 / Texas North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32.13333333333333],PARAMETER["standard_parallel_2",33.96666666666667],PARAMETER["latitude_of_origin",31.66666666666667],PARAMETER["central_meridian",-97.5],PARAMETER["false_easting",2000000],PARAMETER["false_northing",0],UNIT["US survey foot",0.3048006096012192,AUTHORITY["EPSG","9003"]],AXIS["X",EAST],AXIS["Y",NORTH],AUTHORITY["EPSG","32038"]]</t>
  </si>
  <si>
    <t>PROJCS["WGS 84 / UTM zone 20N",GEOGCS["WGS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32620"]]</t>
  </si>
  <si>
    <t>PROJCS["NAD27 / Texas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30.11666666666667],PARAMETER["standard_parallel_2",31.88333333333333],PARAMETER["latitude_of_origin",29.66666666666667],PARAMETER["central_meridian",-100.3333333333333],PARAMETER["false_easting",2000000],PARAMETER["false_northing",0],UNIT["US survey foot",0.3048006096012192,AUTHORITY["EPSG","9003"]],AXIS["X",EAST],AXIS["Y",NORTH],AUTHORITY["EPSG","32039"]]</t>
  </si>
  <si>
    <t>PROJCS["NAD27 / Texas South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28.38333333333333],PARAMETER["standard_parallel_2",30.28333333333333],PARAMETER["latitude_of_origin",27.83333333333333],PARAMETER["central_meridian",-99],PARAMETER["false_easting",2000000],PARAMETER["false_northing",0],UNIT["US survey foot",0.3048006096012192,AUTHORITY["EPSG","9003"]],AXIS["X",EAST],AXIS["Y",NORTH],AUTHORITY["EPSG","32040"]]</t>
  </si>
  <si>
    <t>PROJCS["NAD27 / Texas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26.16666666666667],PARAMETER["standard_parallel_2",27.83333333333333],PARAMETER["latitude_of_origin",25.66666666666667],PARAMETER["central_meridian",-98.5],PARAMETER["false_easting",2000000],PARAMETER["false_northing",0],UNIT["US survey foot",0.3048006096012192,AUTHORITY["EPSG","9003"]],AXIS["X",EAST],AXIS["Y",NORTH],AUTHORITY["EPSG","32041"]]</t>
  </si>
  <si>
    <t>PROJCS["NAD27 / Utah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40.71666666666667],PARAMETER["standard_parallel_2",41.78333333333333],PARAMETER["latitude_of_origin",40.33333333333334],PARAMETER["central_meridian",-111.5],PARAMETER["false_easting",2000000],PARAMETER["false_northing",0],UNIT["US survey foot",0.3048006096012192,AUTHORITY["EPSG","9003"]],AXIS["X",EAST],AXIS["Y",NORTH],AUTHORITY["EPSG","32042"]]</t>
  </si>
  <si>
    <t>PROJCS["NAD27 / Utah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39.01666666666667],PARAMETER["standard_parallel_2",40.65],PARAMETER["latitude_of_origin",38.33333333333334],PARAMETER["central_meridian",-111.5],PARAMETER["false_easting",2000000],PARAMETER["false_northing",0],UNIT["US survey foot",0.3048006096012192,AUTHORITY["EPSG","9003"]],AXIS["X",EAST],AXIS["Y",NORTH],AUTHORITY["EPSG","32043"]]</t>
  </si>
  <si>
    <t>PROJCS["NAD27 / Utah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37.21666666666667],PARAMETER["standard_parallel_2",38.35],PARAMETER["latitude_of_origin",36.66666666666666],PARAMETER["central_meridian",-111.5],PARAMETER["false_easting",2000000],PARAMETER["false_northing",0],UNIT["US survey foot",0.3048006096012192,AUTHORITY["EPSG","9003"]],AXIS["X",EAST],AXIS["Y",NORTH],AUTHORITY["EPSG","32044"]]</t>
  </si>
  <si>
    <t>PROJCS["NAD27 / Vermont",GEOGCS["NAD27",DATUM["North_American_Datum_1927",SPHEROID["Clarke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42.5],PARAMETER["central_meridian",-72.5],PARAMETER["scale_factor",0.999964286],PARAMETER["false_easting",500000],PARAMETER["false_northing",0],UNIT["US survey foot",0.3048006096012192,AUTHORITY["EPSG","9003"]],AXIS["X",EAST],AXIS["Y",NORTH],AUTHORITY["EPSG","32045"]]</t>
  </si>
  <si>
    <t>PROJCS["NAD27 / Virginia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38.03333333333333],PARAMETER["standard_parallel_2",39.2],PARAMETER["latitude_of_origin",37.66666666666666],PARAMETER["central_meridian",-78.5],PARAMETER["false_easting",2000000],PARAMETER["false_northing",0],UNIT["US survey foot",0.3048006096012192,AUTHORITY["EPSG","9003"]],AXIS["X",EAST],AXIS["Y",NORTH],AUTHORITY["EPSG","32046"]]</t>
  </si>
  <si>
    <t>PROJCS["WGS 84 / UTM zone 21N",GEOGCS["WGS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32621"]]</t>
  </si>
  <si>
    <t>PROJCS["NAD27 / Virginia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36.76666666666667],PARAMETER["standard_parallel_2",37.96666666666667],PARAMETER["latitude_of_origin",36.33333333333334],PARAMETER["central_meridian",-78.5],PARAMETER["false_easting",2000000],PARAMETER["false_northing",0],UNIT["US survey foot",0.3048006096012192,AUTHORITY["EPSG","9003"]],AXIS["X",EAST],AXIS["Y",NORTH],AUTHORITY["EPSG","32047"]]</t>
  </si>
  <si>
    <t>PROJCS["NAD27 / Washington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47.5],PARAMETER["standard_parallel_2",48.73333333333333],PARAMETER["latitude_of_origin",47],PARAMETER["central_meridian",-120.8333333333333],PARAMETER["false_easting",2000000],PARAMETER["false_northing",0],UNIT["US survey foot",0.3048006096012192,AUTHORITY["EPSG","9003"]],AXIS["X",EAST],AXIS["Y",NORTH],AUTHORITY["EPSG","32048"]]</t>
  </si>
  <si>
    <t>PROJCS["NAD27 / Washington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45.83333333333334],PARAMETER["standard_parallel_2",47.33333333333334],PARAMETER["latitude_of_origin",45.33333333333334],PARAMETER["central_meridian",-120.5],PARAMETER["false_easting",2000000],PARAMETER["false_northing",0],UNIT["US survey foot",0.3048006096012192,AUTHORITY["EPSG","9003"]],AXIS["X",EAST],AXIS["Y",NORTH],AUTHORITY["EPSG","32049"]]</t>
  </si>
  <si>
    <t>PROJCS["NAD27 / West Virginia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39],PARAMETER["standard_parallel_2",40.25],PARAMETER["latitude_of_origin",38.5],PARAMETER["central_meridian",-79.5],PARAMETER["false_easting",2000000],PARAMETER["false_northing",0],UNIT["US survey foot",0.3048006096012192,AUTHORITY["EPSG","9003"]],AXIS["X",EAST],AXIS["Y",NORTH],AUTHORITY["EPSG","32050"]]</t>
  </si>
  <si>
    <t>PROJCS["NAD27 / West Virginia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37.48333333333333],PARAMETER["standard_parallel_2",38.88333333333333],PARAMETER["latitude_of_origin",37],PARAMETER["central_meridian",-81],PARAMETER["false_easting",2000000],PARAMETER["false_northing",0],UNIT["US survey foot",0.3048006096012192,AUTHORITY["EPSG","9003"]],AXIS["X",EAST],AXIS["Y",NORTH],AUTHORITY["EPSG","32051"]]</t>
  </si>
  <si>
    <t>PROJCS["NAD27 / Wisconsin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45.56666666666667],PARAMETER["standard_parallel_2",46.76666666666667],PARAMETER["latitude_of_origin",45.16666666666666],PARAMETER["central_meridian",-90],PARAMETER["false_easting",2000000],PARAMETER["false_northing",0],UNIT["US survey foot",0.3048006096012192,AUTHORITY["EPSG","9003"]],AXIS["X",EAST],AXIS["Y",NORTH],AUTHORITY["EPSG","32052"]]</t>
  </si>
  <si>
    <t>PROJCS["NAD27 / Wisconsin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44.25],PARAMETER["standard_parallel_2",45.5],PARAMETER["latitude_of_origin",43.83333333333334],PARAMETER["central_meridian",-90],PARAMETER["false_easting",2000000],PARAMETER["false_northing",0],UNIT["US survey foot",0.3048006096012192,AUTHORITY["EPSG","9003"]],AXIS["X",EAST],AXIS["Y",NORTH],AUTHORITY["EPSG","32053"]]</t>
  </si>
  <si>
    <t>PROJCS["NAD27 / Wisconsin South",GEOGCS["NAD27",DATUM["North_American_Datum_1927",SPHEROID["Clarke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42.73333333333333],PARAMETER["standard_parallel_2",44.06666666666667],PARAMETER["latitude_of_origin",42],PARAMETER["central_meridian",-90],PARAMETER["false_easting",2000000],PARAMETER["false_northing",0],UNIT["US survey foot",0.3048006096012192,AUTHORITY["EPSG","9003"]],AXIS["X",EAST],AXIS["Y",NORTH],AUTHORITY["EPSG","32054"]]</t>
  </si>
  <si>
    <t>PROJCS["WGS 84 / UTM zone 22N",GEOGCS["WGS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32622"]]</t>
  </si>
  <si>
    <t>PROJCS["NAD27 / Wyoming East",GEOGCS["NAD27",DATUM["North_American_Datum_1927",SPHEROID["Clarke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40.66666666666666],PARAMETER["central_meridian",-105.1666666666667],PARAMETER["scale_factor",0.999941177],PARAMETER["false_easting",500000],PARAMETER["false_northing",0],UNIT["US survey foot",0.3048006096012192,AUTHORITY["EPSG","9003"]],AXIS["X",EAST],AXIS["Y",NORTH],AUTHORITY["EPSG","32055"]]</t>
  </si>
  <si>
    <t>PROJCS["NAD27 / Wyoming East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40.66666666666666],PARAMETER["central_meridian",-107.3333333333333],PARAMETER["scale_factor",0.999941177],PARAMETER["false_easting",500000],PARAMETER["false_northing",0],UNIT["US survey foot",0.3048006096012192,AUTHORITY["EPSG","9003"]],AXIS["X",EAST],AXIS["Y",NORTH],AUTHORITY["EPSG","32056"]]</t>
  </si>
  <si>
    <t>PROJCS["NAD27 / Wyoming West Central",GEOGCS["NAD27",DATUM["North_American_Datum_1927",SPHEROID["Clarke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40.66666666666666],PARAMETER["central_meridian",-108.75],PARAMETER["scale_factor",0.999941177],PARAMETER["false_easting",500000],PARAMETER["false_northing",0],UNIT["US survey foot",0.3048006096012192,AUTHORITY["EPSG","9003"]],AXIS["X",EAST],AXIS["Y",NORTH],AUTHORITY["EPSG","32057"]]</t>
  </si>
  <si>
    <t>PROJCS["NAD27 / Wyoming West",GEOGCS["NAD27",DATUM["North_American_Datum_1927",SPHEROID["Clarke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40.66666666666666],PARAMETER["central_meridian",-110.0833333333333],PARAMETER["scale_factor",0.999941177],PARAMETER["false_easting",500000],PARAMETER["false_northing",0],UNIT["US survey foot",0.3048006096012192,AUTHORITY["EPSG","9003"]],AXIS["X",EAST],AXIS["Y",NORTH],AUTHORITY["EPSG","32058"]]</t>
  </si>
  <si>
    <t>PROJCS["NAD27 / Guatemala Norte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16.81666666666667],PARAMETER["central_meridian",-90.33333333333333],PARAMETER["scale_factor",0.99992226],PARAMETER["false_easting",500000],PARAMETER["false_northing",292209.579],UNIT["metre",1,AUTHORITY["EPSG","9001"]],AXIS["X",EAST],AXIS["Y",NORTH],AUTHORITY["EPSG","32061"]]</t>
  </si>
  <si>
    <t>PROJCS["NAD27 / Guatemala Sur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1SP"],PARAMETER["latitude_of_origin",14.9],PARAMETER["central_meridian",-90.33333333333333],PARAMETER["scale_factor",0.99989906],PARAMETER["false_easting",500000],PARAMETER["false_northing",325992.681],UNIT["metre",1,AUTHORITY["EPSG","9001"]],AXIS["X",EAST],AXIS["Y",NORTH],AUTHORITY["EPSG","32062"]]</t>
  </si>
  <si>
    <t>PROJCS["NAD27 / BLM 14N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-99],PARAMETER["scale_factor",0.9996],PARAMETER["false_easting",1640416.67],PARAMETER["false_northing",0],UNIT["US survey foot",0.3048006096012192,AUTHORITY["EPSG","9003"]],AXIS["X",EAST],AXIS["Y",NORTH],AUTHORITY["EPSG","32064"]]</t>
  </si>
  <si>
    <t>PROJCS["NAD27 / BLM 15N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-93],PARAMETER["scale_factor",0.9996],PARAMETER["false_easting",1640416.67],PARAMETER["false_northing",0],UNIT["US survey foot",0.3048006096012192,AUTHORITY["EPSG","9003"]],AXIS["X",EAST],AXIS["Y",NORTH],AUTHORITY["EPSG","32065"]]</t>
  </si>
  <si>
    <t>PROJCS["NAD27 / BLM 16N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-87],PARAMETER["scale_factor",0.9996],PARAMETER["false_easting",1640416.67],PARAMETER["false_northing",0],UNIT["US survey foot",0.3048006096012192,AUTHORITY["EPSG","9003"]],AXIS["X",EAST],AXIS["Y",NORTH],AUTHORITY["EPSG","32066"]]</t>
  </si>
  <si>
    <t>GEOCCS["REGCAN95",DATUM["Red_Geodesica_de_Canarias_1995",SPHEROID["GRS 1980",6378137,298.257222101,AUTHORITY["EPSG","7019"]],AUTHORITY["EPSG","1035"]],PRIMEM["Greenwich",0,AUTHORITY["EPSG","8901"]],UNIT["metre",1,AUTHORITY["EPSG","9001"]],AXIS["Geocentric X",OTHER],AXIS["Geocentric Y",OTHER],AXIS["Geocentric Z",NORTH],AUTHORITY["EPSG","4079"]]</t>
  </si>
  <si>
    <t>PROJCS["NAD27 / BLM 17N (ftUS)",GEOGCS["NAD27",DATUM["North_American_Datum_1927",SPHEROID["Clarke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-81],PARAMETER["scale_factor",0.9996],PARAMETER["false_easting",1640416.67],PARAMETER["false_northing",0],UNIT["US survey foot",0.3048006096012192,AUTHORITY["EPSG","9003"]],AXIS["X",EAST],AXIS["Y",NORTH],AUTHORITY["EPSG","32067"]]</t>
  </si>
  <si>
    <t>PROJCS["NAD27 / BLM 14N (feet)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-99],PARAMETER["scale_factor",0.9996],PARAMETER["false_easting",1640416.67],PARAMETER["false_northing",0],UNIT["US survey foot",0.3048006096012192,AUTHORITY["EPSG","9003"]],AXIS["X",EAST],AXIS["Y",NORTH],AUTHORITY["EPSG","32074"]]</t>
  </si>
  <si>
    <t>PROJCS["NAD27 / BLM 15N (feet)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-93],PARAMETER["scale_factor",0.9996],PARAMETER["false_easting",1640416.67],PARAMETER["false_northing",0],UNIT["US survey foot",0.3048006096012192,AUTHORITY["EPSG","9003"]],AXIS["X",EAST],AXIS["Y",NORTH],AUTHORITY["EPSG","32075"]]</t>
  </si>
  <si>
    <t>PROJCS["NAD27 / BLM 16N (feet)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-87],PARAMETER["scale_factor",0.9996],PARAMETER["false_easting",1640416.67],PARAMETER["false_northing",0],UNIT["US survey foot",0.3048006096012192,AUTHORITY["EPSG","9003"]],AXIS["X",EAST],AXIS["Y",NORTH],AUTHORITY["EPSG","32076"]]</t>
  </si>
  <si>
    <t>PROJCS["NAD27 / BLM 17N (feet) (deprecated)",GEOGCS["NAD27",DATUM["North_American_Datum_1927",SPHEROID["Clarke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-81],PARAMETER["scale_factor",0.9996],PARAMETER["false_easting",1640416.67],PARAMETER["false_northing",0],UNIT["US survey foot",0.3048006096012192,AUTHORITY["EPSG","9003"]],AXIS["X",EAST],AXIS["Y",NORTH],AUTHORITY["EPSG","32077"]]</t>
  </si>
  <si>
    <t>PROJCS["NAD27 / MTM zone 1",GEOGCS["NAD27",DATUM["North_American_Datum_1927",SPHEROID["Clarke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-53],PARAMETER["scale_factor",0.9999],PARAMETER["false_easting",304800],PARAMETER["false_northing",0],UNIT["metre",1,AUTHORITY["EPSG","9001"]],AXIS["Easting",EAST],AXIS["Northing",NORTH],AUTHORITY["EPSG","32081"]]</t>
  </si>
  <si>
    <t>PROJCS["NAD27 / MTM zone 2",GEOGCS["NAD27",DATUM["North_American_Datum_1927",SPHEROID["Clarke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-56],PARAMETER["scale_factor",0.9999],PARAMETER["false_easting",304800],PARAMETER["false_northing",0],UNIT["metre",1,AUTHORITY["EPSG","9001"]],AXIS["Easting",EAST],AXIS["Northing",NORTH],AUTHORITY["EPSG","32082"]]</t>
  </si>
  <si>
    <t>PROJCS["NAD27 / MTM zone 3",GEOGCS["NAD27",DATUM["North_American_Datum_1927",SPHEROID["Clarke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-58.5],PARAMETER["scale_factor",0.9999],PARAMETER["false_easting",304800],PARAMETER["false_northing",0],UNIT["metre",1,AUTHORITY["EPSG","9001"]],AXIS["Easting",EAST],AXIS["Northing",NORTH],AUTHORITY["EPSG","32083"]]</t>
  </si>
  <si>
    <t>PROJCS["NAD27 / MTM zone 4",GEOGCS["NAD27",DATUM["North_American_Datum_1927",SPHEROID["Clarke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-61.5],PARAMETER["scale_factor",0.9999],PARAMETER["false_easting",304800],PARAMETER["false_northing",0],UNIT["metre",1,AUTHORITY["EPSG","9001"]],AXIS["Easting",EAST],AXIS["Northing",NORTH],AUTHORITY["EPSG","32084"]]</t>
  </si>
  <si>
    <t>PROJCS["NAD27 / MTM zone 5",GEOGCS["NAD27",DATUM["North_American_Datum_1927",SPHEROID["Clarke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-64.5],PARAMETER["scale_factor",0.9999],PARAMETER["false_easting",304800],PARAMETER["false_northing",0],UNIT["metre",1,AUTHORITY["EPSG","9001"]],AXIS["Easting",EAST],AXIS["Northing",NORTH],AUTHORITY["EPSG","32085"]]</t>
  </si>
  <si>
    <t>PROJCS["NAD27 / MTM zone 6",GEOGCS["NAD27",DATUM["North_American_Datum_1927",SPHEROID["Clarke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Transverse_Mercator"],PARAMETER["latitude_of_origin",0],PARAMETER["central_meridian",-67.5],PARAMETER["scale_factor",0.9999],PARAMETER["false_easting",304800],PARAMETER["false_northing",0],UNIT["metre",1,AUTHORITY["EPSG","9001"]],AXIS["Easting",EAST],AXIS["Northing",NORTH],AUTHORITY["EPSG","32086"]]</t>
  </si>
  <si>
    <t>PROJCS["NAD27 / Quebec Lambert",GEOGCS["NAD27",DATUM["North_American_Datum_1927",SPHEROID["Clarke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60],PARAMETER["standard_parallel_2",46],PARAMETER["latitude_of_origin",44],PARAMETER["central_meridian",-68.5],PARAMETER["false_easting",0],PARAMETER["false_northing",0],UNIT["metre",1,AUTHORITY["EPSG","9001"]],AXIS["X",EAST],AXIS["Y",NORTH],AUTHORITY["EPSG","32098"]]</t>
  </si>
  <si>
    <t>PROJCS["NAD27 / Louisiana Offshore",GEOGCS["NAD27",DATUM["North_American_Datum_1927",SPHEROID["Clarke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27.83333333333333],PARAMETER["standard_parallel_2",26.16666666666667],PARAMETER["latitude_of_origin",25.66666666666667],PARAMETER["central_meridian",-91.33333333333333],PARAMETER["false_easting",2000000],PARAMETER["false_northing",0],UNIT["US survey foot",0.3048006096012192,AUTHORITY["EPSG","9003"]],AXIS["X",EAST],AXIS["Y",NORTH],AUTHORITY["EPSG","32099"]]</t>
  </si>
  <si>
    <t>PROJCS["NAD83 / Montana",GEOGCS["NAD83",DATUM["North_American_Datum_1983",SPHEROID["GRS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49],PARAMETER["standard_parallel_2",45],PARAMETER["latitude_of_origin",44.25],PARAMETER["central_meridian",-109.5],PARAMETER["false_easting",600000],PARAMETER["false_northing",0],UNIT["metre",1,AUTHORITY["EPSG","9001"]],AXIS["X",EAST],AXIS["Y",NORTH],AUTHORITY["EPSG","32100"]]</t>
  </si>
  <si>
    <t>PROJCS["NAD83 / Nebraska",GEOGCS["NAD83",DATUM["North_American_Datum_1983",SPHEROID["GRS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43],PARAMETER["standard_parallel_2",40],PARAMETER["latitude_of_origin",39.83333333333334],PARAMETER["central_meridian",-100],PARAMETER["false_easting",500000],PARAMETER["false_northing",0],UNIT["metre",1,AUTHORITY["EPSG","9001"]],AXIS["X",EAST],AXIS["Y",NORTH],AUTHORITY["EPSG","32104"]]</t>
  </si>
  <si>
    <t>PROJCS["NAD83 / Nevada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-115.5833333333333],PARAMETER["scale_factor",0.9999],PARAMETER["false_easting",200000],PARAMETER["false_northing",8000000],UNIT["metre",1,AUTHORITY["EPSG","9001"]],AXIS["X",EAST],AXIS["Y",NORTH],AUTHORITY["EPSG","32107"]]</t>
  </si>
  <si>
    <t>PROJCS["NAD83 / Nevada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-116.6666666666667],PARAMETER["scale_factor",0.9999],PARAMETER["false_easting",500000],PARAMETER["false_northing",6000000],UNIT["metre",1,AUTHORITY["EPSG","9001"]],AXIS["X",EAST],AXIS["Y",NORTH],AUTHORITY["EPSG","32108"]]</t>
  </si>
  <si>
    <t>PROJCS["NAD83 / Nevada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34.75],PARAMETER["central_meridian",-118.5833333333333],PARAMETER["scale_factor",0.9999],PARAMETER["false_easting",800000],PARAMETER["false_northing",4000000],UNIT["metre",1,AUTHORITY["EPSG","9001"]],AXIS["X",EAST],AXIS["Y",NORTH],AUTHORITY["EPSG","32109"]]</t>
  </si>
  <si>
    <t>PROJCS["NAD83 / New Hampshire",GEOGCS["NAD83",DATUM["North_American_Datum_1983",SPHEROID["GRS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42.5],PARAMETER["central_meridian",-71.66666666666667],PARAMETER["scale_factor",0.999966667],PARAMETER["false_easting",300000],PARAMETER["false_northing",0],UNIT["metre",1,AUTHORITY["EPSG","9001"]],AXIS["X",EAST],AXIS["Y",NORTH],AUTHORITY["EPSG","32110"]]</t>
  </si>
  <si>
    <t>GEOCCS["WGS 84 (geocentric)",DATUM["WGS_1984",SPHEROID["WGS 84",6378137,298.257223563,AUTHORITY["EPSG","7030"]],AUTHORITY["EPSG","6326"]],PRIMEM["Greenwich",0,AUTHORITY["EPSG","8901"]],UNIT["metre",1,AUTHORITY["EPSG","9001"]],AXIS["Geocentric X",OTHER],AXIS["Geocentric Y",OTHER],AXIS["Geocentric Z",NORTH],AUTHORITY["EPSG","4328"]]</t>
  </si>
  <si>
    <t>PROJCS["NAD83 / New Jersey",GEOGCS["NAD83",DATUM["North_American_Datum_1983",SPHEROID["GRS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32111"]]</t>
  </si>
  <si>
    <t>PROJCS["NAD83 / New Mexico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-104.3333333333333],PARAMETER["scale_factor",0.999909091],PARAMETER["false_easting",165000],PARAMETER["false_northing",0],UNIT["metre",1,AUTHORITY["EPSG","9001"]],AXIS["X",EAST],AXIS["Y",NORTH],AUTHORITY["EPSG","32112"]]</t>
  </si>
  <si>
    <t>PROJCS["NAD83 / New Mexico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-106.25],PARAMETER["scale_factor",0.9999],PARAMETER["false_easting",500000],PARAMETER["false_northing",0],UNIT["metre",1,AUTHORITY["EPSG","9001"]],AXIS["X",EAST],AXIS["Y",NORTH],AUTHORITY["EPSG","32113"]]</t>
  </si>
  <si>
    <t>PROJCS["NAD83 / New Mexico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31],PARAMETER["central_meridian",-107.8333333333333],PARAMETER["scale_factor",0.999916667],PARAMETER["false_easting",830000],PARAMETER["false_northing",0],UNIT["metre",1,AUTHORITY["EPSG","9001"]],AXIS["X",EAST],AXIS["Y",NORTH],AUTHORITY["EPSG","32114"]]</t>
  </si>
  <si>
    <t>PROJCS["NAD83 / New York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38.83333333333334],PARAMETER["central_meridian",-74.5],PARAMETER["scale_factor",0.9999],PARAMETER["false_easting",150000],PARAMETER["false_northing",0],UNIT["metre",1,AUTHORITY["EPSG","9001"]],AXIS["X",EAST],AXIS["Y",NORTH],AUTHORITY["EPSG","32115"]]</t>
  </si>
  <si>
    <t>PROJCS["NAD83 / New York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40],PARAMETER["central_meridian",-76.58333333333333],PARAMETER["scale_factor",0.9999375],PARAMETER["false_easting",250000],PARAMETER["false_northing",0],UNIT["metre",1,AUTHORITY["EPSG","9001"]],AXIS["X",EAST],AXIS["Y",NORTH],AUTHORITY["EPSG","32116"]]</t>
  </si>
  <si>
    <t>PROJCS["NAD83 / New York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40],PARAMETER["central_meridian",-78.58333333333333],PARAMETER["scale_factor",0.9999375],PARAMETER["false_easting",350000],PARAMETER["false_northing",0],UNIT["metre",1,AUTHORITY["EPSG","9001"]],AXIS["X",EAST],AXIS["Y",NORTH],AUTHORITY["EPSG","32117"]]</t>
  </si>
  <si>
    <t>PROJCS["NAD83 / New York Long Island",GEOGCS["NAD83",DATUM["North_American_Datum_1983",SPHEROID["GRS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41.03333333333333],PARAMETER["standard_parallel_2",40.66666666666666],PARAMETER["latitude_of_origin",40.16666666666666],PARAMETER["central_meridian",-74],PARAMETER["false_easting",300000],PARAMETER["false_northing",0],UNIT["metre",1,AUTHORITY["EPSG","9001"]],AXIS["X",EAST],AXIS["Y",NORTH],AUTHORITY["EPSG","32118"]]</t>
  </si>
  <si>
    <t>PROJCS["NAD83 / North Carolina",GEOGCS["NAD83",DATUM["North_American_Datum_1983",SPHEROID["GRS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36.16666666666666],PARAMETER["standard_parallel_2",34.33333333333334],PARAMETER["latitude_of_origin",33.75],PARAMETER["central_meridian",-79],PARAMETER["false_easting",609601.22],PARAMETER["false_northing",0],UNIT["metre",1,AUTHORITY["EPSG","9001"]],AXIS["X",EAST],AXIS["Y",NORTH],AUTHORITY["EPSG","32119"]]</t>
  </si>
  <si>
    <t>GEOCCS["ITRF88 (geocentric)",DATUM["International_Terrestrial_Reference_Frame_1988",SPHEROID["GRS 1980",6378137,298.257222101,AUTHORITY["EPSG","7019"]],AUTHORITY["EPSG","6647"]],PRIMEM["Greenwich",0,AUTHORITY["EPSG","8901"]],UNIT["metre",1,AUTHORITY["EPSG","9001"]],AXIS["Geocentric X",OTHER],AXIS["Geocentric Y",OTHER],AXIS["Geocentric Z",NORTH],AUTHORITY["EPSG","4330"]]</t>
  </si>
  <si>
    <t>PROJCS["NAD83 / North Dakota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48.73333333333333],PARAMETER["standard_parallel_2",47.43333333333333],PARAMETER["latitude_of_origin",47],PARAMETER["central_meridian",-100.5],PARAMETER["false_easting",600000],PARAMETER["false_northing",0],UNIT["metre",1,AUTHORITY["EPSG","9001"]],AXIS["X",EAST],AXIS["Y",NORTH],AUTHORITY["EPSG","32120"]]</t>
  </si>
  <si>
    <t>PROJCS["NAD83 / North Dakota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47.48333333333333],PARAMETER["standard_parallel_2",46.18333333333333],PARAMETER["latitude_of_origin",45.66666666666666],PARAMETER["central_meridian",-100.5],PARAMETER["false_easting",600000],PARAMETER["false_northing",0],UNIT["metre",1,AUTHORITY["EPSG","9001"]],AXIS["X",EAST],AXIS["Y",NORTH],AUTHORITY["EPSG","32121"]]</t>
  </si>
  <si>
    <t>PROJCS["NAD83 / Ohio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41.7],PARAMETER["standard_parallel_2",40.43333333333333],PARAMETER["latitude_of_origin",39.66666666666666],PARAMETER["central_meridian",-82.5],PARAMETER["false_easting",600000],PARAMETER["false_northing",0],UNIT["metre",1,AUTHORITY["EPSG","9001"]],AXIS["X",EAST],AXIS["Y",NORTH],AUTHORITY["EPSG","32122"]]</t>
  </si>
  <si>
    <t>PROJCS["NAD83 / Ohio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40.03333333333333],PARAMETER["standard_parallel_2",38.73333333333333],PARAMETER["latitude_of_origin",38],PARAMETER["central_meridian",-82.5],PARAMETER["false_easting",600000],PARAMETER["false_northing",0],UNIT["metre",1,AUTHORITY["EPSG","9001"]],AXIS["X",EAST],AXIS["Y",NORTH],AUTHORITY["EPSG","32123"]]</t>
  </si>
  <si>
    <t>PROJCS["NAD83 / Oklahoma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36.76666666666667],PARAMETER["standard_parallel_2",35.56666666666667],PARAMETER["latitude_of_origin",35],PARAMETER["central_meridian",-98],PARAMETER["false_easting",600000],PARAMETER["false_northing",0],UNIT["metre",1,AUTHORITY["EPSG","9001"]],AXIS["X",EAST],AXIS["Y",NORTH],AUTHORITY["EPSG","32124"]]</t>
  </si>
  <si>
    <t>PROJCS["NAD83 / Oklahoma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35.23333333333333],PARAMETER["standard_parallel_2",33.93333333333333],PARAMETER["latitude_of_origin",33.33333333333334],PARAMETER["central_meridian",-98],PARAMETER["false_easting",600000],PARAMETER["false_northing",0],UNIT["metre",1,AUTHORITY["EPSG","9001"]],AXIS["X",EAST],AXIS["Y",NORTH],AUTHORITY["EPSG","32125"]]</t>
  </si>
  <si>
    <t>PROJCS["NAD83 / Oregon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46],PARAMETER["standard_parallel_2",44.33333333333334],PARAMETER["latitude_of_origin",43.66666666666666],PARAMETER["central_meridian",-120.5],PARAMETER["false_easting",2500000],PARAMETER["false_northing",0],UNIT["metre",1,AUTHORITY["EPSG","9001"]],AXIS["X",EAST],AXIS["Y",NORTH],AUTHORITY["EPSG","32126"]]</t>
  </si>
  <si>
    <t>PROJCS["NAD83 / Oregon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44],PARAMETER["standard_parallel_2",42.33333333333334],PARAMETER["latitude_of_origin",41.66666666666666],PARAMETER["central_meridian",-120.5],PARAMETER["false_easting",1500000],PARAMETER["false_northing",0],UNIT["metre",1,AUTHORITY["EPSG","9001"]],AXIS["X",EAST],AXIS["Y",NORTH],AUTHORITY["EPSG","32127"]]</t>
  </si>
  <si>
    <t>PROJCS["NAD83 / Pennsylvania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41.95],PARAMETER["standard_parallel_2",40.88333333333333],PARAMETER["latitude_of_origin",40.16666666666666],PARAMETER["central_meridian",-77.75],PARAMETER["false_easting",600000],PARAMETER["false_northing",0],UNIT["metre",1,AUTHORITY["EPSG","9001"]],AXIS["X",EAST],AXIS["Y",NORTH],AUTHORITY["EPSG","32128"]]</t>
  </si>
  <si>
    <t>PROJCS["NAD83 / Pennsylvania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40.96666666666667],PARAMETER["standard_parallel_2",39.93333333333333],PARAMETER["latitude_of_origin",39.33333333333334],PARAMETER["central_meridian",-77.75],PARAMETER["false_easting",600000],PARAMETER["false_northing",0],UNIT["metre",1,AUTHORITY["EPSG","9001"]],AXIS["X",EAST],AXIS["Y",NORTH],AUTHORITY["EPSG","32129"]]</t>
  </si>
  <si>
    <t>PROJCS["NAD83 / Rhode Island",GEOGCS["NAD83",DATUM["North_American_Datum_1983",SPHEROID["GRS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41.08333333333334],PARAMETER["central_meridian",-71.5],PARAMETER["scale_factor",0.99999375],PARAMETER["false_easting",100000],PARAMETER["false_northing",0],UNIT["metre",1,AUTHORITY["EPSG","9001"]],AXIS["X",EAST],AXIS["Y",NORTH],AUTHORITY["EPSG","32130"]]</t>
  </si>
  <si>
    <t>PROJCS["NAD83 / South Carolina",GEOGCS["NAD83",DATUM["North_American_Datum_1983",SPHEROID["GRS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34.83333333333334],PARAMETER["standard_parallel_2",32.5],PARAMETER["latitude_of_origin",31.83333333333333],PARAMETER["central_meridian",-81],PARAMETER["false_easting",609600],PARAMETER["false_northing",0],UNIT["metre",1,AUTHORITY["EPSG","9001"]],AXIS["X",EAST],AXIS["Y",NORTH],AUTHORITY["EPSG","32133"]]</t>
  </si>
  <si>
    <t>PROJCS["NAD83 / South Dakota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45.68333333333333],PARAMETER["standard_parallel_2",44.41666666666666],PARAMETER["latitude_of_origin",43.83333333333334],PARAMETER["central_meridian",-100],PARAMETER["false_easting",600000],PARAMETER["false_northing",0],UNIT["metre",1,AUTHORITY["EPSG","9001"]],AXIS["X",EAST],AXIS["Y",NORTH],AUTHORITY["EPSG","32134"]]</t>
  </si>
  <si>
    <t>PROJCS["NAD83 / South Dakota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44.4],PARAMETER["standard_parallel_2",42.83333333333334],PARAMETER["latitude_of_origin",42.33333333333334],PARAMETER["central_meridian",-100.3333333333333],PARAMETER["false_easting",600000],PARAMETER["false_northing",0],UNIT["metre",1,AUTHORITY["EPSG","9001"]],AXIS["X",EAST],AXIS["Y",NORTH],AUTHORITY["EPSG","32135"]]</t>
  </si>
  <si>
    <t>PROJCS["NAD83 / Tennessee",GEOGCS["NAD83",DATUM["North_American_Datum_1983",SPHEROID["GRS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36.41666666666666],PARAMETER["standard_parallel_2",35.25],PARAMETER["latitude_of_origin",34.33333333333334],PARAMETER["central_meridian",-86],PARAMETER["false_easting",600000],PARAMETER["false_northing",0],UNIT["metre",1,AUTHORITY["EPSG","9001"]],AXIS["X",EAST],AXIS["Y",NORTH],AUTHORITY["EPSG","32136"]]</t>
  </si>
  <si>
    <t>PROJCS["NAD83 / Texas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36.18333333333333],PARAMETER["standard_parallel_2",34.65],PARAMETER["latitude_of_origin",34],PARAMETER["central_meridian",-101.5],PARAMETER["false_easting",200000],PARAMETER["false_northing",1000000],UNIT["metre",1,AUTHORITY["EPSG","9001"]],AXIS["X",EAST],AXIS["Y",NORTH],AUTHORITY["EPSG","32137"]]</t>
  </si>
  <si>
    <t>PROJCS["NAD83 / Texas North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33.96666666666667],PARAMETER["standard_parallel_2",32.13333333333333],PARAMETER["latitude_of_origin",31.66666666666667],PARAMETER["central_meridian",-98.5],PARAMETER["false_easting",600000],PARAMETER["false_northing",2000000],UNIT["metre",1,AUTHORITY["EPSG","9001"]],AXIS["X",EAST],AXIS["Y",NORTH],AUTHORITY["EPSG","32138"]]</t>
  </si>
  <si>
    <t>PROJCS["NAD83 / Wyoming East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-107.3333333333333],PARAMETER["scale_factor",0.9999375],PARAMETER["false_easting",400000],PARAMETER["false_northing",100000],UNIT["metre",1,AUTHORITY["EPSG","9001"]],AXIS["X",EAST],AXIS["Y",NORTH],AUTHORITY["EPSG","32156"]]</t>
  </si>
  <si>
    <t>PROJCS["NAD83 / Texas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31.88333333333333],PARAMETER["standard_parallel_2",30.11666666666667],PARAMETER["latitude_of_origin",29.66666666666667],PARAMETER["central_meridian",-100.3333333333333],PARAMETER["false_easting",700000],PARAMETER["false_northing",3000000],UNIT["metre",1,AUTHORITY["EPSG","9001"]],AXIS["X",EAST],AXIS["Y",NORTH],AUTHORITY["EPSG","32139"]]</t>
  </si>
  <si>
    <t>PROJCS["NAD83 / Texas South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30.28333333333333],PARAMETER["standard_parallel_2",28.38333333333333],PARAMETER["latitude_of_origin",27.83333333333333],PARAMETER["central_meridian",-99],PARAMETER["false_easting",600000],PARAMETER["false_northing",4000000],UNIT["metre",1,AUTHORITY["EPSG","9001"]],AXIS["X",EAST],AXIS["Y",NORTH],AUTHORITY["EPSG","32140"]]</t>
  </si>
  <si>
    <t>PROJCS["NAD83 / Texas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27.83333333333333],PARAMETER["standard_parallel_2",26.16666666666667],PARAMETER["latitude_of_origin",25.66666666666667],PARAMETER["central_meridian",-98.5],PARAMETER["false_easting",300000],PARAMETER["false_northing",5000000],UNIT["metre",1,AUTHORITY["EPSG","9001"]],AXIS["X",EAST],AXIS["Y",NORTH],AUTHORITY["EPSG","32141"]]</t>
  </si>
  <si>
    <t>PROJCS["NAD83 / Utah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41.78333333333333],PARAMETER["standard_parallel_2",40.71666666666667],PARAMETER["latitude_of_origin",40.33333333333334],PARAMETER["central_meridian",-111.5],PARAMETER["false_easting",500000],PARAMETER["false_northing",1000000],UNIT["metre",1,AUTHORITY["EPSG","9001"]],AXIS["X",EAST],AXIS["Y",NORTH],AUTHORITY["EPSG","32142"]]</t>
  </si>
  <si>
    <t>PROJCS["NAD83 / Utah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40.65],PARAMETER["standard_parallel_2",39.01666666666667],PARAMETER["latitude_of_origin",38.33333333333334],PARAMETER["central_meridian",-111.5],PARAMETER["false_easting",500000],PARAMETER["false_northing",2000000],UNIT["metre",1,AUTHORITY["EPSG","9001"]],AXIS["X",EAST],AXIS["Y",NORTH],AUTHORITY["EPSG","32143"]]</t>
  </si>
  <si>
    <t>PROJCS["NAD83 / Utah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38.35],PARAMETER["standard_parallel_2",37.21666666666667],PARAMETER["latitude_of_origin",36.66666666666666],PARAMETER["central_meridian",-111.5],PARAMETER["false_easting",500000],PARAMETER["false_northing",3000000],UNIT["metre",1,AUTHORITY["EPSG","9001"]],AXIS["X",EAST],AXIS["Y",NORTH],AUTHORITY["EPSG","32144"]]</t>
  </si>
  <si>
    <t>PROJCS["NAD83 / Vermont",GEOGCS["NAD83",DATUM["North_American_Datum_1983",SPHEROID["GRS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42.5],PARAMETER["central_meridian",-72.5],PARAMETER["scale_factor",0.999964286],PARAMETER["false_easting",500000],PARAMETER["false_northing",0],UNIT["metre",1,AUTHORITY["EPSG","9001"]],AXIS["X",EAST],AXIS["Y",NORTH],AUTHORITY["EPSG","32145"]]</t>
  </si>
  <si>
    <t>PROJCS["NAD83 / Virginia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39.2],PARAMETER["standard_parallel_2",38.03333333333333],PARAMETER["latitude_of_origin",37.66666666666666],PARAMETER["central_meridian",-78.5],PARAMETER["false_easting",3500000],PARAMETER["false_northing",2000000],UNIT["metre",1,AUTHORITY["EPSG","9001"]],AXIS["X",EAST],AXIS["Y",NORTH],AUTHORITY["EPSG","32146"]]</t>
  </si>
  <si>
    <t>PROJCS["NAD83 / Wyoming West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-108.75],PARAMETER["scale_factor",0.9999375],PARAMETER["false_easting",600000],PARAMETER["false_northing",0],UNIT["metre",1,AUTHORITY["EPSG","9001"]],AXIS["X",EAST],AXIS["Y",NORTH],AUTHORITY["EPSG","32157"]]</t>
  </si>
  <si>
    <t>PROJCS["NAD83 / Virginia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37.96666666666667],PARAMETER["standard_parallel_2",36.76666666666667],PARAMETER["latitude_of_origin",36.33333333333334],PARAMETER["central_meridian",-78.5],PARAMETER["false_easting",3500000],PARAMETER["false_northing",1000000],UNIT["metre",1,AUTHORITY["EPSG","9001"]],AXIS["X",EAST],AXIS["Y",NORTH],AUTHORITY["EPSG","32147"]]</t>
  </si>
  <si>
    <t>PROJCS["NAD83 / Washington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48.73333333333333],PARAMETER["standard_parallel_2",47.5],PARAMETER["latitude_of_origin",47],PARAMETER["central_meridian",-120.8333333333333],PARAMETER["false_easting",500000],PARAMETER["false_northing",0],UNIT["metre",1,AUTHORITY["EPSG","9001"]],AXIS["X",EAST],AXIS["Y",NORTH],AUTHORITY["EPSG","32148"]]</t>
  </si>
  <si>
    <t>PROJCS["NAD83 / Washington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47.33333333333334],PARAMETER["standard_parallel_2",45.83333333333334],PARAMETER["latitude_of_origin",45.33333333333334],PARAMETER["central_meridian",-120.5],PARAMETER["false_easting",500000],PARAMETER["false_northing",0],UNIT["metre",1,AUTHORITY["EPSG","9001"]],AXIS["X",EAST],AXIS["Y",NORTH],AUTHORITY["EPSG","32149"]]</t>
  </si>
  <si>
    <t>PROJCS["NAD83 / West Virginia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40.25],PARAMETER["standard_parallel_2",39],PARAMETER["latitude_of_origin",38.5],PARAMETER["central_meridian",-79.5],PARAMETER["false_easting",600000],PARAMETER["false_northing",0],UNIT["metre",1,AUTHORITY["EPSG","9001"]],AXIS["X",EAST],AXIS["Y",NORTH],AUTHORITY["EPSG","32150"]]</t>
  </si>
  <si>
    <t>PROJCS["NAD83 / West Virginia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38.88333333333333],PARAMETER["standard_parallel_2",37.48333333333333],PARAMETER["latitude_of_origin",37],PARAMETER["central_meridian",-81],PARAMETER["false_easting",600000],PARAMETER["false_northing",0],UNIT["metre",1,AUTHORITY["EPSG","9001"]],AXIS["X",EAST],AXIS["Y",NORTH],AUTHORITY["EPSG","32151"]]</t>
  </si>
  <si>
    <t>PROJCS["NAD83 / Wisconsin North",GEOGCS["NAD83",DATUM["North_American_Datum_1983",SPHEROID["GRS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46.76666666666667],PARAMETER["standard_parallel_2",45.56666666666667],PARAMETER["latitude_of_origin",45.16666666666666],PARAMETER["central_meridian",-90],PARAMETER["false_easting",600000],PARAMETER["false_northing",0],UNIT["metre",1,AUTHORITY["EPSG","9001"]],AXIS["X",EAST],AXIS["Y",NORTH],AUTHORITY["EPSG","32152"]]</t>
  </si>
  <si>
    <t>PROJCS["NAD83 / Wisconsin Central",GEOGCS["NAD83",DATUM["North_American_Datum_1983",SPHEROID["GRS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45.5],PARAMETER["standard_parallel_2",44.25],PARAMETER["latitude_of_origin",43.83333333333334],PARAMETER["central_meridian",-90],PARAMETER["false_easting",600000],PARAMETER["false_northing",0],UNIT["metre",1,AUTHORITY["EPSG","9001"]],AXIS["X",EAST],AXIS["Y",NORTH],AUTHORITY["EPSG","32153"]]</t>
  </si>
  <si>
    <t>PROJCS["NAD83 / Wisconsin South",GEOGCS["NAD83",DATUM["North_American_Datum_1983",SPHEROID["GRS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44.06666666666667],PARAMETER["standard_parallel_2",42.73333333333333],PARAMETER["latitude_of_origin",42],PARAMETER["central_meridian",-90],PARAMETER["false_easting",600000],PARAMETER["false_northing",0],UNIT["metre",1,AUTHORITY["EPSG","9001"]],AXIS["X",EAST],AXIS["Y",NORTH],AUTHORITY["EPSG","32154"]]</t>
  </si>
  <si>
    <t>PROJCS["NAD83 / Wyoming East",GEOGCS["NAD83",DATUM["North_American_Datum_1983",SPHEROID["GRS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-105.1666666666667],PARAMETER["scale_factor",0.9999375],PARAMETER["false_easting",200000],PARAMETER["false_northing",0],UNIT["metre",1,AUTHORITY["EPSG","9001"]],AXIS["X",EAST],AXIS["Y",NORTH],AUTHORITY["EPSG","32155"]]</t>
  </si>
  <si>
    <t>PROJCS["NAD83 / Wyoming West",GEOGCS["NAD83",DATUM["North_American_Datum_1983",SPHEROID["GRS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40.5],PARAMETER["central_meridian",-110.0833333333333],PARAMETER["scale_factor",0.9999375],PARAMETER["false_easting",800000],PARAMETER["false_northing",100000],UNIT["metre",1,AUTHORITY["EPSG","9001"]],AXIS["X",EAST],AXIS["Y",NORTH],AUTHORITY["EPSG","32158"]]</t>
  </si>
  <si>
    <t>PROJCS["NAD83 / Puerto Rico &amp; Virgin Is.",GEOGCS["NAD83",DATUM["North_American_Datum_1983",SPHEROID["GRS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18.43333333333333],PARAMETER["standard_parallel_2",18.03333333333333],PARAMETER["latitude_of_origin",17.83333333333333],PARAMETER["central_meridian",-66.43333333333334],PARAMETER["false_easting",200000],PARAMETER["false_northing",200000],UNIT["metre",1,AUTHORITY["EPSG","9001"]],AXIS["X",EAST],AXIS["Y",NORTH],AUTHORITY["EPSG","32161"]]</t>
  </si>
  <si>
    <t>PROJCS["NAD83 / BLM 14N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-99],PARAMETER["scale_factor",0.9996],PARAMETER["false_easting",1640416.67],PARAMETER["false_northing",0],UNIT["US survey foot",0.3048006096012192,AUTHORITY["EPSG","9003"]],AXIS["X",EAST],AXIS["Y",NORTH],AUTHORITY["EPSG","32164"]]</t>
  </si>
  <si>
    <t>PROJCS["NAD83 / BLM 15N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-93],PARAMETER["scale_factor",0.9996],PARAMETER["false_easting",1640416.67],PARAMETER["false_northing",0],UNIT["US survey foot",0.3048006096012192,AUTHORITY["EPSG","9003"]],AXIS["X",EAST],AXIS["Y",NORTH],AUTHORITY["EPSG","32165"]]</t>
  </si>
  <si>
    <t>PROJCS["NAD83 / BLM 16N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-87],PARAMETER["scale_factor",0.9996],PARAMETER["false_easting",1640416.67],PARAMETER["false_northing",0],UNIT["US survey foot",0.3048006096012192,AUTHORITY["EPSG","9003"]],AXIS["X",EAST],AXIS["Y",NORTH],AUTHORITY["EPSG","32166"]]</t>
  </si>
  <si>
    <t>PROJCS["NAD83 / BLM 17N (ftUS)",GEOGCS["NAD83",DATUM["North_American_Datum_1983",SPHEROID["GRS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-81],PARAMETER["scale_factor",0.9996],PARAMETER["false_easting",1640416.67],PARAMETER["false_northing",0],UNIT["US survey foot",0.3048006096012192,AUTHORITY["EPSG","9003"]],AXIS["X",EAST],AXIS["Y",NORTH],AUTHORITY["EPSG","32167"]]</t>
  </si>
  <si>
    <t>PROJCS["NAD83 / SCoPQ zone 2 (deprecated)",GEOGCS["NAD83",DATUM["North_American_Datum_1983",SPHEROID["GRS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-55.5],PARAMETER["scale_factor",0.9999],PARAMETER["false_easting",304800],PARAMETER["false_northing",0],UNIT["metre",1,AUTHORITY["EPSG","9001"]],AXIS["X",EAST],AXIS["Y",NORTH],AUTHORITY["EPSG","32180"]]</t>
  </si>
  <si>
    <t>PROJCS["NAD83 / MTM zone 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-53],PARAMETER["scale_factor",0.9999],PARAMETER["false_easting",304800],PARAMETER["false_northing",0],UNIT["metre",1,AUTHORITY["EPSG","9001"]],AXIS["E(X)",EAST],AXIS["N(Y)",NORTH],AUTHORITY["EPSG","32181"]]</t>
  </si>
  <si>
    <t>PROJCS["NAD83 / MTM zone 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-56],PARAMETER["scale_factor",0.9999],PARAMETER["false_easting",304800],PARAMETER["false_northing",0],UNIT["metre",1,AUTHORITY["EPSG","9001"]],AXIS["E(X)",EAST],AXIS["N(Y)",NORTH],AUTHORITY["EPSG","32182"]]</t>
  </si>
  <si>
    <t>PROJCS["NAD83 / MTM zone 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-58.5],PARAMETER["scale_factor",0.9999],PARAMETER["false_easting",304800],PARAMETER["false_northing",0],UNIT["metre",1,AUTHORITY["EPSG","9001"]],AXIS["E(X)",EAST],AXIS["N(Y)",NORTH],AUTHORITY["EPSG","32183"]]</t>
  </si>
  <si>
    <t>PROJCS["NAD83 / MTM zone 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-61.5],PARAMETER["scale_factor",0.9999],PARAMETER["false_easting",304800],PARAMETER["false_northing",0],UNIT["metre",1,AUTHORITY["EPSG","9001"]],AXIS["E(X)",EAST],AXIS["N(Y)",NORTH],AUTHORITY["EPSG","32184"]]</t>
  </si>
  <si>
    <t>PROJCS["NAD83 / MTM zone 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-64.5],PARAMETER["scale_factor",0.9999],PARAMETER["false_easting",304800],PARAMETER["false_northing",0],UNIT["metre",1,AUTHORITY["EPSG","9001"]],AXIS["E(X)",EAST],AXIS["N(Y)",NORTH],AUTHORITY["EPSG","32185"]]</t>
  </si>
  <si>
    <t>PROJCS["NAD83 / MTM zone 6",GEOGCS["NAD83",DATUM["North_American_Datum_1983",SPHEROID["GRS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-67.5],PARAMETER["scale_factor",0.9999],PARAMETER["false_easting",304800],PARAMETER["false_northing",0],UNIT["metre",1,AUTHORITY["EPSG","9001"]],AXIS["E(X)",EAST],AXIS["N(Y)",NORTH],AUTHORITY["EPSG","32186"]]</t>
  </si>
  <si>
    <t>PROJCS["NAD83 / MTM zone 7",GEOGCS["NAD83",DATUM["North_American_Datum_1983",SPHEROID["GRS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-70.5],PARAMETER["scale_factor",0.9999],PARAMETER["false_easting",304800],PARAMETER["false_northing",0],UNIT["metre",1,AUTHORITY["EPSG","9001"]],AXIS["E(X)",EAST],AXIS["N(Y)",NORTH],AUTHORITY["EPSG","32187"]]</t>
  </si>
  <si>
    <t>PROJCS["NAD83 / MTM zone 8",GEOGCS["NAD83",DATUM["North_American_Datum_1983",SPHEROID["GRS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-73.5],PARAMETER["scale_factor",0.9999],PARAMETER["false_easting",304800],PARAMETER["false_northing",0],UNIT["metre",1,AUTHORITY["EPSG","9001"]],AXIS["E(X)",EAST],AXIS["N(Y)",NORTH],AUTHORITY["EPSG","32188"]]</t>
  </si>
  <si>
    <t>PROJCS["NAD83 / MTM zone 9",GEOGCS["NAD83",DATUM["North_American_Datum_1983",SPHEROID["GRS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-76.5],PARAMETER["scale_factor",0.9999],PARAMETER["false_easting",304800],PARAMETER["false_northing",0],UNIT["metre",1,AUTHORITY["EPSG","9001"]],AXIS["E(X)",EAST],AXIS["N(Y)",NORTH],AUTHORITY["EPSG","32189"]]</t>
  </si>
  <si>
    <t>PROJCS["NAD83 / MTM zone 10",GEOGCS["NAD83",DATUM["North_American_Datum_1983",SPHEROID["GRS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-79.5],PARAMETER["scale_factor",0.9999],PARAMETER["false_easting",304800],PARAMETER["false_northing",0],UNIT["metre",1,AUTHORITY["EPSG","9001"]],AXIS["E(X)",EAST],AXIS["N(Y)",NORTH],AUTHORITY["EPSG","32190"]]</t>
  </si>
  <si>
    <t>PROJCS["NAD83 / MTM zone 11",GEOGCS["NAD83",DATUM["North_American_Datum_1983",SPHEROID["GRS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-82.5],PARAMETER["scale_factor",0.9999],PARAMETER["false_easting",304800],PARAMETER["false_northing",0],UNIT["metre",1,AUTHORITY["EPSG","9001"]],AXIS["Easting",EAST],AXIS["Northing",NORTH],AUTHORITY["EPSG","32191"]]</t>
  </si>
  <si>
    <t>PROJCS["NAD83 / MTM zone 12",GEOGCS["NAD83",DATUM["North_American_Datum_1983",SPHEROID["GRS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-81],PARAMETER["scale_factor",0.9999],PARAMETER["false_easting",304800],PARAMETER["false_northing",0],UNIT["metre",1,AUTHORITY["EPSG","9001"]],AXIS["Easting",EAST],AXIS["Northing",NORTH],AUTHORITY["EPSG","32192"]]</t>
  </si>
  <si>
    <t>PROJCS["NAD83 / MTM zone 13",GEOGCS["NAD83",DATUM["North_American_Datum_1983",SPHEROID["GRS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-84],PARAMETER["scale_factor",0.9999],PARAMETER["false_easting",304800],PARAMETER["false_northing",0],UNIT["metre",1,AUTHORITY["EPSG","9001"]],AXIS["Easting",EAST],AXIS["Northing",NORTH],AUTHORITY["EPSG","32193"]]</t>
  </si>
  <si>
    <t>PROJCS["NAD83 / MTM zone 14",GEOGCS["NAD83",DATUM["North_American_Datum_1983",SPHEROID["GRS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-87],PARAMETER["scale_factor",0.9999],PARAMETER["false_easting",304800],PARAMETER["false_northing",0],UNIT["metre",1,AUTHORITY["EPSG","9001"]],AXIS["Easting",EAST],AXIS["Northing",NORTH],AUTHORITY["EPSG","32194"]]</t>
  </si>
  <si>
    <t>PROJCS["NAD83 / MTM zone 15",GEOGCS["NAD83",DATUM["North_American_Datum_1983",SPHEROID["GRS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-90],PARAMETER["scale_factor",0.9999],PARAMETER["false_easting",304800],PARAMETER["false_northing",0],UNIT["metre",1,AUTHORITY["EPSG","9001"]],AXIS["Easting",EAST],AXIS["Northing",NORTH],AUTHORITY["EPSG","32195"]]</t>
  </si>
  <si>
    <t>PROJCS["NAD83 / MTM zone 16",GEOGCS["NAD83",DATUM["North_American_Datum_1983",SPHEROID["GRS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-93],PARAMETER["scale_factor",0.9999],PARAMETER["false_easting",304800],PARAMETER["false_northing",0],UNIT["metre",1,AUTHORITY["EPSG","9001"]],AXIS["Easting",EAST],AXIS["Northing",NORTH],AUTHORITY["EPSG","32196"]]</t>
  </si>
  <si>
    <t>PROJCS["NAD83 / MTM zone 17",GEOGCS["NAD83",DATUM["North_American_Datum_1983",SPHEROID["GRS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Transverse_Mercator"],PARAMETER["latitude_of_origin",0],PARAMETER["central_meridian",-96],PARAMETER["scale_factor",0.9999],PARAMETER["false_easting",304800],PARAMETER["false_northing",0],UNIT["metre",1,AUTHORITY["EPSG","9001"]],AXIS["Easting",EAST],AXIS["Northing",NORTH],AUTHORITY["EPSG","32197"]]</t>
  </si>
  <si>
    <t>PROJCS["NAD83 / Quebec Lambert",GEOGCS["NAD83",DATUM["North_American_Datum_1983",SPHEROID["GRS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60],PARAMETER["standard_parallel_2",46],PARAMETER["latitude_of_origin",44],PARAMETER["central_meridian",-68.5],PARAMETER["false_easting",0],PARAMETER["false_northing",0],UNIT["metre",1,AUTHORITY["EPSG","9001"]],AXIS["X",EAST],AXIS["Y",NORTH],AUTHORITY["EPSG","32198"]]</t>
  </si>
  <si>
    <t>PROJCS["NAD83 / Louisiana Offshore",GEOGCS["NAD83",DATUM["North_American_Datum_1983",SPHEROID["GRS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PROJECTION["Lambert_Conformal_Conic_2SP"],PARAMETER["standard_parallel_1",27.83333333333333],PARAMETER["standard_parallel_2",26.16666666666667],PARAMETER["latitude_of_origin",25.5],PARAMETER["central_meridian",-91.33333333333333],PARAMETER["false_easting",1000000],PARAMETER["false_northing",0],UNIT["metre",1,AUTHORITY["EPSG","9001"]],AXIS["X",EAST],AXIS["Y",NORTH],AUTHORITY["EPSG","32199"]]</t>
  </si>
  <si>
    <t>PROJCS["WGS 72 / UTM zone 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32201"]]</t>
  </si>
  <si>
    <t xml:space="preserve">+proj=utm +zone=1 +ellps=WGS72 +towgs84=0,0,4.5,0,0,0.554,0.2263 +units=m +no_defs </t>
  </si>
  <si>
    <t>PROJCS["WGS 72 / UTM zone 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32202"]]</t>
  </si>
  <si>
    <t xml:space="preserve">+proj=utm +zone=2 +ellps=WGS72 +towgs84=0,0,4.5,0,0,0.554,0.2263 +units=m +no_defs </t>
  </si>
  <si>
    <t>PROJCS["WGS 72 / UTM zone 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32203"]]</t>
  </si>
  <si>
    <t xml:space="preserve">+proj=utm +zone=3 +ellps=WGS72 +towgs84=0,0,4.5,0,0,0.554,0.2263 +units=m +no_defs </t>
  </si>
  <si>
    <t>PROJCS["WGS 72 / UTM zone 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32204"]]</t>
  </si>
  <si>
    <t xml:space="preserve">+proj=utm +zone=4 +ellps=WGS72 +towgs84=0,0,4.5,0,0,0.554,0.2263 +units=m +no_defs </t>
  </si>
  <si>
    <t>PROJCS["WGS 72 / UTM zone 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32205"]]</t>
  </si>
  <si>
    <t xml:space="preserve">+proj=utm +zone=5 +ellps=WGS72 +towgs84=0,0,4.5,0,0,0.554,0.2263 +units=m +no_defs </t>
  </si>
  <si>
    <t>PROJCS["WGS 72 / UTM zone 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32206"]]</t>
  </si>
  <si>
    <t xml:space="preserve">+proj=utm +zone=6 +ellps=WGS72 +towgs84=0,0,4.5,0,0,0.554,0.2263 +units=m +no_defs </t>
  </si>
  <si>
    <t>PROJCS["WGS 72 / UTM zone 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32207"]]</t>
  </si>
  <si>
    <t xml:space="preserve">+proj=utm +zone=7 +ellps=WGS72 +towgs84=0,0,4.5,0,0,0.554,0.2263 +units=m +no_defs </t>
  </si>
  <si>
    <t>PROJCS["WGS 72 / UTM zone 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32208"]]</t>
  </si>
  <si>
    <t xml:space="preserve">+proj=utm +zone=8 +ellps=WGS72 +towgs84=0,0,4.5,0,0,0.554,0.2263 +units=m +no_defs </t>
  </si>
  <si>
    <t>PROJCS["WGS 72 / UTM zone 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32209"]]</t>
  </si>
  <si>
    <t xml:space="preserve">+proj=utm +zone=9 +ellps=WGS72 +towgs84=0,0,4.5,0,0,0.554,0.2263 +units=m +no_defs </t>
  </si>
  <si>
    <t>PROJCS["WGS 72 / UTM zone 10N",GEOGCS["WGS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32210"]]</t>
  </si>
  <si>
    <t xml:space="preserve">+proj=utm +zone=10 +ellps=WGS72 +towgs84=0,0,4.5,0,0,0.554,0.2263 +units=m +no_defs </t>
  </si>
  <si>
    <t>PROJCS["WGS 72 / UTM zone 11N",GEOGCS["WGS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32211"]]</t>
  </si>
  <si>
    <t xml:space="preserve">+proj=utm +zone=11 +ellps=WGS72 +towgs84=0,0,4.5,0,0,0.554,0.2263 +units=m +no_defs </t>
  </si>
  <si>
    <t>PROJCS["WGS 72 / UTM zone 12N",GEOGCS["WGS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32212"]]</t>
  </si>
  <si>
    <t xml:space="preserve">+proj=utm +zone=12 +ellps=WGS72 +towgs84=0,0,4.5,0,0,0.554,0.2263 +units=m +no_defs </t>
  </si>
  <si>
    <t>PROJCS["WGS 72 / UTM zone 13N",GEOGCS["WGS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32213"]]</t>
  </si>
  <si>
    <t xml:space="preserve">+proj=utm +zone=13 +ellps=WGS72 +towgs84=0,0,4.5,0,0,0.554,0.2263 +units=m +no_defs </t>
  </si>
  <si>
    <t>PROJCS["WGS 72 / UTM zone 14N",GEOGCS["WGS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32214"]]</t>
  </si>
  <si>
    <t xml:space="preserve">+proj=utm +zone=14 +ellps=WGS72 +towgs84=0,0,4.5,0,0,0.554,0.2263 +units=m +no_defs </t>
  </si>
  <si>
    <t>GEOCCS["ITRF89 (geocentric)",DATUM["International_Terrestrial_Reference_Frame_1989",SPHEROID["GRS 1980",6378137,298.257222101,AUTHORITY["EPSG","7019"]],AUTHORITY["EPSG","6648"]],PRIMEM["Greenwich",0,AUTHORITY["EPSG","8901"]],UNIT["metre",1,AUTHORITY["EPSG","9001"]],AXIS["Geocentric X",OTHER],AXIS["Geocentric Y",OTHER],AXIS["Geocentric Z",NORTH],AUTHORITY["EPSG","4331"]]</t>
  </si>
  <si>
    <t>PROJCS["WGS 72 / UTM zone 15N",GEOGCS["WGS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32215"]]</t>
  </si>
  <si>
    <t xml:space="preserve">+proj=utm +zone=15 +ellps=WGS72 +towgs84=0,0,4.5,0,0,0.554,0.2263 +units=m +no_defs </t>
  </si>
  <si>
    <t>PROJCS["WGS 72 / UTM zone 16N",GEOGCS["WGS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32216"]]</t>
  </si>
  <si>
    <t xml:space="preserve">+proj=utm +zone=16 +ellps=WGS72 +towgs84=0,0,4.5,0,0,0.554,0.2263 +units=m +no_defs </t>
  </si>
  <si>
    <t>PROJCS["WGS 72 / UTM zone 17N",GEOGCS["WGS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32217"]]</t>
  </si>
  <si>
    <t xml:space="preserve">+proj=utm +zone=17 +ellps=WGS72 +towgs84=0,0,4.5,0,0,0.554,0.2263 +units=m +no_defs </t>
  </si>
  <si>
    <t>PROJCS["WGS 72 / UTM zone 18N",GEOGCS["WGS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32218"]]</t>
  </si>
  <si>
    <t xml:space="preserve">+proj=utm +zone=18 +ellps=WGS72 +towgs84=0,0,4.5,0,0,0.554,0.2263 +units=m +no_defs </t>
  </si>
  <si>
    <t>PROJCS["WGS 72 / UTM zone 19N",GEOGCS["WGS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32219"]]</t>
  </si>
  <si>
    <t xml:space="preserve">+proj=utm +zone=19 +ellps=WGS72 +towgs84=0,0,4.5,0,0,0.554,0.2263 +units=m +no_defs </t>
  </si>
  <si>
    <t>PROJCS["WGS 72 / UTM zone 20N",GEOGCS["WGS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32220"]]</t>
  </si>
  <si>
    <t xml:space="preserve">+proj=utm +zone=20 +ellps=WGS72 +towgs84=0,0,4.5,0,0,0.554,0.2263 +units=m +no_defs </t>
  </si>
  <si>
    <t>PROJCS["WGS 72 / UTM zone 21N",GEOGCS["WGS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32221"]]</t>
  </si>
  <si>
    <t xml:space="preserve">+proj=utm +zone=21 +ellps=WGS72 +towgs84=0,0,4.5,0,0,0.554,0.2263 +units=m +no_defs </t>
  </si>
  <si>
    <t>PROJCS["WGS 72 / UTM zone 22N",GEOGCS["WGS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32222"]]</t>
  </si>
  <si>
    <t xml:space="preserve">+proj=utm +zone=22 +ellps=WGS72 +towgs84=0,0,4.5,0,0,0.554,0.2263 +units=m +no_defs </t>
  </si>
  <si>
    <t>PROJCS["WGS 72 / UTM zone 23N",GEOGCS["WGS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32223"]]</t>
  </si>
  <si>
    <t xml:space="preserve">+proj=utm +zone=23 +ellps=WGS72 +towgs84=0,0,4.5,0,0,0.554,0.2263 +units=m +no_defs </t>
  </si>
  <si>
    <t>PROJCS["WGS 72 / UTM zone 24N",GEOGCS["WGS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32224"]]</t>
  </si>
  <si>
    <t xml:space="preserve">+proj=utm +zone=24 +ellps=WGS72 +towgs84=0,0,4.5,0,0,0.554,0.2263 +units=m +no_defs </t>
  </si>
  <si>
    <t>GEOCCS["ITRF90 (geocentric)",DATUM["International_Terrestrial_Reference_Frame_1990",SPHEROID["GRS 1980",6378137,298.257222101,AUTHORITY["EPSG","7019"]],AUTHORITY["EPSG","6649"]],PRIMEM["Greenwich",0,AUTHORITY["EPSG","8901"]],UNIT["metre",1,AUTHORITY["EPSG","9001"]],AXIS["Geocentric X",OTHER],AXIS["Geocentric Y",OTHER],AXIS["Geocentric Z",NORTH],AUTHORITY["EPSG","4332"]]</t>
  </si>
  <si>
    <t>PROJCS["WGS 72 / UTM zone 25N",GEOGCS["WGS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32225"]]</t>
  </si>
  <si>
    <t xml:space="preserve">+proj=utm +zone=25 +ellps=WGS72 +towgs84=0,0,4.5,0,0,0.554,0.2263 +units=m +no_defs </t>
  </si>
  <si>
    <t>PROJCS["WGS 72 / UTM zone 26N",GEOGCS["WGS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32226"]]</t>
  </si>
  <si>
    <t xml:space="preserve">+proj=utm +zone=26 +ellps=WGS72 +towgs84=0,0,4.5,0,0,0.554,0.2263 +units=m +no_defs </t>
  </si>
  <si>
    <t>PROJCS["WGS 72 / UTM zone 27N",GEOGCS["WGS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32227"]]</t>
  </si>
  <si>
    <t xml:space="preserve">+proj=utm +zone=27 +ellps=WGS72 +towgs84=0,0,4.5,0,0,0.554,0.2263 +units=m +no_defs </t>
  </si>
  <si>
    <t>PROJCS["WGS 72 / UTM zone 28N",GEOGCS["WGS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32228"]]</t>
  </si>
  <si>
    <t xml:space="preserve">+proj=utm +zone=28 +ellps=WGS72 +towgs84=0,0,4.5,0,0,0.554,0.2263 +units=m +no_defs </t>
  </si>
  <si>
    <t>PROJCS["WGS 72 / UTM zone 29N",GEOGCS["WGS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32229"]]</t>
  </si>
  <si>
    <t xml:space="preserve">+proj=utm +zone=29 +ellps=WGS72 +towgs84=0,0,4.5,0,0,0.554,0.2263 +units=m +no_defs </t>
  </si>
  <si>
    <t>PROJCS["WGS 72 / UTM zone 30N",GEOGCS["WGS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32230"]]</t>
  </si>
  <si>
    <t xml:space="preserve">+proj=utm +zone=30 +ellps=WGS72 +towgs84=0,0,4.5,0,0,0.554,0.2263 +units=m +no_defs </t>
  </si>
  <si>
    <t>PROJCS["WGS 72 / UTM zone 31N",GEOGCS["WGS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32231"]]</t>
  </si>
  <si>
    <t xml:space="preserve">+proj=utm +zone=31 +ellps=WGS72 +towgs84=0,0,4.5,0,0,0.554,0.2263 +units=m +no_defs </t>
  </si>
  <si>
    <t>PROJCS["WGS 72 / UTM zone 32N",GEOGCS["WGS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32232"]]</t>
  </si>
  <si>
    <t xml:space="preserve">+proj=utm +zone=32 +ellps=WGS72 +towgs84=0,0,4.5,0,0,0.554,0.2263 +units=m +no_defs </t>
  </si>
  <si>
    <t>PROJCS["WGS 72 / UTM zone 33N",GEOGCS["WGS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32233"]]</t>
  </si>
  <si>
    <t xml:space="preserve">+proj=utm +zone=33 +ellps=WGS72 +towgs84=0,0,4.5,0,0,0.554,0.2263 +units=m +no_defs </t>
  </si>
  <si>
    <t>PROJCS["WGS 72 / UTM zone 34N",GEOGCS["WGS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32234"]]</t>
  </si>
  <si>
    <t xml:space="preserve">+proj=utm +zone=34 +ellps=WGS72 +towgs84=0,0,4.5,0,0,0.554,0.2263 +units=m +no_defs </t>
  </si>
  <si>
    <t>GEOCCS["ITRF91 (geocentric)",DATUM["International_Terrestrial_Reference_Frame_1991",SPHEROID["GRS 1980",6378137,298.257222101,AUTHORITY["EPSG","7019"]],AUTHORITY["EPSG","6650"]],PRIMEM["Greenwich",0,AUTHORITY["EPSG","8901"]],UNIT["metre",1,AUTHORITY["EPSG","9001"]],AXIS["Geocentric X",OTHER],AXIS["Geocentric Y",OTHER],AXIS["Geocentric Z",NORTH],AUTHORITY["EPSG","4333"]]</t>
  </si>
  <si>
    <t>PROJCS["WGS 72 / UTM zone 35N",GEOGCS["WGS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32235"]]</t>
  </si>
  <si>
    <t xml:space="preserve">+proj=utm +zone=35 +ellps=WGS72 +towgs84=0,0,4.5,0,0,0.554,0.2263 +units=m +no_defs </t>
  </si>
  <si>
    <t>PROJCS["WGS 72 / UTM zone 36N",GEOGCS["WGS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32236"]]</t>
  </si>
  <si>
    <t xml:space="preserve">+proj=utm +zone=36 +ellps=WGS72 +towgs84=0,0,4.5,0,0,0.554,0.2263 +units=m +no_defs </t>
  </si>
  <si>
    <t>PROJCS["WGS 72 / UTM zone 37N",GEOGCS["WGS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32237"]]</t>
  </si>
  <si>
    <t xml:space="preserve">+proj=utm +zone=37 +ellps=WGS72 +towgs84=0,0,4.5,0,0,0.554,0.2263 +units=m +no_defs </t>
  </si>
  <si>
    <t>PROJCS["WGS 72 / UTM zone 38N",GEOGCS["WGS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32238"]]</t>
  </si>
  <si>
    <t xml:space="preserve">+proj=utm +zone=38 +ellps=WGS72 +towgs84=0,0,4.5,0,0,0.554,0.2263 +units=m +no_defs </t>
  </si>
  <si>
    <t>PROJCS["WGS 72 / UTM zone 39N",GEOGCS["WGS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32239"]]</t>
  </si>
  <si>
    <t xml:space="preserve">+proj=utm +zone=39 +ellps=WGS72 +towgs84=0,0,4.5,0,0,0.554,0.2263 +units=m +no_defs </t>
  </si>
  <si>
    <t>PROJCS["WGS 72 / UTM zone 40N",GEOGCS["WGS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32240"]]</t>
  </si>
  <si>
    <t xml:space="preserve">+proj=utm +zone=40 +ellps=WGS72 +towgs84=0,0,4.5,0,0,0.554,0.2263 +units=m +no_defs </t>
  </si>
  <si>
    <t>PROJCS["WGS 72 / UTM zone 41N",GEOGCS["WGS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32241"]]</t>
  </si>
  <si>
    <t xml:space="preserve">+proj=utm +zone=41 +ellps=WGS72 +towgs84=0,0,4.5,0,0,0.554,0.2263 +units=m +no_defs </t>
  </si>
  <si>
    <t>PROJCS["WGS 72 / UTM zone 42N",GEOGCS["WGS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32242"]]</t>
  </si>
  <si>
    <t xml:space="preserve">+proj=utm +zone=42 +ellps=WGS72 +towgs84=0,0,4.5,0,0,0.554,0.2263 +units=m +no_defs </t>
  </si>
  <si>
    <t>PROJCS["WGS 72 / UTM zone 43N",GEOGCS["WGS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32243"]]</t>
  </si>
  <si>
    <t xml:space="preserve">+proj=utm +zone=43 +ellps=WGS72 +towgs84=0,0,4.5,0,0,0.554,0.2263 +units=m +no_defs </t>
  </si>
  <si>
    <t>PROJCS["WGS 72 / UTM zone 44N",GEOGCS["WGS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81],PARAMETER["scale_factor",0.9996],PARAMETER["false_easting",500000],PARAMETER["false_northing",0],UNIT["metre",1,AUTHORITY["EPSG","9001"]],AXIS["Easting",EAST],AXIS["Northing",NORTH],AUTHORITY["EPSG","32244"]]</t>
  </si>
  <si>
    <t xml:space="preserve">+proj=utm +zone=44 +ellps=WGS72 +towgs84=0,0,4.5,0,0,0.554,0.2263 +units=m +no_defs </t>
  </si>
  <si>
    <t>GEOCCS["ITRF92 (geocentric)",DATUM["International_Terrestrial_Reference_Frame_1992",SPHEROID["GRS 1980",6378137,298.257222101,AUTHORITY["EPSG","7019"]],AUTHORITY["EPSG","6651"]],PRIMEM["Greenwich",0,AUTHORITY["EPSG","8901"]],UNIT["metre",1,AUTHORITY["EPSG","9001"]],AXIS["Geocentric X",OTHER],AXIS["Geocentric Y",OTHER],AXIS["Geocentric Z",NORTH],AUTHORITY["EPSG","4334"]]</t>
  </si>
  <si>
    <t>PROJCS["WGS 72 / UTM zone 45N",GEOGCS["WGS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32245"]]</t>
  </si>
  <si>
    <t xml:space="preserve">+proj=utm +zone=45 +ellps=WGS72 +towgs84=0,0,4.5,0,0,0.554,0.2263 +units=m +no_defs </t>
  </si>
  <si>
    <t>PROJCS["WGS 72 / UTM zone 46N",GEOGCS["WGS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32246"]]</t>
  </si>
  <si>
    <t xml:space="preserve">+proj=utm +zone=46 +ellps=WGS72 +towgs84=0,0,4.5,0,0,0.554,0.2263 +units=m +no_defs </t>
  </si>
  <si>
    <t>PROJCS["WGS 72 / UTM zone 47N",GEOGCS["WGS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32247"]]</t>
  </si>
  <si>
    <t xml:space="preserve">+proj=utm +zone=47 +ellps=WGS72 +towgs84=0,0,4.5,0,0,0.554,0.2263 +units=m +no_defs </t>
  </si>
  <si>
    <t>PROJCS["WGS 72 / UTM zone 48N",GEOGCS["WGS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32248"]]</t>
  </si>
  <si>
    <t xml:space="preserve">+proj=utm +zone=48 +ellps=WGS72 +towgs84=0,0,4.5,0,0,0.554,0.2263 +units=m +no_defs </t>
  </si>
  <si>
    <t>PROJCS["WGS 72 / UTM zone 49N",GEOGCS["WGS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32249"]]</t>
  </si>
  <si>
    <t xml:space="preserve">+proj=utm +zone=49 +ellps=WGS72 +towgs84=0,0,4.5,0,0,0.554,0.2263 +units=m +no_defs </t>
  </si>
  <si>
    <t>PROJCS["WGS 72 / UTM zone 50N",GEOGCS["WGS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32250"]]</t>
  </si>
  <si>
    <t xml:space="preserve">+proj=utm +zone=50 +ellps=WGS72 +towgs84=0,0,4.5,0,0,0.554,0.2263 +units=m +no_defs </t>
  </si>
  <si>
    <t>PROJCS["WGS 72 / UTM zone 51N",GEOGCS["WGS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32251"]]</t>
  </si>
  <si>
    <t xml:space="preserve">+proj=utm +zone=51 +ellps=WGS72 +towgs84=0,0,4.5,0,0,0.554,0.2263 +units=m +no_defs </t>
  </si>
  <si>
    <t>PROJCS["WGS 72 / UTM zone 52N",GEOGCS["WGS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32252"]]</t>
  </si>
  <si>
    <t xml:space="preserve">+proj=utm +zone=52 +ellps=WGS72 +towgs84=0,0,4.5,0,0,0.554,0.2263 +units=m +no_defs </t>
  </si>
  <si>
    <t>PROJCS["WGS 72 / UTM zone 53N",GEOGCS["WGS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32253"]]</t>
  </si>
  <si>
    <t xml:space="preserve">+proj=utm +zone=53 +ellps=WGS72 +towgs84=0,0,4.5,0,0,0.554,0.2263 +units=m +no_defs </t>
  </si>
  <si>
    <t>PROJCS["WGS 72 / UTM zone 54N",GEOGCS["WGS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32254"]]</t>
  </si>
  <si>
    <t xml:space="preserve">+proj=utm +zone=54 +ellps=WGS72 +towgs84=0,0,4.5,0,0,0.554,0.2263 +units=m +no_defs </t>
  </si>
  <si>
    <t>GEOCCS["ITRF93 (geocentric)",DATUM["International_Terrestrial_Reference_Frame_1993",SPHEROID["GRS 1980",6378137,298.257222101,AUTHORITY["EPSG","7019"]],AUTHORITY["EPSG","6652"]],PRIMEM["Greenwich",0,AUTHORITY["EPSG","8901"]],UNIT["metre",1,AUTHORITY["EPSG","9001"]],AXIS["Geocentric X",OTHER],AXIS["Geocentric Y",OTHER],AXIS["Geocentric Z",NORTH],AUTHORITY["EPSG","4335"]]</t>
  </si>
  <si>
    <t>PROJCS["WGS 72 / UTM zone 55N",GEOGCS["WGS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32255"]]</t>
  </si>
  <si>
    <t xml:space="preserve">+proj=utm +zone=55 +ellps=WGS72 +towgs84=0,0,4.5,0,0,0.554,0.2263 +units=m +no_defs </t>
  </si>
  <si>
    <t>PROJCS["WGS 72 / UTM zone 56N",GEOGCS["WGS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153],PARAMETER["scale_factor",0.9996],PARAMETER["false_easting",500000],PARAMETER["false_northing",0],UNIT["metre",1,AUTHORITY["EPSG","9001"]],AXIS["Easting",EAST],AXIS["Northing",NORTH],AUTHORITY["EPSG","32256"]]</t>
  </si>
  <si>
    <t xml:space="preserve">+proj=utm +zone=56 +ellps=WGS72 +towgs84=0,0,4.5,0,0,0.554,0.2263 +units=m +no_defs </t>
  </si>
  <si>
    <t>PROJCS["WGS 72 / UTM zone 57N",GEOGCS["WGS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159],PARAMETER["scale_factor",0.9996],PARAMETER["false_easting",500000],PARAMETER["false_northing",0],UNIT["metre",1,AUTHORITY["EPSG","9001"]],AXIS["Easting",EAST],AXIS["Northing",NORTH],AUTHORITY["EPSG","32257"]]</t>
  </si>
  <si>
    <t xml:space="preserve">+proj=utm +zone=57 +ellps=WGS72 +towgs84=0,0,4.5,0,0,0.554,0.2263 +units=m +no_defs </t>
  </si>
  <si>
    <t>PROJCS["WGS 72 / UTM zone 58N",GEOGCS["WGS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165],PARAMETER["scale_factor",0.9996],PARAMETER["false_easting",500000],PARAMETER["false_northing",0],UNIT["metre",1,AUTHORITY["EPSG","9001"]],AXIS["Easting",EAST],AXIS["Northing",NORTH],AUTHORITY["EPSG","32258"]]</t>
  </si>
  <si>
    <t xml:space="preserve">+proj=utm +zone=58 +ellps=WGS72 +towgs84=0,0,4.5,0,0,0.554,0.2263 +units=m +no_defs </t>
  </si>
  <si>
    <t>PROJCS["WGS 72 / UTM zone 59N",GEOGCS["WGS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32259"]]</t>
  </si>
  <si>
    <t xml:space="preserve">+proj=utm +zone=59 +ellps=WGS72 +towgs84=0,0,4.5,0,0,0.554,0.2263 +units=m +no_defs </t>
  </si>
  <si>
    <t>PROJCS["WGS 72 / UTM zone 60N",GEOGCS["WGS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32260"]]</t>
  </si>
  <si>
    <t xml:space="preserve">+proj=utm +zone=60 +ellps=WGS72 +towgs84=0,0,4.5,0,0,0.554,0.2263 +units=m +no_defs </t>
  </si>
  <si>
    <t>PROJCS["WGS 72 / UTM zone 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32301"]]</t>
  </si>
  <si>
    <t xml:space="preserve">+proj=utm +zone=1 +south +ellps=WGS72 +towgs84=0,0,4.5,0,0,0.554,0.2263 +units=m +no_defs </t>
  </si>
  <si>
    <t>PROJCS["WGS 72 / UTM zone 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32302"]]</t>
  </si>
  <si>
    <t xml:space="preserve">+proj=utm +zone=2 +south +ellps=WGS72 +towgs84=0,0,4.5,0,0,0.554,0.2263 +units=m +no_defs </t>
  </si>
  <si>
    <t>PROJCS["WGS 72 / UTM zone 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-165],PARAMETER["scale_factor",0.9996],PARAMETER["false_easting",500000],PARAMETER["false_northing",10000000],UNIT["metre",1,AUTHORITY["EPSG","9001"]],AXIS["Easting",EAST],AXIS["Northing",NORTH],AUTHORITY["EPSG","32303"]]</t>
  </si>
  <si>
    <t xml:space="preserve">+proj=utm +zone=3 +south +ellps=WGS72 +towgs84=0,0,4.5,0,0,0.554,0.2263 +units=m +no_defs </t>
  </si>
  <si>
    <t>PROJCS["WGS 72 / UTM zone 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-159],PARAMETER["scale_factor",0.9996],PARAMETER["false_easting",500000],PARAMETER["false_northing",10000000],UNIT["metre",1,AUTHORITY["EPSG","9001"]],AXIS["Easting",EAST],AXIS["Northing",NORTH],AUTHORITY["EPSG","32304"]]</t>
  </si>
  <si>
    <t xml:space="preserve">+proj=utm +zone=4 +south +ellps=WGS72 +towgs84=0,0,4.5,0,0,0.554,0.2263 +units=m +no_defs </t>
  </si>
  <si>
    <t>GEOCCS["ITRF94 (geocentric)",DATUM["International_Terrestrial_Reference_Frame_1994",SPHEROID["GRS 1980",6378137,298.257222101,AUTHORITY["EPSG","7019"]],AUTHORITY["EPSG","6653"]],PRIMEM["Greenwich",0,AUTHORITY["EPSG","8901"]],UNIT["metre",1,AUTHORITY["EPSG","9001"]],AXIS["Geocentric X",OTHER],AXIS["Geocentric Y",OTHER],AXIS["Geocentric Z",NORTH],AUTHORITY["EPSG","4336"]]</t>
  </si>
  <si>
    <t>PROJCS["WGS 72 / UTM zone 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32305"]]</t>
  </si>
  <si>
    <t xml:space="preserve">+proj=utm +zone=5 +south +ellps=WGS72 +towgs84=0,0,4.5,0,0,0.554,0.2263 +units=m +no_defs </t>
  </si>
  <si>
    <t>PROJCS["WGS 72 / UTM zone 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32306"]]</t>
  </si>
  <si>
    <t xml:space="preserve">+proj=utm +zone=6 +south +ellps=WGS72 +towgs84=0,0,4.5,0,0,0.554,0.2263 +units=m +no_defs </t>
  </si>
  <si>
    <t>PROJCS["WGS 72 / UTM zone 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32307"]]</t>
  </si>
  <si>
    <t xml:space="preserve">+proj=utm +zone=7 +south +ellps=WGS72 +towgs84=0,0,4.5,0,0,0.554,0.2263 +units=m +no_defs </t>
  </si>
  <si>
    <t>PROJCS["WGS 72 / UTM zone 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-135],PARAMETER["scale_factor",0.9996],PARAMETER["false_easting",500000],PARAMETER["false_northing",10000000],UNIT["metre",1,AUTHORITY["EPSG","9001"]],AXIS["Easting",EAST],AXIS["Northing",NORTH],AUTHORITY["EPSG","32308"]]</t>
  </si>
  <si>
    <t xml:space="preserve">+proj=utm +zone=8 +south +ellps=WGS72 +towgs84=0,0,4.5,0,0,0.554,0.2263 +units=m +no_defs </t>
  </si>
  <si>
    <t>PROJCS["WGS 72 / UTM zone 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-129],PARAMETER["scale_factor",0.9996],PARAMETER["false_easting",500000],PARAMETER["false_northing",10000000],UNIT["metre",1,AUTHORITY["EPSG","9001"]],AXIS["Easting",EAST],AXIS["Northing",NORTH],AUTHORITY["EPSG","32309"]]</t>
  </si>
  <si>
    <t xml:space="preserve">+proj=utm +zone=9 +south +ellps=WGS72 +towgs84=0,0,4.5,0,0,0.554,0.2263 +units=m +no_defs </t>
  </si>
  <si>
    <t>PROJCS["WGS 72 / UTM zone 10S",GEOGCS["WGS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-123],PARAMETER["scale_factor",0.9996],PARAMETER["false_easting",500000],PARAMETER["false_northing",10000000],UNIT["metre",1,AUTHORITY["EPSG","9001"]],AXIS["Easting",EAST],AXIS["Northing",NORTH],AUTHORITY["EPSG","32310"]]</t>
  </si>
  <si>
    <t xml:space="preserve">+proj=utm +zone=10 +south +ellps=WGS72 +towgs84=0,0,4.5,0,0,0.554,0.2263 +units=m +no_defs </t>
  </si>
  <si>
    <t>PROJCS["WGS 72 / UTM zone 11S",GEOGCS["WGS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-117],PARAMETER["scale_factor",0.9996],PARAMETER["false_easting",500000],PARAMETER["false_northing",10000000],UNIT["metre",1,AUTHORITY["EPSG","9001"]],AXIS["Easting",EAST],AXIS["Northing",NORTH],AUTHORITY["EPSG","32311"]]</t>
  </si>
  <si>
    <t xml:space="preserve">+proj=utm +zone=11 +south +ellps=WGS72 +towgs84=0,0,4.5,0,0,0.554,0.2263 +units=m +no_defs </t>
  </si>
  <si>
    <t>PROJCS["WGS 72 / UTM zone 12S",GEOGCS["WGS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-111],PARAMETER["scale_factor",0.9996],PARAMETER["false_easting",500000],PARAMETER["false_northing",10000000],UNIT["metre",1,AUTHORITY["EPSG","9001"]],AXIS["Easting",EAST],AXIS["Northing",NORTH],AUTHORITY["EPSG","32312"]]</t>
  </si>
  <si>
    <t xml:space="preserve">+proj=utm +zone=12 +south +ellps=WGS72 +towgs84=0,0,4.5,0,0,0.554,0.2263 +units=m +no_defs </t>
  </si>
  <si>
    <t>PROJCS["WGS 72 / UTM zone 13S",GEOGCS["WGS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-105],PARAMETER["scale_factor",0.9996],PARAMETER["false_easting",500000],PARAMETER["false_northing",10000000],UNIT["metre",1,AUTHORITY["EPSG","9001"]],AXIS["Easting",EAST],AXIS["Northing",NORTH],AUTHORITY["EPSG","32313"]]</t>
  </si>
  <si>
    <t xml:space="preserve">+proj=utm +zone=13 +south +ellps=WGS72 +towgs84=0,0,4.5,0,0,0.554,0.2263 +units=m +no_defs </t>
  </si>
  <si>
    <t>PROJCS["WGS 72 / UTM zone 14S",GEOGCS["WGS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-99],PARAMETER["scale_factor",0.9996],PARAMETER["false_easting",500000],PARAMETER["false_northing",10000000],UNIT["metre",1,AUTHORITY["EPSG","9001"]],AXIS["Easting",EAST],AXIS["Northing",NORTH],AUTHORITY["EPSG","32314"]]</t>
  </si>
  <si>
    <t xml:space="preserve">+proj=utm +zone=14 +south +ellps=WGS72 +towgs84=0,0,4.5,0,0,0.554,0.2263 +units=m +no_defs </t>
  </si>
  <si>
    <t>PROJCS["WGS 72 / UTM zone 15S",GEOGCS["WGS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-93],PARAMETER["scale_factor",0.9996],PARAMETER["false_easting",500000],PARAMETER["false_northing",10000000],UNIT["metre",1,AUTHORITY["EPSG","9001"]],AXIS["Easting",EAST],AXIS["Northing",NORTH],AUTHORITY["EPSG","32315"]]</t>
  </si>
  <si>
    <t xml:space="preserve">+proj=utm +zone=15 +south +ellps=WGS72 +towgs84=0,0,4.5,0,0,0.554,0.2263 +units=m +no_defs </t>
  </si>
  <si>
    <t>PROJCS["WGS 72 / UTM zone 16S",GEOGCS["WGS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-87],PARAMETER["scale_factor",0.9996],PARAMETER["false_easting",500000],PARAMETER["false_northing",10000000],UNIT["metre",1,AUTHORITY["EPSG","9001"]],AXIS["Easting",EAST],AXIS["Northing",NORTH],AUTHORITY["EPSG","32316"]]</t>
  </si>
  <si>
    <t xml:space="preserve">+proj=utm +zone=16 +south +ellps=WGS72 +towgs84=0,0,4.5,0,0,0.554,0.2263 +units=m +no_defs </t>
  </si>
  <si>
    <t>PROJCS["WGS 72 / UTM zone 17S",GEOGCS["WGS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32317"]]</t>
  </si>
  <si>
    <t xml:space="preserve">+proj=utm +zone=17 +south +ellps=WGS72 +towgs84=0,0,4.5,0,0,0.554,0.2263 +units=m +no_defs </t>
  </si>
  <si>
    <t>PROJCS["WGS 72 / UTM zone 18S",GEOGCS["WGS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32318"]]</t>
  </si>
  <si>
    <t xml:space="preserve">+proj=utm +zone=18 +south +ellps=WGS72 +towgs84=0,0,4.5,0,0,0.554,0.2263 +units=m +no_defs </t>
  </si>
  <si>
    <t>PROJCS["WGS 72 / UTM zone 19S",GEOGCS["WGS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32319"]]</t>
  </si>
  <si>
    <t xml:space="preserve">+proj=utm +zone=19 +south +ellps=WGS72 +towgs84=0,0,4.5,0,0,0.554,0.2263 +units=m +no_defs </t>
  </si>
  <si>
    <t>PROJCS["WGS 72 / UTM zone 20S",GEOGCS["WGS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32320"]]</t>
  </si>
  <si>
    <t xml:space="preserve">+proj=utm +zone=20 +south +ellps=WGS72 +towgs84=0,0,4.5,0,0,0.554,0.2263 +units=m +no_defs </t>
  </si>
  <si>
    <t>PROJCS["WGS 72 / UTM zone 21S",GEOGCS["WGS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32321"]]</t>
  </si>
  <si>
    <t xml:space="preserve">+proj=utm +zone=21 +south +ellps=WGS72 +towgs84=0,0,4.5,0,0,0.554,0.2263 +units=m +no_defs </t>
  </si>
  <si>
    <t>PROJCS["WGS 72 / UTM zone 22S",GEOGCS["WGS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32322"]]</t>
  </si>
  <si>
    <t xml:space="preserve">+proj=utm +zone=22 +south +ellps=WGS72 +towgs84=0,0,4.5,0,0,0.554,0.2263 +units=m +no_defs </t>
  </si>
  <si>
    <t>PROJCS["WGS 72 / UTM zone 23S",GEOGCS["WGS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32323"]]</t>
  </si>
  <si>
    <t xml:space="preserve">+proj=utm +zone=23 +south +ellps=WGS72 +towgs84=0,0,4.5,0,0,0.554,0.2263 +units=m +no_defs </t>
  </si>
  <si>
    <t>PROJCS["WGS 72 / UTM zone 24S",GEOGCS["WGS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32324"]]</t>
  </si>
  <si>
    <t xml:space="preserve">+proj=utm +zone=24 +south +ellps=WGS72 +towgs84=0,0,4.5,0,0,0.554,0.2263 +units=m +no_defs </t>
  </si>
  <si>
    <t>PROJCS["WGS 72 / UTM zone 25S",GEOGCS["WGS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32325"]]</t>
  </si>
  <si>
    <t xml:space="preserve">+proj=utm +zone=25 +south +ellps=WGS72 +towgs84=0,0,4.5,0,0,0.554,0.2263 +units=m +no_defs </t>
  </si>
  <si>
    <t>PROJCS["WGS 72 / UTM zone 26S",GEOGCS["WGS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-27],PARAMETER["scale_factor",0.9996],PARAMETER["false_easting",500000],PARAMETER["false_northing",10000000],UNIT["metre",1,AUTHORITY["EPSG","9001"]],AXIS["Easting",EAST],AXIS["Northing",NORTH],AUTHORITY["EPSG","32326"]]</t>
  </si>
  <si>
    <t xml:space="preserve">+proj=utm +zone=26 +south +ellps=WGS72 +towgs84=0,0,4.5,0,0,0.554,0.2263 +units=m +no_defs </t>
  </si>
  <si>
    <t>PROJCS["WGS 72 / UTM zone 27S",GEOGCS["WGS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-21],PARAMETER["scale_factor",0.9996],PARAMETER["false_easting",500000],PARAMETER["false_northing",10000000],UNIT["metre",1,AUTHORITY["EPSG","9001"]],AXIS["Easting",EAST],AXIS["Northing",NORTH],AUTHORITY["EPSG","32327"]]</t>
  </si>
  <si>
    <t xml:space="preserve">+proj=utm +zone=27 +south +ellps=WGS72 +towgs84=0,0,4.5,0,0,0.554,0.2263 +units=m +no_defs </t>
  </si>
  <si>
    <t>PROJCS["WGS 72 / UTM zone 28S",GEOGCS["WGS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-15],PARAMETER["scale_factor",0.9996],PARAMETER["false_easting",500000],PARAMETER["false_northing",10000000],UNIT["metre",1,AUTHORITY["EPSG","9001"]],AXIS["Easting",EAST],AXIS["Northing",NORTH],AUTHORITY["EPSG","32328"]]</t>
  </si>
  <si>
    <t xml:space="preserve">+proj=utm +zone=28 +south +ellps=WGS72 +towgs84=0,0,4.5,0,0,0.554,0.2263 +units=m +no_defs </t>
  </si>
  <si>
    <t>PROJCS["WGS 72 / UTM zone 29S",GEOGCS["WGS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-9],PARAMETER["scale_factor",0.9996],PARAMETER["false_easting",500000],PARAMETER["false_northing",10000000],UNIT["metre",1,AUTHORITY["EPSG","9001"]],AXIS["Easting",EAST],AXIS["Northing",NORTH],AUTHORITY["EPSG","32329"]]</t>
  </si>
  <si>
    <t xml:space="preserve">+proj=utm +zone=29 +south +ellps=WGS72 +towgs84=0,0,4.5,0,0,0.554,0.2263 +units=m +no_defs </t>
  </si>
  <si>
    <t>PROJCS["WGS 72 / UTM zone 30S",GEOGCS["WGS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32330"]]</t>
  </si>
  <si>
    <t xml:space="preserve">+proj=utm +zone=30 +south +ellps=WGS72 +towgs84=0,0,4.5,0,0,0.554,0.2263 +units=m +no_defs </t>
  </si>
  <si>
    <t>PROJCS["WGS 72 / UTM zone 31S",GEOGCS["WGS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3],PARAMETER["scale_factor",0.9996],PARAMETER["false_easting",500000],PARAMETER["false_northing",10000000],UNIT["metre",1,AUTHORITY["EPSG","9001"]],AXIS["Easting",EAST],AXIS["Northing",NORTH],AUTHORITY["EPSG","32331"]]</t>
  </si>
  <si>
    <t xml:space="preserve">+proj=utm +zone=31 +south +ellps=WGS72 +towgs84=0,0,4.5,0,0,0.554,0.2263 +units=m +no_defs </t>
  </si>
  <si>
    <t>PROJCS["WGS 72 / UTM zone 32S",GEOGCS["WGS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32332"]]</t>
  </si>
  <si>
    <t xml:space="preserve">+proj=utm +zone=32 +south +ellps=WGS72 +towgs84=0,0,4.5,0,0,0.554,0.2263 +units=m +no_defs </t>
  </si>
  <si>
    <t>PROJCS["WGS 72 / UTM zone 33S",GEOGCS["WGS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32333"]]</t>
  </si>
  <si>
    <t xml:space="preserve">+proj=utm +zone=33 +south +ellps=WGS72 +towgs84=0,0,4.5,0,0,0.554,0.2263 +units=m +no_defs </t>
  </si>
  <si>
    <t>PROJCS["WGS 72 / UTM zone 34S",GEOGCS["WGS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32334"]]</t>
  </si>
  <si>
    <t xml:space="preserve">+proj=utm +zone=34 +south +ellps=WGS72 +towgs84=0,0,4.5,0,0,0.554,0.2263 +units=m +no_defs </t>
  </si>
  <si>
    <t>PROJCS["WGS 72 / UTM zone 35S",GEOGCS["WGS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32335"]]</t>
  </si>
  <si>
    <t xml:space="preserve">+proj=utm +zone=35 +south +ellps=WGS72 +towgs84=0,0,4.5,0,0,0.554,0.2263 +units=m +no_defs </t>
  </si>
  <si>
    <t>PROJCS["WGS 72 / UTM zone 36S",GEOGCS["WGS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32336"]]</t>
  </si>
  <si>
    <t xml:space="preserve">+proj=utm +zone=36 +south +ellps=WGS72 +towgs84=0,0,4.5,0,0,0.554,0.2263 +units=m +no_defs </t>
  </si>
  <si>
    <t>PROJCS["WGS 72 / UTM zone 37S",GEOGCS["WGS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32337"]]</t>
  </si>
  <si>
    <t xml:space="preserve">+proj=utm +zone=37 +south +ellps=WGS72 +towgs84=0,0,4.5,0,0,0.554,0.2263 +units=m +no_defs </t>
  </si>
  <si>
    <t>PROJCS["WGS 72 / UTM zone 38S",GEOGCS["WGS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32338"]]</t>
  </si>
  <si>
    <t xml:space="preserve">+proj=utm +zone=38 +south +ellps=WGS72 +towgs84=0,0,4.5,0,0,0.554,0.2263 +units=m +no_defs </t>
  </si>
  <si>
    <t>PROJCS["WGS 72 / UTM zone 39S",GEOGCS["WGS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32339"]]</t>
  </si>
  <si>
    <t xml:space="preserve">+proj=utm +zone=39 +south +ellps=WGS72 +towgs84=0,0,4.5,0,0,0.554,0.2263 +units=m +no_defs </t>
  </si>
  <si>
    <t>PROJCS["WGS 72 / UTM zone 40S",GEOGCS["WGS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32340"]]</t>
  </si>
  <si>
    <t xml:space="preserve">+proj=utm +zone=40 +south +ellps=WGS72 +towgs84=0,0,4.5,0,0,0.554,0.2263 +units=m +no_defs </t>
  </si>
  <si>
    <t>PROJCS["WGS 72 / UTM zone 41S",GEOGCS["WGS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32341"]]</t>
  </si>
  <si>
    <t xml:space="preserve">+proj=utm +zone=41 +south +ellps=WGS72 +towgs84=0,0,4.5,0,0,0.554,0.2263 +units=m +no_defs </t>
  </si>
  <si>
    <t>PROJCS["WGS 72 / UTM zone 42S",GEOGCS["WGS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32342"]]</t>
  </si>
  <si>
    <t xml:space="preserve">+proj=utm +zone=42 +south +ellps=WGS72 +towgs84=0,0,4.5,0,0,0.554,0.2263 +units=m +no_defs </t>
  </si>
  <si>
    <t>PROJCS["WGS 72 / UTM zone 43S",GEOGCS["WGS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32343"]]</t>
  </si>
  <si>
    <t xml:space="preserve">+proj=utm +zone=43 +south +ellps=WGS72 +towgs84=0,0,4.5,0,0,0.554,0.2263 +units=m +no_defs </t>
  </si>
  <si>
    <t>PROJCS["WGS 72 / UTM zone 44S",GEOGCS["WGS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32344"]]</t>
  </si>
  <si>
    <t xml:space="preserve">+proj=utm +zone=44 +south +ellps=WGS72 +towgs84=0,0,4.5,0,0,0.554,0.2263 +units=m +no_defs </t>
  </si>
  <si>
    <t>PROJCS["WGS 72 / UTM zone 45S",GEOGCS["WGS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87],PARAMETER["scale_factor",0.9996],PARAMETER["false_easting",500000],PARAMETER["false_northing",10000000],UNIT["metre",1,AUTHORITY["EPSG","9001"]],AXIS["Easting",EAST],AXIS["Northing",NORTH],AUTHORITY["EPSG","32345"]]</t>
  </si>
  <si>
    <t xml:space="preserve">+proj=utm +zone=45 +south +ellps=WGS72 +towgs84=0,0,4.5,0,0,0.554,0.2263 +units=m +no_defs </t>
  </si>
  <si>
    <t>PROJCS["WGS 72 / UTM zone 46S",GEOGCS["WGS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32346"]]</t>
  </si>
  <si>
    <t xml:space="preserve">+proj=utm +zone=46 +south +ellps=WGS72 +towgs84=0,0,4.5,0,0,0.554,0.2263 +units=m +no_defs </t>
  </si>
  <si>
    <t>PROJCS["WGS 72 / UTM zone 47S",GEOGCS["WGS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32347"]]</t>
  </si>
  <si>
    <t xml:space="preserve">+proj=utm +zone=47 +south +ellps=WGS72 +towgs84=0,0,4.5,0,0,0.554,0.2263 +units=m +no_defs </t>
  </si>
  <si>
    <t>PROJCS["WGS 72 / UTM zone 48S",GEOGCS["WGS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32348"]]</t>
  </si>
  <si>
    <t xml:space="preserve">+proj=utm +zone=48 +south +ellps=WGS72 +towgs84=0,0,4.5,0,0,0.554,0.2263 +units=m +no_defs </t>
  </si>
  <si>
    <t>PROJCS["WGS 72 / UTM zone 49S",GEOGCS["WGS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32349"]]</t>
  </si>
  <si>
    <t xml:space="preserve">+proj=utm +zone=49 +south +ellps=WGS72 +towgs84=0,0,4.5,0,0,0.554,0.2263 +units=m +no_defs </t>
  </si>
  <si>
    <t>PROJCS["WGS 72 / UTM zone 50S",GEOGCS["WGS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32350"]]</t>
  </si>
  <si>
    <t xml:space="preserve">+proj=utm +zone=50 +south +ellps=WGS72 +towgs84=0,0,4.5,0,0,0.554,0.2263 +units=m +no_defs </t>
  </si>
  <si>
    <t>PROJCS["WGS 72 / UTM zone 51S",GEOGCS["WGS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32351"]]</t>
  </si>
  <si>
    <t xml:space="preserve">+proj=utm +zone=51 +south +ellps=WGS72 +towgs84=0,0,4.5,0,0,0.554,0.2263 +units=m +no_defs </t>
  </si>
  <si>
    <t>PROJCS["WGS 72 / UTM zone 52S",GEOGCS["WGS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32352"]]</t>
  </si>
  <si>
    <t xml:space="preserve">+proj=utm +zone=52 +south +ellps=WGS72 +towgs84=0,0,4.5,0,0,0.554,0.2263 +units=m +no_defs </t>
  </si>
  <si>
    <t>PROJCS["WGS 72 / UTM zone 53S",GEOGCS["WGS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32353"]]</t>
  </si>
  <si>
    <t xml:space="preserve">+proj=utm +zone=53 +south +ellps=WGS72 +towgs84=0,0,4.5,0,0,0.554,0.2263 +units=m +no_defs </t>
  </si>
  <si>
    <t>PROJCS["WGS 72 / UTM zone 54S",GEOGCS["WGS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32354"]]</t>
  </si>
  <si>
    <t xml:space="preserve">+proj=utm +zone=54 +south +ellps=WGS72 +towgs84=0,0,4.5,0,0,0.554,0.2263 +units=m +no_defs </t>
  </si>
  <si>
    <t>PROJCS["WGS 72 / UTM zone 55S",GEOGCS["WGS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32355"]]</t>
  </si>
  <si>
    <t xml:space="preserve">+proj=utm +zone=55 +south +ellps=WGS72 +towgs84=0,0,4.5,0,0,0.554,0.2263 +units=m +no_defs </t>
  </si>
  <si>
    <t>PROJCS["WGS 72 / UTM zone 56S",GEOGCS["WGS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32356"]]</t>
  </si>
  <si>
    <t xml:space="preserve">+proj=utm +zone=56 +south +ellps=WGS72 +towgs84=0,0,4.5,0,0,0.554,0.2263 +units=m +no_defs </t>
  </si>
  <si>
    <t>PROJCS["WGS 72 / UTM zone 57S",GEOGCS["WGS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32357"]]</t>
  </si>
  <si>
    <t xml:space="preserve">+proj=utm +zone=57 +south +ellps=WGS72 +towgs84=0,0,4.5,0,0,0.554,0.2263 +units=m +no_defs </t>
  </si>
  <si>
    <t>PROJCS["WGS 72 / UTM zone 58S",GEOGCS["WGS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32358"]]</t>
  </si>
  <si>
    <t xml:space="preserve">+proj=utm +zone=58 +south +ellps=WGS72 +towgs84=0,0,4.5,0,0,0.554,0.2263 +units=m +no_defs </t>
  </si>
  <si>
    <t>PROJCS["WGS 72 / UTM zone 59S",GEOGCS["WGS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32359"]]</t>
  </si>
  <si>
    <t xml:space="preserve">+proj=utm +zone=59 +south +ellps=WGS72 +towgs84=0,0,4.5,0,0,0.554,0.2263 +units=m +no_defs </t>
  </si>
  <si>
    <t>PROJCS["WGS 72 / UTM zone 60S",GEOGCS["WGS 72",DATUM["WGS_1972",SPHEROID["WGS 72",6378135,298.26,AUTHORITY["EPSG","7043"]],TOWGS84[0,0,4.5,0,0,0.554,0.2263],AUTHORITY["EPSG","6322"]],PRIMEM["Greenwich",0,AUTHORITY["EPSG","8901"]],UNIT["degree",0.0174532925199433,AUTHORITY["EPSG","9122"]],AUTHORITY["EPSG","4322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32360"]]</t>
  </si>
  <si>
    <t xml:space="preserve">+proj=utm +zone=60 +south +ellps=WGS72 +towgs84=0,0,4.5,0,0,0.554,0.2263 +units=m +no_defs </t>
  </si>
  <si>
    <t>PROJCS["WGS 72BE / UTM zone 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32401"]]</t>
  </si>
  <si>
    <t xml:space="preserve">+proj=utm +zone=1 +ellps=WGS72 +towgs84=0,0,1.9,0,0,0.814,-0.38 +units=m +no_defs </t>
  </si>
  <si>
    <t>PROJCS["WGS 72BE / UTM zone 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32402"]]</t>
  </si>
  <si>
    <t xml:space="preserve">+proj=utm +zone=2 +ellps=WGS72 +towgs84=0,0,1.9,0,0,0.814,-0.38 +units=m +no_defs </t>
  </si>
  <si>
    <t>PROJCS["WGS 72BE / UTM zone 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32403"]]</t>
  </si>
  <si>
    <t xml:space="preserve">+proj=utm +zone=3 +ellps=WGS72 +towgs84=0,0,1.9,0,0,0.814,-0.38 +units=m +no_defs </t>
  </si>
  <si>
    <t>PROJCS["WGS 72BE / UTM zone 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32404"]]</t>
  </si>
  <si>
    <t xml:space="preserve">+proj=utm +zone=4 +ellps=WGS72 +towgs84=0,0,1.9,0,0,0.814,-0.38 +units=m +no_defs </t>
  </si>
  <si>
    <t>PROJCS["WGS 72BE / UTM zone 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-153],PARAMETER["scale_factor",0.9996],PARAMETER["false_easting",500000],PARAMETER["false_northing",0],UNIT["metre",1,AUTHORITY["EPSG","9001"]],AXIS["Easting",EAST],AXIS["Northing",NORTH],AUTHORITY["EPSG","32405"]]</t>
  </si>
  <si>
    <t xml:space="preserve">+proj=utm +zone=5 +ellps=WGS72 +towgs84=0,0,1.9,0,0,0.814,-0.38 +units=m +no_defs </t>
  </si>
  <si>
    <t>PROJCS["WGS 72BE / UTM zone 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-147],PARAMETER["scale_factor",0.9996],PARAMETER["false_easting",500000],PARAMETER["false_northing",0],UNIT["metre",1,AUTHORITY["EPSG","9001"]],AXIS["Easting",EAST],AXIS["Northing",NORTH],AUTHORITY["EPSG","32406"]]</t>
  </si>
  <si>
    <t xml:space="preserve">+proj=utm +zone=6 +ellps=WGS72 +towgs84=0,0,1.9,0,0,0.814,-0.38 +units=m +no_defs </t>
  </si>
  <si>
    <t>PROJCS["WGS 72BE / UTM zone 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32407"]]</t>
  </si>
  <si>
    <t xml:space="preserve">+proj=utm +zone=7 +ellps=WGS72 +towgs84=0,0,1.9,0,0,0.814,-0.38 +units=m +no_defs </t>
  </si>
  <si>
    <t>PROJCS["WGS 72BE / UTM zone 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32408"]]</t>
  </si>
  <si>
    <t xml:space="preserve">+proj=utm +zone=8 +ellps=WGS72 +towgs84=0,0,1.9,0,0,0.814,-0.38 +units=m +no_defs </t>
  </si>
  <si>
    <t>PROJCS["WGS 72BE / UTM zone 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32409"]]</t>
  </si>
  <si>
    <t xml:space="preserve">+proj=utm +zone=9 +ellps=WGS72 +towgs84=0,0,1.9,0,0,0.814,-0.38 +units=m +no_defs </t>
  </si>
  <si>
    <t>PROJCS["WGS 72BE / UTM zone 10N",GEOGCS["WGS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32410"]]</t>
  </si>
  <si>
    <t xml:space="preserve">+proj=utm +zone=10 +ellps=WGS72 +towgs84=0,0,1.9,0,0,0.814,-0.38 +units=m +no_defs </t>
  </si>
  <si>
    <t>PROJCS["WGS 72BE / UTM zone 11N",GEOGCS["WGS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32411"]]</t>
  </si>
  <si>
    <t xml:space="preserve">+proj=utm +zone=11 +ellps=WGS72 +towgs84=0,0,1.9,0,0,0.814,-0.38 +units=m +no_defs </t>
  </si>
  <si>
    <t>PROJCS["WGS 72BE / UTM zone 12N",GEOGCS["WGS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32412"]]</t>
  </si>
  <si>
    <t xml:space="preserve">+proj=utm +zone=12 +ellps=WGS72 +towgs84=0,0,1.9,0,0,0.814,-0.38 +units=m +no_defs </t>
  </si>
  <si>
    <t>PROJCS["WGS 72BE / UTM zone 13N",GEOGCS["WGS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32413"]]</t>
  </si>
  <si>
    <t xml:space="preserve">+proj=utm +zone=13 +ellps=WGS72 +towgs84=0,0,1.9,0,0,0.814,-0.38 +units=m +no_defs </t>
  </si>
  <si>
    <t>PROJCS["WGS 72BE / UTM zone 14N",GEOGCS["WGS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32414"]]</t>
  </si>
  <si>
    <t xml:space="preserve">+proj=utm +zone=14 +ellps=WGS72 +towgs84=0,0,1.9,0,0,0.814,-0.38 +units=m +no_defs </t>
  </si>
  <si>
    <t>PROJCS["WGS 72BE / UTM zone 15N",GEOGCS["WGS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32415"]]</t>
  </si>
  <si>
    <t xml:space="preserve">+proj=utm +zone=15 +ellps=WGS72 +towgs84=0,0,1.9,0,0,0.814,-0.38 +units=m +no_defs </t>
  </si>
  <si>
    <t>PROJCS["WGS 72BE / UTM zone 16N",GEOGCS["WGS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32416"]]</t>
  </si>
  <si>
    <t xml:space="preserve">+proj=utm +zone=16 +ellps=WGS72 +towgs84=0,0,1.9,0,0,0.814,-0.38 +units=m +no_defs </t>
  </si>
  <si>
    <t>PROJCS["WGS 72BE / UTM zone 17N",GEOGCS["WGS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32417"]]</t>
  </si>
  <si>
    <t xml:space="preserve">+proj=utm +zone=17 +ellps=WGS72 +towgs84=0,0,1.9,0,0,0.814,-0.38 +units=m +no_defs </t>
  </si>
  <si>
    <t>PROJCS["WGS 72BE / UTM zone 18N",GEOGCS["WGS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32418"]]</t>
  </si>
  <si>
    <t xml:space="preserve">+proj=utm +zone=18 +ellps=WGS72 +towgs84=0,0,1.9,0,0,0.814,-0.38 +units=m +no_defs </t>
  </si>
  <si>
    <t>PROJCS["WGS 72BE / UTM zone 19N",GEOGCS["WGS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32419"]]</t>
  </si>
  <si>
    <t xml:space="preserve">+proj=utm +zone=19 +ellps=WGS72 +towgs84=0,0,1.9,0,0,0.814,-0.38 +units=m +no_defs </t>
  </si>
  <si>
    <t>PROJCS["WGS 72BE / UTM zone 20N",GEOGCS["WGS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32420"]]</t>
  </si>
  <si>
    <t xml:space="preserve">+proj=utm +zone=20 +ellps=WGS72 +towgs84=0,0,1.9,0,0,0.814,-0.38 +units=m +no_defs </t>
  </si>
  <si>
    <t>PROJCS["WGS 72BE / UTM zone 21N",GEOGCS["WGS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32421"]]</t>
  </si>
  <si>
    <t xml:space="preserve">+proj=utm +zone=21 +ellps=WGS72 +towgs84=0,0,1.9,0,0,0.814,-0.38 +units=m +no_defs </t>
  </si>
  <si>
    <t>PROJCS["WGS 72BE / UTM zone 22N",GEOGCS["WGS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32422"]]</t>
  </si>
  <si>
    <t xml:space="preserve">+proj=utm +zone=22 +ellps=WGS72 +towgs84=0,0,1.9,0,0,0.814,-0.38 +units=m +no_defs </t>
  </si>
  <si>
    <t>PROJCS["WGS 72BE / UTM zone 23N",GEOGCS["WGS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32423"]]</t>
  </si>
  <si>
    <t xml:space="preserve">+proj=utm +zone=23 +ellps=WGS72 +towgs84=0,0,1.9,0,0,0.814,-0.38 +units=m +no_defs </t>
  </si>
  <si>
    <t>PROJCS["WGS 72BE / UTM zone 24N",GEOGCS["WGS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32424"]]</t>
  </si>
  <si>
    <t xml:space="preserve">+proj=utm +zone=24 +ellps=WGS72 +towgs84=0,0,1.9,0,0,0.814,-0.38 +units=m +no_defs </t>
  </si>
  <si>
    <t>PROJCS["WGS 72BE / UTM zone 25N",GEOGCS["WGS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32425"]]</t>
  </si>
  <si>
    <t xml:space="preserve">+proj=utm +zone=25 +ellps=WGS72 +towgs84=0,0,1.9,0,0,0.814,-0.38 +units=m +no_defs </t>
  </si>
  <si>
    <t>PROJCS["WGS 72BE / UTM zone 26N",GEOGCS["WGS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32426"]]</t>
  </si>
  <si>
    <t xml:space="preserve">+proj=utm +zone=26 +ellps=WGS72 +towgs84=0,0,1.9,0,0,0.814,-0.38 +units=m +no_defs </t>
  </si>
  <si>
    <t>PROJCS["WGS 72BE / UTM zone 27N",GEOGCS["WGS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32427"]]</t>
  </si>
  <si>
    <t xml:space="preserve">+proj=utm +zone=27 +ellps=WGS72 +towgs84=0,0,1.9,0,0,0.814,-0.38 +units=m +no_defs </t>
  </si>
  <si>
    <t>PROJCS["WGS 72BE / UTM zone 28N",GEOGCS["WGS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32428"]]</t>
  </si>
  <si>
    <t xml:space="preserve">+proj=utm +zone=28 +ellps=WGS72 +towgs84=0,0,1.9,0,0,0.814,-0.38 +units=m +no_defs </t>
  </si>
  <si>
    <t>PROJCS["WGS 72BE / UTM zone 29N",GEOGCS["WGS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32429"]]</t>
  </si>
  <si>
    <t xml:space="preserve">+proj=utm +zone=29 +ellps=WGS72 +towgs84=0,0,1.9,0,0,0.814,-0.38 +units=m +no_defs </t>
  </si>
  <si>
    <t>PROJCS["WGS 72BE / UTM zone 30N",GEOGCS["WGS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32430"]]</t>
  </si>
  <si>
    <t xml:space="preserve">+proj=utm +zone=30 +ellps=WGS72 +towgs84=0,0,1.9,0,0,0.814,-0.38 +units=m +no_defs </t>
  </si>
  <si>
    <t>PROJCS["WGS 72BE / UTM zone 31N",GEOGCS["WGS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32431"]]</t>
  </si>
  <si>
    <t xml:space="preserve">+proj=utm +zone=31 +ellps=WGS72 +towgs84=0,0,1.9,0,0,0.814,-0.38 +units=m +no_defs </t>
  </si>
  <si>
    <t>PROJCS["WGS 72BE / UTM zone 32N",GEOGCS["WGS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32432"]]</t>
  </si>
  <si>
    <t xml:space="preserve">+proj=utm +zone=32 +ellps=WGS72 +towgs84=0,0,1.9,0,0,0.814,-0.38 +units=m +no_defs </t>
  </si>
  <si>
    <t>PROJCS["WGS 72BE / UTM zone 33N",GEOGCS["WGS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32433"]]</t>
  </si>
  <si>
    <t xml:space="preserve">+proj=utm +zone=33 +ellps=WGS72 +towgs84=0,0,1.9,0,0,0.814,-0.38 +units=m +no_defs </t>
  </si>
  <si>
    <t>PROJCS["WGS 72BE / UTM zone 34N",GEOGCS["WGS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32434"]]</t>
  </si>
  <si>
    <t xml:space="preserve">+proj=utm +zone=34 +ellps=WGS72 +towgs84=0,0,1.9,0,0,0.814,-0.38 +units=m +no_defs </t>
  </si>
  <si>
    <t>PROJCS["WGS 72BE / UTM zone 35N",GEOGCS["WGS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32435"]]</t>
  </si>
  <si>
    <t xml:space="preserve">+proj=utm +zone=35 +ellps=WGS72 +towgs84=0,0,1.9,0,0,0.814,-0.38 +units=m +no_defs </t>
  </si>
  <si>
    <t>PROJCS["WGS 72BE / UTM zone 36N",GEOGCS["WGS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32436"]]</t>
  </si>
  <si>
    <t xml:space="preserve">+proj=utm +zone=36 +ellps=WGS72 +towgs84=0,0,1.9,0,0,0.814,-0.38 +units=m +no_defs </t>
  </si>
  <si>
    <t>PROJCS["WGS 72BE / UTM zone 37N",GEOGCS["WGS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32437"]]</t>
  </si>
  <si>
    <t xml:space="preserve">+proj=utm +zone=37 +ellps=WGS72 +towgs84=0,0,1.9,0,0,0.814,-0.38 +units=m +no_defs </t>
  </si>
  <si>
    <t>PROJCS["WGS 72BE / UTM zone 38N",GEOGCS["WGS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32438"]]</t>
  </si>
  <si>
    <t xml:space="preserve">+proj=utm +zone=38 +ellps=WGS72 +towgs84=0,0,1.9,0,0,0.814,-0.38 +units=m +no_defs </t>
  </si>
  <si>
    <t>PROJCS["WGS 72BE / UTM zone 39N",GEOGCS["WGS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32439"]]</t>
  </si>
  <si>
    <t xml:space="preserve">+proj=utm +zone=39 +ellps=WGS72 +towgs84=0,0,1.9,0,0,0.814,-0.38 +units=m +no_defs </t>
  </si>
  <si>
    <t>PROJCS["WGS 72BE / UTM zone 40N",GEOGCS["WGS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32440"]]</t>
  </si>
  <si>
    <t xml:space="preserve">+proj=utm +zone=40 +ellps=WGS72 +towgs84=0,0,1.9,0,0,0.814,-0.38 +units=m +no_defs </t>
  </si>
  <si>
    <t>PROJCS["WGS 72BE / UTM zone 41N",GEOGCS["WGS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32441"]]</t>
  </si>
  <si>
    <t xml:space="preserve">+proj=utm +zone=41 +ellps=WGS72 +towgs84=0,0,1.9,0,0,0.814,-0.38 +units=m +no_defs </t>
  </si>
  <si>
    <t>PROJCS["WGS 72BE / UTM zone 42N",GEOGCS["WGS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32442"]]</t>
  </si>
  <si>
    <t xml:space="preserve">+proj=utm +zone=42 +ellps=WGS72 +towgs84=0,0,1.9,0,0,0.814,-0.38 +units=m +no_defs </t>
  </si>
  <si>
    <t>PROJCS["WGS 72BE / UTM zone 43N",GEOGCS["WGS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32443"]]</t>
  </si>
  <si>
    <t xml:space="preserve">+proj=utm +zone=43 +ellps=WGS72 +towgs84=0,0,1.9,0,0,0.814,-0.38 +units=m +no_defs </t>
  </si>
  <si>
    <t>PROJCS["WGS 72BE / UTM zone 44N",GEOGCS["WGS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81],PARAMETER["scale_factor",0.9996],PARAMETER["false_easting",500000],PARAMETER["false_northing",0],UNIT["metre",1,AUTHORITY["EPSG","9001"]],AXIS["Easting",EAST],AXIS["Northing",NORTH],AUTHORITY["EPSG","32444"]]</t>
  </si>
  <si>
    <t xml:space="preserve">+proj=utm +zone=44 +ellps=WGS72 +towgs84=0,0,1.9,0,0,0.814,-0.38 +units=m +no_defs </t>
  </si>
  <si>
    <t>PROJCS["WGS 72BE / UTM zone 45N",GEOGCS["WGS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32445"]]</t>
  </si>
  <si>
    <t xml:space="preserve">+proj=utm +zone=45 +ellps=WGS72 +towgs84=0,0,1.9,0,0,0.814,-0.38 +units=m +no_defs </t>
  </si>
  <si>
    <t>PROJCS["WGS 72BE / UTM zone 46N",GEOGCS["WGS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32446"]]</t>
  </si>
  <si>
    <t xml:space="preserve">+proj=utm +zone=46 +ellps=WGS72 +towgs84=0,0,1.9,0,0,0.814,-0.38 +units=m +no_defs </t>
  </si>
  <si>
    <t>PROJCS["WGS 72BE / UTM zone 47N",GEOGCS["WGS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32447"]]</t>
  </si>
  <si>
    <t xml:space="preserve">+proj=utm +zone=47 +ellps=WGS72 +towgs84=0,0,1.9,0,0,0.814,-0.38 +units=m +no_defs </t>
  </si>
  <si>
    <t>PROJCS["WGS 72BE / UTM zone 48N",GEOGCS["WGS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32448"]]</t>
  </si>
  <si>
    <t xml:space="preserve">+proj=utm +zone=48 +ellps=WGS72 +towgs84=0,0,1.9,0,0,0.814,-0.38 +units=m +no_defs </t>
  </si>
  <si>
    <t>PROJCS["WGS 72BE / UTM zone 49N",GEOGCS["WGS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32449"]]</t>
  </si>
  <si>
    <t xml:space="preserve">+proj=utm +zone=49 +ellps=WGS72 +towgs84=0,0,1.9,0,0,0.814,-0.38 +units=m +no_defs </t>
  </si>
  <si>
    <t>PROJCS["WGS 72BE / UTM zone 50N",GEOGCS["WGS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32450"]]</t>
  </si>
  <si>
    <t xml:space="preserve">+proj=utm +zone=50 +ellps=WGS72 +towgs84=0,0,1.9,0,0,0.814,-0.38 +units=m +no_defs </t>
  </si>
  <si>
    <t>PROJCS["WGS 72BE / UTM zone 51N",GEOGCS["WGS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32451"]]</t>
  </si>
  <si>
    <t xml:space="preserve">+proj=utm +zone=51 +ellps=WGS72 +towgs84=0,0,1.9,0,0,0.814,-0.38 +units=m +no_defs </t>
  </si>
  <si>
    <t>PROJCS["WGS 72BE / UTM zone 52N",GEOGCS["WGS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32452"]]</t>
  </si>
  <si>
    <t xml:space="preserve">+proj=utm +zone=52 +ellps=WGS72 +towgs84=0,0,1.9,0,0,0.814,-0.38 +units=m +no_defs </t>
  </si>
  <si>
    <t>PROJCS["WGS 72BE / UTM zone 53N",GEOGCS["WGS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32453"]]</t>
  </si>
  <si>
    <t xml:space="preserve">+proj=utm +zone=53 +ellps=WGS72 +towgs84=0,0,1.9,0,0,0.814,-0.38 +units=m +no_defs </t>
  </si>
  <si>
    <t>PROJCS["WGS 72BE / UTM zone 54N",GEOGCS["WGS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32454"]]</t>
  </si>
  <si>
    <t xml:space="preserve">+proj=utm +zone=54 +ellps=WGS72 +towgs84=0,0,1.9,0,0,0.814,-0.38 +units=m +no_defs </t>
  </si>
  <si>
    <t>PROJCS["WGS 72BE / UTM zone 55N",GEOGCS["WGS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32455"]]</t>
  </si>
  <si>
    <t xml:space="preserve">+proj=utm +zone=55 +ellps=WGS72 +towgs84=0,0,1.9,0,0,0.814,-0.38 +units=m +no_defs </t>
  </si>
  <si>
    <t>PROJCS["WGS 72BE / UTM zone 56N",GEOGCS["WGS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153],PARAMETER["scale_factor",0.9996],PARAMETER["false_easting",500000],PARAMETER["false_northing",0],UNIT["metre",1,AUTHORITY["EPSG","9001"]],AXIS["Easting",EAST],AXIS["Northing",NORTH],AUTHORITY["EPSG","32456"]]</t>
  </si>
  <si>
    <t xml:space="preserve">+proj=utm +zone=56 +ellps=WGS72 +towgs84=0,0,1.9,0,0,0.814,-0.38 +units=m +no_defs </t>
  </si>
  <si>
    <t>PROJCS["WGS 72BE / UTM zone 57N",GEOGCS["WGS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159],PARAMETER["scale_factor",0.9996],PARAMETER["false_easting",500000],PARAMETER["false_northing",0],UNIT["metre",1,AUTHORITY["EPSG","9001"]],AXIS["Easting",EAST],AXIS["Northing",NORTH],AUTHORITY["EPSG","32457"]]</t>
  </si>
  <si>
    <t xml:space="preserve">+proj=utm +zone=57 +ellps=WGS72 +towgs84=0,0,1.9,0,0,0.814,-0.38 +units=m +no_defs </t>
  </si>
  <si>
    <t>PROJCS["WGS 72BE / UTM zone 58N",GEOGCS["WGS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165],PARAMETER["scale_factor",0.9996],PARAMETER["false_easting",500000],PARAMETER["false_northing",0],UNIT["metre",1,AUTHORITY["EPSG","9001"]],AXIS["Easting",EAST],AXIS["Northing",NORTH],AUTHORITY["EPSG","32458"]]</t>
  </si>
  <si>
    <t xml:space="preserve">+proj=utm +zone=58 +ellps=WGS72 +towgs84=0,0,1.9,0,0,0.814,-0.38 +units=m +no_defs </t>
  </si>
  <si>
    <t>PROJCS["WGS 72BE / UTM zone 59N",GEOGCS["WGS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32459"]]</t>
  </si>
  <si>
    <t xml:space="preserve">+proj=utm +zone=59 +ellps=WGS72 +towgs84=0,0,1.9,0,0,0.814,-0.38 +units=m +no_defs </t>
  </si>
  <si>
    <t>PROJCS["WGS 72BE / UTM zone 60N",GEOGCS["WGS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32460"]]</t>
  </si>
  <si>
    <t xml:space="preserve">+proj=utm +zone=60 +ellps=WGS72 +towgs84=0,0,1.9,0,0,0.814,-0.38 +units=m +no_defs </t>
  </si>
  <si>
    <t>PROJCS["WGS 72BE / UTM zone 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32501"]]</t>
  </si>
  <si>
    <t xml:space="preserve">+proj=utm +zone=1 +south +ellps=WGS72 +towgs84=0,0,1.9,0,0,0.814,-0.38 +units=m +no_defs </t>
  </si>
  <si>
    <t>PROJCS["WGS 72BE / UTM zone 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32502"]]</t>
  </si>
  <si>
    <t xml:space="preserve">+proj=utm +zone=2 +south +ellps=WGS72 +towgs84=0,0,1.9,0,0,0.814,-0.38 +units=m +no_defs </t>
  </si>
  <si>
    <t>PROJCS["WGS 72BE / UTM zone 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-165],PARAMETER["scale_factor",0.9996],PARAMETER["false_easting",500000],PARAMETER["false_northing",10000000],UNIT["metre",1,AUTHORITY["EPSG","9001"]],AXIS["Easting",EAST],AXIS["Northing",NORTH],AUTHORITY["EPSG","32503"]]</t>
  </si>
  <si>
    <t xml:space="preserve">+proj=utm +zone=3 +south +ellps=WGS72 +towgs84=0,0,1.9,0,0,0.814,-0.38 +units=m +no_defs </t>
  </si>
  <si>
    <t>PROJCS["WGS 72BE / UTM zone 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-159],PARAMETER["scale_factor",0.9996],PARAMETER["false_easting",500000],PARAMETER["false_northing",10000000],UNIT["metre",1,AUTHORITY["EPSG","9001"]],AXIS["Easting",EAST],AXIS["Northing",NORTH],AUTHORITY["EPSG","32504"]]</t>
  </si>
  <si>
    <t xml:space="preserve">+proj=utm +zone=4 +south +ellps=WGS72 +towgs84=0,0,1.9,0,0,0.814,-0.38 +units=m +no_defs </t>
  </si>
  <si>
    <t>PROJCS["WGS 72BE / UTM zone 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32505"]]</t>
  </si>
  <si>
    <t xml:space="preserve">+proj=utm +zone=5 +south +ellps=WGS72 +towgs84=0,0,1.9,0,0,0.814,-0.38 +units=m +no_defs </t>
  </si>
  <si>
    <t>PROJCS["WGS 72BE / UTM zone 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32506"]]</t>
  </si>
  <si>
    <t xml:space="preserve">+proj=utm +zone=6 +south +ellps=WGS72 +towgs84=0,0,1.9,0,0,0.814,-0.38 +units=m +no_defs </t>
  </si>
  <si>
    <t>PROJCS["WGS 72BE / UTM zone 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32507"]]</t>
  </si>
  <si>
    <t xml:space="preserve">+proj=utm +zone=7 +south +ellps=WGS72 +towgs84=0,0,1.9,0,0,0.814,-0.38 +units=m +no_defs </t>
  </si>
  <si>
    <t>PROJCS["WGS 72BE / UTM zone 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-135],PARAMETER["scale_factor",0.9996],PARAMETER["false_easting",500000],PARAMETER["false_northing",10000000],UNIT["metre",1,AUTHORITY["EPSG","9001"]],AXIS["Easting",EAST],AXIS["Northing",NORTH],AUTHORITY["EPSG","32508"]]</t>
  </si>
  <si>
    <t xml:space="preserve">+proj=utm +zone=8 +south +ellps=WGS72 +towgs84=0,0,1.9,0,0,0.814,-0.38 +units=m +no_defs </t>
  </si>
  <si>
    <t>PROJCS["WGS 72BE / UTM zone 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-129],PARAMETER["scale_factor",0.9996],PARAMETER["false_easting",500000],PARAMETER["false_northing",10000000],UNIT["metre",1,AUTHORITY["EPSG","9001"]],AXIS["Easting",EAST],AXIS["Northing",NORTH],AUTHORITY["EPSG","32509"]]</t>
  </si>
  <si>
    <t xml:space="preserve">+proj=utm +zone=9 +south +ellps=WGS72 +towgs84=0,0,1.9,0,0,0.814,-0.38 +units=m +no_defs </t>
  </si>
  <si>
    <t>PROJCS["WGS 72BE / UTM zone 10S",GEOGCS["WGS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-123],PARAMETER["scale_factor",0.9996],PARAMETER["false_easting",500000],PARAMETER["false_northing",10000000],UNIT["metre",1,AUTHORITY["EPSG","9001"]],AXIS["Easting",EAST],AXIS["Northing",NORTH],AUTHORITY["EPSG","32510"]]</t>
  </si>
  <si>
    <t xml:space="preserve">+proj=utm +zone=10 +south +ellps=WGS72 +towgs84=0,0,1.9,0,0,0.814,-0.38 +units=m +no_defs </t>
  </si>
  <si>
    <t>PROJCS["WGS 72BE / UTM zone 11S",GEOGCS["WGS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-117],PARAMETER["scale_factor",0.9996],PARAMETER["false_easting",500000],PARAMETER["false_northing",10000000],UNIT["metre",1,AUTHORITY["EPSG","9001"]],AXIS["Easting",EAST],AXIS["Northing",NORTH],AUTHORITY["EPSG","32511"]]</t>
  </si>
  <si>
    <t xml:space="preserve">+proj=utm +zone=11 +south +ellps=WGS72 +towgs84=0,0,1.9,0,0,0.814,-0.38 +units=m +no_defs </t>
  </si>
  <si>
    <t>PROJCS["WGS 72BE / UTM zone 12S",GEOGCS["WGS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-111],PARAMETER["scale_factor",0.9996],PARAMETER["false_easting",500000],PARAMETER["false_northing",10000000],UNIT["metre",1,AUTHORITY["EPSG","9001"]],AXIS["Easting",EAST],AXIS["Northing",NORTH],AUTHORITY["EPSG","32512"]]</t>
  </si>
  <si>
    <t xml:space="preserve">+proj=utm +zone=12 +south +ellps=WGS72 +towgs84=0,0,1.9,0,0,0.814,-0.38 +units=m +no_defs </t>
  </si>
  <si>
    <t>PROJCS["WGS 72BE / UTM zone 13S",GEOGCS["WGS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-105],PARAMETER["scale_factor",0.9996],PARAMETER["false_easting",500000],PARAMETER["false_northing",10000000],UNIT["metre",1,AUTHORITY["EPSG","9001"]],AXIS["Easting",EAST],AXIS["Northing",NORTH],AUTHORITY["EPSG","32513"]]</t>
  </si>
  <si>
    <t xml:space="preserve">+proj=utm +zone=13 +south +ellps=WGS72 +towgs84=0,0,1.9,0,0,0.814,-0.38 +units=m +no_defs </t>
  </si>
  <si>
    <t>PROJCS["WGS 72BE / UTM zone 14S",GEOGCS["WGS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-99],PARAMETER["scale_factor",0.9996],PARAMETER["false_easting",500000],PARAMETER["false_northing",10000000],UNIT["metre",1,AUTHORITY["EPSG","9001"]],AXIS["Easting",EAST],AXIS["Northing",NORTH],AUTHORITY["EPSG","32514"]]</t>
  </si>
  <si>
    <t xml:space="preserve">+proj=utm +zone=14 +south +ellps=WGS72 +towgs84=0,0,1.9,0,0,0.814,-0.38 +units=m +no_defs </t>
  </si>
  <si>
    <t>PROJCS["WGS 72BE / UTM zone 15S",GEOGCS["WGS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-93],PARAMETER["scale_factor",0.9996],PARAMETER["false_easting",500000],PARAMETER["false_northing",10000000],UNIT["metre",1,AUTHORITY["EPSG","9001"]],AXIS["Easting",EAST],AXIS["Northing",NORTH],AUTHORITY["EPSG","32515"]]</t>
  </si>
  <si>
    <t xml:space="preserve">+proj=utm +zone=15 +south +ellps=WGS72 +towgs84=0,0,1.9,0,0,0.814,-0.38 +units=m +no_defs </t>
  </si>
  <si>
    <t>PROJCS["WGS 72BE / UTM zone 16S",GEOGCS["WGS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-87],PARAMETER["scale_factor",0.9996],PARAMETER["false_easting",500000],PARAMETER["false_northing",10000000],UNIT["metre",1,AUTHORITY["EPSG","9001"]],AXIS["Easting",EAST],AXIS["Northing",NORTH],AUTHORITY["EPSG","32516"]]</t>
  </si>
  <si>
    <t xml:space="preserve">+proj=utm +zone=16 +south +ellps=WGS72 +towgs84=0,0,1.9,0,0,0.814,-0.38 +units=m +no_defs </t>
  </si>
  <si>
    <t>PROJCS["WGS 72BE / UTM zone 17S",GEOGCS["WGS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32517"]]</t>
  </si>
  <si>
    <t xml:space="preserve">+proj=utm +zone=17 +south +ellps=WGS72 +towgs84=0,0,1.9,0,0,0.814,-0.38 +units=m +no_defs </t>
  </si>
  <si>
    <t>PROJCS["WGS 72BE / UTM zone 18S",GEOGCS["WGS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32518"]]</t>
  </si>
  <si>
    <t xml:space="preserve">+proj=utm +zone=18 +south +ellps=WGS72 +towgs84=0,0,1.9,0,0,0.814,-0.38 +units=m +no_defs </t>
  </si>
  <si>
    <t>PROJCS["WGS 72BE / UTM zone 19S",GEOGCS["WGS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32519"]]</t>
  </si>
  <si>
    <t xml:space="preserve">+proj=utm +zone=19 +south +ellps=WGS72 +towgs84=0,0,1.9,0,0,0.814,-0.38 +units=m +no_defs </t>
  </si>
  <si>
    <t>PROJCS["WGS 72BE / UTM zone 20S",GEOGCS["WGS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32520"]]</t>
  </si>
  <si>
    <t xml:space="preserve">+proj=utm +zone=20 +south +ellps=WGS72 +towgs84=0,0,1.9,0,0,0.814,-0.38 +units=m +no_defs </t>
  </si>
  <si>
    <t>PROJCS["WGS 72BE / UTM zone 21S",GEOGCS["WGS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32521"]]</t>
  </si>
  <si>
    <t xml:space="preserve">+proj=utm +zone=21 +south +ellps=WGS72 +towgs84=0,0,1.9,0,0,0.814,-0.38 +units=m +no_defs </t>
  </si>
  <si>
    <t>PROJCS["WGS 72BE / UTM zone 22S",GEOGCS["WGS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32522"]]</t>
  </si>
  <si>
    <t xml:space="preserve">+proj=utm +zone=22 +south +ellps=WGS72 +towgs84=0,0,1.9,0,0,0.814,-0.38 +units=m +no_defs </t>
  </si>
  <si>
    <t>PROJCS["WGS 72BE / UTM zone 23S",GEOGCS["WGS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32523"]]</t>
  </si>
  <si>
    <t xml:space="preserve">+proj=utm +zone=23 +south +ellps=WGS72 +towgs84=0,0,1.9,0,0,0.814,-0.38 +units=m +no_defs </t>
  </si>
  <si>
    <t>PROJCS["WGS 72BE / UTM zone 24S",GEOGCS["WGS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32524"]]</t>
  </si>
  <si>
    <t xml:space="preserve">+proj=utm +zone=24 +south +ellps=WGS72 +towgs84=0,0,1.9,0,0,0.814,-0.38 +units=m +no_defs </t>
  </si>
  <si>
    <t>PROJCS["WGS 72BE / UTM zone 25S",GEOGCS["WGS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32525"]]</t>
  </si>
  <si>
    <t xml:space="preserve">+proj=utm +zone=25 +south +ellps=WGS72 +towgs84=0,0,1.9,0,0,0.814,-0.38 +units=m +no_defs </t>
  </si>
  <si>
    <t>PROJCS["WGS 72BE / UTM zone 26S",GEOGCS["WGS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-27],PARAMETER["scale_factor",0.9996],PARAMETER["false_easting",500000],PARAMETER["false_northing",10000000],UNIT["metre",1,AUTHORITY["EPSG","9001"]],AXIS["Easting",EAST],AXIS["Northing",NORTH],AUTHORITY["EPSG","32526"]]</t>
  </si>
  <si>
    <t xml:space="preserve">+proj=utm +zone=26 +south +ellps=WGS72 +towgs84=0,0,1.9,0,0,0.814,-0.38 +units=m +no_defs </t>
  </si>
  <si>
    <t>PROJCS["WGS 72BE / UTM zone 27S",GEOGCS["WGS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-21],PARAMETER["scale_factor",0.9996],PARAMETER["false_easting",500000],PARAMETER["false_northing",10000000],UNIT["metre",1,AUTHORITY["EPSG","9001"]],AXIS["Easting",EAST],AXIS["Northing",NORTH],AUTHORITY["EPSG","32527"]]</t>
  </si>
  <si>
    <t xml:space="preserve">+proj=utm +zone=27 +south +ellps=WGS72 +towgs84=0,0,1.9,0,0,0.814,-0.38 +units=m +no_defs </t>
  </si>
  <si>
    <t>PROJCS["WGS 72BE / UTM zone 28S",GEOGCS["WGS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-15],PARAMETER["scale_factor",0.9996],PARAMETER["false_easting",500000],PARAMETER["false_northing",10000000],UNIT["metre",1,AUTHORITY["EPSG","9001"]],AXIS["Easting",EAST],AXIS["Northing",NORTH],AUTHORITY["EPSG","32528"]]</t>
  </si>
  <si>
    <t xml:space="preserve">+proj=utm +zone=28 +south +ellps=WGS72 +towgs84=0,0,1.9,0,0,0.814,-0.38 +units=m +no_defs </t>
  </si>
  <si>
    <t>PROJCS["WGS 72BE / UTM zone 29S",GEOGCS["WGS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-9],PARAMETER["scale_factor",0.9996],PARAMETER["false_easting",500000],PARAMETER["false_northing",10000000],UNIT["metre",1,AUTHORITY["EPSG","9001"]],AXIS["Easting",EAST],AXIS["Northing",NORTH],AUTHORITY["EPSG","32529"]]</t>
  </si>
  <si>
    <t xml:space="preserve">+proj=utm +zone=29 +south +ellps=WGS72 +towgs84=0,0,1.9,0,0,0.814,-0.38 +units=m +no_defs </t>
  </si>
  <si>
    <t>PROJCS["WGS 72BE / UTM zone 30S",GEOGCS["WGS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32530"]]</t>
  </si>
  <si>
    <t xml:space="preserve">+proj=utm +zone=30 +south +ellps=WGS72 +towgs84=0,0,1.9,0,0,0.814,-0.38 +units=m +no_defs </t>
  </si>
  <si>
    <t>PROJCS["WGS 72BE / UTM zone 31S",GEOGCS["WGS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3],PARAMETER["scale_factor",0.9996],PARAMETER["false_easting",500000],PARAMETER["false_northing",10000000],UNIT["metre",1,AUTHORITY["EPSG","9001"]],AXIS["Easting",EAST],AXIS["Northing",NORTH],AUTHORITY["EPSG","32531"]]</t>
  </si>
  <si>
    <t xml:space="preserve">+proj=utm +zone=31 +south +ellps=WGS72 +towgs84=0,0,1.9,0,0,0.814,-0.38 +units=m +no_defs </t>
  </si>
  <si>
    <t>PROJCS["WGS 72BE / UTM zone 32S",GEOGCS["WGS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32532"]]</t>
  </si>
  <si>
    <t xml:space="preserve">+proj=utm +zone=32 +south +ellps=WGS72 +towgs84=0,0,1.9,0,0,0.814,-0.38 +units=m +no_defs </t>
  </si>
  <si>
    <t>PROJCS["WGS 72BE / UTM zone 33S",GEOGCS["WGS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32533"]]</t>
  </si>
  <si>
    <t xml:space="preserve">+proj=utm +zone=33 +south +ellps=WGS72 +towgs84=0,0,1.9,0,0,0.814,-0.38 +units=m +no_defs </t>
  </si>
  <si>
    <t>PROJCS["WGS 72BE / UTM zone 34S",GEOGCS["WGS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32534"]]</t>
  </si>
  <si>
    <t xml:space="preserve">+proj=utm +zone=34 +south +ellps=WGS72 +towgs84=0,0,1.9,0,0,0.814,-0.38 +units=m +no_defs </t>
  </si>
  <si>
    <t>PROJCS["WGS 72BE / UTM zone 35S",GEOGCS["WGS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32535"]]</t>
  </si>
  <si>
    <t xml:space="preserve">+proj=utm +zone=35 +south +ellps=WGS72 +towgs84=0,0,1.9,0,0,0.814,-0.38 +units=m +no_defs </t>
  </si>
  <si>
    <t>PROJCS["WGS 72BE / UTM zone 36S",GEOGCS["WGS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32536"]]</t>
  </si>
  <si>
    <t xml:space="preserve">+proj=utm +zone=36 +south +ellps=WGS72 +towgs84=0,0,1.9,0,0,0.814,-0.38 +units=m +no_defs </t>
  </si>
  <si>
    <t>PROJCS["WGS 72BE / UTM zone 37S",GEOGCS["WGS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32537"]]</t>
  </si>
  <si>
    <t xml:space="preserve">+proj=utm +zone=37 +south +ellps=WGS72 +towgs84=0,0,1.9,0,0,0.814,-0.38 +units=m +no_defs </t>
  </si>
  <si>
    <t>PROJCS["WGS 72BE / UTM zone 38S",GEOGCS["WGS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32538"]]</t>
  </si>
  <si>
    <t xml:space="preserve">+proj=utm +zone=38 +south +ellps=WGS72 +towgs84=0,0,1.9,0,0,0.814,-0.38 +units=m +no_defs </t>
  </si>
  <si>
    <t>PROJCS["WGS 72BE / UTM zone 39S",GEOGCS["WGS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32539"]]</t>
  </si>
  <si>
    <t xml:space="preserve">+proj=utm +zone=39 +south +ellps=WGS72 +towgs84=0,0,1.9,0,0,0.814,-0.38 +units=m +no_defs </t>
  </si>
  <si>
    <t>PROJCS["WGS 72BE / UTM zone 40S",GEOGCS["WGS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32540"]]</t>
  </si>
  <si>
    <t xml:space="preserve">+proj=utm +zone=40 +south +ellps=WGS72 +towgs84=0,0,1.9,0,0,0.814,-0.38 +units=m +no_defs </t>
  </si>
  <si>
    <t>PROJCS["WGS 72BE / UTM zone 41S",GEOGCS["WGS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32541"]]</t>
  </si>
  <si>
    <t xml:space="preserve">+proj=utm +zone=41 +south +ellps=WGS72 +towgs84=0,0,1.9,0,0,0.814,-0.38 +units=m +no_defs </t>
  </si>
  <si>
    <t>PROJCS["WGS 72BE / UTM zone 42S",GEOGCS["WGS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32542"]]</t>
  </si>
  <si>
    <t xml:space="preserve">+proj=utm +zone=42 +south +ellps=WGS72 +towgs84=0,0,1.9,0,0,0.814,-0.38 +units=m +no_defs </t>
  </si>
  <si>
    <t>PROJCS["WGS 72BE / UTM zone 43S",GEOGCS["WGS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32543"]]</t>
  </si>
  <si>
    <t xml:space="preserve">+proj=utm +zone=43 +south +ellps=WGS72 +towgs84=0,0,1.9,0,0,0.814,-0.38 +units=m +no_defs </t>
  </si>
  <si>
    <t>PROJCS["WGS 72BE / UTM zone 44S",GEOGCS["WGS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32544"]]</t>
  </si>
  <si>
    <t xml:space="preserve">+proj=utm +zone=44 +south +ellps=WGS72 +towgs84=0,0,1.9,0,0,0.814,-0.38 +units=m +no_defs </t>
  </si>
  <si>
    <t>PROJCS["WGS 72BE / UTM zone 45S",GEOGCS["WGS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87],PARAMETER["scale_factor",0.9996],PARAMETER["false_easting",500000],PARAMETER["false_northing",10000000],UNIT["metre",1,AUTHORITY["EPSG","9001"]],AXIS["Easting",EAST],AXIS["Northing",NORTH],AUTHORITY["EPSG","32545"]]</t>
  </si>
  <si>
    <t xml:space="preserve">+proj=utm +zone=45 +south +ellps=WGS72 +towgs84=0,0,1.9,0,0,0.814,-0.38 +units=m +no_defs </t>
  </si>
  <si>
    <t>PROJCS["WGS 72BE / UTM zone 46S",GEOGCS["WGS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32546"]]</t>
  </si>
  <si>
    <t xml:space="preserve">+proj=utm +zone=46 +south +ellps=WGS72 +towgs84=0,0,1.9,0,0,0.814,-0.38 +units=m +no_defs </t>
  </si>
  <si>
    <t>PROJCS["WGS 72BE / UTM zone 47S",GEOGCS["WGS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32547"]]</t>
  </si>
  <si>
    <t xml:space="preserve">+proj=utm +zone=47 +south +ellps=WGS72 +towgs84=0,0,1.9,0,0,0.814,-0.38 +units=m +no_defs </t>
  </si>
  <si>
    <t>PROJCS["WGS 72BE / UTM zone 48S",GEOGCS["WGS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32548"]]</t>
  </si>
  <si>
    <t xml:space="preserve">+proj=utm +zone=48 +south +ellps=WGS72 +towgs84=0,0,1.9,0,0,0.814,-0.38 +units=m +no_defs </t>
  </si>
  <si>
    <t>PROJCS["WGS 72BE / UTM zone 49S",GEOGCS["WGS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32549"]]</t>
  </si>
  <si>
    <t xml:space="preserve">+proj=utm +zone=49 +south +ellps=WGS72 +towgs84=0,0,1.9,0,0,0.814,-0.38 +units=m +no_defs </t>
  </si>
  <si>
    <t>PROJCS["WGS 72BE / UTM zone 50S",GEOGCS["WGS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32550"]]</t>
  </si>
  <si>
    <t xml:space="preserve">+proj=utm +zone=50 +south +ellps=WGS72 +towgs84=0,0,1.9,0,0,0.814,-0.38 +units=m +no_defs </t>
  </si>
  <si>
    <t>PROJCS["WGS 72BE / UTM zone 51S",GEOGCS["WGS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32551"]]</t>
  </si>
  <si>
    <t xml:space="preserve">+proj=utm +zone=51 +south +ellps=WGS72 +towgs84=0,0,1.9,0,0,0.814,-0.38 +units=m +no_defs </t>
  </si>
  <si>
    <t>PROJCS["WGS 72BE / UTM zone 52S",GEOGCS["WGS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32552"]]</t>
  </si>
  <si>
    <t xml:space="preserve">+proj=utm +zone=52 +south +ellps=WGS72 +towgs84=0,0,1.9,0,0,0.814,-0.38 +units=m +no_defs </t>
  </si>
  <si>
    <t>PROJCS["WGS 72BE / UTM zone 53S",GEOGCS["WGS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32553"]]</t>
  </si>
  <si>
    <t xml:space="preserve">+proj=utm +zone=53 +south +ellps=WGS72 +towgs84=0,0,1.9,0,0,0.814,-0.38 +units=m +no_defs </t>
  </si>
  <si>
    <t>PROJCS["WGS 72BE / UTM zone 54S",GEOGCS["WGS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32554"]]</t>
  </si>
  <si>
    <t xml:space="preserve">+proj=utm +zone=54 +south +ellps=WGS72 +towgs84=0,0,1.9,0,0,0.814,-0.38 +units=m +no_defs </t>
  </si>
  <si>
    <t>PROJCS["WGS 72BE / UTM zone 55S",GEOGCS["WGS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32555"]]</t>
  </si>
  <si>
    <t xml:space="preserve">+proj=utm +zone=55 +south +ellps=WGS72 +towgs84=0,0,1.9,0,0,0.814,-0.38 +units=m +no_defs </t>
  </si>
  <si>
    <t>PROJCS["WGS 72BE / UTM zone 56S",GEOGCS["WGS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32556"]]</t>
  </si>
  <si>
    <t xml:space="preserve">+proj=utm +zone=56 +south +ellps=WGS72 +towgs84=0,0,1.9,0,0,0.814,-0.38 +units=m +no_defs </t>
  </si>
  <si>
    <t>PROJCS["WGS 72BE / UTM zone 57S",GEOGCS["WGS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32557"]]</t>
  </si>
  <si>
    <t xml:space="preserve">+proj=utm +zone=57 +south +ellps=WGS72 +towgs84=0,0,1.9,0,0,0.814,-0.38 +units=m +no_defs </t>
  </si>
  <si>
    <t>PROJCS["WGS 72BE / UTM zone 58S",GEOGCS["WGS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32558"]]</t>
  </si>
  <si>
    <t xml:space="preserve">+proj=utm +zone=58 +south +ellps=WGS72 +towgs84=0,0,1.9,0,0,0.814,-0.38 +units=m +no_defs </t>
  </si>
  <si>
    <t>PROJCS["WGS 72BE / UTM zone 59S",GEOGCS["WGS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32559"]]</t>
  </si>
  <si>
    <t xml:space="preserve">+proj=utm +zone=59 +south +ellps=WGS72 +towgs84=0,0,1.9,0,0,0.814,-0.38 +units=m +no_defs </t>
  </si>
  <si>
    <t>PROJCS["WGS 72BE / UTM zone 60S",GEOGCS["WGS 72BE",DATUM["WGS_1972_Transit_Broadcast_Ephemeris",SPHEROID["WGS 72",6378135,298.26,AUTHORITY["EPSG","7043"]],TOWGS84[0,0,1.9,0,0,0.814,-0.38],AUTHORITY["EPSG","6324"]],PRIMEM["Greenwich",0,AUTHORITY["EPSG","8901"]],UNIT["degree",0.0174532925199433,AUTHORITY["EPSG","9122"]],AUTHORITY["EPSG","4324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32560"]]</t>
  </si>
  <si>
    <t xml:space="preserve">+proj=utm +zone=60 +south +ellps=WGS72 +towgs84=0,0,1.9,0,0,0.814,-0.38 +units=m +no_defs </t>
  </si>
  <si>
    <t>PROJCS["WGS 84 / UTM zone 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-177],PARAMETER["scale_factor",0.9996],PARAMETER["false_easting",500000],PARAMETER["false_northing",0],UNIT["metre",1,AUTHORITY["EPSG","9001"]],AXIS["Easting",EAST],AXIS["Northing",NORTH],AUTHORITY["EPSG","32601"]]</t>
  </si>
  <si>
    <t>PROJCS["WGS 84 / UTM zone 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-171],PARAMETER["scale_factor",0.9996],PARAMETER["false_easting",500000],PARAMETER["false_northing",0],UNIT["metre",1,AUTHORITY["EPSG","9001"]],AXIS["Easting",EAST],AXIS["Northing",NORTH],AUTHORITY["EPSG","32602"]]</t>
  </si>
  <si>
    <t>PROJCS["WGS 84 / UTM zone 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-165],PARAMETER["scale_factor",0.9996],PARAMETER["false_easting",500000],PARAMETER["false_northing",0],UNIT["metre",1,AUTHORITY["EPSG","9001"]],AXIS["Easting",EAST],AXIS["Northing",NORTH],AUTHORITY["EPSG","32603"]]</t>
  </si>
  <si>
    <t>PROJCS["WGS 84 / UTM zone 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-159],PARAMETER["scale_factor",0.9996],PARAMETER["false_easting",500000],PARAMETER["false_northing",0],UNIT["metre",1,AUTHORITY["EPSG","9001"]],AXIS["Easting",EAST],AXIS["Northing",NORTH],AUTHORITY["EPSG","32604"]]</t>
  </si>
  <si>
    <t>GEOCCS["ITRF96 (geocentric)",DATUM["International_Terrestrial_Reference_Frame_1996",SPHEROID["GRS 1980",6378137,298.257222101,AUTHORITY["EPSG","7019"]],AUTHORITY["EPSG","6654"]],PRIMEM["Greenwich",0,AUTHORITY["EPSG","8901"]],UNIT["metre",1,AUTHORITY["EPSG","9001"]],AXIS["Geocentric X",OTHER],AXIS["Geocentric Y",OTHER],AXIS["Geocentric Z",NORTH],AUTHORITY["EPSG","4337"]]</t>
  </si>
  <si>
    <t>PROJCS["WGS 84 / UTM zone 23N",GEOGCS["WGS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-45],PARAMETER["scale_factor",0.9996],PARAMETER["false_easting",500000],PARAMETER["false_northing",0],UNIT["metre",1,AUTHORITY["EPSG","9001"]],AXIS["Easting",EAST],AXIS["Northing",NORTH],AUTHORITY["EPSG","32623"]]</t>
  </si>
  <si>
    <t>PROJCS["WGS 84 / UTM zone 24N",GEOGCS["WGS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-39],PARAMETER["scale_factor",0.9996],PARAMETER["false_easting",500000],PARAMETER["false_northing",0],UNIT["metre",1,AUTHORITY["EPSG","9001"]],AXIS["Easting",EAST],AXIS["Northing",NORTH],AUTHORITY["EPSG","32624"]]</t>
  </si>
  <si>
    <t>PROJCS["WGS 84 / UTM zone 25N",GEOGCS["WGS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-33],PARAMETER["scale_factor",0.9996],PARAMETER["false_easting",500000],PARAMETER["false_northing",0],UNIT["metre",1,AUTHORITY["EPSG","9001"]],AXIS["Easting",EAST],AXIS["Northing",NORTH],AUTHORITY["EPSG","32625"]]</t>
  </si>
  <si>
    <t>PROJCS["WGS 84 / UTM zone 26N",GEOGCS["WGS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-27],PARAMETER["scale_factor",0.9996],PARAMETER["false_easting",500000],PARAMETER["false_northing",0],UNIT["metre",1,AUTHORITY["EPSG","9001"]],AXIS["Easting",EAST],AXIS["Northing",NORTH],AUTHORITY["EPSG","32626"]]</t>
  </si>
  <si>
    <t>PROJCS["WGS 84 / UTM zone 27N",GEOGCS["WGS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-21],PARAMETER["scale_factor",0.9996],PARAMETER["false_easting",500000],PARAMETER["false_northing",0],UNIT["metre",1,AUTHORITY["EPSG","9001"]],AXIS["Easting",EAST],AXIS["Northing",NORTH],AUTHORITY["EPSG","32627"]]</t>
  </si>
  <si>
    <t>PROJCS["WGS 84 / UTM zone 28N",GEOGCS["WGS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-15],PARAMETER["scale_factor",0.9996],PARAMETER["false_easting",500000],PARAMETER["false_northing",0],UNIT["metre",1,AUTHORITY["EPSG","9001"]],AXIS["Easting",EAST],AXIS["Northing",NORTH],AUTHORITY["EPSG","32628"]]</t>
  </si>
  <si>
    <t>PROJCS["WGS 84 / UTM zone 29N",GEOGCS["WGS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-9],PARAMETER["scale_factor",0.9996],PARAMETER["false_easting",500000],PARAMETER["false_northing",0],UNIT["metre",1,AUTHORITY["EPSG","9001"]],AXIS["Easting",EAST],AXIS["Northing",NORTH],AUTHORITY["EPSG","32629"]]</t>
  </si>
  <si>
    <t>PROJCS["WGS 84 / UTM zone 30N",GEOGCS["WGS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-3],PARAMETER["scale_factor",0.9996],PARAMETER["false_easting",500000],PARAMETER["false_northing",0],UNIT["metre",1,AUTHORITY["EPSG","9001"]],AXIS["Easting",EAST],AXIS["Northing",NORTH],AUTHORITY["EPSG","32630"]]</t>
  </si>
  <si>
    <t>PROJCS["WGS 84 / UTM zone 31N",GEOGCS["WGS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32631"]]</t>
  </si>
  <si>
    <t>PROJCS["WGS 84 / UTM zone 32N",GEOGCS["WGS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32632"]]</t>
  </si>
  <si>
    <t>PROJCS["WGS 84 / UTM zone 33N",GEOGCS["WGS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32633"]]</t>
  </si>
  <si>
    <t>GEOCCS["CGRS93",DATUM["Cyprus_Geodetic_Reference_System_1993",SPHEROID["WGS 84",6378137,298.257223563,AUTHORITY["EPSG","7030"]],AUTHORITY["EPSG","1112"]],PRIMEM["Greenwich",0,AUTHORITY["EPSG","8901"]],UNIT["metre",1,AUTHORITY["EPSG","9001"]],AXIS["Geocentric X",OTHER],AXIS["Geocentric Y",OTHER],AXIS["Geocentric Z",NORTH],AUTHORITY["EPSG","6309"]]</t>
  </si>
  <si>
    <t>PROJCS["WGS 84 / UTM zone 34N",GEOGCS["WGS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32634"]]</t>
  </si>
  <si>
    <t>PROJCS["WGS 84 / UTM zone 35N",GEOGCS["WGS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32635"]]</t>
  </si>
  <si>
    <t>PROJCS["WGS 84 / UTM zone 36N",GEOGCS["WGS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32636"]]</t>
  </si>
  <si>
    <t>PROJCS["WGS 84 / UTM zone 37N",GEOGCS["WGS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39],PARAMETER["scale_factor",0.9996],PARAMETER["false_easting",500000],PARAMETER["false_northing",0],UNIT["metre",1,AUTHORITY["EPSG","9001"]],AXIS["Easting",EAST],AXIS["Northing",NORTH],AUTHORITY["EPSG","32637"]]</t>
  </si>
  <si>
    <t>PROJCS["WGS 84 / UTM zone 38N",GEOGCS["WGS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45],PARAMETER["scale_factor",0.9996],PARAMETER["false_easting",500000],PARAMETER["false_northing",0],UNIT["metre",1,AUTHORITY["EPSG","9001"]],AXIS["Easting",EAST],AXIS["Northing",NORTH],AUTHORITY["EPSG","32638"]]</t>
  </si>
  <si>
    <t>PROJCS["WGS 84 / UTM zone 39N",GEOGCS["WGS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51],PARAMETER["scale_factor",0.9996],PARAMETER["false_easting",500000],PARAMETER["false_northing",0],UNIT["metre",1,AUTHORITY["EPSG","9001"]],AXIS["Easting",EAST],AXIS["Northing",NORTH],AUTHORITY["EPSG","32639"]]</t>
  </si>
  <si>
    <t>PROJCS["WGS 84 / UTM zone 40N",GEOGCS["WGS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57],PARAMETER["scale_factor",0.9996],PARAMETER["false_easting",500000],PARAMETER["false_northing",0],UNIT["metre",1,AUTHORITY["EPSG","9001"]],AXIS["Easting",EAST],AXIS["Northing",NORTH],AUTHORITY["EPSG","32640"]]</t>
  </si>
  <si>
    <t>PROJCS["WGS 84 / UTM zone 41N",GEOGCS["WGS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63],PARAMETER["scale_factor",0.9996],PARAMETER["false_easting",500000],PARAMETER["false_northing",0],UNIT["metre",1,AUTHORITY["EPSG","9001"]],AXIS["Easting",EAST],AXIS["Northing",NORTH],AUTHORITY["EPSG","32641"]]</t>
  </si>
  <si>
    <t>PROJCS["WGS 84 / UTM zone 42N",GEOGCS["WGS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69],PARAMETER["scale_factor",0.9996],PARAMETER["false_easting",500000],PARAMETER["false_northing",0],UNIT["metre",1,AUTHORITY["EPSG","9001"]],AXIS["Easting",EAST],AXIS["Northing",NORTH],AUTHORITY["EPSG","32642"]]</t>
  </si>
  <si>
    <t>PROJCS["WGS 84 / UTM zone 43N",GEOGCS["WGS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75],PARAMETER["scale_factor",0.9996],PARAMETER["false_easting",500000],PARAMETER["false_northing",0],UNIT["metre",1,AUTHORITY["EPSG","9001"]],AXIS["Easting",EAST],AXIS["Northing",NORTH],AUTHORITY["EPSG","32643"]]</t>
  </si>
  <si>
    <t>PROJCS["WGS 84 / UTM zone 44N",GEOGCS["WGS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81],PARAMETER["scale_factor",0.9996],PARAMETER["false_easting",500000],PARAMETER["false_northing",0],UNIT["metre",1,AUTHORITY["EPSG","9001"]],AXIS["Easting",EAST],AXIS["Northing",NORTH],AUTHORITY["EPSG","32644"]]</t>
  </si>
  <si>
    <t>GEOCCS["WGS 84 (G1150)",DATUM["World_Geodetic_System_1984_G1150",SPHEROID["WGS 84",6378137,298.257223563,AUTHORITY["EPSG","7030"]],AUTHORITY["EPSG","1154"]],PRIMEM["Greenwich",0,AUTHORITY["EPSG","8901"]],UNIT["metre",1,AUTHORITY["EPSG","9001"]],AXIS["Geocentric X",OTHER],AXIS["Geocentric Y",OTHER],AXIS["Geocentric Z",NORTH],AUTHORITY["EPSG","7660"]]</t>
  </si>
  <si>
    <t>PROJCS["WGS 84 / UTM zone 45N",GEOGCS["WGS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87],PARAMETER["scale_factor",0.9996],PARAMETER["false_easting",500000],PARAMETER["false_northing",0],UNIT["metre",1,AUTHORITY["EPSG","9001"]],AXIS["Easting",EAST],AXIS["Northing",NORTH],AUTHORITY["EPSG","32645"]]</t>
  </si>
  <si>
    <t>PROJCS["WGS 84 / UTM zone 46N",GEOGCS["WGS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93],PARAMETER["scale_factor",0.9996],PARAMETER["false_easting",500000],PARAMETER["false_northing",0],UNIT["metre",1,AUTHORITY["EPSG","9001"]],AXIS["Easting",EAST],AXIS["Northing",NORTH],AUTHORITY["EPSG","32646"]]</t>
  </si>
  <si>
    <t>PROJCS["WGS 84 / UTM zone 47N",GEOGCS["WGS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99],PARAMETER["scale_factor",0.9996],PARAMETER["false_easting",500000],PARAMETER["false_northing",0],UNIT["metre",1,AUTHORITY["EPSG","9001"]],AXIS["Easting",EAST],AXIS["Northing",NORTH],AUTHORITY["EPSG","32647"]]</t>
  </si>
  <si>
    <t>PROJCS["WGS 84 / UTM zone 48N",GEOGCS["WGS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105],PARAMETER["scale_factor",0.9996],PARAMETER["false_easting",500000],PARAMETER["false_northing",0],UNIT["metre",1,AUTHORITY["EPSG","9001"]],AXIS["Easting",EAST],AXIS["Northing",NORTH],AUTHORITY["EPSG","32648"]]</t>
  </si>
  <si>
    <t>PROJCS["WGS 84 / UTM zone 49N",GEOGCS["WGS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111],PARAMETER["scale_factor",0.9996],PARAMETER["false_easting",500000],PARAMETER["false_northing",0],UNIT["metre",1,AUTHORITY["EPSG","9001"]],AXIS["Easting",EAST],AXIS["Northing",NORTH],AUTHORITY["EPSG","32649"]]</t>
  </si>
  <si>
    <t>PROJCS["WGS 84 / UTM zone 50N",GEOGCS["WGS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117],PARAMETER["scale_factor",0.9996],PARAMETER["false_easting",500000],PARAMETER["false_northing",0],UNIT["metre",1,AUTHORITY["EPSG","9001"]],AXIS["Easting",EAST],AXIS["Northing",NORTH],AUTHORITY["EPSG","32650"]]</t>
  </si>
  <si>
    <t>PROJCS["WGS 84 / UTM zone 51N",GEOGCS["WGS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123],PARAMETER["scale_factor",0.9996],PARAMETER["false_easting",500000],PARAMETER["false_northing",0],UNIT["metre",1,AUTHORITY["EPSG","9001"]],AXIS["Easting",EAST],AXIS["Northing",NORTH],AUTHORITY["EPSG","32651"]]</t>
  </si>
  <si>
    <t>PROJCS["WGS 84 / UTM zone 52N",GEOGCS["WGS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129],PARAMETER["scale_factor",0.9996],PARAMETER["false_easting",500000],PARAMETER["false_northing",0],UNIT["metre",1,AUTHORITY["EPSG","9001"]],AXIS["Easting",EAST],AXIS["Northing",NORTH],AUTHORITY["EPSG","32652"]]</t>
  </si>
  <si>
    <t>PROJCS["WGS 84 / UTM zone 53N",GEOGCS["WGS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135],PARAMETER["scale_factor",0.9996],PARAMETER["false_easting",500000],PARAMETER["false_northing",0],UNIT["metre",1,AUTHORITY["EPSG","9001"]],AXIS["Easting",EAST],AXIS["Northing",NORTH],AUTHORITY["EPSG","32653"]]</t>
  </si>
  <si>
    <t>PROJCS["WGS 84 / UTM zone 54N",GEOGCS["WGS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141],PARAMETER["scale_factor",0.9996],PARAMETER["false_easting",500000],PARAMETER["false_northing",0],UNIT["metre",1,AUTHORITY["EPSG","9001"]],AXIS["Easting",EAST],AXIS["Northing",NORTH],AUTHORITY["EPSG","32654"]]</t>
  </si>
  <si>
    <t>PROJCS["WGS 84 / UTM zone 55N",GEOGCS["WGS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147],PARAMETER["scale_factor",0.9996],PARAMETER["false_easting",500000],PARAMETER["false_northing",0],UNIT["metre",1,AUTHORITY["EPSG","9001"]],AXIS["Easting",EAST],AXIS["Northing",NORTH],AUTHORITY["EPSG","32655"]]</t>
  </si>
  <si>
    <t>GEOCCS["WGS 84 (G1674)",DATUM["World_Geodetic_System_1984_G1674",SPHEROID["WGS 84",6378137,298.257223563,AUTHORITY["EPSG","7030"]],AUTHORITY["EPSG","1155"]],PRIMEM["Greenwich",0,AUTHORITY["EPSG","8901"]],UNIT["metre",1,AUTHORITY["EPSG","9001"]],AXIS["Geocentric X",OTHER],AXIS["Geocentric Y",OTHER],AXIS["Geocentric Z",NORTH],AUTHORITY["EPSG","7662"]]</t>
  </si>
  <si>
    <t>PROJCS["WGS 84 / UTM zone 56N",GEOGCS["WGS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153],PARAMETER["scale_factor",0.9996],PARAMETER["false_easting",500000],PARAMETER["false_northing",0],UNIT["metre",1,AUTHORITY["EPSG","9001"]],AXIS["Easting",EAST],AXIS["Northing",NORTH],AUTHORITY["EPSG","32656"]]</t>
  </si>
  <si>
    <t>PROJCS["WGS 84 / UTM zone 57N",GEOGCS["WGS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159],PARAMETER["scale_factor",0.9996],PARAMETER["false_easting",500000],PARAMETER["false_northing",0],UNIT["metre",1,AUTHORITY["EPSG","9001"]],AXIS["Easting",EAST],AXIS["Northing",NORTH],AUTHORITY["EPSG","32657"]]</t>
  </si>
  <si>
    <t>PROJCS["WGS 84 / UTM zone 58N",GEOGCS["WGS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165],PARAMETER["scale_factor",0.9996],PARAMETER["false_easting",500000],PARAMETER["false_northing",0],UNIT["metre",1,AUTHORITY["EPSG","9001"]],AXIS["Easting",EAST],AXIS["Northing",NORTH],AUTHORITY["EPSG","32658"]]</t>
  </si>
  <si>
    <t>PROJCS["WGS 84 / UTM zone 59N",GEOGCS["WGS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171],PARAMETER["scale_factor",0.9996],PARAMETER["false_easting",500000],PARAMETER["false_northing",0],UNIT["metre",1,AUTHORITY["EPSG","9001"]],AXIS["Easting",EAST],AXIS["Northing",NORTH],AUTHORITY["EPSG","32659"]]</t>
  </si>
  <si>
    <t>PROJCS["WGS 84 / UTM zone 60N",GEOGCS["WGS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177],PARAMETER["scale_factor",0.9996],PARAMETER["false_easting",500000],PARAMETER["false_northing",0],UNIT["metre",1,AUTHORITY["EPSG","9001"]],AXIS["Easting",EAST],AXIS["Northing",NORTH],AUTHORITY["EPSG","32660"]]</t>
  </si>
  <si>
    <t>PROJCS["WGS 84 / UPS North (N,E)",GEOGCS["WGS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90],PARAMETER["central_meridian",0],PARAMETER["scale_factor",0.994],PARAMETER["false_easting",2000000],PARAMETER["false_northing",2000000],UNIT["metre",1,AUTHORITY["EPSG","9001"]],AUTHORITY["EPSG","32661"]]</t>
  </si>
  <si>
    <t>PROJCS["WGS 84 / Plate Carree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Equirectangular"],PARAMETER["latitude_of_origin",0],PARAMETER["central_meridian",0],PARAMETER["false_easting",0],PARAMETER["false_northing",0],UNIT["metre",1,AUTHORITY["EPSG","9001"]],AXIS["X",EAST],AXIS["Y",NORTH],AUTHORITY["EPSG","32662"]]</t>
  </si>
  <si>
    <t>PROJCS["WGS 84 / World Equidistant Cylindrical (deprecated)",GEOGCS["WGS 84",DATUM["WGS_1984",SPHEROID["WGS 84",6378137,298.257223563,AUTHORITY["EPSG","7030"]],AUTHORITY["EPSG","6326"]],PRIMEM["Greenwich",0,AUTHORITY["EPSG","8901"]],UNIT["degree",0.0174532925199433,AUTHORITY["EPSG","9122"]],AUTHORITY["EPSG","4326"]],PROJECTION["Equirectangular"],PARAMETER["latitude_of_origin",0],PARAMETER["central_meridian",0],PARAMETER["false_easting",0],PARAMETER["false_northing",0],UNIT["metre",1,AUTHORITY["EPSG","9001"]],AXIS["X",EAST],AXIS["Y",NORTH],AUTHORITY["EPSG","32663"]]</t>
  </si>
  <si>
    <t>PROJCS["WGS 84 / BLM 14N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-99],PARAMETER["scale_factor",0.9996],PARAMETER["false_easting",1640416.67],PARAMETER["false_northing",0],UNIT["US survey foot",0.3048006096012192,AUTHORITY["EPSG","9003"]],AXIS["X",EAST],AXIS["Y",NORTH],AUTHORITY["EPSG","32664"]]</t>
  </si>
  <si>
    <t>PROJCS["WGS 84 / BLM 15N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-93],PARAMETER["scale_factor",0.9996],PARAMETER["false_easting",1640416.67],PARAMETER["false_northing",0],UNIT["US survey foot",0.3048006096012192,AUTHORITY["EPSG","9003"]],AXIS["X",EAST],AXIS["Y",NORTH],AUTHORITY["EPSG","32665"]]</t>
  </si>
  <si>
    <t>PROJCS["WGS 84 / BLM 16N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-87],PARAMETER["scale_factor",0.9996],PARAMETER["false_easting",1640416.67],PARAMETER["false_northing",0],UNIT["US survey foot",0.3048006096012192,AUTHORITY["EPSG","9003"]],AXIS["X",EAST],AXIS["Y",NORTH],AUTHORITY["EPSG","32666"]]</t>
  </si>
  <si>
    <t>PROJCS["WGS 84 / BLM 17N (ftUS)",GEOGCS["WGS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-81],PARAMETER["scale_factor",0.9996],PARAMETER["false_easting",1640416.67],PARAMETER["false_northing",0],UNIT["US survey foot",0.3048006096012192,AUTHORITY["EPSG","9003"]],AXIS["X",EAST],AXIS["Y",NORTH],AUTHORITY["EPSG","32667"]]</t>
  </si>
  <si>
    <t>PROJCS["WGS 84 / UTM zone 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-177],PARAMETER["scale_factor",0.9996],PARAMETER["false_easting",500000],PARAMETER["false_northing",10000000],UNIT["metre",1,AUTHORITY["EPSG","9001"]],AXIS["Easting",EAST],AXIS["Northing",NORTH],AUTHORITY["EPSG","32701"]]</t>
  </si>
  <si>
    <t>PROJCS["WGS 84 / UTM zone 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-171],PARAMETER["scale_factor",0.9996],PARAMETER["false_easting",500000],PARAMETER["false_northing",10000000],UNIT["metre",1,AUTHORITY["EPSG","9001"]],AXIS["Easting",EAST],AXIS["Northing",NORTH],AUTHORITY["EPSG","32702"]]</t>
  </si>
  <si>
    <t>PROJCS["WGS 84 / UTM zone 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-165],PARAMETER["scale_factor",0.9996],PARAMETER["false_easting",500000],PARAMETER["false_northing",10000000],UNIT["metre",1,AUTHORITY["EPSG","9001"]],AXIS["Easting",EAST],AXIS["Northing",NORTH],AUTHORITY["EPSG","32703"]]</t>
  </si>
  <si>
    <t>PROJCS["WGS 84 / UTM zone 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-159],PARAMETER["scale_factor",0.9996],PARAMETER["false_easting",500000],PARAMETER["false_northing",10000000],UNIT["metre",1,AUTHORITY["EPSG","9001"]],AXIS["Easting",EAST],AXIS["Northing",NORTH],AUTHORITY["EPSG","32704"]]</t>
  </si>
  <si>
    <t>PROJCS["WGS 84 / UTM zone 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-153],PARAMETER["scale_factor",0.9996],PARAMETER["false_easting",500000],PARAMETER["false_northing",10000000],UNIT["metre",1,AUTHORITY["EPSG","9001"]],AXIS["Easting",EAST],AXIS["Northing",NORTH],AUTHORITY["EPSG","32705"]]</t>
  </si>
  <si>
    <t>PROJCS["WGS 84 / UTM zone 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-147],PARAMETER["scale_factor",0.9996],PARAMETER["false_easting",500000],PARAMETER["false_northing",10000000],UNIT["metre",1,AUTHORITY["EPSG","9001"]],AXIS["Easting",EAST],AXIS["Northing",NORTH],AUTHORITY["EPSG","32706"]]</t>
  </si>
  <si>
    <t>PROJCS["WGS 84 / UTM zone 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-141],PARAMETER["scale_factor",0.9996],PARAMETER["false_easting",500000],PARAMETER["false_northing",10000000],UNIT["metre",1,AUTHORITY["EPSG","9001"]],AXIS["Easting",EAST],AXIS["Northing",NORTH],AUTHORITY["EPSG","32707"]]</t>
  </si>
  <si>
    <t>PROJCS["WGS 84 / UTM zone 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-135],PARAMETER["scale_factor",0.9996],PARAMETER["false_easting",500000],PARAMETER["false_northing",10000000],UNIT["metre",1,AUTHORITY["EPSG","9001"]],AXIS["Easting",EAST],AXIS["Northing",NORTH],AUTHORITY["EPSG","32708"]]</t>
  </si>
  <si>
    <t>PROJCS["WGS 84 / UTM zone 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-129],PARAMETER["scale_factor",0.9996],PARAMETER["false_easting",500000],PARAMETER["false_northing",10000000],UNIT["metre",1,AUTHORITY["EPSG","9001"]],AXIS["Easting",EAST],AXIS["Northing",NORTH],AUTHORITY["EPSG","32709"]]</t>
  </si>
  <si>
    <t>PROJCS["WGS 84 / UTM zone 10S",GEOGCS["WGS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-123],PARAMETER["scale_factor",0.9996],PARAMETER["false_easting",500000],PARAMETER["false_northing",10000000],UNIT["metre",1,AUTHORITY["EPSG","9001"]],AXIS["Easting",EAST],AXIS["Northing",NORTH],AUTHORITY["EPSG","32710"]]</t>
  </si>
  <si>
    <t>PROJCS["WGS 84 / UTM zone 11S",GEOGCS["WGS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-117],PARAMETER["scale_factor",0.9996],PARAMETER["false_easting",500000],PARAMETER["false_northing",10000000],UNIT["metre",1,AUTHORITY["EPSG","9001"]],AXIS["Easting",EAST],AXIS["Northing",NORTH],AUTHORITY["EPSG","32711"]]</t>
  </si>
  <si>
    <t>PROJCS["WGS 84 / UTM zone 12S",GEOGCS["WGS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-111],PARAMETER["scale_factor",0.9996],PARAMETER["false_easting",500000],PARAMETER["false_northing",10000000],UNIT["metre",1,AUTHORITY["EPSG","9001"]],AXIS["Easting",EAST],AXIS["Northing",NORTH],AUTHORITY["EPSG","32712"]]</t>
  </si>
  <si>
    <t>PROJCS["WGS 84 / UTM zone 13S",GEOGCS["WGS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-105],PARAMETER["scale_factor",0.9996],PARAMETER["false_easting",500000],PARAMETER["false_northing",10000000],UNIT["metre",1,AUTHORITY["EPSG","9001"]],AXIS["Easting",EAST],AXIS["Northing",NORTH],AUTHORITY["EPSG","32713"]]</t>
  </si>
  <si>
    <t>PROJCS["WGS 84 / UTM zone 14S",GEOGCS["WGS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-99],PARAMETER["scale_factor",0.9996],PARAMETER["false_easting",500000],PARAMETER["false_northing",10000000],UNIT["metre",1,AUTHORITY["EPSG","9001"]],AXIS["Easting",EAST],AXIS["Northing",NORTH],AUTHORITY["EPSG","32714"]]</t>
  </si>
  <si>
    <t>PROJCS["WGS 84 / UTM zone 15S",GEOGCS["WGS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-93],PARAMETER["scale_factor",0.9996],PARAMETER["false_easting",500000],PARAMETER["false_northing",10000000],UNIT["metre",1,AUTHORITY["EPSG","9001"]],AXIS["Easting",EAST],AXIS["Northing",NORTH],AUTHORITY["EPSG","32715"]]</t>
  </si>
  <si>
    <t>PROJCS["WGS 84 / UTM zone 16S",GEOGCS["WGS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-87],PARAMETER["scale_factor",0.9996],PARAMETER["false_easting",500000],PARAMETER["false_northing",10000000],UNIT["metre",1,AUTHORITY["EPSG","9001"]],AXIS["Easting",EAST],AXIS["Northing",NORTH],AUTHORITY["EPSG","32716"]]</t>
  </si>
  <si>
    <t>PROJCS["WGS 84 / UTM zone 17S",GEOGCS["WGS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-81],PARAMETER["scale_factor",0.9996],PARAMETER["false_easting",500000],PARAMETER["false_northing",10000000],UNIT["metre",1,AUTHORITY["EPSG","9001"]],AXIS["Easting",EAST],AXIS["Northing",NORTH],AUTHORITY["EPSG","32717"]]</t>
  </si>
  <si>
    <t>PROJCS["WGS 84 / UTM zone 18S",GEOGCS["WGS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-75],PARAMETER["scale_factor",0.9996],PARAMETER["false_easting",500000],PARAMETER["false_northing",10000000],UNIT["metre",1,AUTHORITY["EPSG","9001"]],AXIS["Easting",EAST],AXIS["Northing",NORTH],AUTHORITY["EPSG","32718"]]</t>
  </si>
  <si>
    <t>PROJCS["WGS 84 / UTM zone 19S",GEOGCS["WGS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-69],PARAMETER["scale_factor",0.9996],PARAMETER["false_easting",500000],PARAMETER["false_northing",10000000],UNIT["metre",1,AUTHORITY["EPSG","9001"]],AXIS["Easting",EAST],AXIS["Northing",NORTH],AUTHORITY["EPSG","32719"]]</t>
  </si>
  <si>
    <t>PROJCS["WGS 84 / UTM zone 20S",GEOGCS["WGS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-63],PARAMETER["scale_factor",0.9996],PARAMETER["false_easting",500000],PARAMETER["false_northing",10000000],UNIT["metre",1,AUTHORITY["EPSG","9001"]],AXIS["Easting",EAST],AXIS["Northing",NORTH],AUTHORITY["EPSG","32720"]]</t>
  </si>
  <si>
    <t>PROJCS["WGS 84 / UTM zone 21S",GEOGCS["WGS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-57],PARAMETER["scale_factor",0.9996],PARAMETER["false_easting",500000],PARAMETER["false_northing",10000000],UNIT["metre",1,AUTHORITY["EPSG","9001"]],AXIS["Easting",EAST],AXIS["Northing",NORTH],AUTHORITY["EPSG","32721"]]</t>
  </si>
  <si>
    <t>PROJCS["WGS 84 / UTM zone 22S",GEOGCS["WGS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-51],PARAMETER["scale_factor",0.9996],PARAMETER["false_easting",500000],PARAMETER["false_northing",10000000],UNIT["metre",1,AUTHORITY["EPSG","9001"]],AXIS["Easting",EAST],AXIS["Northing",NORTH],AUTHORITY["EPSG","32722"]]</t>
  </si>
  <si>
    <t>PROJCS["WGS 84 / UTM zone 23S",GEOGCS["WGS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-45],PARAMETER["scale_factor",0.9996],PARAMETER["false_easting",500000],PARAMETER["false_northing",10000000],UNIT["metre",1,AUTHORITY["EPSG","9001"]],AXIS["Easting",EAST],AXIS["Northing",NORTH],AUTHORITY["EPSG","32723"]]</t>
  </si>
  <si>
    <t>PROJCS["WGS 84 / UTM zone 24S",GEOGCS["WGS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-39],PARAMETER["scale_factor",0.9996],PARAMETER["false_easting",500000],PARAMETER["false_northing",10000000],UNIT["metre",1,AUTHORITY["EPSG","9001"]],AXIS["Easting",EAST],AXIS["Northing",NORTH],AUTHORITY["EPSG","32724"]]</t>
  </si>
  <si>
    <t>PROJCS["WGS 84 / UTM zone 25S",GEOGCS["WGS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-33],PARAMETER["scale_factor",0.9996],PARAMETER["false_easting",500000],PARAMETER["false_northing",10000000],UNIT["metre",1,AUTHORITY["EPSG","9001"]],AXIS["Easting",EAST],AXIS["Northing",NORTH],AUTHORITY["EPSG","32725"]]</t>
  </si>
  <si>
    <t>PROJCS["WGS 84 / UTM zone 26S",GEOGCS["WGS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-27],PARAMETER["scale_factor",0.9996],PARAMETER["false_easting",500000],PARAMETER["false_northing",10000000],UNIT["metre",1,AUTHORITY["EPSG","9001"]],AXIS["Easting",EAST],AXIS["Northing",NORTH],AUTHORITY["EPSG","32726"]]</t>
  </si>
  <si>
    <t>PROJCS["WGS 84 / UTM zone 27S",GEOGCS["WGS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-21],PARAMETER["scale_factor",0.9996],PARAMETER["false_easting",500000],PARAMETER["false_northing",10000000],UNIT["metre",1,AUTHORITY["EPSG","9001"]],AXIS["Easting",EAST],AXIS["Northing",NORTH],AUTHORITY["EPSG","32727"]]</t>
  </si>
  <si>
    <t>PROJCS["WGS 84 / UTM zone 28S",GEOGCS["WGS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-15],PARAMETER["scale_factor",0.9996],PARAMETER["false_easting",500000],PARAMETER["false_northing",10000000],UNIT["metre",1,AUTHORITY["EPSG","9001"]],AXIS["Easting",EAST],AXIS["Northing",NORTH],AUTHORITY["EPSG","32728"]]</t>
  </si>
  <si>
    <t>PROJCS["WGS 84 / UTM zone 29S",GEOGCS["WGS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-9],PARAMETER["scale_factor",0.9996],PARAMETER["false_easting",500000],PARAMETER["false_northing",10000000],UNIT["metre",1,AUTHORITY["EPSG","9001"]],AXIS["Easting",EAST],AXIS["Northing",NORTH],AUTHORITY["EPSG","32729"]]</t>
  </si>
  <si>
    <t>PROJCS["WGS 84 / UTM zone 30S",GEOGCS["WGS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32730"]]</t>
  </si>
  <si>
    <t>PROJCS["WGS 84 / UTM zone 31S",GEOGCS["WGS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3],PARAMETER["scale_factor",0.9996],PARAMETER["false_easting",500000],PARAMETER["false_northing",10000000],UNIT["metre",1,AUTHORITY["EPSG","9001"]],AXIS["Easting",EAST],AXIS["Northing",NORTH],AUTHORITY["EPSG","32731"]]</t>
  </si>
  <si>
    <t>PROJCS["WGS 84 / UTM zone 32S",GEOGCS["WGS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9],PARAMETER["scale_factor",0.9996],PARAMETER["false_easting",500000],PARAMETER["false_northing",10000000],UNIT["metre",1,AUTHORITY["EPSG","9001"]],AXIS["Easting",EAST],AXIS["Northing",NORTH],AUTHORITY["EPSG","32732"]]</t>
  </si>
  <si>
    <t>PROJCS["WGS 84 / UTM zone 33S",GEOGCS["WGS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15],PARAMETER["scale_factor",0.9996],PARAMETER["false_easting",500000],PARAMETER["false_northing",10000000],UNIT["metre",1,AUTHORITY["EPSG","9001"]],AXIS["Easting",EAST],AXIS["Northing",NORTH],AUTHORITY["EPSG","32733"]]</t>
  </si>
  <si>
    <t>PROJCS["WGS 84 / UTM zone 34S",GEOGCS["WGS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21],PARAMETER["scale_factor",0.9996],PARAMETER["false_easting",500000],PARAMETER["false_northing",10000000],UNIT["metre",1,AUTHORITY["EPSG","9001"]],AXIS["Easting",EAST],AXIS["Northing",NORTH],AUTHORITY["EPSG","32734"]]</t>
  </si>
  <si>
    <t>PROJCS["WGS 84 / UTM zone 35S",GEOGCS["WGS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27],PARAMETER["scale_factor",0.9996],PARAMETER["false_easting",500000],PARAMETER["false_northing",10000000],UNIT["metre",1,AUTHORITY["EPSG","9001"]],AXIS["Easting",EAST],AXIS["Northing",NORTH],AUTHORITY["EPSG","32735"]]</t>
  </si>
  <si>
    <t>PROJCS["WGS 84 / UTM zone 36S",GEOGCS["WGS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33],PARAMETER["scale_factor",0.9996],PARAMETER["false_easting",500000],PARAMETER["false_northing",10000000],UNIT["metre",1,AUTHORITY["EPSG","9001"]],AXIS["Easting",EAST],AXIS["Northing",NORTH],AUTHORITY["EPSG","32736"]]</t>
  </si>
  <si>
    <t>PROJCS["WGS 84 / UTM zone 37S",GEOGCS["WGS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39],PARAMETER["scale_factor",0.9996],PARAMETER["false_easting",500000],PARAMETER["false_northing",10000000],UNIT["metre",1,AUTHORITY["EPSG","9001"]],AXIS["Easting",EAST],AXIS["Northing",NORTH],AUTHORITY["EPSG","32737"]]</t>
  </si>
  <si>
    <t>PROJCS["WGS 84 / UTM zone 38S",GEOGCS["WGS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45],PARAMETER["scale_factor",0.9996],PARAMETER["false_easting",500000],PARAMETER["false_northing",10000000],UNIT["metre",1,AUTHORITY["EPSG","9001"]],AXIS["Easting",EAST],AXIS["Northing",NORTH],AUTHORITY["EPSG","32738"]]</t>
  </si>
  <si>
    <t>PROJCS["WGS 84 / UTM zone 39S",GEOGCS["WGS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51],PARAMETER["scale_factor",0.9996],PARAMETER["false_easting",500000],PARAMETER["false_northing",10000000],UNIT["metre",1,AUTHORITY["EPSG","9001"]],AXIS["Easting",EAST],AXIS["Northing",NORTH],AUTHORITY["EPSG","32739"]]</t>
  </si>
  <si>
    <t>PROJCS["WGS 84 / UTM zone 40S",GEOGCS["WGS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57],PARAMETER["scale_factor",0.9996],PARAMETER["false_easting",500000],PARAMETER["false_northing",10000000],UNIT["metre",1,AUTHORITY["EPSG","9001"]],AXIS["Easting",EAST],AXIS["Northing",NORTH],AUTHORITY["EPSG","32740"]]</t>
  </si>
  <si>
    <t>PROJCS["WGS 84 / UTM zone 41S",GEOGCS["WGS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63],PARAMETER["scale_factor",0.9996],PARAMETER["false_easting",500000],PARAMETER["false_northing",10000000],UNIT["metre",1,AUTHORITY["EPSG","9001"]],AXIS["Easting",EAST],AXIS["Northing",NORTH],AUTHORITY["EPSG","32741"]]</t>
  </si>
  <si>
    <t>PROJCS["WGS 84 / UTM zone 42S",GEOGCS["WGS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69],PARAMETER["scale_factor",0.9996],PARAMETER["false_easting",500000],PARAMETER["false_northing",10000000],UNIT["metre",1,AUTHORITY["EPSG","9001"]],AXIS["Easting",EAST],AXIS["Northing",NORTH],AUTHORITY["EPSG","32742"]]</t>
  </si>
  <si>
    <t>PROJCS["WGS 84 / UTM zone 43S",GEOGCS["WGS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75],PARAMETER["scale_factor",0.9996],PARAMETER["false_easting",500000],PARAMETER["false_northing",10000000],UNIT["metre",1,AUTHORITY["EPSG","9001"]],AXIS["Easting",EAST],AXIS["Northing",NORTH],AUTHORITY["EPSG","32743"]]</t>
  </si>
  <si>
    <t>PROJCS["WGS 84 / UTM zone 44S",GEOGCS["WGS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81],PARAMETER["scale_factor",0.9996],PARAMETER["false_easting",500000],PARAMETER["false_northing",10000000],UNIT["metre",1,AUTHORITY["EPSG","9001"]],AXIS["Easting",EAST],AXIS["Northing",NORTH],AUTHORITY["EPSG","32744"]]</t>
  </si>
  <si>
    <t>PROJCS["WGS 84 / UTM zone 45S",GEOGCS["WGS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87],PARAMETER["scale_factor",0.9996],PARAMETER["false_easting",500000],PARAMETER["false_northing",10000000],UNIT["metre",1,AUTHORITY["EPSG","9001"]],AXIS["Easting",EAST],AXIS["Northing",NORTH],AUTHORITY["EPSG","32745"]]</t>
  </si>
  <si>
    <t>PROJCS["WGS 84 / UTM zone 46S",GEOGCS["WGS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93],PARAMETER["scale_factor",0.9996],PARAMETER["false_easting",500000],PARAMETER["false_northing",10000000],UNIT["metre",1,AUTHORITY["EPSG","9001"]],AXIS["Easting",EAST],AXIS["Northing",NORTH],AUTHORITY["EPSG","32746"]]</t>
  </si>
  <si>
    <t>PROJCS["WGS 84 / UTM zone 47S",GEOGCS["WGS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99],PARAMETER["scale_factor",0.9996],PARAMETER["false_easting",500000],PARAMETER["false_northing",10000000],UNIT["metre",1,AUTHORITY["EPSG","9001"]],AXIS["Easting",EAST],AXIS["Northing",NORTH],AUTHORITY["EPSG","32747"]]</t>
  </si>
  <si>
    <t>PROJCS["WGS 84 / UTM zone 48S",GEOGCS["WGS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105],PARAMETER["scale_factor",0.9996],PARAMETER["false_easting",500000],PARAMETER["false_northing",10000000],UNIT["metre",1,AUTHORITY["EPSG","9001"]],AXIS["Easting",EAST],AXIS["Northing",NORTH],AUTHORITY["EPSG","32748"]]</t>
  </si>
  <si>
    <t>PROJCS["WGS 84 / UTM zone 49S",GEOGCS["WGS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111],PARAMETER["scale_factor",0.9996],PARAMETER["false_easting",500000],PARAMETER["false_northing",10000000],UNIT["metre",1,AUTHORITY["EPSG","9001"]],AXIS["Easting",EAST],AXIS["Northing",NORTH],AUTHORITY["EPSG","32749"]]</t>
  </si>
  <si>
    <t>PROJCS["WGS 84 / UTM zone 50S",GEOGCS["WGS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117],PARAMETER["scale_factor",0.9996],PARAMETER["false_easting",500000],PARAMETER["false_northing",10000000],UNIT["metre",1,AUTHORITY["EPSG","9001"]],AXIS["Easting",EAST],AXIS["Northing",NORTH],AUTHORITY["EPSG","32750"]]</t>
  </si>
  <si>
    <t>PROJCS["WGS 84 / UTM zone 51S",GEOGCS["WGS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123],PARAMETER["scale_factor",0.9996],PARAMETER["false_easting",500000],PARAMETER["false_northing",10000000],UNIT["metre",1,AUTHORITY["EPSG","9001"]],AXIS["Easting",EAST],AXIS["Northing",NORTH],AUTHORITY["EPSG","32751"]]</t>
  </si>
  <si>
    <t>PROJCS["WGS 84 / UTM zone 52S",GEOGCS["WGS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129],PARAMETER["scale_factor",0.9996],PARAMETER["false_easting",500000],PARAMETER["false_northing",10000000],UNIT["metre",1,AUTHORITY["EPSG","9001"]],AXIS["Easting",EAST],AXIS["Northing",NORTH],AUTHORITY["EPSG","32752"]]</t>
  </si>
  <si>
    <t>PROJCS["WGS 84 / UTM zone 53S",GEOGCS["WGS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135],PARAMETER["scale_factor",0.9996],PARAMETER["false_easting",500000],PARAMETER["false_northing",10000000],UNIT["metre",1,AUTHORITY["EPSG","9001"]],AXIS["Easting",EAST],AXIS["Northing",NORTH],AUTHORITY["EPSG","32753"]]</t>
  </si>
  <si>
    <t>PROJCS["WGS 84 / UTM zone 54S",GEOGCS["WGS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141],PARAMETER["scale_factor",0.9996],PARAMETER["false_easting",500000],PARAMETER["false_northing",10000000],UNIT["metre",1,AUTHORITY["EPSG","9001"]],AXIS["Easting",EAST],AXIS["Northing",NORTH],AUTHORITY["EPSG","32754"]]</t>
  </si>
  <si>
    <t>PROJCS["WGS 84 / UTM zone 55S",GEOGCS["WGS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147],PARAMETER["scale_factor",0.9996],PARAMETER["false_easting",500000],PARAMETER["false_northing",10000000],UNIT["metre",1,AUTHORITY["EPSG","9001"]],AXIS["Easting",EAST],AXIS["Northing",NORTH],AUTHORITY["EPSG","32755"]]</t>
  </si>
  <si>
    <t>PROJCS["WGS 84 / UTM zone 56S",GEOGCS["WGS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153],PARAMETER["scale_factor",0.9996],PARAMETER["false_easting",500000],PARAMETER["false_northing",10000000],UNIT["metre",1,AUTHORITY["EPSG","9001"]],AXIS["Easting",EAST],AXIS["Northing",NORTH],AUTHORITY["EPSG","32756"]]</t>
  </si>
  <si>
    <t>PROJCS["WGS 84 / UTM zone 57S",GEOGCS["WGS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159],PARAMETER["scale_factor",0.9996],PARAMETER["false_easting",500000],PARAMETER["false_northing",10000000],UNIT["metre",1,AUTHORITY["EPSG","9001"]],AXIS["Easting",EAST],AXIS["Northing",NORTH],AUTHORITY["EPSG","32757"]]</t>
  </si>
  <si>
    <t>PROJCS["WGS 84 / UTM zone 58S",GEOGCS["WGS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165],PARAMETER["scale_factor",0.9996],PARAMETER["false_easting",500000],PARAMETER["false_northing",10000000],UNIT["metre",1,AUTHORITY["EPSG","9001"]],AXIS["Easting",EAST],AXIS["Northing",NORTH],AUTHORITY["EPSG","32758"]]</t>
  </si>
  <si>
    <t>PROJCS["WGS 84 / UTM zone 59S",GEOGCS["WGS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171],PARAMETER["scale_factor",0.9996],PARAMETER["false_easting",500000],PARAMETER["false_northing",10000000],UNIT["metre",1,AUTHORITY["EPSG","9001"]],AXIS["Easting",EAST],AXIS["Northing",NORTH],AUTHORITY["EPSG","32759"]]</t>
  </si>
  <si>
    <t>PROJCS["WGS 84 / UTM zone 60S",GEOGCS["WGS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177],PARAMETER["scale_factor",0.9996],PARAMETER["false_easting",500000],PARAMETER["false_northing",10000000],UNIT["metre",1,AUTHORITY["EPSG","9001"]],AXIS["Easting",EAST],AXIS["Northing",NORTH],AUTHORITY["EPSG","32760"]]</t>
  </si>
  <si>
    <t>PROJCS["WGS 84 / UPS South (N,E)",GEOGCS["WGS 84",DATUM["WGS_1984",SPHEROID["WGS 84",6378137,298.257223563,AUTHORITY["EPSG","7030"]],AUTHORITY["EPSG","6326"]],PRIMEM["Greenwich",0,AUTHORITY["EPSG","8901"]],UNIT["degree",0.0174532925199433,AUTHORITY["EPSG","9122"]],AUTHORITY["EPSG","4326"]],PROJECTION["Polar_Stereographic"],PARAMETER["latitude_of_origin",-90],PARAMETER["central_meridian",0],PARAMETER["scale_factor",0.994],PARAMETER["false_easting",2000000],PARAMETER["false_northing",2000000],UNIT["metre",1,AUTHORITY["EPSG","9001"]],AUTHORITY["EPSG","32761"]]</t>
  </si>
  <si>
    <t>PROJCS["WGS 84 / TM 36 SE",GEOGCS["WGS 84",DATUM["WGS_1984",SPHEROID["WGS 84",6378137,298.257223563,AUTHORITY["EPSG","7030"]],AUTHORITY["EPSG","6326"]],PRIMEM["Greenwich",0,AUTHORITY["EPSG","8901"]],UNIT["degree",0.0174532925199433,AUTHORITY["EPSG","9122"]],AUTHORITY["EPSG","4326"]],PROJECTION["Transverse_Mercator"],PARAMETER["latitude_of_origin",0],PARAMETER["central_meridian",36],PARAMETER["scale_factor",0.9996],PARAMETER["false_easting",500000],PARAMETER["false_northing",10000000],UNIT["metre",1,AUTHORITY["EPSG","9001"]],AXIS["Easting",EAST],AXIS["Northing",NORTH],AUTHORITY["EPSG","32766"]]</t>
  </si>
  <si>
    <t>GEOCCS["TWD97",DATUM["Taiwan_Datum_1997",SPHEROID["GRS 1980",6378137,298.257222101,AUTHORITY["EPSG","7019"]],AUTHORITY["EPSG","1026"]],PRIMEM["Greenwich",0,AUTHORITY["EPSG","8901"]],UNIT["metre",1,AUTHORITY["EPSG","9001"]],AXIS["Geocentric X",OTHER],AXIS["Geocentric Y",OTHER],AXIS["Geocentric Z",NORTH],AUTHORITY["EPSG","3822"]]</t>
  </si>
  <si>
    <t>GEOCCS["IGRS",DATUM["Iraqi_Geospatial_Reference_System",SPHEROID["GRS 1980",6378137,298.257222101,AUTHORITY["EPSG","7019"]],AUTHORITY["EPSG","1029"]],PRIMEM["Greenwich",0,AUTHORITY["EPSG","8901"]],UNIT["metre",1,AUTHORITY["EPSG","9001"]],AXIS["Geocentric X",OTHER],AXIS["Geocentric Y",OTHER],AXIS["Geocentric Z",NORTH],AUTHORITY["EPSG","3887"]]</t>
  </si>
  <si>
    <t>GEOCCS["MOLDREF99",DATUM["MOLDREF99",SPHEROID["GRS 1980",6378137,298.257222101,AUTHORITY["EPSG","7019"]],AUTHORITY["EPSG","1032"]],PRIMEM["Greenwich",0,AUTHORITY["EPSG","8901"]],UNIT["metre",1,AUTHORITY["EPSG","9001"]],AXIS["Geocentric X",OTHER],AXIS["Geocentric Y",OTHER],AXIS["Geocentric Z",NORTH],AUTHORITY["EPSG","4000"]]</t>
  </si>
  <si>
    <t>GEOCCS["RGRDC 2005",DATUM["Reseau_Geodesique_de_la_RDC_2005",SPHEROID["GRS 1980",6378137,298.257222101,AUTHORITY["EPSG","7019"]],AUTHORITY["EPSG","1033"]],PRIMEM["Greenwich",0,AUTHORITY["EPSG","8901"]],UNIT["metre",1,AUTHORITY["EPSG","9001"]],AXIS["Geocentric X",OTHER],AXIS["Geocentric Y",OTHER],AXIS["Geocentric Z",NORTH],AUTHORITY["EPSG","4039"]]</t>
  </si>
  <si>
    <t>GEOCCS["SREF98",DATUM["Serbian_Reference_Network_1998",SPHEROID["GRS 1980",6378137,298.257222101,AUTHORITY["EPSG","7019"]],AUTHORITY["EPSG","1034"]],PRIMEM["Greenwich",0,AUTHORITY["EPSG","8901"]],UNIT["metre",1,AUTHORITY["EPSG","9001"]],AXIS["Geocentric X",OTHER],AXIS["Geocentric Y",OTHER],AXIS["Geocentric Z",NORTH],AUTHORITY["EPSG","4073"]]</t>
  </si>
  <si>
    <t>GEOCCS["NAD83(2011)",DATUM["NAD83_National_Spatial_Reference_System_2011",SPHEROID["GRS 1980",6378137,298.257222101,AUTHORITY["EPSG","7019"]],AUTHORITY["EPSG","1116"]],PRIMEM["Greenwich",0,AUTHORITY["EPSG","8901"]],UNIT["metre",1,AUTHORITY["EPSG","9001"]],AXIS["Geocentric X",OTHER],AXIS["Geocentric Y",OTHER],AXIS["Geocentric Z",NORTH],AUTHORITY["EPSG","6317"]]</t>
  </si>
  <si>
    <t>GEOCCS["NAD83(PA11)",DATUM["NAD83_National_Spatial_Reference_System_PA11",SPHEROID["GRS 1980",6378137,298.257222101,AUTHORITY["EPSG","7019"]],AUTHORITY["EPSG","1117"]],PRIMEM["Greenwich",0,AUTHORITY["EPSG","8901"]],UNIT["metre",1,AUTHORITY["EPSG","9001"]],AXIS["Geocentric X",OTHER],AXIS["Geocentric Y",OTHER],AXIS["Geocentric Z",NORTH],AUTHORITY["EPSG","6320"]]</t>
  </si>
  <si>
    <t>GEOCCS["NAD83(MA11)",DATUM["NAD83_National_Spatial_Reference_System_MA11",SPHEROID["GRS 1980",6378137,298.257222101,AUTHORITY["EPSG","7019"]],AUTHORITY["EPSG","1118"]],PRIMEM["Greenwich",0,AUTHORITY["EPSG","8901"]],UNIT["metre",1,AUTHORITY["EPSG","9001"]],AXIS["Geocentric X",OTHER],AXIS["Geocentric Y",OTHER],AXIS["Geocentric Z",NORTH],AUTHORITY["EPSG","6323"]]</t>
  </si>
  <si>
    <t>GEOCCS["Mexico ITRF2008",DATUM["Mexico_ITRF2008",SPHEROID["GRS 1980",6378137,298.257222101,AUTHORITY["EPSG","7019"]],AUTHORITY["EPSG","1120"]],PRIMEM["Greenwich",0,AUTHORITY["EPSG","8901"]],UNIT["metre",1,AUTHORITY["EPSG","9001"]],AXIS["Geocentric X",OTHER],AXIS["Geocentric Y",OTHER],AXIS["Geocentric Z",NORTH],AUTHORITY["EPSG","6363"]]</t>
  </si>
  <si>
    <t>GEOCCS["JGD2011",DATUM["Japanese_Geodetic_Datum_2011",SPHEROID["GRS 1980",6378137,298.257222101,AUTHORITY["EPSG","7019"]],AUTHORITY["EPSG","1128"]],PRIMEM["Greenwich",0,AUTHORITY["EPSG","8901"]],UNIT["metre",1,AUTHORITY["EPSG","9001"]],AXIS["Geocentric X",OTHER],AXIS["Geocentric Y",OTHER],AXIS["Geocentric Z",NORTH],AUTHORITY["EPSG","6666"]]</t>
  </si>
  <si>
    <t>GEOCCS["RDN2008",DATUM["Rete_Dinamica_Nazionale_2008",SPHEROID["GRS 1980",6378137,298.257222101,AUTHORITY["EPSG","7019"]],AUTHORITY["EPSG","1132"]],PRIMEM["Greenwich",0,AUTHORITY["EPSG","8901"]],UNIT["metre",1,AUTHORITY["EPSG","9001"]],AXIS["Geocentric X",OTHER],AXIS["Geocentric Y",OTHER],AXIS["Geocentric Z",NORTH],AUTHORITY["EPSG","6704"]]</t>
  </si>
  <si>
    <t>GEOCCS["NAD83(CORS96)",DATUM["NAD83_Continuously_Operating_Reference_Station_1996",SPHEROID["GRS 1980",6378137,298.257222101,AUTHORITY["EPSG","7019"]],AUTHORITY["EPSG","1133"]],PRIMEM["Greenwich",0,AUTHORITY["EPSG","8901"]],UNIT["metre",1,AUTHORITY["EPSG","9001"]],AXIS["Geocentric X",OTHER],AXIS["Geocentric Y",OTHER],AXIS["Geocentric Z",NORTH],AUTHORITY["EPSG","6781"]]</t>
  </si>
  <si>
    <t>GEOCCS["IGS08",DATUM["IGS08",SPHEROID["GRS 1980",6378137,298.257222101,AUTHORITY["EPSG","7019"]],AUTHORITY["EPSG","1141"]],PRIMEM["Greenwich",0,AUTHORITY["EPSG","8901"]],UNIT["metre",1,AUTHORITY["EPSG","9001"]],AXIS["Geocentric X",OTHER],AXIS["Geocentric Y",OTHER],AXIS["Geocentric Z",NORTH],AUTHORITY["EPSG","6934"]]</t>
  </si>
  <si>
    <t>GEOCCS["IGD05",DATUM["Israeli_Geodetic_Datum_2005",SPHEROID["GRS 1980",6378137,298.257222101,AUTHORITY["EPSG","7019"]],AUTHORITY["EPSG","1143"]],PRIMEM["Greenwich",0,AUTHORITY["EPSG","8901"]],UNIT["metre",1,AUTHORITY["EPSG","9001"]],AXIS["Geocentric X",OTHER],AXIS["Geocentric Y",OTHER],AXIS["Geocentric Z",NORTH],AUTHORITY["EPSG","6978"]]</t>
  </si>
  <si>
    <t>GEOCCS["IG05 Intermediate CRS",DATUM["IG05_Intermediate_Datum",SPHEROID["GRS 1980",6378137,298.257222101,AUTHORITY["EPSG","7019"]],AUTHORITY["EPSG","1142"]],PRIMEM["Greenwich",0,AUTHORITY["EPSG","8901"]],UNIT["metre",1,AUTHORITY["EPSG","9001"]],AXIS["Geocentric X",OTHER],AXIS["Geocentric Y",OTHER],AXIS["Geocentric Z",NORTH],AUTHORITY["EPSG","6981"]]</t>
  </si>
  <si>
    <t>GEOCCS["IGD05/12",DATUM["Israeli_Geodetic_Datum_2005_2012",SPHEROID["GRS 1980",6378137,298.257222101,AUTHORITY["EPSG","7019"]],AUTHORITY["EPSG","1145"]],PRIMEM["Greenwich",0,AUTHORITY["EPSG","8901"]],UNIT["metre",1,AUTHORITY["EPSG","9001"]],AXIS["Geocentric X",OTHER],AXIS["Geocentric Y",OTHER],AXIS["Geocentric Z",NORTH],AUTHORITY["EPSG","6985"]]</t>
  </si>
  <si>
    <t>GEOCCS["IG05/12 Intermediate CRS",DATUM["IG05_12_Intermediate_Datum",SPHEROID["GRS 1980",6378137,298.257222101,AUTHORITY["EPSG","7019"]],AUTHORITY["EPSG","1144"]],PRIMEM["Greenwich",0,AUTHORITY["EPSG","8901"]],UNIT["metre",1,AUTHORITY["EPSG","9001"]],AXIS["Geocentric X",OTHER],AXIS["Geocentric Y",OTHER],AXIS["Geocentric Z",NORTH],AUTHORITY["EPSG","6988"]]</t>
  </si>
  <si>
    <t>GEOCCS["RGTAAF07",DATUM["Reseau_Geodesique_des_Terres_Australes_et_Antarctiques_Francaises_2007",SPHEROID["GRS 1980",6378137,298.257222101,AUTHORITY["EPSG","7019"]],AUTHORITY["EPSG","1113"]],PRIMEM["Greenwich",0,AUTHORITY["EPSG","8901"]],UNIT["metre",1,AUTHORITY["EPSG","9001"]],AXIS["Geocentric X",OTHER],AXIS["Geocentric Y",OTHER],AXIS["Geocentric Z",NORTH],AUTHORITY["EPSG","7071"]]</t>
  </si>
  <si>
    <t>GEOCCS["IGD05",DATUM["Israeli_Geodetic_Datum_2005",SPHEROID["WGS 84",6378137,298.257223563,AUTHORITY["EPSG","7030"]],AUTHORITY["EPSG","1114"]],PRIMEM["Greenwich",0,AUTHORITY["EPSG","8901"]],UNIT["metre",1,AUTHORITY["EPSG","9001"]],AXIS["Geocentric X",OTHER],AXIS["Geocentric Y",OTHER],AXIS["Geocentric Z",NORTH],AUTHORITY["EPSG","7134"]]</t>
  </si>
  <si>
    <t>GEOCCS["IGD05/12",DATUM["Israeli_Geodetic_Datum_2005_2012",SPHEROID["WGS 84",6378137,298.257223563,AUTHORITY["EPSG","7030"]],AUTHORITY["EPSG","1115"]],PRIMEM["Greenwich",0,AUTHORITY["EPSG","8901"]],UNIT["metre",1,AUTHORITY["EPSG","9001"]],AXIS["Geocentric X",OTHER],AXIS["Geocentric Y",OTHER],AXIS["Geocentric Z",NORTH],AUTHORITY["EPSG","7137"]]</t>
  </si>
  <si>
    <t>GEOCCS["ONGD14",DATUM["Oman_National_Geodetic_Datum_2014",SPHEROID["GRS 1980",6378137,298.257222101,AUTHORITY["EPSG","7019"]],AUTHORITY["EPSG","1147"]],PRIMEM["Greenwich",0,AUTHORITY["EPSG","8901"]],UNIT["metre",1,AUTHORITY["EPSG","9001"]],AXIS["Geocentric X",OTHER],AXIS["Geocentric Y",OTHER],AXIS["Geocentric Z",NORTH],AUTHORITY["EPSG","7371"]]</t>
  </si>
  <si>
    <t>GEOCCS["WGS 84 (G730)",DATUM["World_Geodetic_System_1984_G730",SPHEROID["WGS 84",6378137,298.257223563,AUTHORITY["EPSG","7030"]],AUTHORITY["EPSG","1152"]],PRIMEM["Greenwich",0,AUTHORITY["EPSG","8901"]],UNIT["metre",1,AUTHORITY["EPSG","9001"]],AXIS["Geocentric X",OTHER],AXIS["Geocentric Y",OTHER],AXIS["Geocentric Z",NORTH],AUTHORITY["EPSG","7656"]]</t>
  </si>
  <si>
    <t>GEOCCS["WGS 84 (G873)",DATUM["World_Geodetic_System_1984_G873",SPHEROID["WGS 84",6378137,298.257223563,AUTHORITY["EPSG","7030"]],AUTHORITY["EPSG","1153"]],PRIMEM["Greenwich",0,AUTHORITY["EPSG","8901"]],UNIT["metre",1,AUTHORITY["EPSG","9001"]],AXIS["Geocentric X",OTHER],AXIS["Geocentric Y",OTHER],AXIS["Geocentric Z",NORTH],AUTHORITY["EPSG","7658"]]</t>
  </si>
  <si>
    <t>GEOCCS["PZ-90.11",DATUM["Parametry_Zemli_1990_11",SPHEROID["PZ-90",6378136,298.257839303,AUTHORITY["EPSG","7054"]],AUTHORITY["EPSG","1158"]],PRIMEM["Greenwich",0,AUTHORITY["EPSG","8901"]],UNIT["metre",1,AUTHORITY["EPSG","9001"]],AXIS["Geocentric X",OTHER],AXIS["Geocentric Y",OTHER],AXIS["Geocentric Z",NORTH],AUTHORITY["EPSG","7679"]]</t>
  </si>
  <si>
    <t>GEOCCS["GSK-2011",DATUM["Geodezicheskaya_Sistema_Koordinat_2011",SPHEROID["GSK-2011",6378136.5,298.2564151,AUTHORITY["EPSG","1025"]],AUTHORITY["EPSG","1159"]],PRIMEM["Greenwich",0,AUTHORITY["EPSG","8901"]],UNIT["metre",1,AUTHORITY["EPSG","9001"]],AXIS["Geocentric X",OTHER],AXIS["Geocentric Y",OTHER],AXIS["Geocentric Z",NORTH],AUTHORITY["EPSG","7681"]]</t>
  </si>
  <si>
    <t>GEOCCS["Kyrg-06",DATUM["Kyrgyzstan_Geodetic_Datum_2006",SPHEROID["GRS 1980",6378137,298.257222101,AUTHORITY["EPSG","7019"]],AUTHORITY["EPSG","1160"]],PRIMEM["Greenwich",0,AUTHORITY["EPSG","8901"]],UNIT["metre",1,AUTHORITY["EPSG","9001"]],AXIS["Geocentric X",OTHER],AXIS["Geocentric Y",OTHER],AXIS["Geocentric Z",NORTH],AUTHORITY["EPSG","7684"]]</t>
  </si>
  <si>
    <t>GEOCCS["ITRF2014",DATUM["International_Terrestrial_Reference_Frame_2014",SPHEROID["GRS 1980",6378137,298.257222101,AUTHORITY["EPSG","7019"]],AUTHORITY["EPSG","1165"]],PRIMEM["Greenwich",0,AUTHORITY["EPSG","8901"]],UNIT["metre",1,AUTHORITY["EPSG","9001"]],AXIS["Geocentric X",OTHER],AXIS["Geocentric Y",OTHER],AXIS["Geocentric Z",NORTH],AUTHORITY["EPSG","7789"]]</t>
  </si>
  <si>
    <t>GEOCCS["BGS2005",DATUM["Bulgaria_Geodetic_System_2005",SPHEROID["GRS 1980",6378137,298.257222101,AUTHORITY["EPSG","7019"]],AUTHORITY["EPSG","1167"]],PRIMEM["Greenwich",0,AUTHORITY["EPSG","8901"]],UNIT["metre",1,AUTHORITY["EPSG","9001"]],AXIS["Geocentric X",OTHER],AXIS["Geocentric Y",OTHER],AXIS["Geocentric Z",NORTH],AUTHORITY["EPSG","7796"]]</t>
  </si>
  <si>
    <t>GEOCCS["WGS 84 (Transit)",DATUM["World_Geodetic_System_1984_Transit",SPHEROID["WGS 84",6378137,298.257223563,AUTHORITY["EPSG","7030"]],AUTHORITY["EPSG","1166"]],PRIMEM["Greenwich",0,AUTHORITY["EPSG","8901"]],UNIT["metre",1,AUTHORITY["EPSG","9001"]],AXIS["Geocentric X",OTHER],AXIS["Geocentric Y",OTHER],AXIS["Geocentric Z",NORTH],AUTHORITY["EPSG","7815"]]</t>
  </si>
  <si>
    <t>GEOCCS["GDA2020",DATUM["Geocentric_Datum_of_Australia_2020",SPHEROID["GRS 1980",6378137,298.257222101,AUTHORITY["EPSG","7019"]],AUTHORITY["EPSG","1168"]],PRIMEM["Greenwich",0,AUTHORITY["EPSG","8901"]],UNIT["metre",1,AUTHORITY["EPSG","9001"]],AXIS["Geocentric X",OTHER],AXIS["Geocentric Y",OTHER],AXIS["Geocentric Z",NORTH],AUTHORITY["EPSG","7842"]]</t>
  </si>
  <si>
    <t>GEOCCS["St. Helena Tritan",DATUM["St_Helena_Tritan",SPHEROID["WGS 84",6378137,298.257223563,AUTHORITY["EPSG","7030"]],AUTHORITY["EPSG","1173"]],PRIMEM["Greenwich",0,AUTHORITY["EPSG","8901"]],UNIT["metre",1,AUTHORITY["EPSG","9001"]],AXIS["Geocentric X",OTHER],AXIS["Geocentric Y",OTHER],AXIS["Geocentric Z",NORTH],AUTHORITY["EPSG","7879"]]</t>
  </si>
  <si>
    <t>GEOCCS["SHGD2015",DATUM["St_Helena_Geodetic_Datum_2015",SPHEROID["GRS 1980",6378137,298.257222101,AUTHORITY["EPSG","7019"]],AUTHORITY["EPSG","1174"]],PRIMEM["Greenwich",0,AUTHORITY["EPSG","8901"]],UNIT["metre",1,AUTHORITY["EPSG","9001"]],AXIS["Geocentric X",OTHER],AXIS["Geocentric Y",OTHER],AXIS["Geocentric Z",NORTH],AUTHORITY["EPSG","7884"]]</t>
  </si>
  <si>
    <t>GEOCCS["ETRF89",DATUM["European_Terrestrial_Reference_Frame_1989",SPHEROID["GRS 1980",6378137,298.257222101,AUTHORITY["EPSG","7019"]],AUTHORITY["EPSG","1178"]],PRIMEM["Greenwich",0,AUTHORITY["EPSG","8901"]],UNIT["metre",1,AUTHORITY["EPSG","9001"]],AXIS["Geocentric X",OTHER],AXIS["Geocentric Y",OTHER],AXIS["Geocentric Z",NORTH],AUTHORITY["EPSG","7914"]]</t>
  </si>
  <si>
    <t>GEOCCS["ETRF90",DATUM["European_Terrestrial_Reference_Frame_1990",SPHEROID["GRS 1980",6378137,298.257222101,AUTHORITY["EPSG","7019"]],AUTHORITY["EPSG","1179"]],PRIMEM["Greenwich",0,AUTHORITY["EPSG","8901"]],UNIT["metre",1,AUTHORITY["EPSG","9001"]],AXIS["Geocentric X",OTHER],AXIS["Geocentric Y",OTHER],AXIS["Geocentric Z",NORTH],AUTHORITY["EPSG","7916"]]</t>
  </si>
  <si>
    <t>GEOCCS["ETRF91",DATUM["European_Terrestrial_Reference_Frame_1991",SPHEROID["GRS 1980",6378137,298.257222101,AUTHORITY["EPSG","7019"]],AUTHORITY["EPSG","1180"]],PRIMEM["Greenwich",0,AUTHORITY["EPSG","8901"]],UNIT["metre",1,AUTHORITY["EPSG","9001"]],AXIS["Geocentric X",OTHER],AXIS["Geocentric Y",OTHER],AXIS["Geocentric Z",NORTH],AUTHORITY["EPSG","7918"]]</t>
  </si>
  <si>
    <t>GEOCCS["ETRF92",DATUM["European_Terrestrial_Reference_Frame_1992",SPHEROID["GRS 1980",6378137,298.257222101,AUTHORITY["EPSG","7019"]],AUTHORITY["EPSG","1181"]],PRIMEM["Greenwich",0,AUTHORITY["EPSG","8901"]],UNIT["metre",1,AUTHORITY["EPSG","9001"]],AXIS["Geocentric X",OTHER],AXIS["Geocentric Y",OTHER],AXIS["Geocentric Z",NORTH],AUTHORITY["EPSG","7920"]]</t>
  </si>
  <si>
    <t>GEOCCS["ETRF93",DATUM["European_Terrestrial_Reference_Frame_1993",SPHEROID["GRS 1980",6378137,298.257222101,AUTHORITY["EPSG","7019"]],AUTHORITY["EPSG","1182"]],PRIMEM["Greenwich",0,AUTHORITY["EPSG","8901"]],UNIT["metre",1,AUTHORITY["EPSG","9001"]],AXIS["Geocentric X",OTHER],AXIS["Geocentric Y",OTHER],AXIS["Geocentric Z",NORTH],AUTHORITY["EPSG","7922"]]</t>
  </si>
  <si>
    <t>GEOCCS["ETRF94",DATUM["European_Terrestrial_Reference_Frame_1994",SPHEROID["GRS 1980",6378137,298.257222101,AUTHORITY["EPSG","7019"]],AUTHORITY["EPSG","1183"]],PRIMEM["Greenwich",0,AUTHORITY["EPSG","8901"]],UNIT["metre",1,AUTHORITY["EPSG","9001"]],AXIS["Geocentric X",OTHER],AXIS["Geocentric Y",OTHER],AXIS["Geocentric Z",NORTH],AUTHORITY["EPSG","7924"]]</t>
  </si>
  <si>
    <t>GEOCCS["ETRF96",DATUM["European_Terrestrial_Reference_Frame_1996",SPHEROID["GRS 1980",6378137,298.257222101,AUTHORITY["EPSG","7019"]],AUTHORITY["EPSG","1184"]],PRIMEM["Greenwich",0,AUTHORITY["EPSG","8901"]],UNIT["metre",1,AUTHORITY["EPSG","9001"]],AXIS["Geocentric X",OTHER],AXIS["Geocentric Y",OTHER],AXIS["Geocentric Z",NORTH],AUTHORITY["EPSG","7926"]]</t>
  </si>
  <si>
    <t>GEOCCS["ETRF97",DATUM["European_Terrestrial_Reference_Frame_1997",SPHEROID["GRS 1980",6378137,298.257222101,AUTHORITY["EPSG","7019"]],AUTHORITY["EPSG","1185"]],PRIMEM["Greenwich",0,AUTHORITY["EPSG","8901"]],UNIT["metre",1,AUTHORITY["EPSG","9001"]],AXIS["Geocentric X",OTHER],AXIS["Geocentric Y",OTHER],AXIS["Geocentric Z",NORTH],AUTHORITY["EPSG","7928"]]</t>
  </si>
  <si>
    <t>GEOCCS["ETRF2000",DATUM["European_Terrestrial_Reference_Frame_2000",SPHEROID["GRS 1980",6378137,298.257222101,AUTHORITY["EPSG","7019"]],AUTHORITY["EPSG","1186"]],PRIMEM["Greenwich",0,AUTHORITY["EPSG","8901"]],UNIT["metre",1,AUTHORITY["EPSG","9001"]],AXIS["Geocentric X",OTHER],AXIS["Geocentric Y",OTHER],AXIS["Geocentric Z",NORTH],AUTHORITY["EPSG","7930"]]</t>
  </si>
  <si>
    <t>GEOCCS["ISN2016",DATUM["Islands_Net_2016",SPHEROID["GRS 1980",6378137,298.257222101,AUTHORITY["EPSG","7019"]],AUTHORITY["EPSG","1187"]],PRIMEM["Greenwich",0,AUTHORITY["EPSG","8901"]],UNIT["metre",1,AUTHORITY["EPSG","9001"]],AXIS["Geocentric X",OTHER],AXIS["Geocentric Y",OTHER],AXIS["Geocentric Z",NORTH],AUTHORITY["EPSG","8084"]]</t>
  </si>
  <si>
    <t>GEOCCS["IGS14",DATUM["IGS14",SPHEROID["GRS 1980",6378137,298.257222101,AUTHORITY["EPSG","7019"]],AUTHORITY["EPSG","1191"]],PRIMEM["Greenwich",0,AUTHORITY["EPSG","8901"]],UNIT["metre",1,AUTHORITY["EPSG","9001"]],AXIS["Geocentric X",OTHER],AXIS["Geocentric Y",OTHER],AXIS["Geocentric Z",NORTH],AUTHORITY["EPSG","8227"]]</t>
  </si>
  <si>
    <t>GEOCCS["NAD83(CSRS96)",DATUM["North_American_Datum_of_1983_CSRS96",SPHEROID["GRS 1980",6378137,298.257222101,AUTHORITY["EPSG","7019"]],AUTHORITY["EPSG","1192"]],PRIMEM["Greenwich",0,AUTHORITY["EPSG","8901"]],UNIT["metre",1,AUTHORITY["EPSG","9001"]],AXIS["Geocentric X",OTHER],AXIS["Geocentric Y",OTHER],AXIS["Geocentric Z",NORTH],AUTHORITY["EPSG","8230"]]</t>
  </si>
  <si>
    <t>GEOCCS["NAD83(CSRS)v2",DATUM["North_American_Datum_of_1983_CSRS_version_2",SPHEROID["GRS 1980",6378137,298.257222101,AUTHORITY["EPSG","7019"]],AUTHORITY["EPSG","1193"]],PRIMEM["Greenwich",0,AUTHORITY["EPSG","8901"]],UNIT["metre",1,AUTHORITY["EPSG","9001"]],AXIS["Geocentric X",OTHER],AXIS["Geocentric Y",OTHER],AXIS["Geocentric Z",NORTH],AUTHORITY["EPSG","8233"]]</t>
  </si>
  <si>
    <t>GEOCCS["NAD83(CSRS)v3",DATUM["North_American_Datum_of_1983_CSRS_version_3",SPHEROID["GRS 1980",6378137,298.257222101,AUTHORITY["EPSG","7019"]],AUTHORITY["EPSG","1194"]],PRIMEM["Greenwich",0,AUTHORITY["EPSG","8901"]],UNIT["metre",1,AUTHORITY["EPSG","9001"]],AXIS["Geocentric X",OTHER],AXIS["Geocentric Y",OTHER],AXIS["Geocentric Z",NORTH],AUTHORITY["EPSG","8238"]]</t>
  </si>
  <si>
    <t>GEOCCS["NAD83(CSRS)v4",DATUM["North_American_Datum_of_1983_CSRS_version_4",SPHEROID["GRS 1980",6378137,298.257222101,AUTHORITY["EPSG","7019"]],AUTHORITY["EPSG","1195"]],PRIMEM["Greenwich",0,AUTHORITY["EPSG","8901"]],UNIT["metre",1,AUTHORITY["EPSG","9001"]],AXIS["Geocentric X",OTHER],AXIS["Geocentric Y",OTHER],AXIS["Geocentric Z",NORTH],AUTHORITY["EPSG","8242"]]</t>
  </si>
  <si>
    <t>GEOCCS["NAD83(CSRS)v5",DATUM["North_American_Datum_of_1983_CSRS_version_5",SPHEROID["GRS 1980",6378137,298.257222101,AUTHORITY["EPSG","7019"]],AUTHORITY["EPSG","1196"]],PRIMEM["Greenwich",0,AUTHORITY["EPSG","8901"]],UNIT["metre",1,AUTHORITY["EPSG","9001"]],AXIS["Geocentric X",OTHER],AXIS["Geocentric Y",OTHER],AXIS["Geocentric Z",NORTH],AUTHORITY["EPSG","8247"]]</t>
  </si>
  <si>
    <t>GEOCCS["NAD83(CSRS)v6",DATUM["North_American_Datum_of_1983_CSRS_version_6",SPHEROID["GRS 1980",6378137,298.257222101,AUTHORITY["EPSG","7019"]],AUTHORITY["EPSG","1197"]],PRIMEM["Greenwich",0,AUTHORITY["EPSG","8901"]],UNIT["metre",1,AUTHORITY["EPSG","9001"]],AXIS["Geocentric X",OTHER],AXIS["Geocentric Y",OTHER],AXIS["Geocentric Z",NORTH],AUTHORITY["EPSG","8250"]]</t>
  </si>
  <si>
    <t>GEOCCS["NAD83(CSRS)v7",DATUM["North_American_Datum_of_1983_CSRS_version_7",SPHEROID["GRS 1980",6378137,298.257222101,AUTHORITY["EPSG","7019"]],AUTHORITY["EPSG","1198"]],PRIMEM["Greenwich",0,AUTHORITY["EPSG","8901"]],UNIT["metre",1,AUTHORITY["EPSG","9001"]],AXIS["Geocentric X",OTHER],AXIS["Geocentric Y",OTHER],AXIS["Geocentric Z",NORTH],AUTHORITY["EPSG","8253"]]</t>
  </si>
  <si>
    <t>COMPD_CS["KKJ / Finland Uniform Coordinate System + N60 height",PROJCS["KKJ / Finland Uniform Coordinate System",GEOGCS["KKJ",DATUM["Kartastokoordinaattijarjestelma_1966",SPHEROID["International 1924",6378388,297,AUTHORITY["EPSG","7022"]],TOWGS84[-96.062,-82.428,-121.753,4.801,0.345,-1.376,1.496],AUTHORITY["EPSG","6123"]],PRIMEM["Greenwich",0,AUTHORITY["EPSG","8901"]],UNIT["degree",0.0174532925199433,AUTHORITY["EPSG","9122"]],AUTHORITY["EPSG","4123"]],PROJECTION["Transverse_Mercator"],PARAMETER["latitude_of_origin",0],PARAMETER["central_meridian",27],PARAMETER["scale_factor",1],PARAMETER["false_easting",3500000],PARAMETER["false_northing",0],UNIT["metre",1,AUTHORITY["EPSG","9001"]],AUTHORITY["EPSG","2393"]],VERT_CS["N60 height",VERT_DATUM["Helsinki 1960",2005,AUTHORITY["EPSG","5116"]],UNIT["metre",1,AUTHORITY["EPSG","9001"]],AXIS["Up",UP],AUTHORITY["EPSG","5717"]],AUTHORITY["EPSG","3901"]]</t>
  </si>
  <si>
    <t xml:space="preserve">+proj=tmerc +lat_0=0 +lon_0=27 +k=1 +x_0=3500000 +y_0=0 +ellps=intl +towgs84=-96.062,-82.428,-121.753,4.801,0.345,-1.376,1.496 +units=m +vunits=m +no_defs </t>
  </si>
  <si>
    <t>COMPD_CS["ETRS89 / TM35FIN(N,E) + N60 height",PROJCS["ETRS89 / TM35FIN(N,E)",GEOGCS["ETRS89",DATUM["European_Terrestrial_Reference_System_1989",SPHEROID["GRS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UTHORITY["EPSG","5048"]],VERT_CS["N60 height",VERT_DATUM["Helsinki 1960",2005,AUTHORITY["EPSG","5116"]],UNIT["metre",1,AUTHORITY["EPSG","9001"]],AXIS["Up",UP],AUTHORITY["EPSG","5717"]],AUTHORITY["EPSG","3902"]]</t>
  </si>
  <si>
    <t xml:space="preserve">+proj=utm +zone=35 +ellps=GRS80 +towgs84=0,0,0,0,0,0,0 +units=m +vunits=m +no_defs </t>
  </si>
  <si>
    <t>COMPD_CS["ETRS89 / TM35FIN(N,E) + N2000 height",PROJCS["ETRS89 / TM35FIN(N,E)",GEOGCS["ETRS89",DATUM["European_Terrestrial_Reference_System_1989",SPHEROID["GRS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UTHORITY["EPSG","5048"]],VERT_CS["N2000 height",VERT_DATUM["N2000",2005,AUTHORITY["EPSG","1030"]],UNIT["metre",1,AUTHORITY["EPSG","9001"]],AXIS["Up",UP],AUTHORITY["EPSG","3900"]],AUTHORITY["EPSG","3903"]]</t>
  </si>
  <si>
    <t>COMPD_CS["NAD83(NSRS2007) + NAVD88 height",GEOGCS["NAD83(NSRS2007)",DATUM["NAD83_National_Spatial_Reference_System_2007",SPHEROID["GRS 1980",6378137,298.257222101,AUTHORITY["EPSG","7019"]],TOWGS84[0,0,0,0,0,0,0],AUTHORITY["EPSG","6759"]],PRIMEM["Greenwich",0,AUTHORITY["EPSG","8901"]],UNIT["degree",0.0174532925199433,AUTHORITY["EPSG","9122"]],AUTHORITY["EPSG","4759"]],VERT_CS["NAVD88 height",VERT_DATUM["North American Vertical Datum 1988",2005,EXTENSION["PROJ4_GRIDS","g2012a_conus.gtx,g2012a_alaska.gtx,g2012a_guam.gtx,g2012a_hawaii.gtx,g2012a_puertorico.gtx,g2012a_samoa.gtx"],AUTHORITY["EPSG","5103"]],UNIT["metre",1,AUTHORITY["EPSG","9001"]],AXIS["Up",UP],AUTHORITY["EPSG","5703"]],AUTHORITY["EPSG","5500"]]</t>
  </si>
  <si>
    <t xml:space="preserve">+proj=longlat +ellps=GRS80 +towgs84=0,0,0,0,0,0,0 +geoidgrids=g2012a_conus.gtx,g2012a_alaska.gtx,g2012a_guam.gtx,g2012a_hawaii.gtx,g2012a_puertorico.gtx,g2012a_samoa.gtx +vunits=m +no_defs </t>
  </si>
  <si>
    <t>COMPD_CS["ETRS89 / DKTM1 + DVR90 height",PROJCS["ETRS89 / DKTM1",GEOGCS["ETRS89",DATUM["European_Terrestrial_Reference_System_1989",SPHEROID["GRS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0.99998],PARAMETER["false_easting",200000],PARAMETER["false_northing",-5000000],UNIT["metre",1,AUTHORITY["EPSG","9001"]],AXIS["Easting",EAST],AXIS["Northing",NORTH],AUTHORITY["EPSG","4093"]],VERT_CS["DVR90 height",VERT_DATUM["Dansk Vertikal Reference 1990",2005,AUTHORITY["EPSG","5206"]],UNIT["metre",1,AUTHORITY["EPSG","9001"]],AXIS["Up",UP],AUTHORITY["EPSG","5799"]],AUTHORITY["EPSG","4097"]]</t>
  </si>
  <si>
    <t xml:space="preserve">+proj=tmerc +lat_0=0 +lon_0=9 +k=0.99998 +x_0=200000 +y_0=-5000000 +ellps=GRS80 +towgs84=0,0,0,0,0,0,0 +units=m +vunits=m +no_defs </t>
  </si>
  <si>
    <t>COMPD_CS["ETRS89 / DKTM2 + DVR90 height",PROJCS["ETRS89 / DKTM2",GEOGCS["ETRS89",DATUM["European_Terrestrial_Reference_System_1989",SPHEROID["GRS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10],PARAMETER["scale_factor",0.99998],PARAMETER["false_easting",400000],PARAMETER["false_northing",-5000000],UNIT["metre",1,AUTHORITY["EPSG","9001"]],AXIS["Easting",EAST],AXIS["Northing",NORTH],AUTHORITY["EPSG","4094"]],VERT_CS["DVR90 height",VERT_DATUM["Dansk Vertikal Reference 1990",2005,AUTHORITY["EPSG","5206"]],UNIT["metre",1,AUTHORITY["EPSG","9001"]],AXIS["Up",UP],AUTHORITY["EPSG","5799"]],AUTHORITY["EPSG","4098"]]</t>
  </si>
  <si>
    <t xml:space="preserve">+proj=tmerc +lat_0=0 +lon_0=10 +k=0.99998 +x_0=400000 +y_0=-5000000 +ellps=GRS80 +towgs84=0,0,0,0,0,0,0 +units=m +vunits=m +no_defs </t>
  </si>
  <si>
    <t>COMPD_CS["ETRS89 / DKTM3 + DVR90 height",PROJCS["ETRS89 / DKTM3",GEOGCS["ETRS89",DATUM["European_Terrestrial_Reference_System_1989",SPHEROID["GRS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11.75],PARAMETER["scale_factor",0.99998],PARAMETER["false_easting",600000],PARAMETER["false_northing",-5000000],UNIT["metre",1,AUTHORITY["EPSG","9001"]],AXIS["Easting",EAST],AXIS["Northing",NORTH],AUTHORITY["EPSG","4095"]],VERT_CS["DVR90 height",VERT_DATUM["Dansk Vertikal Reference 1990",2005,AUTHORITY["EPSG","5206"]],UNIT["metre",1,AUTHORITY["EPSG","9001"]],AXIS["Up",UP],AUTHORITY["EPSG","5799"]],AUTHORITY["EPSG","4099"]]</t>
  </si>
  <si>
    <t xml:space="preserve">+proj=tmerc +lat_0=0 +lon_0=11.75 +k=0.99998 +x_0=600000 +y_0=-5000000 +ellps=GRS80 +towgs84=0,0,0,0,0,0,0 +units=m +vunits=m +no_defs </t>
  </si>
  <si>
    <t>COMPD_CS["ETRS89 / DKTM4 + DVR90 height",PROJCS["ETRS89 / DKTM4",GEOGCS["ETRS89",DATUM["European_Terrestrial_Reference_System_1989",SPHEROID["GRS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1],PARAMETER["false_easting",800000],PARAMETER["false_northing",-5000000],UNIT["metre",1,AUTHORITY["EPSG","9001"]],AXIS["Easting",EAST],AXIS["Northing",NORTH],AUTHORITY["EPSG","4096"]],VERT_CS["DVR90 height",VERT_DATUM["Dansk Vertikal Reference 1990",2005,AUTHORITY["EPSG","5206"]],UNIT["metre",1,AUTHORITY["EPSG","9001"]],AXIS["Up",UP],AUTHORITY["EPSG","5799"]],AUTHORITY["EPSG","4100"]]</t>
  </si>
  <si>
    <t xml:space="preserve">+proj=tmerc +lat_0=0 +lon_0=15 +k=1 +x_0=800000 +y_0=-5000000 +ellps=GRS80 +towgs84=0,0,0,0,0,0,0 +units=m +vunits=m +no_defs </t>
  </si>
  <si>
    <t>COMPD_CS["ETRS89 / Faroe TM + FVR09 height",PROJCS["ETRS89 / Faroe TM",GEOGCS["ETRS89",DATUM["European_Terrestrial_Reference_System_1989",SPHEROID["GRS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-7],PARAMETER["scale_factor",0.999997],PARAMETER["false_easting",200000],PARAMETER["false_northing",-6000000],UNIT["metre",1,AUTHORITY["EPSG","9001"]],AXIS["Easting",EAST],AXIS["Northing",NORTH],AUTHORITY["EPSG","5316"]],VERT_CS["FVR09 height",VERT_DATUM["Faroe Islands Vertical Reference 2009",2005,AUTHORITY["EPSG","1059"]],UNIT["metre",1,AUTHORITY["EPSG","9001"]],AXIS["Up",UP],AUTHORITY["EPSG","5317"]],AUTHORITY["EPSG","5318"]]</t>
  </si>
  <si>
    <t xml:space="preserve">+proj=tmerc +lat_0=0 +lon_0=-7 +k=0.999997 +x_0=200000 +y_0=-6000000 +ellps=GRS80 +towgs84=0,0,0,0,0,0,0 +units=m +vunits=m +no_defs </t>
  </si>
  <si>
    <t>COMPD_CS["NAD83 + NAVD88 height",GEOGCS["NAD83",DATUM["North_American_Datum_1983",SPHEROID["GRS 1980",6378137,298.257222101,AUTHORITY["EPSG","7019"]],TOWGS84[0,0,0,0,0,0,0],AUTHORITY["EPSG","6269"]],PRIMEM["Greenwich",0,AUTHORITY["EPSG","8901"]],UNIT["degree",0.0174532925199433,AUTHORITY["EPSG","9122"]],AUTHORITY["EPSG","4269"]],VERT_CS["NAVD88 height",VERT_DATUM["North American Vertical Datum 1988",2005,EXTENSION["PROJ4_GRIDS","g2012a_conus.gtx,g2012a_alaska.gtx,g2012a_guam.gtx,g2012a_hawaii.gtx,g2012a_puertorico.gtx,g2012a_samoa.gtx"],AUTHORITY["EPSG","5103"]],UNIT["metre",1,AUTHORITY["EPSG","9001"]],AXIS["Up",UP],AUTHORITY["EPSG","5703"]],AUTHORITY["EPSG","5498"]]</t>
  </si>
  <si>
    <t>COMPD_CS["NAD83(HARN) + NAVD88 height",GEOGCS["NAD83(HARN)",DATUM["NAD83_High_Accuracy_Reference_Network",SPHEROID["GRS 1980",6378137,298.257222101,AUTHORITY["EPSG","7019"]],TOWGS84[0,0,0,0,0,0,0],AUTHORITY["EPSG","6152"]],PRIMEM["Greenwich",0,AUTHORITY["EPSG","8901"]],UNIT["degree",0.0174532925199433,AUTHORITY["EPSG","9122"]],AUTHORITY["EPSG","4152"]],VERT_CS["NAVD88 height",VERT_DATUM["North American Vertical Datum 1988",2005,EXTENSION["PROJ4_GRIDS","g2012a_conus.gtx,g2012a_alaska.gtx,g2012a_guam.gtx,g2012a_hawaii.gtx,g2012a_puertorico.gtx,g2012a_samoa.gtx"],AUTHORITY["EPSG","5103"]],UNIT["metre",1,AUTHORITY["EPSG","9001"]],AXIS["Up",UP],AUTHORITY["EPSG","5703"]],AUTHORITY["EPSG","5499"]]</t>
  </si>
  <si>
    <t>COMPD_CS["ETRS89 / UTM zone 31N + DHHN92 height",PROJCS["ETRS89 / UTM zone 31N",GEOGCS["ETRS89",DATUM["European_Terrestrial_Reference_System_1989",SPHEROID["GRS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25831"]],VERT_CS["DHHN92 height",VERT_DATUM["Deutsches Haupthoehennetz 1992",2005,AUTHORITY["EPSG","5181"]],UNIT["metre",1,AUTHORITY["EPSG","9001"]],AXIS["Up",UP],AUTHORITY["EPSG","5783"]],AUTHORITY["EPSG","5554"]]</t>
  </si>
  <si>
    <t xml:space="preserve">+proj=utm +zone=31 +ellps=GRS80 +towgs84=0,0,0,0,0,0,0 +units=m +vunits=m +no_defs </t>
  </si>
  <si>
    <t>COMPD_CS["ETRS89 / UTM zone 32N + DHHN92 height",PROJCS["ETRS89 / UTM zone 32N",GEOGCS["ETRS89",DATUM["European_Terrestrial_Reference_System_1989",SPHEROID["GRS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25832"]],VERT_CS["DHHN92 height",VERT_DATUM["Deutsches Haupthoehennetz 1992",2005,AUTHORITY["EPSG","5181"]],UNIT["metre",1,AUTHORITY["EPSG","9001"]],AXIS["Up",UP],AUTHORITY["EPSG","5783"]],AUTHORITY["EPSG","5555"]]</t>
  </si>
  <si>
    <t xml:space="preserve">+proj=utm +zone=32 +ellps=GRS80 +towgs84=0,0,0,0,0,0,0 +units=m +vunits=m +no_defs </t>
  </si>
  <si>
    <t>COMPD_CS["ETRS89 / UTM zone 33N + DHHN92 height",PROJCS["ETRS89 / UTM zone 33N",GEOGCS["ETRS89",DATUM["European_Terrestrial_Reference_System_1989",SPHEROID["GRS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25833"]],VERT_CS["DHHN92 height",VERT_DATUM["Deutsches Haupthoehennetz 1992",2005,AUTHORITY["EPSG","5181"]],UNIT["metre",1,AUTHORITY["EPSG","9001"]],AXIS["Up",UP],AUTHORITY["EPSG","5783"]],AUTHORITY["EPSG","5556"]]</t>
  </si>
  <si>
    <t xml:space="preserve">+proj=utm +zone=33 +ellps=GRS80 +towgs84=0,0,0,0,0,0,0 +units=m +vunits=m +no_defs </t>
  </si>
  <si>
    <t>COMPD_CS["FEH2010 / Fehmarnbelt TM + FCSVR10 height",PROJCS["FEH2010 / Fehmarnbelt TM",GEOGCS["FEH2010",DATUM["Fehmarnbelt_Datum_2010",SPHEROID["GRS 1980",6378137,298.257222101,AUTHORITY["EPSG","7019"]],TOWGS84[0,0,0,0,0,0,0],AUTHORITY["EPSG","1078"]],PRIMEM["Greenwich",0,AUTHORITY["EPSG","8901"]],UNIT["degree",0.0174532925199433,AUTHORITY["EPSG","9122"]],AUTHORITY["EPSG","5593"]],PROJECTION["Transverse_Mercator"],PARAMETER["latitude_of_origin",0],PARAMETER["central_meridian",11.33333333333333],PARAMETER["scale_factor",1],PARAMETER["false_easting",1000000],PARAMETER["false_northing",0],UNIT["metre",1,AUTHORITY["EPSG","9001"]],AXIS["Easting",EAST],AXIS["Northing",NORTH],AUTHORITY["EPSG","5596"]],VERT_CS["FCSVR10 height",VERT_DATUM["Fehmarnbelt Vertical Reference 2010",2005,AUTHORITY["EPSG","1079"]],UNIT["metre",1,AUTHORITY["EPSG","9001"]],AXIS["Up",UP],AUTHORITY["EPSG","5597"]],AUTHORITY["EPSG","5598"]]</t>
  </si>
  <si>
    <t xml:space="preserve">+proj=tmerc +lat_0=0 +lon_0=11.33333333333333 +k=1 +x_0=1000000 +y_0=0 +ellps=GRS80 +towgs84=0,0,0,0,0,0,0 +units=m +vunits=m +no_defs </t>
  </si>
  <si>
    <t>COMPD_CS["SWEREF99 + RH2000 height",GEOGCS["SWEREF99",DATUM["SWEREF99",SPHEROID["GRS 1980",6378137,298.257222101,AUTHORITY["EPSG","7019"]],TOWGS84[0,0,0,0,0,0,0],AUTHORITY["EPSG","6619"]],PRIMEM["Greenwich",0,AUTHORITY["EPSG","8901"]],UNIT["degree",0.0174532925199433,AUTHORITY["EPSG","9122"]],AUTHORITY["EPSG","4619"]],VERT_CS["RH2000 height",VERT_DATUM["Rikets hojdsystem 2000",2005,AUTHORITY["EPSG","5208"]],UNIT["metre",1,AUTHORITY["EPSG","9001"]],AXIS["Up",UP],AUTHORITY["EPSG","5613"]],AUTHORITY["EPSG","5628"]]</t>
  </si>
  <si>
    <t xml:space="preserve">+proj=longlat +ellps=GRS80 +towgs84=0,0,0,0,0,0,0 +vunits=m +no_defs </t>
  </si>
  <si>
    <t>COMPD_CS["RGF93 / Lambert-93 + NGF-IGN69 height",PROJCS["RGF93 / Lambert-93",GEOGCS["RGF93",DATUM["Reseau_Geodesique_Francais_1993",SPHEROID["GRS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49],PARAMETER["standard_parallel_2",44],PARAMETER["latitude_of_origin",46.5],PARAMETER["central_meridian",3],PARAMETER["false_easting",700000],PARAMETER["false_northing",6600000],UNIT["metre",1,AUTHORITY["EPSG","9001"]],AXIS["X",EAST],AXIS["Y",NORTH],AUTHORITY["EPSG","2154"]],VERT_CS["NGF-IGN69 height",VERT_DATUM["Nivellement General de la France - IGN69",2005,AUTHORITY["EPSG","5119"]],UNIT["metre",1,AUTHORITY["EPSG","9001"]],AXIS["Up",UP],AUTHORITY["EPSG","5720"]],AUTHORITY["EPSG","5698"]]</t>
  </si>
  <si>
    <t xml:space="preserve">+proj=lcc +lat_1=49 +lat_2=44 +lat_0=46.5 +lon_0=3 +x_0=700000 +y_0=6600000 +ellps=GRS80 +towgs84=0,0,0,0,0,0,0 +units=m +vunits=m +no_defs </t>
  </si>
  <si>
    <t>COMPD_CS["RGF93 / Lambert-93 + NGF-IGN78 height",PROJCS["RGF93 / Lambert-93",GEOGCS["RGF93",DATUM["Reseau_Geodesique_Francais_1993",SPHEROID["GRS 1980",6378137,298.257222101,AUTHORITY["EPSG","7019"]],TOWGS84[0,0,0,0,0,0,0],AUTHORITY["EPSG","6171"]],PRIMEM["Greenwich",0,AUTHORITY["EPSG","8901"]],UNIT["degree",0.0174532925199433,AUTHORITY["EPSG","9122"]],AUTHORITY["EPSG","4171"]],PROJECTION["Lambert_Conformal_Conic_2SP"],PARAMETER["standard_parallel_1",49],PARAMETER["standard_parallel_2",44],PARAMETER["latitude_of_origin",46.5],PARAMETER["central_meridian",3],PARAMETER["false_easting",700000],PARAMETER["false_northing",6600000],UNIT["metre",1,AUTHORITY["EPSG","9001"]],AXIS["X",EAST],AXIS["Y",NORTH],AUTHORITY["EPSG","2154"]],VERT_CS["NGF-IGN78 height",VERT_DATUM["Nivellement General de la France - IGN78",2005,AUTHORITY["EPSG","5120"]],UNIT["metre",1,AUTHORITY["EPSG","9001"]],AXIS["Up",UP],AUTHORITY["EPSG","5721"]],AUTHORITY["EPSG","5699"]]</t>
  </si>
  <si>
    <t>COMPD_CS["SWEREF99 12 00 + RH2000 height",PROJCS["SWEREF99 12 00",GEOGCS["SWEREF99",DATUM["SWEREF99",SPHEROID["GRS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12],PARAMETER["scale_factor",1],PARAMETER["false_easting",150000],PARAMETER["false_northing",0],UNIT["metre",1,AUTHORITY["EPSG","9001"]],AUTHORITY["EPSG","3007"]],VERT_CS["RH2000 height",VERT_DATUM["Rikets hojdsystem 2000",2005,AUTHORITY["EPSG","5208"]],UNIT["metre",1,AUTHORITY["EPSG","9001"]],AXIS["Up",UP],AUTHORITY["EPSG","5613"]],AUTHORITY["EPSG","5846"]]</t>
  </si>
  <si>
    <t xml:space="preserve">+proj=tmerc +lat_0=0 +lon_0=12 +k=1 +x_0=150000 +y_0=0 +ellps=GRS80 +towgs84=0,0,0,0,0,0,0 +units=m +vunits=m +no_defs </t>
  </si>
  <si>
    <t>COMPD_CS["NTF (Paris) / Lambert zone I + NGF-IGN69 height",PROJCS["NTF (Paris) / Lambert zone 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55],PARAMETER["central_meridian",0],PARAMETER["scale_factor",0.999877341],PARAMETER["false_easting",600000],PARAMETER["false_northing",1200000],UNIT["metre",1,AUTHORITY["EPSG","9001"]],AXIS["X",EAST],AXIS["Y",NORTH],AUTHORITY["EPSG","27571"]],VERT_CS["NGF-IGN69 height",VERT_DATUM["Nivellement General de la France - IGN69",2005,AUTHORITY["EPSG","5119"]],UNIT["metre",1,AUTHORITY["EPSG","9001"]],AXIS["Up",UP],AUTHORITY["EPSG","5720"]],AUTHORITY["EPSG","5707"]]</t>
  </si>
  <si>
    <t xml:space="preserve">+proj=lcc +lat_1=49.50000000000001 +lat_0=49.50000000000001 +lon_0=0 +k_0=0.999877341 +x_0=600000 +y_0=1200000 +a=6378249.2 +b=6356515 +towgs84=-168,-60,320,0,0,0,0 +pm=paris +units=m +vunits=m +no_defs </t>
  </si>
  <si>
    <t>COMPD_CS["NTF (Paris) / Lambert zone IV + NGF-IGN78 height",PROJCS["NTF (Paris) / Lambert zone IV",GEOGCS["NTF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46.85],PARAMETER["central_meridian",0],PARAMETER["scale_factor",0.99994471],PARAMETER["false_easting",234.358],PARAMETER["false_northing",4185861.369],UNIT["metre",1,AUTHORITY["EPSG","9001"]],AXIS["X",EAST],AXIS["Y",NORTH],AUTHORITY["EPSG","27574"]],VERT_CS["NGF-IGN78 height",VERT_DATUM["Nivellement General de la France - IGN78",2005,AUTHORITY["EPSG","5120"]],UNIT["metre",1,AUTHORITY["EPSG","9001"]],AXIS["Up",UP],AUTHORITY["EPSG","5721"]],AUTHORITY["EPSG","5708"]]</t>
  </si>
  <si>
    <t xml:space="preserve">+proj=lcc +lat_1=42.16500000000001 +lat_0=42.16500000000001 +lon_0=0 +k_0=0.99994471 +x_0=234.358 +y_0=4185861.369 +a=6378249.2 +b=6356515 +towgs84=-168,-60,320,0,0,0,0 +pm=paris +units=m +vunits=m +no_defs </t>
  </si>
  <si>
    <t>COMPD_CS["DB_REF / 3-degree Gauss-Kruger zone 2 (E-N) + DHHN92 height",PROJCS["DB_REF / 3-degree Gauss-Kruger zone 2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6],PARAMETER["scale_factor",1],PARAMETER["false_easting",2500000],PARAMETER["false_northing",0],UNIT["metre",1,AUTHORITY["EPSG","9001"]],AXIS["Easting",EAST],AXIS["Northing",NORTH],AUTHORITY["EPSG","5682"]],VERT_CS["DHHN92 height",VERT_DATUM["Deutsches Haupthoehennetz 1992",2005,AUTHORITY["EPSG","5181"]],UNIT["metre",1,AUTHORITY["EPSG","9001"]],AXIS["Up",UP],AUTHORITY["EPSG","5783"]],AUTHORITY["EPSG","5832"]]</t>
  </si>
  <si>
    <t>COMPD_CS["DB_REF / 3-degree Gauss-Kruger zone 3 (E-N) + DHHN92 height",PROJCS["DB_REF / 3-degree Gauss-Kruger zone 3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9],PARAMETER["scale_factor",1],PARAMETER["false_easting",3500000],PARAMETER["false_northing",0],UNIT["metre",1,AUTHORITY["EPSG","9001"]],AXIS["Easting",EAST],AXIS["Northing",NORTH],AUTHORITY["EPSG","5683"]],VERT_CS["DHHN92 height",VERT_DATUM["Deutsches Haupthoehennetz 1992",2005,AUTHORITY["EPSG","5181"]],UNIT["metre",1,AUTHORITY["EPSG","9001"]],AXIS["Up",UP],AUTHORITY["EPSG","5783"]],AUTHORITY["EPSG","5833"]]</t>
  </si>
  <si>
    <t>COMPD_CS["DB_REF / 3-degree Gauss-Kruger zone 4 (E-N) + DHHN92 height",PROJCS["DB_REF / 3-degree Gauss-Kruger zone 4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12],PARAMETER["scale_factor",1],PARAMETER["false_easting",4500000],PARAMETER["false_northing",0],UNIT["metre",1,AUTHORITY["EPSG","9001"]],AXIS["Easting",EAST],AXIS["Northing",NORTH],AUTHORITY["EPSG","5684"]],VERT_CS["DHHN92 height",VERT_DATUM["Deutsches Haupthoehennetz 1992",2005,AUTHORITY["EPSG","5181"]],UNIT["metre",1,AUTHORITY["EPSG","9001"]],AXIS["Up",UP],AUTHORITY["EPSG","5783"]],AUTHORITY["EPSG","5834"]]</t>
  </si>
  <si>
    <t>COMPD_CS["DB_REF / 3-degree Gauss-Kruger zone 5 (E-N) + DHHN92 height",PROJCS["DB_REF / 3-degree Gauss-Kruger zone 5 (E-N)",GEOGCS["DB_REF",DATUM["Deutsche_Bahn_Reference_System",SPHEROID["Bessel 1841",6377397.155,299.1528128,AUTHORITY["EPSG","7004"]],AUTHORITY["EPSG","1081"]],PRIMEM["Greenwich",0,AUTHORITY["EPSG","8901"]],UNIT["degree",0.0174532925199433,AUTHORITY["EPSG","9122"]],AUTHORITY["EPSG","5681"]],PROJECTION["Transverse_Mercator"],PARAMETER["latitude_of_origin",0],PARAMETER["central_meridian",15],PARAMETER["scale_factor",1],PARAMETER["false_easting",5500000],PARAMETER["false_northing",0],UNIT["metre",1,AUTHORITY["EPSG","9001"]],AXIS["Easting",EAST],AXIS["Northing",NORTH],AUTHORITY["EPSG","5685"]],VERT_CS["DHHN92 height",VERT_DATUM["Deutsches Haupthoehennetz 1992",2005,AUTHORITY["EPSG","5181"]],UNIT["metre",1,AUTHORITY["EPSG","9001"]],AXIS["Up",UP],AUTHORITY["EPSG","5783"]],AUTHORITY["EPSG","5835"]]</t>
  </si>
  <si>
    <t>COMPD_CS["SWEREF99 TM + RH2000 height",PROJCS["SWEREF99 TM",GEOGCS["SWEREF99",DATUM["SWEREF99",SPHEROID["GRS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15],PARAMETER["scale_factor",0.9996],PARAMETER["false_easting",500000],PARAMETER["false_northing",0],UNIT["metre",1,AUTHORITY["EPSG","9001"]],AUTHORITY["EPSG","3006"]],VERT_CS["RH2000 height",VERT_DATUM["Rikets hojdsystem 2000",2005,AUTHORITY["EPSG","5208"]],UNIT["metre",1,AUTHORITY["EPSG","9001"]],AXIS["Up",UP],AUTHORITY["EPSG","5613"]],AUTHORITY["EPSG","5845"]]</t>
  </si>
  <si>
    <t>COMPD_CS["SWEREF99 13 30 + RH2000 height",PROJCS["SWEREF99 13 30",GEOGCS["SWEREF99",DATUM["SWEREF99",SPHEROID["GRS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13.5],PARAMETER["scale_factor",1],PARAMETER["false_easting",150000],PARAMETER["false_northing",0],UNIT["metre",1,AUTHORITY["EPSG","9001"]],AUTHORITY["EPSG","3008"]],VERT_CS["RH2000 height",VERT_DATUM["Rikets hojdsystem 2000",2005,AUTHORITY["EPSG","5208"]],UNIT["metre",1,AUTHORITY["EPSG","9001"]],AXIS["Up",UP],AUTHORITY["EPSG","5613"]],AUTHORITY["EPSG","5847"]]</t>
  </si>
  <si>
    <t xml:space="preserve">+proj=tmerc +lat_0=0 +lon_0=13.5 +k=1 +x_0=150000 +y_0=0 +ellps=GRS80 +towgs84=0,0,0,0,0,0,0 +units=m +vunits=m +no_defs </t>
  </si>
  <si>
    <t>COMPD_CS["SWEREF99 15 00 + RH2000 height",PROJCS["SWEREF99 15 00",GEOGCS["SWEREF99",DATUM["SWEREF99",SPHEROID["GRS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15],PARAMETER["scale_factor",1],PARAMETER["false_easting",150000],PARAMETER["false_northing",0],UNIT["metre",1,AUTHORITY["EPSG","9001"]],AUTHORITY["EPSG","3009"]],VERT_CS["RH2000 height",VERT_DATUM["Rikets hojdsystem 2000",2005,AUTHORITY["EPSG","5208"]],UNIT["metre",1,AUTHORITY["EPSG","9001"]],AXIS["Up",UP],AUTHORITY["EPSG","5613"]],AUTHORITY["EPSG","5848"]]</t>
  </si>
  <si>
    <t xml:space="preserve">+proj=tmerc +lat_0=0 +lon_0=15 +k=1 +x_0=150000 +y_0=0 +ellps=GRS80 +towgs84=0,0,0,0,0,0,0 +units=m +vunits=m +no_defs </t>
  </si>
  <si>
    <t>COMPD_CS["SWEREF99 16 30 + RH2000 height",PROJCS["SWEREF99 16 30",GEOGCS["SWEREF99",DATUM["SWEREF99",SPHEROID["GRS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16.5],PARAMETER["scale_factor",1],PARAMETER["false_easting",150000],PARAMETER["false_northing",0],UNIT["metre",1,AUTHORITY["EPSG","9001"]],AUTHORITY["EPSG","3010"]],VERT_CS["RH2000 height",VERT_DATUM["Rikets hojdsystem 2000",2005,AUTHORITY["EPSG","5208"]],UNIT["metre",1,AUTHORITY["EPSG","9001"]],AXIS["Up",UP],AUTHORITY["EPSG","5613"]],AUTHORITY["EPSG","5849"]]</t>
  </si>
  <si>
    <t xml:space="preserve">+proj=tmerc +lat_0=0 +lon_0=16.5 +k=1 +x_0=150000 +y_0=0 +ellps=GRS80 +towgs84=0,0,0,0,0,0,0 +units=m +vunits=m +no_defs </t>
  </si>
  <si>
    <t>COMPD_CS["SWEREF99 18 00 + RH2000 height",PROJCS["SWEREF99 18 00",GEOGCS["SWEREF99",DATUM["SWEREF99",SPHEROID["GRS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18],PARAMETER["scale_factor",1],PARAMETER["false_easting",150000],PARAMETER["false_northing",0],UNIT["metre",1,AUTHORITY["EPSG","9001"]],AUTHORITY["EPSG","3011"]],VERT_CS["RH2000 height",VERT_DATUM["Rikets hojdsystem 2000",2005,AUTHORITY["EPSG","5208"]],UNIT["metre",1,AUTHORITY["EPSG","9001"]],AXIS["Up",UP],AUTHORITY["EPSG","5613"]],AUTHORITY["EPSG","5850"]]</t>
  </si>
  <si>
    <t xml:space="preserve">+proj=tmerc +lat_0=0 +lon_0=18 +k=1 +x_0=150000 +y_0=0 +ellps=GRS80 +towgs84=0,0,0,0,0,0,0 +units=m +vunits=m +no_defs </t>
  </si>
  <si>
    <t>COMPD_CS["SWEREF99 14 15 + RH2000 height",PROJCS["SWEREF99 14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14.25],PARAMETER["scale_factor",1],PARAMETER["false_easting",150000],PARAMETER["false_northing",0],UNIT["metre",1,AUTHORITY["EPSG","9001"]],AUTHORITY["EPSG","3012"]],VERT_CS["RH2000 height",VERT_DATUM["Rikets hojdsystem 2000",2005,AUTHORITY["EPSG","5208"]],UNIT["metre",1,AUTHORITY["EPSG","9001"]],AXIS["Up",UP],AUTHORITY["EPSG","5613"]],AUTHORITY["EPSG","5851"]]</t>
  </si>
  <si>
    <t xml:space="preserve">+proj=tmerc +lat_0=0 +lon_0=14.25 +k=1 +x_0=150000 +y_0=0 +ellps=GRS80 +towgs84=0,0,0,0,0,0,0 +units=m +vunits=m +no_defs </t>
  </si>
  <si>
    <t>COMPD_CS["SWEREF99 15 45 + RH2000 height",PROJCS["SWEREF99 15 45",GEOGCS["SWEREF99",DATUM["SWEREF99",SPHEROID["GRS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15.75],PARAMETER["scale_factor",1],PARAMETER["false_easting",150000],PARAMETER["false_northing",0],UNIT["metre",1,AUTHORITY["EPSG","9001"]],AUTHORITY["EPSG","3013"]],VERT_CS["RH2000 height",VERT_DATUM["Rikets hojdsystem 2000",2005,AUTHORITY["EPSG","5208"]],UNIT["metre",1,AUTHORITY["EPSG","9001"]],AXIS["Up",UP],AUTHORITY["EPSG","5613"]],AUTHORITY["EPSG","5852"]]</t>
  </si>
  <si>
    <t xml:space="preserve">+proj=tmerc +lat_0=0 +lon_0=15.75 +k=1 +x_0=150000 +y_0=0 +ellps=GRS80 +towgs84=0,0,0,0,0,0,0 +units=m +vunits=m +no_defs </t>
  </si>
  <si>
    <t>COMPD_CS["SWEREF99 17 15 + RH2000 height",PROJCS["SWEREF99 17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17.25],PARAMETER["scale_factor",1],PARAMETER["false_easting",150000],PARAMETER["false_northing",0],UNIT["metre",1,AUTHORITY["EPSG","9001"]],AUTHORITY["EPSG","3014"]],VERT_CS["RH2000 height",VERT_DATUM["Rikets hojdsystem 2000",2005,AUTHORITY["EPSG","5208"]],UNIT["metre",1,AUTHORITY["EPSG","9001"]],AXIS["Up",UP],AUTHORITY["EPSG","5613"]],AUTHORITY["EPSG","5853"]]</t>
  </si>
  <si>
    <t xml:space="preserve">+proj=tmerc +lat_0=0 +lon_0=17.25 +k=1 +x_0=150000 +y_0=0 +ellps=GRS80 +towgs84=0,0,0,0,0,0,0 +units=m +vunits=m +no_defs </t>
  </si>
  <si>
    <t>COMPD_CS["SWEREF99 18 45 + RH2000 height",PROJCS["SWEREF99 18 45",GEOGCS["SWEREF99",DATUM["SWEREF99",SPHEROID["GRS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18.75],PARAMETER["scale_factor",1],PARAMETER["false_easting",150000],PARAMETER["false_northing",0],UNIT["metre",1,AUTHORITY["EPSG","9001"]],AUTHORITY["EPSG","3015"]],VERT_CS["RH2000 height",VERT_DATUM["Rikets hojdsystem 2000",2005,AUTHORITY["EPSG","5208"]],UNIT["metre",1,AUTHORITY["EPSG","9001"]],AXIS["Up",UP],AUTHORITY["EPSG","5613"]],AUTHORITY["EPSG","5854"]]</t>
  </si>
  <si>
    <t xml:space="preserve">+proj=tmerc +lat_0=0 +lon_0=18.75 +k=1 +x_0=150000 +y_0=0 +ellps=GRS80 +towgs84=0,0,0,0,0,0,0 +units=m +vunits=m +no_defs </t>
  </si>
  <si>
    <t>COMPD_CS["SWEREF99 20 15 + RH2000 height",PROJCS["SWEREF99 20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20.25],PARAMETER["scale_factor",1],PARAMETER["false_easting",150000],PARAMETER["false_northing",0],UNIT["metre",1,AUTHORITY["EPSG","9001"]],AUTHORITY["EPSG","3016"]],VERT_CS["RH2000 height",VERT_DATUM["Rikets hojdsystem 2000",2005,AUTHORITY["EPSG","5208"]],UNIT["metre",1,AUTHORITY["EPSG","9001"]],AXIS["Up",UP],AUTHORITY["EPSG","5613"]],AUTHORITY["EPSG","5855"]]</t>
  </si>
  <si>
    <t xml:space="preserve">+proj=tmerc +lat_0=0 +lon_0=20.25 +k=1 +x_0=150000 +y_0=0 +ellps=GRS80 +towgs84=0,0,0,0,0,0,0 +units=m +vunits=m +no_defs </t>
  </si>
  <si>
    <t>COMPD_CS["SWEREF99 21 45 + RH2000 height",PROJCS["SWEREF99 21 45",GEOGCS["SWEREF99",DATUM["SWEREF99",SPHEROID["GRS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21.75],PARAMETER["scale_factor",1],PARAMETER["false_easting",150000],PARAMETER["false_northing",0],UNIT["metre",1,AUTHORITY["EPSG","9001"]],AUTHORITY["EPSG","3017"]],VERT_CS["RH2000 height",VERT_DATUM["Rikets hojdsystem 2000",2005,AUTHORITY["EPSG","5208"]],UNIT["metre",1,AUTHORITY["EPSG","9001"]],AXIS["Up",UP],AUTHORITY["EPSG","5613"]],AUTHORITY["EPSG","5856"]]</t>
  </si>
  <si>
    <t xml:space="preserve">+proj=tmerc +lat_0=0 +lon_0=21.75 +k=1 +x_0=150000 +y_0=0 +ellps=GRS80 +towgs84=0,0,0,0,0,0,0 +units=m +vunits=m +no_defs </t>
  </si>
  <si>
    <t>COMPD_CS["SWEREF99 23 15 + RH2000 height",PROJCS["SWEREF99 23 15",GEOGCS["SWEREF99",DATUM["SWEREF99",SPHEROID["GRS 1980",6378137,298.257222101,AUTHORITY["EPSG","7019"]],TOWGS84[0,0,0,0,0,0,0],AUTHORITY["EPSG","6619"]],PRIMEM["Greenwich",0,AUTHORITY["EPSG","8901"]],UNIT["degree",0.0174532925199433,AUTHORITY["EPSG","9122"]],AUTHORITY["EPSG","4619"]],PROJECTION["Transverse_Mercator"],PARAMETER["latitude_of_origin",0],PARAMETER["central_meridian",23.25],PARAMETER["scale_factor",1],PARAMETER["false_easting",150000],PARAMETER["false_northing",0],UNIT["metre",1,AUTHORITY["EPSG","9001"]],AUTHORITY["EPSG","3018"]],VERT_CS["RH2000 height",VERT_DATUM["Rikets hojdsystem 2000",2005,AUTHORITY["EPSG","5208"]],UNIT["metre",1,AUTHORITY["EPSG","9001"]],AXIS["Up",UP],AUTHORITY["EPSG","5613"]],AUTHORITY["EPSG","5857"]]</t>
  </si>
  <si>
    <t xml:space="preserve">+proj=tmerc +lat_0=0 +lon_0=23.25 +k=1 +x_0=150000 +y_0=0 +ellps=GRS80 +towgs84=0,0,0,0,0,0,0 +units=m +vunits=m +no_defs </t>
  </si>
  <si>
    <t>COMPD_CS["ETRS89 + NN2000 height",GEOGCS["ETRS89",DATUM["European_Terrestrial_Reference_System_1989",SPHEROID["GRS 1980",6378137,298.257222101,AUTHORITY["EPSG","7019"]],TOWGS84[0,0,0,0,0,0,0],AUTHORITY["EPSG","6258"]],PRIMEM["Greenwich",0,AUTHORITY["EPSG","8901"]],UNIT["degree",0.0174532925199433,AUTHORITY["EPSG","9122"]],AUTHORITY["EPSG","4258"]],VERT_CS["NN2000 height",VERT_DATUM["Norway Normal Null 2000",2005,AUTHORITY["EPSG","1096"]],UNIT["metre",1,AUTHORITY["EPSG","9001"]],AXIS["Up",UP],AUTHORITY["EPSG","5941"]],AUTHORITY["EPSG","5942"]]</t>
  </si>
  <si>
    <t>COMPD_CS["ETRS89 / NTM zone 5 + NN2000 height",PROJCS["ETRS89 / NTM zone 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5.5],PARAMETER["scale_factor",1],PARAMETER["false_easting",100000],PARAMETER["false_northing",1000000],UNIT["metre",1,AUTHORITY["EPSG","9001"]],AUTHORITY["EPSG","5105"]],VERT_CS["NN2000 height",VERT_DATUM["Norway Normal Null 2000",2005,AUTHORITY["EPSG","1096"]],UNIT["metre",1,AUTHORITY["EPSG","9001"]],AXIS["Up",UP],AUTHORITY["EPSG","5941"]],AUTHORITY["EPSG","5945"]]</t>
  </si>
  <si>
    <t xml:space="preserve">+proj=tmerc +lat_0=58 +lon_0=5.5 +k=1 +x_0=100000 +y_0=1000000 +ellps=GRS80 +towgs84=0,0,0,0,0,0,0 +units=m +vunits=m +no_defs </t>
  </si>
  <si>
    <t>COMPD_CS["ETRS89 / NTM zone 6 + NN2000 height",PROJCS["ETRS89 / NTM zone 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6.5],PARAMETER["scale_factor",1],PARAMETER["false_easting",100000],PARAMETER["false_northing",1000000],UNIT["metre",1,AUTHORITY["EPSG","9001"]],AUTHORITY["EPSG","5106"]],VERT_CS["NN2000 height",VERT_DATUM["Norway Normal Null 2000",2005,AUTHORITY["EPSG","1096"]],UNIT["metre",1,AUTHORITY["EPSG","9001"]],AXIS["Up",UP],AUTHORITY["EPSG","5941"]],AUTHORITY["EPSG","5946"]]</t>
  </si>
  <si>
    <t xml:space="preserve">+proj=tmerc +lat_0=58 +lon_0=6.5 +k=1 +x_0=100000 +y_0=1000000 +ellps=GRS80 +towgs84=0,0,0,0,0,0,0 +units=m +vunits=m +no_defs </t>
  </si>
  <si>
    <t>COMPD_CS["ETRS89 / NTM zone 7 + NN2000 height",PROJCS["ETRS89 / NTM zone 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7.5],PARAMETER["scale_factor",1],PARAMETER["false_easting",100000],PARAMETER["false_northing",1000000],UNIT["metre",1,AUTHORITY["EPSG","9001"]],AUTHORITY["EPSG","5107"]],VERT_CS["NN2000 height",VERT_DATUM["Norway Normal Null 2000",2005,AUTHORITY["EPSG","1096"]],UNIT["metre",1,AUTHORITY["EPSG","9001"]],AXIS["Up",UP],AUTHORITY["EPSG","5941"]],AUTHORITY["EPSG","5947"]]</t>
  </si>
  <si>
    <t xml:space="preserve">+proj=tmerc +lat_0=58 +lon_0=7.5 +k=1 +x_0=100000 +y_0=1000000 +ellps=GRS80 +towgs84=0,0,0,0,0,0,0 +units=m +vunits=m +no_defs </t>
  </si>
  <si>
    <t>COMPD_CS["ETRS89 / NTM zone 8 + NN2000 height",PROJCS["ETRS89 / NTM zone 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8.5],PARAMETER["scale_factor",1],PARAMETER["false_easting",100000],PARAMETER["false_northing",1000000],UNIT["metre",1,AUTHORITY["EPSG","9001"]],AUTHORITY["EPSG","5108"]],VERT_CS["NN2000 height",VERT_DATUM["Norway Normal Null 2000",2005,AUTHORITY["EPSG","1096"]],UNIT["metre",1,AUTHORITY["EPSG","9001"]],AXIS["Up",UP],AUTHORITY["EPSG","5941"]],AUTHORITY["EPSG","5948"]]</t>
  </si>
  <si>
    <t xml:space="preserve">+proj=tmerc +lat_0=58 +lon_0=8.5 +k=1 +x_0=100000 +y_0=1000000 +ellps=GRS80 +towgs84=0,0,0,0,0,0,0 +units=m +vunits=m +no_defs </t>
  </si>
  <si>
    <t>COMPD_CS["ETRS89 / NTM zone 9 + NN2000 height",PROJCS["ETRS89 / NTM zone 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9.5],PARAMETER["scale_factor",1],PARAMETER["false_easting",100000],PARAMETER["false_northing",1000000],UNIT["metre",1,AUTHORITY["EPSG","9001"]],AUTHORITY["EPSG","5109"]],VERT_CS["NN2000 height",VERT_DATUM["Norway Normal Null 2000",2005,AUTHORITY["EPSG","1096"]],UNIT["metre",1,AUTHORITY["EPSG","9001"]],AXIS["Up",UP],AUTHORITY["EPSG","5941"]],AUTHORITY["EPSG","5949"]]</t>
  </si>
  <si>
    <t xml:space="preserve">+proj=tmerc +lat_0=58 +lon_0=9.5 +k=1 +x_0=100000 +y_0=1000000 +ellps=GRS80 +towgs84=0,0,0,0,0,0,0 +units=m +vunits=m +no_defs </t>
  </si>
  <si>
    <t>COMPD_CS["ETRS89 / NTM zone 10 + NN2000 height",PROJCS["ETRS89 / NTM zone 10",GEOGCS["ETRS89",DATUM["European_Terrestrial_Reference_System_1989",SPHEROID["GRS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10.5],PARAMETER["scale_factor",1],PARAMETER["false_easting",100000],PARAMETER["false_northing",1000000],UNIT["metre",1,AUTHORITY["EPSG","9001"]],AUTHORITY["EPSG","5110"]],VERT_CS["NN2000 height",VERT_DATUM["Norway Normal Null 2000",2005,AUTHORITY["EPSG","1096"]],UNIT["metre",1,AUTHORITY["EPSG","9001"]],AXIS["Up",UP],AUTHORITY["EPSG","5941"]],AUTHORITY["EPSG","5950"]]</t>
  </si>
  <si>
    <t xml:space="preserve">+proj=tmerc +lat_0=58 +lon_0=10.5 +k=1 +x_0=100000 +y_0=1000000 +ellps=GRS80 +towgs84=0,0,0,0,0,0,0 +units=m +vunits=m +no_defs </t>
  </si>
  <si>
    <t>COMPD_CS["ETRS89 / NTM zone 11 + NN2000 height",PROJCS["ETRS89 / NTM zone 11",GEOGCS["ETRS89",DATUM["European_Terrestrial_Reference_System_1989",SPHEROID["GRS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11.5],PARAMETER["scale_factor",1],PARAMETER["false_easting",100000],PARAMETER["false_northing",1000000],UNIT["metre",1,AUTHORITY["EPSG","9001"]],AUTHORITY["EPSG","5111"]],VERT_CS["NN2000 height",VERT_DATUM["Norway Normal Null 2000",2005,AUTHORITY["EPSG","1096"]],UNIT["metre",1,AUTHORITY["EPSG","9001"]],AXIS["Up",UP],AUTHORITY["EPSG","5941"]],AUTHORITY["EPSG","5951"]]</t>
  </si>
  <si>
    <t xml:space="preserve">+proj=tmerc +lat_0=58 +lon_0=11.5 +k=1 +x_0=100000 +y_0=1000000 +ellps=GRS80 +towgs84=0,0,0,0,0,0,0 +units=m +vunits=m +no_defs </t>
  </si>
  <si>
    <t>COMPD_CS["ETRS89 / NTM zone 12 + NN2000 height",PROJCS["ETRS89 / NTM zone 12",GEOGCS["ETRS89",DATUM["European_Terrestrial_Reference_System_1989",SPHEROID["GRS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12.5],PARAMETER["scale_factor",1],PARAMETER["false_easting",100000],PARAMETER["false_northing",1000000],UNIT["metre",1,AUTHORITY["EPSG","9001"]],AUTHORITY["EPSG","5112"]],VERT_CS["NN2000 height",VERT_DATUM["Norway Normal Null 2000",2005,AUTHORITY["EPSG","1096"]],UNIT["metre",1,AUTHORITY["EPSG","9001"]],AXIS["Up",UP],AUTHORITY["EPSG","5941"]],AUTHORITY["EPSG","5952"]]</t>
  </si>
  <si>
    <t xml:space="preserve">+proj=tmerc +lat_0=58 +lon_0=12.5 +k=1 +x_0=100000 +y_0=1000000 +ellps=GRS80 +towgs84=0,0,0,0,0,0,0 +units=m +vunits=m +no_defs </t>
  </si>
  <si>
    <t>COMPD_CS["ETRS89 / NTM zone 13 + NN2000 height",PROJCS["ETRS89 / NTM zone 13",GEOGCS["ETRS89",DATUM["European_Terrestrial_Reference_System_1989",SPHEROID["GRS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13.5],PARAMETER["scale_factor",1],PARAMETER["false_easting",100000],PARAMETER["false_northing",1000000],UNIT["metre",1,AUTHORITY["EPSG","9001"]],AUTHORITY["EPSG","5113"]],VERT_CS["NN2000 height",VERT_DATUM["Norway Normal Null 2000",2005,AUTHORITY["EPSG","1096"]],UNIT["metre",1,AUTHORITY["EPSG","9001"]],AXIS["Up",UP],AUTHORITY["EPSG","5941"]],AUTHORITY["EPSG","5953"]]</t>
  </si>
  <si>
    <t xml:space="preserve">+proj=tmerc +lat_0=58 +lon_0=13.5 +k=1 +x_0=100000 +y_0=1000000 +ellps=GRS80 +towgs84=0,0,0,0,0,0,0 +units=m +vunits=m +no_defs </t>
  </si>
  <si>
    <t>COMPD_CS["ETRS89 / NTM zone 14 + NN2000 height",PROJCS["ETRS89 / NTM zone 14",GEOGCS["ETRS89",DATUM["European_Terrestrial_Reference_System_1989",SPHEROID["GRS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14.5],PARAMETER["scale_factor",1],PARAMETER["false_easting",100000],PARAMETER["false_northing",1000000],UNIT["metre",1,AUTHORITY["EPSG","9001"]],AUTHORITY["EPSG","5114"]],VERT_CS["NN2000 height",VERT_DATUM["Norway Normal Null 2000",2005,AUTHORITY["EPSG","1096"]],UNIT["metre",1,AUTHORITY["EPSG","9001"]],AXIS["Up",UP],AUTHORITY["EPSG","5941"]],AUTHORITY["EPSG","5954"]]</t>
  </si>
  <si>
    <t xml:space="preserve">+proj=tmerc +lat_0=58 +lon_0=14.5 +k=1 +x_0=100000 +y_0=1000000 +ellps=GRS80 +towgs84=0,0,0,0,0,0,0 +units=m +vunits=m +no_defs </t>
  </si>
  <si>
    <t>COMPD_CS["ETRS89 / NTM zone 15 + NN2000 height",PROJCS["ETRS89 / NTM zone 15",GEOGCS["ETRS89",DATUM["European_Terrestrial_Reference_System_1989",SPHEROID["GRS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15.5],PARAMETER["scale_factor",1],PARAMETER["false_easting",100000],PARAMETER["false_northing",1000000],UNIT["metre",1,AUTHORITY["EPSG","9001"]],AUTHORITY["EPSG","5115"]],VERT_CS["NN2000 height",VERT_DATUM["Norway Normal Null 2000",2005,AUTHORITY["EPSG","1096"]],UNIT["metre",1,AUTHORITY["EPSG","9001"]],AXIS["Up",UP],AUTHORITY["EPSG","5941"]],AUTHORITY["EPSG","5955"]]</t>
  </si>
  <si>
    <t xml:space="preserve">+proj=tmerc +lat_0=58 +lon_0=15.5 +k=1 +x_0=100000 +y_0=1000000 +ellps=GRS80 +towgs84=0,0,0,0,0,0,0 +units=m +vunits=m +no_defs </t>
  </si>
  <si>
    <t>COMPD_CS["ETRS89 + EVRF2000 height",GEOGCS["ETRS89",DATUM["European_Terrestrial_Reference_System_1989",SPHEROID["GRS 1980",6378137,298.257222101,AUTHORITY["EPSG","7019"]],TOWGS84[0,0,0,0,0,0,0],AUTHORITY["EPSG","6258"]],PRIMEM["Greenwich",0,AUTHORITY["EPSG","8901"]],UNIT["degree",0.0174532925199433,AUTHORITY["EPSG","9122"]],AUTHORITY["EPSG","4258"]],VERT_CS["EVRF2000 height",VERT_DATUM["European Vertical Reference Frame 2000",2005,AUTHORITY["EPSG","5129"]],UNIT["metre",1,AUTHORITY["EPSG","9001"]],AXIS["Up",UP],AUTHORITY["EPSG","5730"]],AUTHORITY["EPSG","7409"]]</t>
  </si>
  <si>
    <t>COMPD_CS["ETRS89 / NTM zone 16 + NN2000 height",PROJCS["ETRS89 / NTM zone 16",GEOGCS["ETRS89",DATUM["European_Terrestrial_Reference_System_1989",SPHEROID["GRS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16.5],PARAMETER["scale_factor",1],PARAMETER["false_easting",100000],PARAMETER["false_northing",1000000],UNIT["metre",1,AUTHORITY["EPSG","9001"]],AUTHORITY["EPSG","5116"]],VERT_CS["NN2000 height",VERT_DATUM["Norway Normal Null 2000",2005,AUTHORITY["EPSG","1096"]],UNIT["metre",1,AUTHORITY["EPSG","9001"]],AXIS["Up",UP],AUTHORITY["EPSG","5941"]],AUTHORITY["EPSG","5956"]]</t>
  </si>
  <si>
    <t xml:space="preserve">+proj=tmerc +lat_0=58 +lon_0=16.5 +k=1 +x_0=100000 +y_0=1000000 +ellps=GRS80 +towgs84=0,0,0,0,0,0,0 +units=m +vunits=m +no_defs </t>
  </si>
  <si>
    <t>COMPD_CS["ETRS89 / NTM zone 17 + NN2000 height",PROJCS["ETRS89 / NTM zone 17",GEOGCS["ETRS89",DATUM["European_Terrestrial_Reference_System_1989",SPHEROID["GRS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17.5],PARAMETER["scale_factor",1],PARAMETER["false_easting",100000],PARAMETER["false_northing",1000000],UNIT["metre",1,AUTHORITY["EPSG","9001"]],AUTHORITY["EPSG","5117"]],VERT_CS["NN2000 height",VERT_DATUM["Norway Normal Null 2000",2005,AUTHORITY["EPSG","1096"]],UNIT["metre",1,AUTHORITY["EPSG","9001"]],AXIS["Up",UP],AUTHORITY["EPSG","5941"]],AUTHORITY["EPSG","5957"]]</t>
  </si>
  <si>
    <t xml:space="preserve">+proj=tmerc +lat_0=58 +lon_0=17.5 +k=1 +x_0=100000 +y_0=1000000 +ellps=GRS80 +towgs84=0,0,0,0,0,0,0 +units=m +vunits=m +no_defs </t>
  </si>
  <si>
    <t>COMPD_CS["ETRS89 / NTM zone 18 + NN2000 height",PROJCS["ETRS89 / NTM zone 18",GEOGCS["ETRS89",DATUM["European_Terrestrial_Reference_System_1989",SPHEROID["GRS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18.5],PARAMETER["scale_factor",1],PARAMETER["false_easting",100000],PARAMETER["false_northing",1000000],UNIT["metre",1,AUTHORITY["EPSG","9001"]],AUTHORITY["EPSG","5118"]],VERT_CS["NN2000 height",VERT_DATUM["Norway Normal Null 2000",2005,AUTHORITY["EPSG","1096"]],UNIT["metre",1,AUTHORITY["EPSG","9001"]],AXIS["Up",UP],AUTHORITY["EPSG","5941"]],AUTHORITY["EPSG","5958"]]</t>
  </si>
  <si>
    <t xml:space="preserve">+proj=tmerc +lat_0=58 +lon_0=18.5 +k=1 +x_0=100000 +y_0=1000000 +ellps=GRS80 +towgs84=0,0,0,0,0,0,0 +units=m +vunits=m +no_defs </t>
  </si>
  <si>
    <t>COMPD_CS["ETRS89 / NTM zone 19 + NN2000 height",PROJCS["ETRS89 / NTM zone 19",GEOGCS["ETRS89",DATUM["European_Terrestrial_Reference_System_1989",SPHEROID["GRS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19.5],PARAMETER["scale_factor",1],PARAMETER["false_easting",100000],PARAMETER["false_northing",1000000],UNIT["metre",1,AUTHORITY["EPSG","9001"]],AUTHORITY["EPSG","5119"]],VERT_CS["NN2000 height",VERT_DATUM["Norway Normal Null 2000",2005,AUTHORITY["EPSG","1096"]],UNIT["metre",1,AUTHORITY["EPSG","9001"]],AXIS["Up",UP],AUTHORITY["EPSG","5941"]],AUTHORITY["EPSG","5959"]]</t>
  </si>
  <si>
    <t xml:space="preserve">+proj=tmerc +lat_0=58 +lon_0=19.5 +k=1 +x_0=100000 +y_0=1000000 +ellps=GRS80 +towgs84=0,0,0,0,0,0,0 +units=m +vunits=m +no_defs </t>
  </si>
  <si>
    <t>COMPD_CS["ETRS89 / NTM zone 20 + NN2000 height",PROJCS["ETRS89 / NTM zone 20",GEOGCS["ETRS89",DATUM["European_Terrestrial_Reference_System_1989",SPHEROID["GRS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20.5],PARAMETER["scale_factor",1],PARAMETER["false_easting",100000],PARAMETER["false_northing",1000000],UNIT["metre",1,AUTHORITY["EPSG","9001"]],AUTHORITY["EPSG","5120"]],VERT_CS["NN2000 height",VERT_DATUM["Norway Normal Null 2000",2005,AUTHORITY["EPSG","1096"]],UNIT["metre",1,AUTHORITY["EPSG","9001"]],AXIS["Up",UP],AUTHORITY["EPSG","5941"]],AUTHORITY["EPSG","5960"]]</t>
  </si>
  <si>
    <t xml:space="preserve">+proj=tmerc +lat_0=58 +lon_0=20.5 +k=1 +x_0=100000 +y_0=1000000 +ellps=GRS80 +towgs84=0,0,0,0,0,0,0 +units=m +vunits=m +no_defs </t>
  </si>
  <si>
    <t>COMPD_CS["ETRS89 / NTM zone 21 + NN2000 height",PROJCS["ETRS89 / NTM zone 21",GEOGCS["ETRS89",DATUM["European_Terrestrial_Reference_System_1989",SPHEROID["GRS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21.5],PARAMETER["scale_factor",1],PARAMETER["false_easting",100000],PARAMETER["false_northing",1000000],UNIT["metre",1,AUTHORITY["EPSG","9001"]],AUTHORITY["EPSG","5121"]],VERT_CS["NN2000 height",VERT_DATUM["Norway Normal Null 2000",2005,AUTHORITY["EPSG","1096"]],UNIT["metre",1,AUTHORITY["EPSG","9001"]],AXIS["Up",UP],AUTHORITY["EPSG","5941"]],AUTHORITY["EPSG","5961"]]</t>
  </si>
  <si>
    <t xml:space="preserve">+proj=tmerc +lat_0=58 +lon_0=21.5 +k=1 +x_0=100000 +y_0=1000000 +ellps=GRS80 +towgs84=0,0,0,0,0,0,0 +units=m +vunits=m +no_defs </t>
  </si>
  <si>
    <t>COMPD_CS["ETRS89 / NTM zone 22 + NN2000 height",PROJCS["ETRS89 / NTM zone 22",GEOGCS["ETRS89",DATUM["European_Terrestrial_Reference_System_1989",SPHEROID["GRS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22.5],PARAMETER["scale_factor",1],PARAMETER["false_easting",100000],PARAMETER["false_northing",1000000],UNIT["metre",1,AUTHORITY["EPSG","9001"]],AUTHORITY["EPSG","5122"]],VERT_CS["NN2000 height",VERT_DATUM["Norway Normal Null 2000",2005,AUTHORITY["EPSG","1096"]],UNIT["metre",1,AUTHORITY["EPSG","9001"]],AXIS["Up",UP],AUTHORITY["EPSG","5941"]],AUTHORITY["EPSG","5962"]]</t>
  </si>
  <si>
    <t xml:space="preserve">+proj=tmerc +lat_0=58 +lon_0=22.5 +k=1 +x_0=100000 +y_0=1000000 +ellps=GRS80 +towgs84=0,0,0,0,0,0,0 +units=m +vunits=m +no_defs </t>
  </si>
  <si>
    <t>COMPD_CS["PSHD93",GEOGCS["PSD93",DATUM["PDO_Survey_Datum_1993",SPHEROID["Clarke 1880 (RGS)",6378249.145,293.465,AUTHORITY["EPSG","7012"]],TOWGS84[-180.624,-225.516,173.919,-0.81,-1.898,8.336,16.71006],AUTHORITY["EPSG","6134"]],PRIMEM["Greenwich",0,AUTHORITY["EPSG","8901"]],UNIT["degree",0.0174532925199433,AUTHORITY["EPSG","9122"]],AUTHORITY["EPSG","4134"]],VERT_CS["PHD93 height",VERT_DATUM["PDO Height Datum 1993",2005,AUTHORITY["EPSG","5123"]],UNIT["metre",1,AUTHORITY["EPSG","9001"]],AXIS["Up",UP],AUTHORITY["EPSG","5724"]],AUTHORITY["EPSG","7410"]]</t>
  </si>
  <si>
    <t xml:space="preserve">+proj=longlat +ellps=clrk80 +towgs84=-180.624,-225.516,173.919,-0.81,-1.898,8.336,16.71006 +vunits=m +no_defs </t>
  </si>
  <si>
    <t>COMPD_CS["ETRS89 / NTM zone 23 + NN2000 height",PROJCS["ETRS89 / NTM zone 23",GEOGCS["ETRS89",DATUM["European_Terrestrial_Reference_System_1989",SPHEROID["GRS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23.5],PARAMETER["scale_factor",1],PARAMETER["false_easting",100000],PARAMETER["false_northing",1000000],UNIT["metre",1,AUTHORITY["EPSG","9001"]],AUTHORITY["EPSG","5123"]],VERT_CS["NN2000 height",VERT_DATUM["Norway Normal Null 2000",2005,AUTHORITY["EPSG","1096"]],UNIT["metre",1,AUTHORITY["EPSG","9001"]],AXIS["Up",UP],AUTHORITY["EPSG","5941"]],AUTHORITY["EPSG","5963"]]</t>
  </si>
  <si>
    <t xml:space="preserve">+proj=tmerc +lat_0=58 +lon_0=23.5 +k=1 +x_0=100000 +y_0=1000000 +ellps=GRS80 +towgs84=0,0,0,0,0,0,0 +units=m +vunits=m +no_defs </t>
  </si>
  <si>
    <t>COMPD_CS["ETRS89 / NTM zone 24 + NN2000 height",PROJCS["ETRS89 / NTM zone 24",GEOGCS["ETRS89",DATUM["European_Terrestrial_Reference_System_1989",SPHEROID["GRS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24.5],PARAMETER["scale_factor",1],PARAMETER["false_easting",100000],PARAMETER["false_northing",1000000],UNIT["metre",1,AUTHORITY["EPSG","9001"]],AUTHORITY["EPSG","5124"]],VERT_CS["NN2000 height",VERT_DATUM["Norway Normal Null 2000",2005,AUTHORITY["EPSG","1096"]],UNIT["metre",1,AUTHORITY["EPSG","9001"]],AXIS["Up",UP],AUTHORITY["EPSG","5941"]],AUTHORITY["EPSG","5964"]]</t>
  </si>
  <si>
    <t xml:space="preserve">+proj=tmerc +lat_0=58 +lon_0=24.5 +k=1 +x_0=100000 +y_0=1000000 +ellps=GRS80 +towgs84=0,0,0,0,0,0,0 +units=m +vunits=m +no_defs </t>
  </si>
  <si>
    <t>COMPD_CS["ETRS89 / NTM zone 25 + NN2000 height",PROJCS["ETRS89 / NTM zone 25",GEOGCS["ETRS89",DATUM["European_Terrestrial_Reference_System_1989",SPHEROID["GRS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25.5],PARAMETER["scale_factor",1],PARAMETER["false_easting",100000],PARAMETER["false_northing",1000000],UNIT["metre",1,AUTHORITY["EPSG","9001"]],AUTHORITY["EPSG","5125"]],VERT_CS["NN2000 height",VERT_DATUM["Norway Normal Null 2000",2005,AUTHORITY["EPSG","1096"]],UNIT["metre",1,AUTHORITY["EPSG","9001"]],AXIS["Up",UP],AUTHORITY["EPSG","5941"]],AUTHORITY["EPSG","5965"]]</t>
  </si>
  <si>
    <t xml:space="preserve">+proj=tmerc +lat_0=58 +lon_0=25.5 +k=1 +x_0=100000 +y_0=1000000 +ellps=GRS80 +towgs84=0,0,0,0,0,0,0 +units=m +vunits=m +no_defs </t>
  </si>
  <si>
    <t>COMPD_CS["ETRS89 / NTM zone 26 + NN2000 height",PROJCS["ETRS89 / NTM zone 26",GEOGCS["ETRS89",DATUM["European_Terrestrial_Reference_System_1989",SPHEROID["GRS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26.5],PARAMETER["scale_factor",1],PARAMETER["false_easting",100000],PARAMETER["false_northing",1000000],UNIT["metre",1,AUTHORITY["EPSG","9001"]],AUTHORITY["EPSG","5126"]],VERT_CS["NN2000 height",VERT_DATUM["Norway Normal Null 2000",2005,AUTHORITY["EPSG","1096"]],UNIT["metre",1,AUTHORITY["EPSG","9001"]],AXIS["Up",UP],AUTHORITY["EPSG","5941"]],AUTHORITY["EPSG","5966"]]</t>
  </si>
  <si>
    <t xml:space="preserve">+proj=tmerc +lat_0=58 +lon_0=26.5 +k=1 +x_0=100000 +y_0=1000000 +ellps=GRS80 +towgs84=0,0,0,0,0,0,0 +units=m +vunits=m +no_defs </t>
  </si>
  <si>
    <t>COMPD_CS["ETRS89 / NTM zone 27 + NN2000 height",PROJCS["ETRS89 / NTM zone 27",GEOGCS["ETRS89",DATUM["European_Terrestrial_Reference_System_1989",SPHEROID["GRS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27.5],PARAMETER["scale_factor",1],PARAMETER["false_easting",100000],PARAMETER["false_northing",1000000],UNIT["metre",1,AUTHORITY["EPSG","9001"]],AUTHORITY["EPSG","5127"]],VERT_CS["NN2000 height",VERT_DATUM["Norway Normal Null 2000",2005,AUTHORITY["EPSG","1096"]],UNIT["metre",1,AUTHORITY["EPSG","9001"]],AXIS["Up",UP],AUTHORITY["EPSG","5941"]],AUTHORITY["EPSG","5967"]]</t>
  </si>
  <si>
    <t xml:space="preserve">+proj=tmerc +lat_0=58 +lon_0=27.5 +k=1 +x_0=100000 +y_0=1000000 +ellps=GRS80 +towgs84=0,0,0,0,0,0,0 +units=m +vunits=m +no_defs </t>
  </si>
  <si>
    <t>COMPD_CS["ETRS89 / NTM zone 28 + NN2000 height",PROJCS["ETRS89 / NTM zone 28",GEOGCS["ETRS89",DATUM["European_Terrestrial_Reference_System_1989",SPHEROID["GRS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28.5],PARAMETER["scale_factor",1],PARAMETER["false_easting",100000],PARAMETER["false_northing",1000000],UNIT["metre",1,AUTHORITY["EPSG","9001"]],AUTHORITY["EPSG","5128"]],VERT_CS["NN2000 height",VERT_DATUM["Norway Normal Null 2000",2005,AUTHORITY["EPSG","1096"]],UNIT["metre",1,AUTHORITY["EPSG","9001"]],AXIS["Up",UP],AUTHORITY["EPSG","5941"]],AUTHORITY["EPSG","5968"]]</t>
  </si>
  <si>
    <t xml:space="preserve">+proj=tmerc +lat_0=58 +lon_0=28.5 +k=1 +x_0=100000 +y_0=1000000 +ellps=GRS80 +towgs84=0,0,0,0,0,0,0 +units=m +vunits=m +no_defs </t>
  </si>
  <si>
    <t>COMPD_CS["ETRS89 / NTM zone 29 + NN2000 height",PROJCS["ETRS89 / NTM zone 29",GEOGCS["ETRS89",DATUM["European_Terrestrial_Reference_System_1989",SPHEROID["GRS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29.5],PARAMETER["scale_factor",1],PARAMETER["false_easting",100000],PARAMETER["false_northing",1000000],UNIT["metre",1,AUTHORITY["EPSG","9001"]],AUTHORITY["EPSG","5129"]],VERT_CS["NN2000 height",VERT_DATUM["Norway Normal Null 2000",2005,AUTHORITY["EPSG","1096"]],UNIT["metre",1,AUTHORITY["EPSG","9001"]],AXIS["Up",UP],AUTHORITY["EPSG","5941"]],AUTHORITY["EPSG","5969"]]</t>
  </si>
  <si>
    <t xml:space="preserve">+proj=tmerc +lat_0=58 +lon_0=29.5 +k=1 +x_0=100000 +y_0=1000000 +ellps=GRS80 +towgs84=0,0,0,0,0,0,0 +units=m +vunits=m +no_defs </t>
  </si>
  <si>
    <t>COMPD_CS["ETRS89 / NTM zone 30 + NN2000 height",PROJCS["ETRS89 / NTM zone 30",GEOGCS["ETRS89",DATUM["European_Terrestrial_Reference_System_1989",SPHEROID["GRS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30.5],PARAMETER["scale_factor",1],PARAMETER["false_easting",100000],PARAMETER["false_northing",1000000],UNIT["metre",1,AUTHORITY["EPSG","9001"]],AUTHORITY["EPSG","5130"]],VERT_CS["NN2000 height",VERT_DATUM["Norway Normal Null 2000",2005,AUTHORITY["EPSG","1096"]],UNIT["metre",1,AUTHORITY["EPSG","9001"]],AXIS["Up",UP],AUTHORITY["EPSG","5941"]],AUTHORITY["EPSG","5970"]]</t>
  </si>
  <si>
    <t xml:space="preserve">+proj=tmerc +lat_0=58 +lon_0=30.5 +k=1 +x_0=100000 +y_0=1000000 +ellps=GRS80 +towgs84=0,0,0,0,0,0,0 +units=m +vunits=m +no_defs </t>
  </si>
  <si>
    <t>COMPD_CS["ETRS89 / UTM zone 31 + NN2000 height",PROJCS["ETRS89 / UTM zone 31N",GEOGCS["ETRS89",DATUM["European_Terrestrial_Reference_System_1989",SPHEROID["GRS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25831"]],VERT_CS["NN2000 height",VERT_DATUM["Norway Normal Null 2000",2005,AUTHORITY["EPSG","1096"]],UNIT["metre",1,AUTHORITY["EPSG","9001"]],AXIS["Up",UP],AUTHORITY["EPSG","5941"]],AUTHORITY["EPSG","5971"]]</t>
  </si>
  <si>
    <t>COMPD_CS["ETRS89 / UTM zone 32 + NN2000 height",PROJCS["ETRS89 / UTM zone 32N",GEOGCS["ETRS89",DATUM["European_Terrestrial_Reference_System_1989",SPHEROID["GRS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25832"]],VERT_CS["NN2000 height",VERT_DATUM["Norway Normal Null 2000",2005,AUTHORITY["EPSG","1096"]],UNIT["metre",1,AUTHORITY["EPSG","9001"]],AXIS["Up",UP],AUTHORITY["EPSG","5941"]],AUTHORITY["EPSG","5972"]]</t>
  </si>
  <si>
    <t>COMPD_CS["ETRS89 / UTM zone 33 + NN2000 height",PROJCS["ETRS89 / UTM zone 33N",GEOGCS["ETRS89",DATUM["European_Terrestrial_Reference_System_1989",SPHEROID["GRS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25833"]],VERT_CS["NN2000 height",VERT_DATUM["Norway Normal Null 2000",2005,AUTHORITY["EPSG","1096"]],UNIT["metre",1,AUTHORITY["EPSG","9001"]],AXIS["Up",UP],AUTHORITY["EPSG","5941"]],AUTHORITY["EPSG","5973"]]</t>
  </si>
  <si>
    <t>COMPD_CS["ETRS89 / UTM zone 34 + NN2000 height",PROJCS["ETRS89 / UTM zone 34N",GEOGCS["ETRS89",DATUM["European_Terrestrial_Reference_System_1989",SPHEROID["GRS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25834"]],VERT_CS["NN2000 height",VERT_DATUM["Norway Normal Null 2000",2005,AUTHORITY["EPSG","1096"]],UNIT["metre",1,AUTHORITY["EPSG","9001"]],AXIS["Up",UP],AUTHORITY["EPSG","5941"]],AUTHORITY["EPSG","5974"]]</t>
  </si>
  <si>
    <t xml:space="preserve">+proj=utm +zone=34 +ellps=GRS80 +towgs84=0,0,0,0,0,0,0 +units=m +vunits=m +no_defs </t>
  </si>
  <si>
    <t>COMPD_CS["ETRS89 / UTM zone 35 + NN2000 height",PROJCS["ETRS89 / UTM zone 35N",GEOGCS["ETRS89",DATUM["European_Terrestrial_Reference_System_1989",SPHEROID["GRS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25835"]],VERT_CS["NN2000 height",VERT_DATUM["Norway Normal Null 2000",2005,AUTHORITY["EPSG","1096"]],UNIT["metre",1,AUTHORITY["EPSG","9001"]],AXIS["Up",UP],AUTHORITY["EPSG","5941"]],AUTHORITY["EPSG","5975"]]</t>
  </si>
  <si>
    <t>COMPD_CS["ETRS89 / UTM zone 36 + NN2000 height",PROJCS["ETRS89 / UTM zone 36N",GEOGCS["ETRS89",DATUM["European_Terrestrial_Reference_System_1989",SPHEROID["GRS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25836"]],VERT_CS["NN2000 height",VERT_DATUM["Norway Normal Null 2000",2005,AUTHORITY["EPSG","1096"]],UNIT["metre",1,AUTHORITY["EPSG","9001"]],AXIS["Up",UP],AUTHORITY["EPSG","5941"]],AUTHORITY["EPSG","5976"]]</t>
  </si>
  <si>
    <t xml:space="preserve">+proj=utm +zone=36 +ellps=GRS80 +towgs84=0,0,0,0,0,0,0 +units=m +vunits=m +no_defs </t>
  </si>
  <si>
    <t>COMPD_CS["ETRS89 + NN54 height",GEOGCS["ETRS89",DATUM["European_Terrestrial_Reference_System_1989",SPHEROID["GRS 1980",6378137,298.257222101,AUTHORITY["EPSG","7019"]],TOWGS84[0,0,0,0,0,0,0],AUTHORITY["EPSG","6258"]],PRIMEM["Greenwich",0,AUTHORITY["EPSG","8901"]],UNIT["degree",0.0174532925199433,AUTHORITY["EPSG","9122"]],AUTHORITY["EPSG","4258"]],VERT_CS["NN54 height",VERT_DATUM["Norway Normal Null 1954",2005,AUTHORITY["EPSG","5174"]],UNIT["metre",1,AUTHORITY["EPSG","9001"]],AXIS["Up",UP],AUTHORITY["EPSG","5776"]],AUTHORITY["EPSG","6144"]]</t>
  </si>
  <si>
    <t>COMPD_CS["ETRS89 / NTM zone 5 + NN54 height",PROJCS["ETRS89 / NTM zone 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5.5],PARAMETER["scale_factor",1],PARAMETER["false_easting",100000],PARAMETER["false_northing",1000000],UNIT["metre",1,AUTHORITY["EPSG","9001"]],AUTHORITY["EPSG","5105"]],VERT_CS["NN54 height",VERT_DATUM["Norway Normal Null 1954",2005,AUTHORITY["EPSG","5174"]],UNIT["metre",1,AUTHORITY["EPSG","9001"]],AXIS["Up",UP],AUTHORITY["EPSG","5776"]],AUTHORITY["EPSG","6145"]]</t>
  </si>
  <si>
    <t>COMPD_CS["ETRS89 / NTM zone 6 + NN54 height",PROJCS["ETRS89 / NTM zone 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6.5],PARAMETER["scale_factor",1],PARAMETER["false_easting",100000],PARAMETER["false_northing",1000000],UNIT["metre",1,AUTHORITY["EPSG","9001"]],AUTHORITY["EPSG","5106"]],VERT_CS["NN54 height",VERT_DATUM["Norway Normal Null 1954",2005,AUTHORITY["EPSG","5174"]],UNIT["metre",1,AUTHORITY["EPSG","9001"]],AXIS["Up",UP],AUTHORITY["EPSG","5776"]],AUTHORITY["EPSG","6146"]]</t>
  </si>
  <si>
    <t>COMPD_CS["ETRS89 / NTM zone 7 + NN54 height",PROJCS["ETRS89 / NTM zone 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7.5],PARAMETER["scale_factor",1],PARAMETER["false_easting",100000],PARAMETER["false_northing",1000000],UNIT["metre",1,AUTHORITY["EPSG","9001"]],AUTHORITY["EPSG","5107"]],VERT_CS["NN54 height",VERT_DATUM["Norway Normal Null 1954",2005,AUTHORITY["EPSG","5174"]],UNIT["metre",1,AUTHORITY["EPSG","9001"]],AXIS["Up",UP],AUTHORITY["EPSG","5776"]],AUTHORITY["EPSG","6147"]]</t>
  </si>
  <si>
    <t>COMPD_CS["ETRS89 / NTM zone 8 + NN54 height",PROJCS["ETRS89 / NTM zone 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8.5],PARAMETER["scale_factor",1],PARAMETER["false_easting",100000],PARAMETER["false_northing",1000000],UNIT["metre",1,AUTHORITY["EPSG","9001"]],AUTHORITY["EPSG","5108"]],VERT_CS["NN54 height",VERT_DATUM["Norway Normal Null 1954",2005,AUTHORITY["EPSG","5174"]],UNIT["metre",1,AUTHORITY["EPSG","9001"]],AXIS["Up",UP],AUTHORITY["EPSG","5776"]],AUTHORITY["EPSG","6148"]]</t>
  </si>
  <si>
    <t>COMPD_CS["ETRS89 / NTM zone 9 + NN54 height",PROJCS["ETRS89 / NTM zone 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9.5],PARAMETER["scale_factor",1],PARAMETER["false_easting",100000],PARAMETER["false_northing",1000000],UNIT["metre",1,AUTHORITY["EPSG","9001"]],AUTHORITY["EPSG","5109"]],VERT_CS["NN54 height",VERT_DATUM["Norway Normal Null 1954",2005,AUTHORITY["EPSG","5174"]],UNIT["metre",1,AUTHORITY["EPSG","9001"]],AXIS["Up",UP],AUTHORITY["EPSG","5776"]],AUTHORITY["EPSG","6149"]]</t>
  </si>
  <si>
    <t>COMPD_CS["ETRS89 / NTM zone 10 + NN54 height",PROJCS["ETRS89 / NTM zone 10",GEOGCS["ETRS89",DATUM["European_Terrestrial_Reference_System_1989",SPHEROID["GRS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10.5],PARAMETER["scale_factor",1],PARAMETER["false_easting",100000],PARAMETER["false_northing",1000000],UNIT["metre",1,AUTHORITY["EPSG","9001"]],AUTHORITY["EPSG","5110"]],VERT_CS["NN54 height",VERT_DATUM["Norway Normal Null 1954",2005,AUTHORITY["EPSG","5174"]],UNIT["metre",1,AUTHORITY["EPSG","9001"]],AXIS["Up",UP],AUTHORITY["EPSG","5776"]],AUTHORITY["EPSG","6150"]]</t>
  </si>
  <si>
    <t>COMPD_CS["ETRS89 / NTM zone 11 + NN54 height",PROJCS["ETRS89 / NTM zone 11",GEOGCS["ETRS89",DATUM["European_Terrestrial_Reference_System_1989",SPHEROID["GRS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11.5],PARAMETER["scale_factor",1],PARAMETER["false_easting",100000],PARAMETER["false_northing",1000000],UNIT["metre",1,AUTHORITY["EPSG","9001"]],AUTHORITY["EPSG","5111"]],VERT_CS["NN54 height",VERT_DATUM["Norway Normal Null 1954",2005,AUTHORITY["EPSG","5174"]],UNIT["metre",1,AUTHORITY["EPSG","9001"]],AXIS["Up",UP],AUTHORITY["EPSG","5776"]],AUTHORITY["EPSG","6151"]]</t>
  </si>
  <si>
    <t>COMPD_CS["ETRS89 / NTM zone 12 + NN54 height",PROJCS["ETRS89 / NTM zone 12",GEOGCS["ETRS89",DATUM["European_Terrestrial_Reference_System_1989",SPHEROID["GRS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12.5],PARAMETER["scale_factor",1],PARAMETER["false_easting",100000],PARAMETER["false_northing",1000000],UNIT["metre",1,AUTHORITY["EPSG","9001"]],AUTHORITY["EPSG","5112"]],VERT_CS["NN54 height",VERT_DATUM["Norway Normal Null 1954",2005,AUTHORITY["EPSG","5174"]],UNIT["metre",1,AUTHORITY["EPSG","9001"]],AXIS["Up",UP],AUTHORITY["EPSG","5776"]],AUTHORITY["EPSG","6152"]]</t>
  </si>
  <si>
    <t>COMPD_CS["ETRS89 / NTM zone 13 + NN54 height",PROJCS["ETRS89 / NTM zone 13",GEOGCS["ETRS89",DATUM["European_Terrestrial_Reference_System_1989",SPHEROID["GRS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13.5],PARAMETER["scale_factor",1],PARAMETER["false_easting",100000],PARAMETER["false_northing",1000000],UNIT["metre",1,AUTHORITY["EPSG","9001"]],AUTHORITY["EPSG","5113"]],VERT_CS["NN54 height",VERT_DATUM["Norway Normal Null 1954",2005,AUTHORITY["EPSG","5174"]],UNIT["metre",1,AUTHORITY["EPSG","9001"]],AXIS["Up",UP],AUTHORITY["EPSG","5776"]],AUTHORITY["EPSG","6153"]]</t>
  </si>
  <si>
    <t>COMPD_CS["ETRS89 / NTM zone 14 + NN54 height",PROJCS["ETRS89 / NTM zone 14",GEOGCS["ETRS89",DATUM["European_Terrestrial_Reference_System_1989",SPHEROID["GRS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14.5],PARAMETER["scale_factor",1],PARAMETER["false_easting",100000],PARAMETER["false_northing",1000000],UNIT["metre",1,AUTHORITY["EPSG","9001"]],AUTHORITY["EPSG","5114"]],VERT_CS["NN54 height",VERT_DATUM["Norway Normal Null 1954",2005,AUTHORITY["EPSG","5174"]],UNIT["metre",1,AUTHORITY["EPSG","9001"]],AXIS["Up",UP],AUTHORITY["EPSG","5776"]],AUTHORITY["EPSG","6154"]]</t>
  </si>
  <si>
    <t>COMPD_CS["ETRS89 / NTM zone 15 + NN54 height",PROJCS["ETRS89 / NTM zone 15",GEOGCS["ETRS89",DATUM["European_Terrestrial_Reference_System_1989",SPHEROID["GRS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15.5],PARAMETER["scale_factor",1],PARAMETER["false_easting",100000],PARAMETER["false_northing",1000000],UNIT["metre",1,AUTHORITY["EPSG","9001"]],AUTHORITY["EPSG","5115"]],VERT_CS["NN54 height",VERT_DATUM["Norway Normal Null 1954",2005,AUTHORITY["EPSG","5174"]],UNIT["metre",1,AUTHORITY["EPSG","9001"]],AXIS["Up",UP],AUTHORITY["EPSG","5776"]],AUTHORITY["EPSG","6155"]]</t>
  </si>
  <si>
    <t>COMPD_CS["ETRS89 / NTM zone 16 + NN54 height",PROJCS["ETRS89 / NTM zone 16",GEOGCS["ETRS89",DATUM["European_Terrestrial_Reference_System_1989",SPHEROID["GRS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16.5],PARAMETER["scale_factor",1],PARAMETER["false_easting",100000],PARAMETER["false_northing",1000000],UNIT["metre",1,AUTHORITY["EPSG","9001"]],AUTHORITY["EPSG","5116"]],VERT_CS["NN54 height",VERT_DATUM["Norway Normal Null 1954",2005,AUTHORITY["EPSG","5174"]],UNIT["metre",1,AUTHORITY["EPSG","9001"]],AXIS["Up",UP],AUTHORITY["EPSG","5776"]],AUTHORITY["EPSG","6156"]]</t>
  </si>
  <si>
    <t>COMPD_CS["ETRS89 / NTM zone 17 + NN54 height",PROJCS["ETRS89 / NTM zone 17",GEOGCS["ETRS89",DATUM["European_Terrestrial_Reference_System_1989",SPHEROID["GRS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17.5],PARAMETER["scale_factor",1],PARAMETER["false_easting",100000],PARAMETER["false_northing",1000000],UNIT["metre",1,AUTHORITY["EPSG","9001"]],AUTHORITY["EPSG","5117"]],VERT_CS["NN54 height",VERT_DATUM["Norway Normal Null 1954",2005,AUTHORITY["EPSG","5174"]],UNIT["metre",1,AUTHORITY["EPSG","9001"]],AXIS["Up",UP],AUTHORITY["EPSG","5776"]],AUTHORITY["EPSG","6157"]]</t>
  </si>
  <si>
    <t>COMPD_CS["ETRS89 / NTM zone 18 + NN54 height",PROJCS["ETRS89 / NTM zone 18",GEOGCS["ETRS89",DATUM["European_Terrestrial_Reference_System_1989",SPHEROID["GRS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18.5],PARAMETER["scale_factor",1],PARAMETER["false_easting",100000],PARAMETER["false_northing",1000000],UNIT["metre",1,AUTHORITY["EPSG","9001"]],AUTHORITY["EPSG","5118"]],VERT_CS["NN54 height",VERT_DATUM["Norway Normal Null 1954",2005,AUTHORITY["EPSG","5174"]],UNIT["metre",1,AUTHORITY["EPSG","9001"]],AXIS["Up",UP],AUTHORITY["EPSG","5776"]],AUTHORITY["EPSG","6158"]]</t>
  </si>
  <si>
    <t>COMPD_CS["ETRS89 / NTM zone 19 + NN54 height",PROJCS["ETRS89 / NTM zone 19",GEOGCS["ETRS89",DATUM["European_Terrestrial_Reference_System_1989",SPHEROID["GRS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19.5],PARAMETER["scale_factor",1],PARAMETER["false_easting",100000],PARAMETER["false_northing",1000000],UNIT["metre",1,AUTHORITY["EPSG","9001"]],AUTHORITY["EPSG","5119"]],VERT_CS["NN54 height",VERT_DATUM["Norway Normal Null 1954",2005,AUTHORITY["EPSG","5174"]],UNIT["metre",1,AUTHORITY["EPSG","9001"]],AXIS["Up",UP],AUTHORITY["EPSG","5776"]],AUTHORITY["EPSG","6159"]]</t>
  </si>
  <si>
    <t>COMPD_CS["ETRS89 / NTM zone 20 + NN54 height",PROJCS["ETRS89 / NTM zone 20",GEOGCS["ETRS89",DATUM["European_Terrestrial_Reference_System_1989",SPHEROID["GRS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20.5],PARAMETER["scale_factor",1],PARAMETER["false_easting",100000],PARAMETER["false_northing",1000000],UNIT["metre",1,AUTHORITY["EPSG","9001"]],AUTHORITY["EPSG","5120"]],VERT_CS["NN54 height",VERT_DATUM["Norway Normal Null 1954",2005,AUTHORITY["EPSG","5174"]],UNIT["metre",1,AUTHORITY["EPSG","9001"]],AXIS["Up",UP],AUTHORITY["EPSG","5776"]],AUTHORITY["EPSG","6160"]]</t>
  </si>
  <si>
    <t>COMPD_CS["ETRS89 / NTM zone 21 + NN54 height",PROJCS["ETRS89 / NTM zone 21",GEOGCS["ETRS89",DATUM["European_Terrestrial_Reference_System_1989",SPHEROID["GRS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21.5],PARAMETER["scale_factor",1],PARAMETER["false_easting",100000],PARAMETER["false_northing",1000000],UNIT["metre",1,AUTHORITY["EPSG","9001"]],AUTHORITY["EPSG","5121"]],VERT_CS["NN54 height",VERT_DATUM["Norway Normal Null 1954",2005,AUTHORITY["EPSG","5174"]],UNIT["metre",1,AUTHORITY["EPSG","9001"]],AXIS["Up",UP],AUTHORITY["EPSG","5776"]],AUTHORITY["EPSG","6161"]]</t>
  </si>
  <si>
    <t>COMPD_CS["ETRS89 / NTM zone 22 + NN54 height",PROJCS["ETRS89 / NTM zone 22",GEOGCS["ETRS89",DATUM["European_Terrestrial_Reference_System_1989",SPHEROID["GRS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22.5],PARAMETER["scale_factor",1],PARAMETER["false_easting",100000],PARAMETER["false_northing",1000000],UNIT["metre",1,AUTHORITY["EPSG","9001"]],AUTHORITY["EPSG","5122"]],VERT_CS["NN54 height",VERT_DATUM["Norway Normal Null 1954",2005,AUTHORITY["EPSG","5174"]],UNIT["metre",1,AUTHORITY["EPSG","9001"]],AXIS["Up",UP],AUTHORITY["EPSG","5776"]],AUTHORITY["EPSG","6162"]]</t>
  </si>
  <si>
    <t>COMPD_CS["ETRS89 / NTM zone 23 + NN54 height",PROJCS["ETRS89 / NTM zone 23",GEOGCS["ETRS89",DATUM["European_Terrestrial_Reference_System_1989",SPHEROID["GRS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23.5],PARAMETER["scale_factor",1],PARAMETER["false_easting",100000],PARAMETER["false_northing",1000000],UNIT["metre",1,AUTHORITY["EPSG","9001"]],AUTHORITY["EPSG","5123"]],VERT_CS["NN54 height",VERT_DATUM["Norway Normal Null 1954",2005,AUTHORITY["EPSG","5174"]],UNIT["metre",1,AUTHORITY["EPSG","9001"]],AXIS["Up",UP],AUTHORITY["EPSG","5776"]],AUTHORITY["EPSG","6163"]]</t>
  </si>
  <si>
    <t>COMPD_CS["ETRS89 / NTM zone 24 + NN54 height",PROJCS["ETRS89 / NTM zone 24",GEOGCS["ETRS89",DATUM["European_Terrestrial_Reference_System_1989",SPHEROID["GRS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24.5],PARAMETER["scale_factor",1],PARAMETER["false_easting",100000],PARAMETER["false_northing",1000000],UNIT["metre",1,AUTHORITY["EPSG","9001"]],AUTHORITY["EPSG","5124"]],VERT_CS["NN54 height",VERT_DATUM["Norway Normal Null 1954",2005,AUTHORITY["EPSG","5174"]],UNIT["metre",1,AUTHORITY["EPSG","9001"]],AXIS["Up",UP],AUTHORITY["EPSG","5776"]],AUTHORITY["EPSG","6164"]]</t>
  </si>
  <si>
    <t>COMPD_CS["ETRS89 / NTM zone 25 + NN54 height",PROJCS["ETRS89 / NTM zone 25",GEOGCS["ETRS89",DATUM["European_Terrestrial_Reference_System_1989",SPHEROID["GRS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25.5],PARAMETER["scale_factor",1],PARAMETER["false_easting",100000],PARAMETER["false_northing",1000000],UNIT["metre",1,AUTHORITY["EPSG","9001"]],AUTHORITY["EPSG","5125"]],VERT_CS["NN54 height",VERT_DATUM["Norway Normal Null 1954",2005,AUTHORITY["EPSG","5174"]],UNIT["metre",1,AUTHORITY["EPSG","9001"]],AXIS["Up",UP],AUTHORITY["EPSG","5776"]],AUTHORITY["EPSG","6165"]]</t>
  </si>
  <si>
    <t>COMPD_CS["ETRS89 / NTM zone 26 + NN54 height",PROJCS["ETRS89 / NTM zone 26",GEOGCS["ETRS89",DATUM["European_Terrestrial_Reference_System_1989",SPHEROID["GRS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26.5],PARAMETER["scale_factor",1],PARAMETER["false_easting",100000],PARAMETER["false_northing",1000000],UNIT["metre",1,AUTHORITY["EPSG","9001"]],AUTHORITY["EPSG","5126"]],VERT_CS["NN54 height",VERT_DATUM["Norway Normal Null 1954",2005,AUTHORITY["EPSG","5174"]],UNIT["metre",1,AUTHORITY["EPSG","9001"]],AXIS["Up",UP],AUTHORITY["EPSG","5776"]],AUTHORITY["EPSG","6166"]]</t>
  </si>
  <si>
    <t>COMPD_CS["ETRS89 / NTM zone 27 + NN54 height",PROJCS["ETRS89 / NTM zone 27",GEOGCS["ETRS89",DATUM["European_Terrestrial_Reference_System_1989",SPHEROID["GRS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27.5],PARAMETER["scale_factor",1],PARAMETER["false_easting",100000],PARAMETER["false_northing",1000000],UNIT["metre",1,AUTHORITY["EPSG","9001"]],AUTHORITY["EPSG","5127"]],VERT_CS["NN54 height",VERT_DATUM["Norway Normal Null 1954",2005,AUTHORITY["EPSG","5174"]],UNIT["metre",1,AUTHORITY["EPSG","9001"]],AXIS["Up",UP],AUTHORITY["EPSG","5776"]],AUTHORITY["EPSG","6167"]]</t>
  </si>
  <si>
    <t>COMPD_CS["ETRS89 / NTM zone 28 + NN54 height",PROJCS["ETRS89 / NTM zone 28",GEOGCS["ETRS89",DATUM["European_Terrestrial_Reference_System_1989",SPHEROID["GRS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28.5],PARAMETER["scale_factor",1],PARAMETER["false_easting",100000],PARAMETER["false_northing",1000000],UNIT["metre",1,AUTHORITY["EPSG","9001"]],AUTHORITY["EPSG","5128"]],VERT_CS["NN54 height",VERT_DATUM["Norway Normal Null 1954",2005,AUTHORITY["EPSG","5174"]],UNIT["metre",1,AUTHORITY["EPSG","9001"]],AXIS["Up",UP],AUTHORITY["EPSG","5776"]],AUTHORITY["EPSG","6168"]]</t>
  </si>
  <si>
    <t>COMPD_CS["ETRS89 / NTM zone 29 + NN54 height",PROJCS["ETRS89 / NTM zone 29",GEOGCS["ETRS89",DATUM["European_Terrestrial_Reference_System_1989",SPHEROID["GRS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29.5],PARAMETER["scale_factor",1],PARAMETER["false_easting",100000],PARAMETER["false_northing",1000000],UNIT["metre",1,AUTHORITY["EPSG","9001"]],AUTHORITY["EPSG","5129"]],VERT_CS["NN54 height",VERT_DATUM["Norway Normal Null 1954",2005,AUTHORITY["EPSG","5174"]],UNIT["metre",1,AUTHORITY["EPSG","9001"]],AXIS["Up",UP],AUTHORITY["EPSG","5776"]],AUTHORITY["EPSG","6169"]]</t>
  </si>
  <si>
    <t>COMPD_CS["ETRS89 / NTM zone 30 + NN54 height",PROJCS["ETRS89 / NTM zone 30",GEOGCS["ETRS89",DATUM["European_Terrestrial_Reference_System_1989",SPHEROID["GRS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58],PARAMETER["central_meridian",30.5],PARAMETER["scale_factor",1],PARAMETER["false_easting",100000],PARAMETER["false_northing",1000000],UNIT["metre",1,AUTHORITY["EPSG","9001"]],AUTHORITY["EPSG","5130"]],VERT_CS["NN54 height",VERT_DATUM["Norway Normal Null 1954",2005,AUTHORITY["EPSG","5174"]],UNIT["metre",1,AUTHORITY["EPSG","9001"]],AXIS["Up",UP],AUTHORITY["EPSG","5776"]],AUTHORITY["EPSG","6170"]]</t>
  </si>
  <si>
    <t>COMPD_CS["ETRS89 / UTM zone 31 + NN54 height",PROJCS["ETRS89 / UTM zone 31N",GEOGCS["ETRS89",DATUM["European_Terrestrial_Reference_System_1989",SPHEROID["GRS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3],PARAMETER["scale_factor",0.9996],PARAMETER["false_easting",500000],PARAMETER["false_northing",0],UNIT["metre",1,AUTHORITY["EPSG","9001"]],AXIS["Easting",EAST],AXIS["Northing",NORTH],AUTHORITY["EPSG","25831"]],VERT_CS["NN54 height",VERT_DATUM["Norway Normal Null 1954",2005,AUTHORITY["EPSG","5174"]],UNIT["metre",1,AUTHORITY["EPSG","9001"]],AXIS["Up",UP],AUTHORITY["EPSG","5776"]],AUTHORITY["EPSG","6171"]]</t>
  </si>
  <si>
    <t>COMPD_CS["ETRS89 / UTM zone 32 + NN54 height",PROJCS["ETRS89 / UTM zone 32N",GEOGCS["ETRS89",DATUM["European_Terrestrial_Reference_System_1989",SPHEROID["GRS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25832"]],VERT_CS["NN54 height",VERT_DATUM["Norway Normal Null 1954",2005,AUTHORITY["EPSG","5174"]],UNIT["metre",1,AUTHORITY["EPSG","9001"]],AXIS["Up",UP],AUTHORITY["EPSG","5776"]],AUTHORITY["EPSG","6172"]]</t>
  </si>
  <si>
    <t>COMPD_CS["ETRS89 / UTM zone 33 + NN54 height",PROJCS["ETRS89 / UTM zone 33N",GEOGCS["ETRS89",DATUM["European_Terrestrial_Reference_System_1989",SPHEROID["GRS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25833"]],VERT_CS["NN54 height",VERT_DATUM["Norway Normal Null 1954",2005,AUTHORITY["EPSG","5174"]],UNIT["metre",1,AUTHORITY["EPSG","9001"]],AXIS["Up",UP],AUTHORITY["EPSG","5776"]],AUTHORITY["EPSG","6173"]]</t>
  </si>
  <si>
    <t>COMPD_CS["ETRS89 / UTM zone 34 + NN54 height",PROJCS["ETRS89 / UTM zone 34N",GEOGCS["ETRS89",DATUM["European_Terrestrial_Reference_System_1989",SPHEROID["GRS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21],PARAMETER["scale_factor",0.9996],PARAMETER["false_easting",500000],PARAMETER["false_northing",0],UNIT["metre",1,AUTHORITY["EPSG","9001"]],AXIS["Easting",EAST],AXIS["Northing",NORTH],AUTHORITY["EPSG","25834"]],VERT_CS["NN54 height",VERT_DATUM["Norway Normal Null 1954",2005,AUTHORITY["EPSG","5174"]],UNIT["metre",1,AUTHORITY["EPSG","9001"]],AXIS["Up",UP],AUTHORITY["EPSG","5776"]],AUTHORITY["EPSG","6174"]]</t>
  </si>
  <si>
    <t>COMPD_CS["ETRS89 / UTM zone 35 + NN54 height",PROJCS["ETRS89 / UTM zone 35N",GEOGCS["ETRS89",DATUM["European_Terrestrial_Reference_System_1989",SPHEROID["GRS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27],PARAMETER["scale_factor",0.9996],PARAMETER["false_easting",500000],PARAMETER["false_northing",0],UNIT["metre",1,AUTHORITY["EPSG","9001"]],AXIS["Easting",EAST],AXIS["Northing",NORTH],AUTHORITY["EPSG","25835"]],VERT_CS["NN54 height",VERT_DATUM["Norway Normal Null 1954",2005,AUTHORITY["EPSG","5174"]],UNIT["metre",1,AUTHORITY["EPSG","9001"]],AXIS["Up",UP],AUTHORITY["EPSG","5776"]],AUTHORITY["EPSG","6175"]]</t>
  </si>
  <si>
    <t>COMPD_CS["ETRS89 / UTM zone 36 + NN54 height",PROJCS["ETRS89 / UTM zone 36N",GEOGCS["ETRS89",DATUM["European_Terrestrial_Reference_System_1989",SPHEROID["GRS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33],PARAMETER["scale_factor",0.9996],PARAMETER["false_easting",500000],PARAMETER["false_northing",0],UNIT["metre",1,AUTHORITY["EPSG","9001"]],AXIS["Easting",EAST],AXIS["Northing",NORTH],AUTHORITY["EPSG","25836"]],VERT_CS["NN54 height",VERT_DATUM["Norway Normal Null 1954",2005,AUTHORITY["EPSG","5174"]],UNIT["metre",1,AUTHORITY["EPSG","9001"]],AXIS["Up",UP],AUTHORITY["EPSG","5776"]],AUTHORITY["EPSG","6176"]]</t>
  </si>
  <si>
    <t>COMPD_CS["Belge 1972 / Belgian Lambert 72 + Ostend height",PROJCS["Belge 1972 / Belgian Lambert 72",GEOGCS["Belge 1972",DATUM["Reseau_National_Belge_1972",SPHEROID["International 1924",6378388,297,AUTHORITY["EPSG","7022"]],TOWGS84[-106.8686,52.2978,-103.7239,0.3366,-0.457,1.8422,-1.2747],AUTHORITY["EPSG","6313"]],PRIMEM["Greenwich",0,AUTHORITY["EPSG","8901"]],UNIT["degree",0.0174532925199433,AUTHORITY["EPSG","9122"]],AUTHORITY["EPSG","4313"]],PROJECTION["Lambert_Conformal_Conic_2SP"],PARAMETER["standard_parallel_1",51.16666723333333],PARAMETER["standard_parallel_2",49.8333339],PARAMETER["latitude_of_origin",90],PARAMETER["central_meridian",4.367486666666666],PARAMETER["false_easting",150000.013],PARAMETER["false_northing",5400088.438],UNIT["metre",1,AUTHORITY["EPSG","9001"]],AXIS["X",EAST],AXIS["Y",NORTH],AUTHORITY["EPSG","31370"]],VERT_CS["Ostend height",VERT_DATUM["Ostend",2005,AUTHORITY["EPSG","5110"]],UNIT["metre",1,AUTHORITY["EPSG","9001"]],AXIS["Up",UP],AUTHORITY["EPSG","5710"]],AUTHORITY["EPSG","6190"]]</t>
  </si>
  <si>
    <t xml:space="preserve">+proj=lcc +lat_1=51.16666723333333 +lat_2=49.8333339 +lat_0=90 +lon_0=4.367486666666666 +x_0=150000.013 +y_0=5400088.438 +ellps=intl +towgs84=-106.8686,52.2978,-103.7239,0.3366,-0.457,1.8422,-1.2747 +units=m +vunits=m +no_defs </t>
  </si>
  <si>
    <t>COMPD_CS["NAD83(2011) + NAVD88 height",GEOGCS["NAD83(2011)",DATUM["NAD83_National_Spatial_Reference_System_2011",SPHEROID["GRS 1980",6378137,298.257222101,AUTHORITY["EPSG","7019"]],AUTHORITY["EPSG","1116"]],PRIMEM["Greenwich",0,AUTHORITY["EPSG","8901"]],UNIT["degree",0.0174532925199433,AUTHORITY["EPSG","9122"]],AUTHORITY["EPSG","6318"]],VERT_CS["NAVD88 height",VERT_DATUM["North American Vertical Datum 1988",2005,EXTENSION["PROJ4_GRIDS","g2012a_conus.gtx,g2012a_alaska.gtx,g2012a_guam.gtx,g2012a_hawaii.gtx,g2012a_puertorico.gtx,g2012a_samoa.gtx"],AUTHORITY["EPSG","5103"]],UNIT["metre",1,AUTHORITY["EPSG","9001"]],AXIS["Up",UP],AUTHORITY["EPSG","5703"]],AUTHORITY["EPSG","6349"]]</t>
  </si>
  <si>
    <t>COMPD_CS["NAD83(CSRS) + CGVD2013 height",GEOGCS["NAD83(CSRS)",DATUM["NAD83_Canadian_Spatial_Reference_System",SPHEROID["GRS 1980",6378137,298.257222101,AUTHORITY["EPSG","7019"]],TOWGS84[0,0,0,0,0,0,0],AUTHORITY["EPSG","6140"]],PRIMEM["Greenwich",0,AUTHORITY["EPSG","8901"]],UNIT["degree",0.0174532925199433,AUTHORITY["EPSG","9122"]],AUTHORITY["EPSG","4617"]],VERT_CS["CGVD2013 height",VERT_DATUM["Canadian Geodetic Vertical Datum of 2013",2005,AUTHORITY["EPSG","1127"]],UNIT["metre",1,AUTHORITY["EPSG","9001"]],AXIS["Up",UP],AUTHORITY["EPSG","6647"]],AUTHORITY["EPSG","6649"]]</t>
  </si>
  <si>
    <t>COMPD_CS["NAD83(CSRS) / UTM zone 7N + CGVD2013 height",PROJCS["NAD83(CSRS) / UTM zone 7N",GEOGCS["NAD83(CSRS)",DATUM["NAD83_Canadian_Spatial_Reference_System",SPHEROID["GRS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-141],PARAMETER["scale_factor",0.9996],PARAMETER["false_easting",500000],PARAMETER["false_northing",0],UNIT["metre",1,AUTHORITY["EPSG","9001"]],AXIS["Easting",EAST],AXIS["Northing",NORTH],AUTHORITY["EPSG","3154"]],VERT_CS["CGVD2013 height",VERT_DATUM["Canadian Geodetic Vertical Datum of 2013",2005,AUTHORITY["EPSG","1127"]],UNIT["metre",1,AUTHORITY["EPSG","9001"]],AXIS["Up",UP],AUTHORITY["EPSG","6647"]],AUTHORITY["EPSG","6650"]]</t>
  </si>
  <si>
    <t xml:space="preserve">+proj=utm +zone=7 +ellps=GRS80 +towgs84=0,0,0,0,0,0,0 +units=m +vunits=m +no_defs </t>
  </si>
  <si>
    <t>COMPD_CS["NAD83(CSRS) / UTM zone 8N + CGVD2013 height",PROJCS["NAD83(CSRS) / UTM zone 8N",GEOGCS["NAD83(CSRS)",DATUM["NAD83_Canadian_Spatial_Reference_System",SPHEROID["GRS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-135],PARAMETER["scale_factor",0.9996],PARAMETER["false_easting",500000],PARAMETER["false_northing",0],UNIT["metre",1,AUTHORITY["EPSG","9001"]],AXIS["Easting",EAST],AXIS["Northing",NORTH],AUTHORITY["EPSG","3155"]],VERT_CS["CGVD2013 height",VERT_DATUM["Canadian Geodetic Vertical Datum of 2013",2005,AUTHORITY["EPSG","1127"]],UNIT["metre",1,AUTHORITY["EPSG","9001"]],AXIS["Up",UP],AUTHORITY["EPSG","6647"]],AUTHORITY["EPSG","6651"]]</t>
  </si>
  <si>
    <t xml:space="preserve">+proj=utm +zone=8 +ellps=GRS80 +towgs84=0,0,0,0,0,0,0 +units=m +vunits=m +no_defs </t>
  </si>
  <si>
    <t>COMPD_CS["NAD83(CSRS) / UTM zone 9N + CGVD2013 height",PROJCS["NAD83(CSRS) / UTM zone 9N",GEOGCS["NAD83(CSRS)",DATUM["NAD83_Canadian_Spatial_Reference_System",SPHEROID["GRS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-129],PARAMETER["scale_factor",0.9996],PARAMETER["false_easting",500000],PARAMETER["false_northing",0],UNIT["metre",1,AUTHORITY["EPSG","9001"]],AXIS["Easting",EAST],AXIS["Northing",NORTH],AUTHORITY["EPSG","3156"]],VERT_CS["CGVD2013 height",VERT_DATUM["Canadian Geodetic Vertical Datum of 2013",2005,AUTHORITY["EPSG","1127"]],UNIT["metre",1,AUTHORITY["EPSG","9001"]],AXIS["Up",UP],AUTHORITY["EPSG","6647"]],AUTHORITY["EPSG","6652"]]</t>
  </si>
  <si>
    <t xml:space="preserve">+proj=utm +zone=9 +ellps=GRS80 +towgs84=0,0,0,0,0,0,0 +units=m +vunits=m +no_defs </t>
  </si>
  <si>
    <t>COMPD_CS["NAD83(CSRS) / UTM zone 10N + CGVD2013 height",PROJCS["NAD83(CSRS) / UTM zone 10N",GEOGCS["NAD83(CSRS)",DATUM["NAD83_Canadian_Spatial_Reference_System",SPHEROID["GRS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-123],PARAMETER["scale_factor",0.9996],PARAMETER["false_easting",500000],PARAMETER["false_northing",0],UNIT["metre",1,AUTHORITY["EPSG","9001"]],AXIS["Easting",EAST],AXIS["Northing",NORTH],AUTHORITY["EPSG","3157"]],VERT_CS["CGVD2013 height",VERT_DATUM["Canadian Geodetic Vertical Datum of 2013",2005,AUTHORITY["EPSG","1127"]],UNIT["metre",1,AUTHORITY["EPSG","9001"]],AXIS["Up",UP],AUTHORITY["EPSG","6647"]],AUTHORITY["EPSG","6653"]]</t>
  </si>
  <si>
    <t xml:space="preserve">+proj=utm +zone=10 +ellps=GRS80 +towgs84=0,0,0,0,0,0,0 +units=m +vunits=m +no_defs </t>
  </si>
  <si>
    <t>COMPD_CS["NAD83(CSRS) / UTM zone 11N + CGVD2013 height",PROJCS["NAD83(CSRS) / UTM zone 11N",GEOGCS["NAD83(CSRS)",DATUM["NAD83_Canadian_Spatial_Reference_System",SPHEROID["GRS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-117],PARAMETER["scale_factor",0.9996],PARAMETER["false_easting",500000],PARAMETER["false_northing",0],UNIT["metre",1,AUTHORITY["EPSG","9001"]],AXIS["Easting",EAST],AXIS["Northing",NORTH],AUTHORITY["EPSG","2955"]],VERT_CS["CGVD2013 height",VERT_DATUM["Canadian Geodetic Vertical Datum of 2013",2005,AUTHORITY["EPSG","1127"]],UNIT["metre",1,AUTHORITY["EPSG","9001"]],AXIS["Up",UP],AUTHORITY["EPSG","6647"]],AUTHORITY["EPSG","6654"]]</t>
  </si>
  <si>
    <t xml:space="preserve">+proj=utm +zone=11 +ellps=GRS80 +towgs84=0,0,0,0,0,0,0 +units=m +vunits=m +no_defs </t>
  </si>
  <si>
    <t>COMPD_CS["NAD83(CSRS) / UTM zone 12N + CGVD2013 height",PROJCS["NAD83(CSRS) / UTM zone 12N",GEOGCS["NAD83(CSRS)",DATUM["NAD83_Canadian_Spatial_Reference_System",SPHEROID["GRS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-111],PARAMETER["scale_factor",0.9996],PARAMETER["false_easting",500000],PARAMETER["false_northing",0],UNIT["metre",1,AUTHORITY["EPSG","9001"]],AXIS["Easting",EAST],AXIS["Northing",NORTH],AUTHORITY["EPSG","2956"]],VERT_CS["CGVD2013 height",VERT_DATUM["Canadian Geodetic Vertical Datum of 2013",2005,AUTHORITY["EPSG","1127"]],UNIT["metre",1,AUTHORITY["EPSG","9001"]],AXIS["Up",UP],AUTHORITY["EPSG","6647"]],AUTHORITY["EPSG","6655"]]</t>
  </si>
  <si>
    <t xml:space="preserve">+proj=utm +zone=12 +ellps=GRS80 +towgs84=0,0,0,0,0,0,0 +units=m +vunits=m +no_defs </t>
  </si>
  <si>
    <t>COMPD_CS["NAD83(CSRS) / UTM zone 13N + CGVD2013 height",PROJCS["NAD83(CSRS) / UTM zone 13N",GEOGCS["NAD83(CSRS)",DATUM["NAD83_Canadian_Spatial_Reference_System",SPHEROID["GRS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-105],PARAMETER["scale_factor",0.9996],PARAMETER["false_easting",500000],PARAMETER["false_northing",0],UNIT["metre",1,AUTHORITY["EPSG","9001"]],AXIS["Easting",EAST],AXIS["Northing",NORTH],AUTHORITY["EPSG","2957"]],VERT_CS["CGVD2013 height",VERT_DATUM["Canadian Geodetic Vertical Datum of 2013",2005,AUTHORITY["EPSG","1127"]],UNIT["metre",1,AUTHORITY["EPSG","9001"]],AXIS["Up",UP],AUTHORITY["EPSG","6647"]],AUTHORITY["EPSG","6656"]]</t>
  </si>
  <si>
    <t xml:space="preserve">+proj=utm +zone=13 +ellps=GRS80 +towgs84=0,0,0,0,0,0,0 +units=m +vunits=m +no_defs </t>
  </si>
  <si>
    <t>COMPD_CS["NAD83(CSRS) / UTM zone 14N + CGVD2013 height",PROJCS["NAD83(CSRS) / UTM zone 14N",GEOGCS["NAD83(CSRS)",DATUM["NAD83_Canadian_Spatial_Reference_System",SPHEROID["GRS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-99],PARAMETER["scale_factor",0.9996],PARAMETER["false_easting",500000],PARAMETER["false_northing",0],UNIT["metre",1,AUTHORITY["EPSG","9001"]],AXIS["Easting",EAST],AXIS["Northing",NORTH],AUTHORITY["EPSG","3158"]],VERT_CS["CGVD2013 height",VERT_DATUM["Canadian Geodetic Vertical Datum of 2013",2005,AUTHORITY["EPSG","1127"]],UNIT["metre",1,AUTHORITY["EPSG","9001"]],AXIS["Up",UP],AUTHORITY["EPSG","6647"]],AUTHORITY["EPSG","6657"]]</t>
  </si>
  <si>
    <t xml:space="preserve">+proj=utm +zone=14 +ellps=GRS80 +towgs84=0,0,0,0,0,0,0 +units=m +vunits=m +no_defs </t>
  </si>
  <si>
    <t>COMPD_CS["NAD83(CSRS) / UTM zone 15N + CGVD2013 height",PROJCS["NAD83(CSRS) / UTM zone 15N",GEOGCS["NAD83(CSRS)",DATUM["NAD83_Canadian_Spatial_Reference_System",SPHEROID["GRS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-93],PARAMETER["scale_factor",0.9996],PARAMETER["false_easting",500000],PARAMETER["false_northing",0],UNIT["metre",1,AUTHORITY["EPSG","9001"]],AXIS["Easting",EAST],AXIS["Northing",NORTH],AUTHORITY["EPSG","3159"]],VERT_CS["CGVD2013 height",VERT_DATUM["Canadian Geodetic Vertical Datum of 2013",2005,AUTHORITY["EPSG","1127"]],UNIT["metre",1,AUTHORITY["EPSG","9001"]],AXIS["Up",UP],AUTHORITY["EPSG","6647"]],AUTHORITY["EPSG","6658"]]</t>
  </si>
  <si>
    <t xml:space="preserve">+proj=utm +zone=15 +ellps=GRS80 +towgs84=0,0,0,0,0,0,0 +units=m +vunits=m +no_defs </t>
  </si>
  <si>
    <t>COMPD_CS["NAD83(CSRS) / UTM zone 16N + CGVD2013 height",PROJCS["NAD83(CSRS) / UTM zone 16N",GEOGCS["NAD83(CSRS)",DATUM["NAD83_Canadian_Spatial_Reference_System",SPHEROID["GRS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-87],PARAMETER["scale_factor",0.9996],PARAMETER["false_easting",500000],PARAMETER["false_northing",0],UNIT["metre",1,AUTHORITY["EPSG","9001"]],AXIS["Easting",EAST],AXIS["Northing",NORTH],AUTHORITY["EPSG","3160"]],VERT_CS["CGVD2013 height",VERT_DATUM["Canadian Geodetic Vertical Datum of 2013",2005,AUTHORITY["EPSG","1127"]],UNIT["metre",1,AUTHORITY["EPSG","9001"]],AXIS["Up",UP],AUTHORITY["EPSG","6647"]],AUTHORITY["EPSG","6659"]]</t>
  </si>
  <si>
    <t xml:space="preserve">+proj=utm +zone=16 +ellps=GRS80 +towgs84=0,0,0,0,0,0,0 +units=m +vunits=m +no_defs </t>
  </si>
  <si>
    <t>COMPD_CS["NAD83(CSRS) / UTM zone 17N + CGVD2013 height",PROJCS["NAD83(CSRS) / UTM zone 17N",GEOGCS["NAD83(CSRS)",DATUM["NAD83_Canadian_Spatial_Reference_System",SPHEROID["GRS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-81],PARAMETER["scale_factor",0.9996],PARAMETER["false_easting",500000],PARAMETER["false_northing",0],UNIT["metre",1,AUTHORITY["EPSG","9001"]],AXIS["Easting",EAST],AXIS["Northing",NORTH],AUTHORITY["EPSG","2958"]],VERT_CS["CGVD2013 height",VERT_DATUM["Canadian Geodetic Vertical Datum of 2013",2005,AUTHORITY["EPSG","1127"]],UNIT["metre",1,AUTHORITY["EPSG","9001"]],AXIS["Up",UP],AUTHORITY["EPSG","6647"]],AUTHORITY["EPSG","6660"]]</t>
  </si>
  <si>
    <t xml:space="preserve">+proj=utm +zone=17 +ellps=GRS80 +towgs84=0,0,0,0,0,0,0 +units=m +vunits=m +no_defs </t>
  </si>
  <si>
    <t>COMPD_CS["NAD83(CSRS) / UTM zone 18N + CGVD2013 height",PROJCS["NAD83(CSRS) / UTM zone 18N",GEOGCS["NAD83(CSRS)",DATUM["NAD83_Canadian_Spatial_Reference_System",SPHEROID["GRS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-75],PARAMETER["scale_factor",0.9996],PARAMETER["false_easting",500000],PARAMETER["false_northing",0],UNIT["metre",1,AUTHORITY["EPSG","9001"]],AXIS["Easting",EAST],AXIS["Northing",NORTH],AUTHORITY["EPSG","2959"]],VERT_CS["CGVD2013 height",VERT_DATUM["Canadian Geodetic Vertical Datum of 2013",2005,AUTHORITY["EPSG","1127"]],UNIT["metre",1,AUTHORITY["EPSG","9001"]],AXIS["Up",UP],AUTHORITY["EPSG","6647"]],AUTHORITY["EPSG","6661"]]</t>
  </si>
  <si>
    <t xml:space="preserve">+proj=utm +zone=18 +ellps=GRS80 +towgs84=0,0,0,0,0,0,0 +units=m +vunits=m +no_defs </t>
  </si>
  <si>
    <t>COMPD_CS["NAD83(CSRS) / UTM zone 19N + CGVD2013 height",PROJCS["NAD83(CSRS) / UTM zone 19N",GEOGCS["NAD83(CSRS)",DATUM["NAD83_Canadian_Spatial_Reference_System",SPHEROID["GRS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-69],PARAMETER["scale_factor",0.9996],PARAMETER["false_easting",500000],PARAMETER["false_northing",0],UNIT["metre",1,AUTHORITY["EPSG","9001"]],AXIS["Easting",EAST],AXIS["Northing",NORTH],AUTHORITY["EPSG","2960"]],VERT_CS["CGVD2013 height",VERT_DATUM["Canadian Geodetic Vertical Datum of 2013",2005,AUTHORITY["EPSG","1127"]],UNIT["metre",1,AUTHORITY["EPSG","9001"]],AXIS["Up",UP],AUTHORITY["EPSG","6647"]],AUTHORITY["EPSG","6662"]]</t>
  </si>
  <si>
    <t xml:space="preserve">+proj=utm +zone=19 +ellps=GRS80 +towgs84=0,0,0,0,0,0,0 +units=m +vunits=m +no_defs </t>
  </si>
  <si>
    <t>COMPD_CS["NAD83(CSRS) / UTM zone 20N + CGVD2013 height",PROJCS["NAD83(CSRS) / UTM zone 20N",GEOGCS["NAD83(CSRS)",DATUM["NAD83_Canadian_Spatial_Reference_System",SPHEROID["GRS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-63],PARAMETER["scale_factor",0.9996],PARAMETER["false_easting",500000],PARAMETER["false_northing",0],UNIT["metre",1,AUTHORITY["EPSG","9001"]],AXIS["Easting",EAST],AXIS["Northing",NORTH],AUTHORITY["EPSG","2961"]],VERT_CS["CGVD2013 height",VERT_DATUM["Canadian Geodetic Vertical Datum of 2013",2005,AUTHORITY["EPSG","1127"]],UNIT["metre",1,AUTHORITY["EPSG","9001"]],AXIS["Up",UP],AUTHORITY["EPSG","6647"]],AUTHORITY["EPSG","6663"]]</t>
  </si>
  <si>
    <t xml:space="preserve">+proj=utm +zone=20 +ellps=GRS80 +towgs84=0,0,0,0,0,0,0 +units=m +vunits=m +no_defs </t>
  </si>
  <si>
    <t>COMPD_CS["NAD83(CSRS) / UTM zone 21N + CGVD2013 height",PROJCS["NAD83(CSRS) / UTM zone 21N",GEOGCS["NAD83(CSRS)",DATUM["NAD83_Canadian_Spatial_Reference_System",SPHEROID["GRS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-57],PARAMETER["scale_factor",0.9996],PARAMETER["false_easting",500000],PARAMETER["false_northing",0],UNIT["metre",1,AUTHORITY["EPSG","9001"]],AXIS["Easting",EAST],AXIS["Northing",NORTH],AUTHORITY["EPSG","2962"]],VERT_CS["CGVD2013 height",VERT_DATUM["Canadian Geodetic Vertical Datum of 2013",2005,AUTHORITY["EPSG","1127"]],UNIT["metre",1,AUTHORITY["EPSG","9001"]],AXIS["Up",UP],AUTHORITY["EPSG","6647"]],AUTHORITY["EPSG","6664"]]</t>
  </si>
  <si>
    <t xml:space="preserve">+proj=utm +zone=21 +ellps=GRS80 +towgs84=0,0,0,0,0,0,0 +units=m +vunits=m +no_defs </t>
  </si>
  <si>
    <t>COMPD_CS["NAD83(CSRS) / UTM zone 22N + CGVD2013 height",PROJCS["NAD83(CSRS) / UTM zone 22N",GEOGCS["NAD83(CSRS)",DATUM["NAD83_Canadian_Spatial_Reference_System",SPHEROID["GRS 1980",6378137,298.257222101,AUTHORITY["EPSG","7019"]],TOWGS84[0,0,0,0,0,0,0],AUTHORITY["EPSG","6140"]],PRIMEM["Greenwich",0,AUTHORITY["EPSG","8901"]],UNIT["degree",0.0174532925199433,AUTHORITY["EPSG","9122"]],AUTHORITY["EPSG","4617"]],PROJECTION["Transverse_Mercator"],PARAMETER["latitude_of_origin",0],PARAMETER["central_meridian",-51],PARAMETER["scale_factor",0.9996],PARAMETER["false_easting",500000],PARAMETER["false_northing",0],UNIT["metre",1,AUTHORITY["EPSG","9001"]],AXIS["Easting",EAST],AXIS["Northing",NORTH],AUTHORITY["EPSG","3761"]],VERT_CS["CGVD2013 height",VERT_DATUM["Canadian Geodetic Vertical Datum of 2013",2005,AUTHORITY["EPSG","1127"]],UNIT["metre",1,AUTHORITY["EPSG","9001"]],AXIS["Up",UP],AUTHORITY["EPSG","6647"]],AUTHORITY["EPSG","6665"]]</t>
  </si>
  <si>
    <t xml:space="preserve">+proj=utm +zone=22 +ellps=GRS80 +towgs84=0,0,0,0,0,0,0 +units=m +vunits=m +no_defs </t>
  </si>
  <si>
    <t>COMPD_CS["JGD2000 + JGD2000 (vertical) height",GEOGCS["JGD2000",DATUM["Japanese_Geodetic_Datum_2000",SPHEROID["GRS 1980",6378137,298.257222101,AUTHORITY["EPSG","7019"]],TOWGS84[0,0,0,0,0,0,0],AUTHORITY["EPSG","6612"]],PRIMEM["Greenwich",0,AUTHORITY["EPSG","8901"]],UNIT["degree",0.0174532925199433,AUTHORITY["EPSG","9122"]],AUTHORITY["EPSG","4612"]],VERT_CS["JGD2000 (vertical) height",VERT_DATUM["Japanese Geodetic Datum 2000 (vertical)",2005,AUTHORITY["EPSG","1130"]],UNIT["metre",1,AUTHORITY["EPSG","9001"]],AXIS["Up",UP],AUTHORITY["EPSG","6694"]],AUTHORITY["EPSG","6696"]]</t>
  </si>
  <si>
    <t>COMPD_CS["JGD2011 + JGD2011 (vertical) height",GEOGCS["JGD2011",DATUM["Japanese_Geodetic_Datum_2011",SPHEROID["GRS 1980",6378137,298.257222101,AUTHORITY["EPSG","7019"]],AUTHORITY["EPSG","1128"]],PRIMEM["Greenwich",0,AUTHORITY["EPSG","8901"]],UNIT["degree",0.0174532925199433,AUTHORITY["EPSG","9122"]],AUTHORITY["EPSG","6668"]],VERT_CS["JGD2011 (vertical) height",VERT_DATUM["Japanese Geodetic Datum 2011 (vertical)",2005,AUTHORITY["EPSG","1131"]],UNIT["metre",1,AUTHORITY["EPSG","9001"]],AXIS["Up",UP],AUTHORITY["EPSG","6695"]],AUTHORITY["EPSG","6697"]]</t>
  </si>
  <si>
    <t>COMPD_CS["Tokyo + JSLD72 height",GEOGCS["Tokyo",DATUM["Tokyo",SPHEROID["Bessel 1841",6377397.155,299.1528128,AUTHORITY["EPSG","7004"]],TOWGS84[-146.414,507.337,680.507,0,0,0,0],AUTHORITY["EPSG","6301"]],PRIMEM["Greenwich",0,AUTHORITY["EPSG","8901"]],UNIT["degree",0.0174532925199433,AUTHORITY["EPSG","9122"]],AUTHORITY["EPSG","4301"]],VERT_CS["JSLD72 height",VERT_DATUM["Japanese Standard Levelling Datum 1972",2005,AUTHORITY["EPSG","1129"]],UNIT["metre",1,AUTHORITY["EPSG","9001"]],AXIS["Up",UP],AUTHORITY["EPSG","6693"]],AUTHORITY["EPSG","6700"]]</t>
  </si>
  <si>
    <t xml:space="preserve">+proj=longlat +ellps=bessel +towgs84=-146.414,507.337,680.507,0,0,0,0 +vunits=m +no_defs </t>
  </si>
  <si>
    <t>COMPD_CS["WGS 84 / Pseudo-Mercator +  EGM2008 geoid height",PROJCS["WGS 84 / Pseudo-Mercator",GEOGCS["WGS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0],PARAMETER["scale_factor",1],PARAMETER["false_easting",0],PARAMETER["false_northing",0],UNIT["metre",1,AUTHORITY["EPSG","9001"]],AXIS["X",EAST],AXIS["Y",NORTH],EXTENSION["PROJ4","+proj=merc +a=6378137 +b=6378137 +lat_ts=0.0 +lon_0=0.0 +x_0=0.0 +y_0=0 +k=1.0 +units=m +nadgrids=@null +wktext +no_defs"],AUTHORITY["EPSG","3857"]],VERT_CS["EGM2008 geoid height",VERT_DATUM["EGM2008 geoid",2005,EXTENSION["PROJ4_GRIDS","egm08_25.gtx"],AUTHORITY["EPSG","1027"]],UNIT["metre",1,AUTHORITY["EPSG","9001"]],AXIS["Up",UP],AUTHORITY["EPSG","3855"]],AUTHORITY["EPSG","6871"]]</t>
  </si>
  <si>
    <t>COMPD_CS["WGS 84 / World Mercator +  EGM2008 height",PROJCS["WGS 84 / World Mercator",GEOGCS["WGS 84",DATUM["WGS_1984",SPHEROID["WGS 84",6378137,298.257223563,AUTHORITY["EPSG","7030"]],AUTHORITY["EPSG","6326"]],PRIMEM["Greenwich",0,AUTHORITY["EPSG","8901"]],UNIT["degree",0.0174532925199433,AUTHORITY["EPSG","9122"]],AUTHORITY["EPSG","4326"]],PROJECTION["Mercator_1SP"],PARAMETER["central_meridian",0],PARAMETER["scale_factor",1],PARAMETER["false_easting",0],PARAMETER["false_northing",0],UNIT["metre",1,AUTHORITY["EPSG","9001"]],AXIS["Easting",EAST],AXIS["Northing",NORTH],AUTHORITY["EPSG","3395"]],VERT_CS["EGM2008 geoid height",VERT_DATUM["EGM2008 geoid",2005,EXTENSION["PROJ4_GRIDS","egm08_25.gtx"],AUTHORITY["EPSG","1027"]],UNIT["metre",1,AUTHORITY["EPSG","9001"]],AXIS["Up",UP],AUTHORITY["EPSG","3855"]],AUTHORITY["EPSG","6893"]]</t>
  </si>
  <si>
    <t>COMPD_CS["SVY21 + SHD height",GEOGCS["SVY21",DATUM["SVY21",SPHEROID["WGS 84",6378137,298.257223563,AUTHORITY["EPSG","7030"]],AUTHORITY["EPSG","6757"]],PRIMEM["Greenwich",0,AUTHORITY["EPSG","8901"]],UNIT["degree",0.0174532925199433,AUTHORITY["EPSG","9122"]],AUTHORITY["EPSG","4757"]],VERT_CS["SHD height",VERT_DATUM["Singapore Height Datum",2005,AUTHORITY["EPSG","1140"]],UNIT["metre",1,AUTHORITY["EPSG","9001"]],AXIS["Up",UP],AUTHORITY["EPSG","6916"]],AUTHORITY["EPSG","6917"]]</t>
  </si>
  <si>
    <t>COMPD_CS["SVY21 / Singapore TM + SHD height",PROJCS["SVY21 / Singapore TM",GEOGCS["SVY21",DATUM["SVY21",SPHEROID["WGS 84",6378137,298.257223563,AUTHORITY["EPSG","7030"]],AUTHORITY["EPSG","6757"]],PRIMEM["Greenwich",0,AUTHORITY["EPSG","8901"]],UNIT["degree",0.0174532925199433,AUTHORITY["EPSG","9122"]],AUTHORITY["EPSG","4757"]],PROJECTION["Transverse_Mercator"],PARAMETER["latitude_of_origin",1.366666666666667],PARAMETER["central_meridian",103.8333333333333],PARAMETER["scale_factor",1],PARAMETER["false_easting",28001.642],PARAMETER["false_northing",38744.572],UNIT["metre",1,AUTHORITY["EPSG","9001"]],AUTHORITY["EPSG","3414"]],VERT_CS["SHD height",VERT_DATUM["Singapore Height Datum",2005,AUTHORITY["EPSG","1140"]],UNIT["metre",1,AUTHORITY["EPSG","9001"]],AXIS["Up",UP],AUTHORITY["EPSG","6916"]],AUTHORITY["EPSG","6927"]]</t>
  </si>
  <si>
    <t>COMPD_CS["NTF (Paris) + NGF IGN69 height",GEOGCS["NTF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(IGN)",6378249.2,293.4660212936269,AUTHORITY["EPSG","7011"]],TOWGS84[-168,-60,320,0,0,0,0],AUTHORITY["EPSG","6807"]],PRIMEM["Paris",2.33722917,AUTHORITY["EPSG","8903"]],UNIT["grad",0.01570796326794897,AUTHORITY["EPSG","9105"]],AUTHORITY["EPSG","4807"]],VERT_CS["NGF-IGN69 height",VERT_DATUM["Nivellement General de la France - IGN69",2005,AUTHORITY["EPSG","5119"]],UNIT["metre",1,AUTHORITY["EPSG","9001"]],AXIS["Up",UP],AUTHORITY["EPSG","5720"]],AUTHORITY["EPSG","7400"]]</t>
  </si>
  <si>
    <t xml:space="preserve">+proj=longlat +a=6378249.2 +b=6356515 +towgs84=-168,-60,320,0,0,0,0 +pm=paris +vunits=m +no_defs </t>
  </si>
  <si>
    <t>COMPD_CS["NTF (Paris) / France II + NGF Lallemand",PROJCS["NTF (Paris) / France II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2200000],UNIT["metre",1,AUTHORITY["EPSG","9001"]],AXIS["X",EAST],AXIS["Y",NORTH],AUTHORITY["EPSG","27582"]],VERT_CS["NGF Lallemand height",VERT_DATUM["Nivellement General de la France - Lallemand",2005,AUTHORITY["EPSG","5118"]],UNIT["metre",1,AUTHORITY["EPSG","9001"]],AXIS["Up",UP],AUTHORITY["EPSG","5719"]],AUTHORITY["EPSG","7401"]]</t>
  </si>
  <si>
    <t xml:space="preserve">+proj=lcc +lat_1=46.8 +lat_0=46.8 +lon_0=0 +k_0=0.99987742 +x_0=600000 +y_0=2200000 +a=6378249.2 +b=6356515 +towgs84=-168,-60,320,0,0,0,0 +pm=paris +units=m +vunits=m +no_defs </t>
  </si>
  <si>
    <t>COMPD_CS["NTF (Paris) / France II + NGF IGN69",PROJCS["NTF (Paris) / France II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2200000],UNIT["metre",1,AUTHORITY["EPSG","9001"]],AXIS["X",EAST],AXIS["Y",NORTH],AUTHORITY["EPSG","27582"]],VERT_CS["NGF-IGN69 height",VERT_DATUM["Nivellement General de la France - IGN69",2005,AUTHORITY["EPSG","5119"]],UNIT["metre",1,AUTHORITY["EPSG","9001"]],AXIS["Up",UP],AUTHORITY["EPSG","5720"]],AUTHORITY["EPSG","7402"]]</t>
  </si>
  <si>
    <t>COMPD_CS["NTF (Paris) / France III + NGF IGN69",PROJCS["NTF (Paris) / France III (deprecated)",GEOGCS["NTF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3200000],UNIT["metre",1,AUTHORITY["EPSG","9001"]],AXIS["X",EAST],AXIS["Y",NORTH],AUTHORITY["EPSG","27583"]],VERT_CS["NGF-IGN69 height",VERT_DATUM["Nivellement General de la France - IGN69",2005,AUTHORITY["EPSG","5119"]],UNIT["metre",1,AUTHORITY["EPSG","9001"]],AXIS["Up",UP],AUTHORITY["EPSG","5720"]],AUTHORITY["EPSG","7403"]]</t>
  </si>
  <si>
    <t xml:space="preserve">+proj=lcc +lat_1=44.10000000000001 +lat_0=44.10000000000001 +lon_0=0 +k_0=0.999877499 +x_0=600000 +y_0=3200000 +a=6378249.2 +b=6356515 +towgs84=-168,-60,320,0,0,0,0 +pm=paris +units=m +vunits=m +no_defs </t>
  </si>
  <si>
    <t>COMPD_CS["RT90 + RH70 height",GEOGCS["RT90",DATUM["Rikets_koordinatsystem_1990",SPHEROID["Bessel 1841",6377397.155,299.1528128,AUTHORITY["EPSG","7004"]],TOWGS84[414.1,41.3,603.1,-0.855,2.141,-7.023,0],AUTHORITY["EPSG","6124"]],PRIMEM["Greenwich",0,AUTHORITY["EPSG","8901"]],UNIT["degree",0.0174532925199433,AUTHORITY["EPSG","9122"]],AUTHORITY["EPSG","4124"]],VERT_CS["RH70 height",VERT_DATUM["Rikets hojdsystem 1970",2005,AUTHORITY["EPSG","5117"]],UNIT["metre",1,AUTHORITY["EPSG","9001"]],AXIS["Up",UP],AUTHORITY["EPSG","5718"]],AUTHORITY["EPSG","7404"]]</t>
  </si>
  <si>
    <t xml:space="preserve">+proj=longlat +ellps=bessel +towgs84=414.1,41.3,603.1,-0.855,2.141,-7.023,0 +vunits=m +no_defs </t>
  </si>
  <si>
    <t>COMPD_CS["OSGB 1936 / British National Grid + ODN height",PROJCS["OSGB 1936 / British National Grid",GEOGCS["OSGB 1936",DATUM["OSGB_1936",SPHEROID["Airy 1830",6377563.396,299.3249646,AUTHORITY["EPSG","7001"]],TOWGS84[446.448,-125.157,542.06,0.15,0.247,0.842,-20.489],AUTHORITY["EPSG","6277"]],PRIMEM["Greenwich",0,AUTHORITY["EPSG","8901"]],UNIT["degree",0.0174532925199433,AUTHORITY["EPSG","9122"]],AUTHORITY["EPSG","4277"]],PROJECTION["Transverse_Mercator"],PARAMETER["latitude_of_origin",49],PARAMETER["central_meridian",-2],PARAMETER["scale_factor",0.9996012717],PARAMETER["false_easting",400000],PARAMETER["false_northing",-100000],UNIT["metre",1,AUTHORITY["EPSG","9001"]],AXIS["Easting",EAST],AXIS["Northing",NORTH],AUTHORITY["EPSG","27700"]],VERT_CS["ODN height",VERT_DATUM["Ordnance Datum Newlyn",2005,AUTHORITY["EPSG","5101"]],UNIT["metre",1,AUTHORITY["EPSG","9001"]],AXIS["Up",UP],AUTHORITY["EPSG","5701"]],AUTHORITY["EPSG","7405"]]</t>
  </si>
  <si>
    <t>COMPD_CS["NAD27 + NGVD29 height",GEOGCS["NAD27",DATUM["North_American_Datum_1927",SPHEROID["Clarke 1866",6378206.4,294.9786982138982,AUTHORITY["EPSG","7008"]],AUTHORITY["EPSG","6267"]],PRIMEM["Greenwich",0,AUTHORITY["EPSG","8901"]],UNIT["degree",0.0174532925199433,AUTHORITY["EPSG","9122"]],AUTHORITY["EPSG","4267"]],VERT_CS["NGVD29 height (ftUS)",VERT_DATUM["National Geodetic Vertical Datum 1929",2005,AUTHORITY["EPSG","5102"]],UNIT["US survey foot",0.3048006096012192,AUTHORITY["EPSG","9003"]],AXIS["Up",UP],AUTHORITY["EPSG","5702"]],AUTHORITY["EPSG","7406"]]</t>
  </si>
  <si>
    <t>COMPD_CS["NAD27 / Texas North + NGVD29 height",PROJCS["NAD27 / Texas North",GEOGCS["NAD27",DATUM["North_American_Datum_1927",SPHEROID["Clarke 1866",6378206.4,294.9786982138982,AUTHORITY["EPSG","7008"]],AUTHORITY["EPSG","6267"]],PRIMEM["Greenwich",0,AUTHORITY["EPSG","8901"]],UNIT["degree",0.0174532925199433,AUTHORITY["EPSG","9122"]],AUTHORITY["EPSG","4267"]],PROJECTION["Lambert_Conformal_Conic_2SP"],PARAMETER["standard_parallel_1",34.65],PARAMETER["standard_parallel_2",36.18333333333333],PARAMETER["latitude_of_origin",34],PARAMETER["central_meridian",-101.5],PARAMETER["false_easting",2000000],PARAMETER["false_northing",0],UNIT["US survey foot",0.3048006096012192,AUTHORITY["EPSG","9003"]],AXIS["X",EAST],AXIS["Y",NORTH],AUTHORITY["EPSG","32037"]],VERT_CS["NGVD29 height (ftUS)",VERT_DATUM["National Geodetic Vertical Datum 1929",2005,AUTHORITY["EPSG","5102"]],UNIT["US survey foot",0.3048006096012192,AUTHORITY["EPSG","9003"]],AXIS["Up",UP],AUTHORITY["EPSG","5702"]],AUTHORITY["EPSG","7407"]]</t>
  </si>
  <si>
    <t>COMPD_CS["RD/NAP",GEOGCS["Amersfoort",DATUM["Amersfoort",SPHEROID["Bessel 1841",6377397.155,299.1528128,AUTHORITY["EPSG","7004"]],TOWGS84[565.2369,50.0087,465.658,-0.406857,0.350733,-1.87035,4.0812],AUTHORITY["EPSG","6289"]],PRIMEM["Greenwich",0,AUTHORITY["EPSG","8901"]],UNIT["degree",0.0174532925199433,AUTHORITY["EPSG","9122"]],AUTHORITY["EPSG","4289"]],VERT_CS["NAP height",VERT_DATUM["Normaal Amsterdams Peil",2005,AUTHORITY["EPSG","5109"]],UNIT["metre",1,AUTHORITY["EPSG","9001"]],AXIS["Up",UP],AUTHORITY["EPSG","5709"]],AUTHORITY["EPSG","7408"]]</t>
  </si>
  <si>
    <t xml:space="preserve">+proj=longlat +ellps=bessel +towgs84=565.2369,50.0087,465.658,-0.406857,0.350733,-1.87035,4.0812 +vunits=m +no_defs </t>
  </si>
  <si>
    <t>COMPD_CS["NTF (Paris) / Lambert zone II + NGF Lallemand height",PROJCS["NTF (Paris) / Lambert zone II",GEOGCS["NTF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2200000],UNIT["metre",1,AUTHORITY["EPSG","9001"]],AXIS["X",EAST],AXIS["Y",NORTH],AUTHORITY["EPSG","27572"]],VERT_CS["NGF Lallemand height",VERT_DATUM["Nivellement General de la France - Lallemand",2005,AUTHORITY["EPSG","5118"]],UNIT["metre",1,AUTHORITY["EPSG","9001"]],AXIS["Up",UP],AUTHORITY["EPSG","5719"]],AUTHORITY["EPSG","7411"]]</t>
  </si>
  <si>
    <t>COMPD_CS["NTF (Paris) / Lambert zone II + NGF IGN69",PROJCS["NTF (Paris) / Lambert zone II",GEOGCS["NTF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2200000],UNIT["metre",1,AUTHORITY["EPSG","9001"]],AXIS["X",EAST],AXIS["Y",NORTH],AUTHORITY["EPSG","27572"]],VERT_CS["NGF Lallemand height",VERT_DATUM["Nivellement General de la France - Lallemand",2005,AUTHORITY["EPSG","5118"]],UNIT["metre",1,AUTHORITY["EPSG","9001"]],AXIS["Up",UP],AUTHORITY["EPSG","5719"]],AUTHORITY["EPSG","7412"]]</t>
  </si>
  <si>
    <t>COMPD_CS["NTF (Paris) / Lambert zone III + NGF IGN69",PROJCS["NTF (Paris) / Lambert zone III",GEOGCS["NTF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3200000],UNIT["metre",1,AUTHORITY["EPSG","9001"]],AXIS["X",EAST],AXIS["Y",NORTH],AUTHORITY["EPSG","27573"]],VERT_CS["NGF Lallemand height",VERT_DATUM["Nivellement General de la France - Lallemand",2005,AUTHORITY["EPSG","5118"]],UNIT["metre",1,AUTHORITY["EPSG","9001"]],AXIS["Up",UP],AUTHORITY["EPSG","5719"]],AUTHORITY["EPSG","7413"]]</t>
  </si>
  <si>
    <t>COMPD_CS["Tokyo + JSLD69 height",GEOGCS["Tokyo",DATUM["Tokyo",SPHEROID["Bessel 1841",6377397.155,299.1528128,AUTHORITY["EPSG","7004"]],TOWGS84[-146.414,507.337,680.507,0,0,0,0],AUTHORITY["EPSG","6301"]],PRIMEM["Greenwich",0,AUTHORITY["EPSG","8901"]],UNIT["degree",0.0174532925199433,AUTHORITY["EPSG","9122"]],AUTHORITY["EPSG","4301"]],VERT_CS["JSLD69 height",VERT_DATUM["Japanese Standard Levelling Datum 1969",2005,AUTHORITY["EPSG","5122"]],UNIT["metre",1,AUTHORITY["EPSG","9001"]],AXIS["Up",UP],AUTHORITY["EPSG","5723"]],AUTHORITY["EPSG","7414"]]</t>
  </si>
  <si>
    <t>COMPD_CS["Amersfoort / RD New + NAP height",PROJCS["Amersfoort / RD New",GEOGCS["Amersfoort",DATUM["Amersfoort",SPHEROID["Bessel 1841",6377397.155,299.1528128,AUTHORITY["EPSG","7004"]],TOWGS84[565.2369,50.0087,465.658,-0.406857,0.350733,-1.87035,4.0812],AUTHORITY["EPSG","6289"]],PRIMEM["Greenwich",0,AUTHORITY["EPSG","8901"]],UNIT["degree",0.0174532925199433,AUTHORITY["EPSG","9122"]],AUTHORITY["EPSG","4289"]],PROJECTION["Oblique_Stereographic"],PARAMETER["latitude_of_origin",52.15616055555555],PARAMETER["central_meridian",5.38763888888889],PARAMETER["scale_factor",0.9999079],PARAMETER["false_easting",155000],PARAMETER["false_northing",463000],UNIT["metre",1,AUTHORITY["EPSG","9001"]],AXIS["X",EAST],AXIS["Y",NORTH],AUTHORITY["EPSG","28992"]],VERT_CS["NAP height",VERT_DATUM["Normaal Amsterdams Peil",2005,AUTHORITY["EPSG","5109"]],UNIT["metre",1,AUTHORITY["EPSG","9001"]],AXIS["Up",UP],AUTHORITY["EPSG","5709"]],AUTHORITY["EPSG","7415"]]</t>
  </si>
  <si>
    <t xml:space="preserve">+proj=sterea +lat_0=52.15616055555555 +lon_0=5.38763888888889 +k=0.9999079 +x_0=155000 +y_0=463000 +ellps=bessel +towgs84=565.2369,50.0087,465.658,-0.406857,0.350733,-1.87035,4.0812 +units=m +vunits=m +no_defs </t>
  </si>
  <si>
    <t>COMPD_CS["ETRS89 / UTM zone 32N + DVR90 height",PROJCS["ETRS89 / UTM zone 32N",GEOGCS["ETRS89",DATUM["European_Terrestrial_Reference_System_1989",SPHEROID["GRS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9],PARAMETER["scale_factor",0.9996],PARAMETER["false_easting",500000],PARAMETER["false_northing",0],UNIT["metre",1,AUTHORITY["EPSG","9001"]],AXIS["Easting",EAST],AXIS["Northing",NORTH],AUTHORITY["EPSG","25832"]],VERT_CS["DVR90 height",VERT_DATUM["Dansk Vertikal Reference 1990",2005,AUTHORITY["EPSG","5206"]],UNIT["metre",1,AUTHORITY["EPSG","9001"]],AXIS["Up",UP],AUTHORITY["EPSG","5799"]],AUTHORITY["EPSG","7416"]]</t>
  </si>
  <si>
    <t>COMPD_CS["ETRS89 / UTM zone 33N + DVR90 height",PROJCS["ETRS89 / UTM zone 33N",GEOGCS["ETRS89",DATUM["European_Terrestrial_Reference_System_1989",SPHEROID["GRS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0.9996],PARAMETER["false_easting",500000],PARAMETER["false_northing",0],UNIT["metre",1,AUTHORITY["EPSG","9001"]],AXIS["Easting",EAST],AXIS["Northing",NORTH],AUTHORITY["EPSG","25833"]],VERT_CS["DVR90 height",VERT_DATUM["Dansk Vertikal Reference 1990",2005,AUTHORITY["EPSG","5206"]],UNIT["metre",1,AUTHORITY["EPSG","9001"]],AXIS["Up",UP],AUTHORITY["EPSG","5799"]],AUTHORITY["EPSG","7417"]]</t>
  </si>
  <si>
    <t>COMPD_CS["ETRS89 / Kp2000 Jutland + DVR90 height",PROJCS["ETRS89 / Kp2000 Jutland",GEOGCS["ETRS89",DATUM["European_Terrestrial_Reference_System_1989",SPHEROID["GRS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9.5],PARAMETER["scale_factor",0.99995],PARAMETER["false_easting",200000],PARAMETER["false_northing",0],UNIT["metre",1,AUTHORITY["EPSG","9001"]],AXIS["Easting",EAST],AXIS["Northing",NORTH],AUTHORITY["EPSG","2196"]],VERT_CS["DVR90 height",VERT_DATUM["Dansk Vertikal Reference 1990",2005,AUTHORITY["EPSG","5206"]],UNIT["metre",1,AUTHORITY["EPSG","9001"]],AXIS["Up",UP],AUTHORITY["EPSG","5799"]],AUTHORITY["EPSG","7418"]]</t>
  </si>
  <si>
    <t xml:space="preserve">+proj=tmerc +lat_0=0 +lon_0=9.5 +k=0.99995 +x_0=200000 +y_0=0 +ellps=GRS80 +towgs84=0,0,0,0,0,0,0 +units=m +vunits=m +no_defs </t>
  </si>
  <si>
    <t>COMPD_CS["ETRS89 / Kp2000 Zealand + DVR90 height",PROJCS["ETRS89 / Kp2000 Zealand",GEOGCS["ETRS89",DATUM["European_Terrestrial_Reference_System_1989",SPHEROID["GRS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12],PARAMETER["scale_factor",0.99995],PARAMETER["false_easting",500000],PARAMETER["false_northing",0],UNIT["metre",1,AUTHORITY["EPSG","9001"]],AXIS["Easting",EAST],AXIS["Northing",NORTH],AUTHORITY["EPSG","2197"]],VERT_CS["DVR90 height",VERT_DATUM["Dansk Vertikal Reference 1990",2005,AUTHORITY["EPSG","5206"]],UNIT["metre",1,AUTHORITY["EPSG","9001"]],AXIS["Up",UP],AUTHORITY["EPSG","5799"]],AUTHORITY["EPSG","7419"]]</t>
  </si>
  <si>
    <t xml:space="preserve">+proj=tmerc +lat_0=0 +lon_0=12 +k=0.99995 +x_0=500000 +y_0=0 +ellps=GRS80 +towgs84=0,0,0,0,0,0,0 +units=m +vunits=m +no_defs </t>
  </si>
  <si>
    <t>COMPD_CS["ETRS89 / Kp2000 Bornholm + DVR90 height",PROJCS["ETRS89 / Kp2000 Bornholm",GEOGCS["ETRS89",DATUM["European_Terrestrial_Reference_System_1989",SPHEROID["GRS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PROJECTION["Transverse_Mercator"],PARAMETER["latitude_of_origin",0],PARAMETER["central_meridian",15],PARAMETER["scale_factor",1],PARAMETER["false_easting",900000],PARAMETER["false_northing",0],UNIT["metre",1,AUTHORITY["EPSG","9001"]],AXIS["Easting",EAST],AXIS["Northing",NORTH],AUTHORITY["EPSG","2198"]],VERT_CS["DVR90 height",VERT_DATUM["Dansk Vertikal Reference 1990",2005,AUTHORITY["EPSG","5206"]],UNIT["metre",1,AUTHORITY["EPSG","9001"]],AXIS["Up",UP],AUTHORITY["EPSG","5799"]],AUTHORITY["EPSG","7420"]]</t>
  </si>
  <si>
    <t xml:space="preserve">+proj=tmerc +lat_0=0 +lon_0=15 +k=1 +x_0=900000 +y_0=0 +ellps=GRS80 +towgs84=0,0,0,0,0,0,0 +units=m +vunits=m +no_defs </t>
  </si>
  <si>
    <t>COMPD_CS["NTF (Paris) / Lambert zone II + NGF-IGN69 height",PROJCS["NTF (Paris) / Lambert zone II",GEOGCS["NTF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52],PARAMETER["central_meridian",0],PARAMETER["scale_factor",0.99987742],PARAMETER["false_easting",600000],PARAMETER["false_northing",2200000],UNIT["metre",1,AUTHORITY["EPSG","9001"]],AXIS["X",EAST],AXIS["Y",NORTH],AUTHORITY["EPSG","27572"]],VERT_CS["NGF-IGN69 height",VERT_DATUM["Nivellement General de la France - IGN69",2005,AUTHORITY["EPSG","5119"]],UNIT["metre",1,AUTHORITY["EPSG","9001"]],AXIS["Up",UP],AUTHORITY["EPSG","5720"]],AUTHORITY["EPSG","7421"]]</t>
  </si>
  <si>
    <t>COMPD_CS["NTF (Paris) / Lambert zone III + NGF-IGN69 height",PROJCS["NTF (Paris) / Lambert zone III",GEOGCS["NTF (Paris)",DATUM["Nouvelle_Triangulation_Francaise_Paris",SPHEROID["Clarke 1880 (IGN)",6378249.2,293.4660212936269,AUTHORITY["EPSG","7011"]],TOWGS84[-168,-60,320,0,0,0,0],AUTHORITY["EPSG","6807"]],PRIMEM["Paris",2.33722917,AUTHORITY["EPSG","8903"]],UNIT["grad",0.01570796326794897,AUTHORITY["EPSG","9105"]],AUTHORITY["EPSG","4807"]],PROJECTION["Lambert_Conformal_Conic_1SP"],PARAMETER["latitude_of_origin",49],PARAMETER["central_meridian",0],PARAMETER["scale_factor",0.999877499],PARAMETER["false_easting",600000],PARAMETER["false_northing",3200000],UNIT["metre",1,AUTHORITY["EPSG","9001"]],AXIS["X",EAST],AXIS["Y",NORTH],AUTHORITY["EPSG","27573"]],VERT_CS["NGF-IGN69 height",VERT_DATUM["Nivellement General de la France - IGN69",2005,AUTHORITY["EPSG","5119"]],UNIT["metre",1,AUTHORITY["EPSG","9001"]],AXIS["Up",UP],AUTHORITY["EPSG","5720"]],AUTHORITY["EPSG","7422"]]</t>
  </si>
  <si>
    <t>COMPD_CS["ETRS89 + EVRF2007 height",GEOGCS["ETRS89",DATUM["European_Terrestrial_Reference_System_1989",SPHEROID["GRS 1980",6378137,298.257222101,AUTHORITY["EPSG","7019"]],TOWGS84[0,0,0,0,0,0,0],AUTHORITY["EPSG","6258"]],PRIMEM["Greenwich",0,AUTHORITY["EPSG","8901"]],UNIT["degree",0.0174532925199433,AUTHORITY["EPSG","9122"]],AUTHORITY["EPSG","4258"]],VERT_CS["EVRF2007 height",VERT_DATUM["European Vertical Reference Frame 2007",2005,AUTHORITY["EPSG","5215"]],UNIT["metre",1,AUTHORITY["EPSG","9001"]],AXIS["Up",UP],AUTHORITY["EPSG","5621"]],AUTHORITY["EPSG","7423"]]</t>
  </si>
  <si>
    <t>COMPD_CS["Astro DOS 71 / UTM zone 30S + Jamestown 1971 height",PROJCS["Astro DOS 71 / UTM zone 30S",GEOGCS["Astro DOS 71",DATUM["Astro_DOS_71",SPHEROID["International 1924",6378388,297,AUTHORITY["EPSG","7022"]],TOWGS84[-320,550,-494,0,0,0,0],AUTHORITY["EPSG","6710"]],PRIMEM["Greenwich",0,AUTHORITY["EPSG","8901"]],UNIT["degree",0.0174532925199433,AUTHORITY["EPSG","9122"]],AUTHORITY["EPSG","4710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7878"]],VERT_CS["Jamestown 1971 height",VERT_DATUM["Jamestown 1971",2005,AUTHORITY["EPSG","1175"]],UNIT["metre",1,AUTHORITY["EPSG","9001"]],AXIS["Up",UP],AUTHORITY["EPSG","7888"]],AUTHORITY["EPSG","7954"]]</t>
  </si>
  <si>
    <t xml:space="preserve">+proj=utm +zone=30 +south +ellps=intl +towgs84=-320,550,-494,0,0,0,0 +units=m +vunits=m +no_defs </t>
  </si>
  <si>
    <t>COMPD_CS["St. Helena Tritan / UTM zone 30S +  Tritan 2011 height",PROJCS["St. Helena Tritan / UTM zone 30S",GEOGCS["St. Helena Tritan",DATUM["St_Helena_Tritan",SPHEROID["WGS 84",6378137,298.257223563,AUTHORITY["EPSG","7030"]],TOWGS84[-0.077,0.079,0.086,0,0,0,0],AUTHORITY["EPSG","1173"]],PRIMEM["Greenwich",0,AUTHORITY["EPSG","8901"]],UNIT["degree",0.0174532925199433,AUTHORITY["EPSG","9122"]],AUTHORITY["EPSG","7881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7883"]],VERT_CS["St. Helena Tritan 2011 height",VERT_DATUM["St. Helena Tritan Vertical Datum 2011",2005,AUTHORITY["EPSG","1176"]],UNIT["metre",1,AUTHORITY["EPSG","9001"]],AXIS["Up",UP],AUTHORITY["EPSG","7889"]],AUTHORITY["EPSG","7955"]]</t>
  </si>
  <si>
    <t xml:space="preserve">+proj=utm +zone=30 +south +ellps=WGS84 +towgs84=-0.077,0.079,0.086,0,0,0,0 +units=m +vunits=m +no_defs </t>
  </si>
  <si>
    <t>COMPD_CS["SHMG2015 +  SHVD2015 height",PROJCS["SHMG2015",GEOGCS["SHGD2015",DATUM["St_Helena_Geodetic_Datum_2015",SPHEROID["GRS 1980",6378137,298.257222101,AUTHORITY["EPSG","7019"]],TOWGS84[0,0,0,0,0,0,0],AUTHORITY["EPSG","1174"]],PRIMEM["Greenwich",0,AUTHORITY["EPSG","8901"]],UNIT["degree",0.0174532925199433,AUTHORITY["EPSG","9122"]],AUTHORITY["EPSG","7886"]],PROJECTION["Transverse_Mercator"],PARAMETER["latitude_of_origin",0],PARAMETER["central_meridian",-3],PARAMETER["scale_factor",0.9996],PARAMETER["false_easting",500000],PARAMETER["false_northing",10000000],UNIT["metre",1,AUTHORITY["EPSG","9001"]],AXIS["Easting",EAST],AXIS["Northing",NORTH],AUTHORITY["EPSG","7887"]],VERT_CS["SHVD2015 height",VERT_DATUM["St. Helena Vertical Datum 2015",2005,AUTHORITY["EPSG","1177"]],UNIT["metre",1,AUTHORITY["EPSG","9001"]],AXIS["Up",UP],AUTHORITY["EPSG","7890"]],AUTHORITY["EPSG","7956"]]</t>
  </si>
  <si>
    <t xml:space="preserve">+proj=utm +zone=30 +south +ellps=GRS80 +towgs84=0,0,0,0,0,0,0 +units=m +vunits=m +no_defs </t>
  </si>
  <si>
    <t>COMPD_CS["GR96 + GVR2000 height",GEOGCS["GR96",DATUM["Greenland_1996",SPHEROID["GRS 1980",6378137,298.257222101,AUTHORITY["EPSG","7019"]],TOWGS84[0,0,0,0,0,0,0],AUTHORITY["EPSG","6747"]],PRIMEM["Greenwich",0,AUTHORITY["EPSG","8901"]],UNIT["degree",0.0174532925199433,AUTHORITY["EPSG","9122"]],AUTHORITY["EPSG","4747"]],VERT_CS["GVR2000 height",VERT_DATUM["Greenland  Vertical Reference 2000",2005,AUTHORITY["EPSG","1199"]],UNIT["metre",1,AUTHORITY["EPSG","9001"]],AXIS["Up",UP],AUTHORITY["EPSG","8266"]],AUTHORITY["EPSG","8349"]]</t>
  </si>
  <si>
    <t>COMPD_CS["GR96 + GVR2016 height",GEOGCS["GR96",DATUM["Greenland_1996",SPHEROID["GRS 1980",6378137,298.257222101,AUTHORITY["EPSG","7019"]],TOWGS84[0,0,0,0,0,0,0],AUTHORITY["EPSG","6747"]],PRIMEM["Greenwich",0,AUTHORITY["EPSG","8901"]],UNIT["degree",0.0174532925199433,AUTHORITY["EPSG","9122"]],AUTHORITY["EPSG","4747"]],VERT_CS["GVR2016 height",VERT_DATUM["Greenland Vertical Reference 2016",2005,AUTHORITY["EPSG","1200"]],UNIT["metre",1,AUTHORITY["EPSG","9001"]],AXIS["Up",UP],AUTHORITY["EPSG","8267"]],AUTHORITY["EPSG","8350"]]</t>
  </si>
  <si>
    <t>SrsID</t>
  </si>
  <si>
    <t>SrsText</t>
  </si>
  <si>
    <t>Proj4Text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</si>
</sst>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57"/>
  <sheetViews>
    <sheetView tabSelected="1" workbookViewId="0">
      <selection sqref="A1:XFD1"/>
    </sheetView>
  </sheetViews>
  <sheetFormatPr defaultRowHeight="15" x14ac:dyDescent="0.25"/>
  <cols>
    <col min="3" max="3" width="121.140625" customWidth="1"/>
  </cols>
  <sheetData>
    <row r="1" spans="1:3" x14ac:dyDescent="0.25">
      <c r="A1" t="s">
        <v>8337</v>
      </c>
      <c r="B1" t="s">
        <v>8338</v>
      </c>
      <c r="C1" t="s">
        <v>8339</v>
      </c>
    </row>
    <row r="2" spans="1:3" x14ac:dyDescent="0.25">
      <c r="A2">
        <v>3819</v>
      </c>
      <c r="B2" t="s">
        <v>0</v>
      </c>
      <c r="C2" t="s">
        <v>1</v>
      </c>
    </row>
    <row r="3" spans="1:3" x14ac:dyDescent="0.25">
      <c r="A3">
        <v>3821</v>
      </c>
      <c r="B3" t="s">
        <v>2</v>
      </c>
      <c r="C3" t="e">
        <f>+proj=longlat +ellps=aust_SA +no_defs</f>
        <v>#NAME?</v>
      </c>
    </row>
    <row r="4" spans="1:3" x14ac:dyDescent="0.25">
      <c r="A4">
        <v>3824</v>
      </c>
      <c r="B4" t="s">
        <v>3</v>
      </c>
      <c r="C4" t="s">
        <v>4</v>
      </c>
    </row>
    <row r="5" spans="1:3" x14ac:dyDescent="0.25">
      <c r="A5">
        <v>3889</v>
      </c>
      <c r="B5" t="s">
        <v>5</v>
      </c>
      <c r="C5" t="s">
        <v>4</v>
      </c>
    </row>
    <row r="6" spans="1:3" x14ac:dyDescent="0.25">
      <c r="A6">
        <v>3906</v>
      </c>
      <c r="B6" t="s">
        <v>6</v>
      </c>
      <c r="C6" t="s">
        <v>7</v>
      </c>
    </row>
    <row r="7" spans="1:3" x14ac:dyDescent="0.25">
      <c r="A7">
        <v>4001</v>
      </c>
      <c r="B7" t="s">
        <v>8</v>
      </c>
      <c r="C7" t="e">
        <f>+proj=longlat +ellps=airy +no_defs</f>
        <v>#NAME?</v>
      </c>
    </row>
    <row r="8" spans="1:3" x14ac:dyDescent="0.25">
      <c r="A8">
        <v>4002</v>
      </c>
      <c r="B8" t="s">
        <v>9</v>
      </c>
      <c r="C8" t="e">
        <f>+proj=longlat +ellps=mod_airy +no_defs</f>
        <v>#NAME?</v>
      </c>
    </row>
    <row r="9" spans="1:3" x14ac:dyDescent="0.25">
      <c r="A9">
        <v>4003</v>
      </c>
      <c r="B9" t="s">
        <v>10</v>
      </c>
      <c r="C9" t="e">
        <f>+proj=longlat +ellps=aust_SA +no_defs</f>
        <v>#NAME?</v>
      </c>
    </row>
    <row r="10" spans="1:3" x14ac:dyDescent="0.25">
      <c r="A10">
        <v>4004</v>
      </c>
      <c r="B10" t="s">
        <v>11</v>
      </c>
      <c r="C10" t="e">
        <f>+proj=longlat +ellps=bessel +no_defs</f>
        <v>#NAME?</v>
      </c>
    </row>
    <row r="11" spans="1:3" x14ac:dyDescent="0.25">
      <c r="A11">
        <v>4005</v>
      </c>
      <c r="B11" t="s">
        <v>12</v>
      </c>
      <c r="C11" t="e">
        <f>+proj=longlat +a=6377492.018 +b=6356173.50871269 +no_defs</f>
        <v>#NAME?</v>
      </c>
    </row>
    <row r="12" spans="1:3" x14ac:dyDescent="0.25">
      <c r="A12">
        <v>4006</v>
      </c>
      <c r="B12" t="s">
        <v>13</v>
      </c>
      <c r="C12" t="e">
        <f>+proj=longlat +ellps=bess_nam +no_defs</f>
        <v>#NAME?</v>
      </c>
    </row>
    <row r="13" spans="1:3" x14ac:dyDescent="0.25">
      <c r="A13">
        <v>4007</v>
      </c>
      <c r="B13" t="s">
        <v>14</v>
      </c>
      <c r="C13" t="e">
        <f>+proj=longlat +a=6378293.64520875 +b=6356617.98767983 +no_defs</f>
        <v>#NAME?</v>
      </c>
    </row>
    <row r="14" spans="1:3" x14ac:dyDescent="0.25">
      <c r="A14">
        <v>4008</v>
      </c>
      <c r="B14" t="s">
        <v>15</v>
      </c>
      <c r="C14" t="e">
        <f>+proj=longlat +ellps=clrk66 +no_defs</f>
        <v>#NAME?</v>
      </c>
    </row>
    <row r="15" spans="1:3" x14ac:dyDescent="0.25">
      <c r="A15">
        <v>4009</v>
      </c>
      <c r="B15" t="s">
        <v>16</v>
      </c>
      <c r="C15" t="e">
        <f>+proj=longlat +a=6378450.04754889 +b=6356826.62148844 +no_defs</f>
        <v>#NAME?</v>
      </c>
    </row>
    <row r="16" spans="1:3" x14ac:dyDescent="0.25">
      <c r="A16">
        <v>4010</v>
      </c>
      <c r="B16" t="s">
        <v>17</v>
      </c>
      <c r="C16" t="e">
        <f>+proj=longlat +a=6378300.789 +b=6356566.435 +no_defs</f>
        <v>#NAME?</v>
      </c>
    </row>
    <row r="17" spans="1:3" x14ac:dyDescent="0.25">
      <c r="A17">
        <v>4011</v>
      </c>
      <c r="B17" t="s">
        <v>18</v>
      </c>
      <c r="C17" t="e">
        <f>+proj=longlat +a=6378249.2 +b=6356515 +no_defs</f>
        <v>#NAME?</v>
      </c>
    </row>
    <row r="18" spans="1:3" x14ac:dyDescent="0.25">
      <c r="A18">
        <v>4012</v>
      </c>
      <c r="B18" t="s">
        <v>19</v>
      </c>
      <c r="C18" t="e">
        <f>+proj=longlat +ellps=clrk80 +no_defs</f>
        <v>#NAME?</v>
      </c>
    </row>
    <row r="19" spans="1:3" x14ac:dyDescent="0.25">
      <c r="A19">
        <v>4013</v>
      </c>
      <c r="B19" t="s">
        <v>20</v>
      </c>
      <c r="C19" t="e">
        <f>+proj=longlat +a=6378249.145 +b=6356514.96639875 +no_defs</f>
        <v>#NAME?</v>
      </c>
    </row>
    <row r="20" spans="1:3" x14ac:dyDescent="0.25">
      <c r="A20">
        <v>4014</v>
      </c>
      <c r="B20" t="s">
        <v>21</v>
      </c>
      <c r="C20" t="e">
        <f>+proj=longlat +a=6378249.2 +b=6356514.99694177 +no_defs</f>
        <v>#NAME?</v>
      </c>
    </row>
    <row r="21" spans="1:3" x14ac:dyDescent="0.25">
      <c r="A21">
        <v>4015</v>
      </c>
      <c r="B21" t="s">
        <v>22</v>
      </c>
      <c r="C21" t="e">
        <f>+proj=longlat +a=6377276.345 +b=6356075.41314024 +no_defs</f>
        <v>#NAME?</v>
      </c>
    </row>
    <row r="22" spans="1:3" x14ac:dyDescent="0.25">
      <c r="A22">
        <v>4016</v>
      </c>
      <c r="B22" t="s">
        <v>23</v>
      </c>
      <c r="C22" t="e">
        <f>+proj=longlat +ellps=evrstSS +no_defs</f>
        <v>#NAME?</v>
      </c>
    </row>
    <row r="23" spans="1:3" x14ac:dyDescent="0.25">
      <c r="A23">
        <v>4018</v>
      </c>
      <c r="B23" t="s">
        <v>24</v>
      </c>
      <c r="C23" t="e">
        <f>+proj=longlat +a=6377304.063 +b=6356103.03899315 +no_defs</f>
        <v>#NAME?</v>
      </c>
    </row>
    <row r="24" spans="1:3" x14ac:dyDescent="0.25">
      <c r="A24">
        <v>4019</v>
      </c>
      <c r="B24" t="s">
        <v>25</v>
      </c>
      <c r="C24" t="e">
        <f>+proj=longlat +ellps=GRQ80 +no_defs</f>
        <v>#NAME?</v>
      </c>
    </row>
    <row r="25" spans="1:3" x14ac:dyDescent="0.25">
      <c r="A25">
        <v>4020</v>
      </c>
      <c r="B25" t="s">
        <v>26</v>
      </c>
      <c r="C25" t="e">
        <f>+proj=longlat +ellps=helmert +no_defs</f>
        <v>#NAME?</v>
      </c>
    </row>
    <row r="26" spans="1:3" x14ac:dyDescent="0.25">
      <c r="A26">
        <v>4021</v>
      </c>
      <c r="B26" t="s">
        <v>27</v>
      </c>
      <c r="C26" t="e">
        <f>+proj=longlat +a=6378160 +b=6356774.50408554 +no_defs</f>
        <v>#NAME?</v>
      </c>
    </row>
    <row r="27" spans="1:3" x14ac:dyDescent="0.25">
      <c r="A27">
        <v>4022</v>
      </c>
      <c r="B27" t="s">
        <v>28</v>
      </c>
      <c r="C27" t="e">
        <f>+proj=longlat +ellps=intl +no_defs</f>
        <v>#NAME?</v>
      </c>
    </row>
    <row r="28" spans="1:3" x14ac:dyDescent="0.25">
      <c r="A28">
        <v>4023</v>
      </c>
      <c r="B28" t="s">
        <v>29</v>
      </c>
      <c r="C28" t="s">
        <v>4</v>
      </c>
    </row>
    <row r="29" spans="1:3" x14ac:dyDescent="0.25">
      <c r="A29">
        <v>4024</v>
      </c>
      <c r="B29" t="s">
        <v>30</v>
      </c>
      <c r="C29" t="e">
        <f>+proj=longlat +ellps=krass +no_defs</f>
        <v>#NAME?</v>
      </c>
    </row>
    <row r="30" spans="1:3" x14ac:dyDescent="0.25">
      <c r="A30">
        <v>4025</v>
      </c>
      <c r="B30" t="s">
        <v>31</v>
      </c>
      <c r="C30" t="e">
        <f>+proj=longlat +ellps=WGQ66 +no_defs</f>
        <v>#NAME?</v>
      </c>
    </row>
    <row r="31" spans="1:3" x14ac:dyDescent="0.25">
      <c r="A31">
        <v>4027</v>
      </c>
      <c r="B31" t="s">
        <v>32</v>
      </c>
      <c r="C31" t="e">
        <f>+proj=longlat +a=6376523 +b=6355862.93325557 +no_defs</f>
        <v>#NAME?</v>
      </c>
    </row>
    <row r="32" spans="1:3" x14ac:dyDescent="0.25">
      <c r="A32">
        <v>4028</v>
      </c>
      <c r="B32" t="s">
        <v>33</v>
      </c>
      <c r="C32" t="e">
        <f>+proj=longlat +a=6378298.3 +b=6356657.14266956 +no_defs</f>
        <v>#NAME?</v>
      </c>
    </row>
    <row r="33" spans="1:3" x14ac:dyDescent="0.25">
      <c r="A33">
        <v>4029</v>
      </c>
      <c r="B33" t="s">
        <v>34</v>
      </c>
      <c r="C33" t="e">
        <f>+proj=longlat +a=6378300 +b=6356751.68918918 +no_defs</f>
        <v>#NAME?</v>
      </c>
    </row>
    <row r="34" spans="1:3" x14ac:dyDescent="0.25">
      <c r="A34">
        <v>4030</v>
      </c>
      <c r="B34" t="s">
        <v>35</v>
      </c>
      <c r="C34" t="e">
        <f>+proj=longlat +ellps=WGQ84 +no_defs</f>
        <v>#NAME?</v>
      </c>
    </row>
    <row r="35" spans="1:3" x14ac:dyDescent="0.25">
      <c r="A35">
        <v>4031</v>
      </c>
      <c r="B35" t="s">
        <v>36</v>
      </c>
      <c r="C35" t="e">
        <f>+proj=longlat +ellps=WGQ84 +no_defs</f>
        <v>#NAME?</v>
      </c>
    </row>
    <row r="36" spans="1:3" x14ac:dyDescent="0.25">
      <c r="A36">
        <v>4032</v>
      </c>
      <c r="B36" t="s">
        <v>37</v>
      </c>
      <c r="C36" t="e">
        <f>+proj=longlat +a=6378136.2 +b=6356751.51692742 +no_defs</f>
        <v>#NAME?</v>
      </c>
    </row>
    <row r="37" spans="1:3" x14ac:dyDescent="0.25">
      <c r="A37">
        <v>4033</v>
      </c>
      <c r="B37" t="s">
        <v>38</v>
      </c>
      <c r="C37" t="e">
        <f>+proj=longlat +a=6378136.3 +b=6356751.61659214 +no_defs</f>
        <v>#NAME?</v>
      </c>
    </row>
    <row r="38" spans="1:3" x14ac:dyDescent="0.25">
      <c r="A38">
        <v>4034</v>
      </c>
      <c r="B38" t="s">
        <v>39</v>
      </c>
      <c r="C38" t="e">
        <f>+proj=longlat +a=6378249.14480801 +b=6356514.96620413 +no_defs</f>
        <v>#NAME?</v>
      </c>
    </row>
    <row r="39" spans="1:3" x14ac:dyDescent="0.25">
      <c r="A39">
        <v>4035</v>
      </c>
      <c r="B39" t="s">
        <v>40</v>
      </c>
      <c r="C39" t="e">
        <f>+proj=longlat +a=6371000 +b=6371000 +no_defs</f>
        <v>#NAME?</v>
      </c>
    </row>
    <row r="40" spans="1:3" x14ac:dyDescent="0.25">
      <c r="A40">
        <v>4036</v>
      </c>
      <c r="B40" t="s">
        <v>41</v>
      </c>
      <c r="C40" t="e">
        <f>+proj=longlat +ellps=GRQ67 +no_defs</f>
        <v>#NAME?</v>
      </c>
    </row>
    <row r="41" spans="1:3" x14ac:dyDescent="0.25">
      <c r="A41">
        <v>4041</v>
      </c>
      <c r="B41" t="s">
        <v>42</v>
      </c>
      <c r="C41" t="e">
        <f>+proj=longlat +a=6378135 +b=6356750.30492159 +no_defs</f>
        <v>#NAME?</v>
      </c>
    </row>
    <row r="42" spans="1:3" x14ac:dyDescent="0.25">
      <c r="A42">
        <v>4042</v>
      </c>
      <c r="B42" t="s">
        <v>43</v>
      </c>
      <c r="C42" t="e">
        <f>+proj=longlat +a=6377299.36559538 +b=6356098.35900515 +no_defs</f>
        <v>#NAME?</v>
      </c>
    </row>
    <row r="43" spans="1:3" x14ac:dyDescent="0.25">
      <c r="A43">
        <v>4043</v>
      </c>
      <c r="B43" t="s">
        <v>44</v>
      </c>
      <c r="C43" t="e">
        <f>+proj=longlat +ellps=WGQ72 +no_defs</f>
        <v>#NAME?</v>
      </c>
    </row>
    <row r="44" spans="1:3" x14ac:dyDescent="0.25">
      <c r="A44">
        <v>4044</v>
      </c>
      <c r="B44" t="s">
        <v>45</v>
      </c>
      <c r="C44" t="e">
        <f>+proj=longlat +a=6377301.243 +b=6356100.23016538 +no_defs</f>
        <v>#NAME?</v>
      </c>
    </row>
    <row r="45" spans="1:3" x14ac:dyDescent="0.25">
      <c r="A45">
        <v>4045</v>
      </c>
      <c r="B45" t="s">
        <v>46</v>
      </c>
      <c r="C45" t="e">
        <f>+proj=longlat +a=6377299.151 +b=6356098.14512013 +no_defs</f>
        <v>#NAME?</v>
      </c>
    </row>
    <row r="46" spans="1:3" x14ac:dyDescent="0.25">
      <c r="A46">
        <v>4046</v>
      </c>
      <c r="B46" t="s">
        <v>47</v>
      </c>
      <c r="C46" t="s">
        <v>4</v>
      </c>
    </row>
    <row r="47" spans="1:3" x14ac:dyDescent="0.25">
      <c r="A47">
        <v>4047</v>
      </c>
      <c r="B47" t="s">
        <v>48</v>
      </c>
      <c r="C47" t="e">
        <f>+proj=longlat +a=6371007 +b=6371007 +no_defs</f>
        <v>#NAME?</v>
      </c>
    </row>
    <row r="48" spans="1:3" x14ac:dyDescent="0.25">
      <c r="A48">
        <v>4052</v>
      </c>
      <c r="B48" t="s">
        <v>49</v>
      </c>
      <c r="C48" t="e">
        <f>+proj=longlat +a=6370997 +b=6370997 +no_defs</f>
        <v>#NAME?</v>
      </c>
    </row>
    <row r="49" spans="1:3" x14ac:dyDescent="0.25">
      <c r="A49">
        <v>4053</v>
      </c>
      <c r="B49" t="s">
        <v>50</v>
      </c>
      <c r="C49" t="e">
        <f>+proj=longlat +a=6371228 +b=6371228 +no_defs</f>
        <v>#NAME?</v>
      </c>
    </row>
    <row r="50" spans="1:3" x14ac:dyDescent="0.25">
      <c r="A50">
        <v>4054</v>
      </c>
      <c r="B50" t="s">
        <v>51</v>
      </c>
      <c r="C50" t="e">
        <f>+proj=longlat +a=6378273 +b=6356889.449 +no_defs</f>
        <v>#NAME?</v>
      </c>
    </row>
    <row r="51" spans="1:3" x14ac:dyDescent="0.25">
      <c r="A51">
        <v>4055</v>
      </c>
      <c r="B51" t="s">
        <v>52</v>
      </c>
      <c r="C51" t="s">
        <v>53</v>
      </c>
    </row>
    <row r="52" spans="1:3" x14ac:dyDescent="0.25">
      <c r="A52">
        <v>4075</v>
      </c>
      <c r="B52" t="s">
        <v>54</v>
      </c>
      <c r="C52" t="s">
        <v>4</v>
      </c>
    </row>
    <row r="53" spans="1:3" x14ac:dyDescent="0.25">
      <c r="A53">
        <v>4081</v>
      </c>
      <c r="B53" t="s">
        <v>55</v>
      </c>
      <c r="C53" t="s">
        <v>4</v>
      </c>
    </row>
    <row r="54" spans="1:3" x14ac:dyDescent="0.25">
      <c r="A54">
        <v>4120</v>
      </c>
      <c r="B54" t="s">
        <v>56</v>
      </c>
      <c r="C54" t="e">
        <f>+proj=longlat +ellps=bessel +no_defs</f>
        <v>#NAME?</v>
      </c>
    </row>
    <row r="55" spans="1:3" x14ac:dyDescent="0.25">
      <c r="A55">
        <v>4121</v>
      </c>
      <c r="B55" t="s">
        <v>57</v>
      </c>
      <c r="C55" t="e">
        <f>+proj=longlat +datum=GGRS87 +no_defs</f>
        <v>#NAME?</v>
      </c>
    </row>
    <row r="56" spans="1:3" x14ac:dyDescent="0.25">
      <c r="A56">
        <v>4122</v>
      </c>
      <c r="B56" t="s">
        <v>58</v>
      </c>
      <c r="C56" t="e">
        <f>+proj=longlat +a=6378135 +b=6356750.30492159 +no_defs</f>
        <v>#NAME?</v>
      </c>
    </row>
    <row r="57" spans="1:3" x14ac:dyDescent="0.25">
      <c r="A57">
        <v>4123</v>
      </c>
      <c r="B57" t="s">
        <v>59</v>
      </c>
      <c r="C57" t="s">
        <v>60</v>
      </c>
    </row>
    <row r="58" spans="1:3" x14ac:dyDescent="0.25">
      <c r="A58">
        <v>4124</v>
      </c>
      <c r="B58" t="s">
        <v>61</v>
      </c>
      <c r="C58" t="s">
        <v>62</v>
      </c>
    </row>
    <row r="59" spans="1:3" x14ac:dyDescent="0.25">
      <c r="A59">
        <v>4125</v>
      </c>
      <c r="B59" t="s">
        <v>63</v>
      </c>
      <c r="C59" t="s">
        <v>64</v>
      </c>
    </row>
    <row r="60" spans="1:3" x14ac:dyDescent="0.25">
      <c r="A60">
        <v>4126</v>
      </c>
      <c r="B60" t="s">
        <v>65</v>
      </c>
      <c r="C60" t="e">
        <f>+proj=longlat +ellps=GRQ80 +no_defs</f>
        <v>#NAME?</v>
      </c>
    </row>
    <row r="61" spans="1:3" x14ac:dyDescent="0.25">
      <c r="A61">
        <v>4127</v>
      </c>
      <c r="B61" t="s">
        <v>66</v>
      </c>
      <c r="C61" t="s">
        <v>67</v>
      </c>
    </row>
    <row r="62" spans="1:3" x14ac:dyDescent="0.25">
      <c r="A62">
        <v>4128</v>
      </c>
      <c r="B62" t="s">
        <v>68</v>
      </c>
      <c r="C62" t="e">
        <f>+proj=longlat +ellps=clrk66 +no_defs</f>
        <v>#NAME?</v>
      </c>
    </row>
    <row r="63" spans="1:3" x14ac:dyDescent="0.25">
      <c r="A63">
        <v>4129</v>
      </c>
      <c r="B63" t="s">
        <v>69</v>
      </c>
      <c r="C63" t="s">
        <v>70</v>
      </c>
    </row>
    <row r="64" spans="1:3" x14ac:dyDescent="0.25">
      <c r="A64">
        <v>4130</v>
      </c>
      <c r="B64" t="s">
        <v>71</v>
      </c>
      <c r="C64" t="s">
        <v>72</v>
      </c>
    </row>
    <row r="65" spans="1:3" x14ac:dyDescent="0.25">
      <c r="A65">
        <v>4131</v>
      </c>
      <c r="B65" t="s">
        <v>73</v>
      </c>
      <c r="C65" t="s">
        <v>74</v>
      </c>
    </row>
    <row r="66" spans="1:3" x14ac:dyDescent="0.25">
      <c r="A66">
        <v>4132</v>
      </c>
      <c r="B66" t="s">
        <v>75</v>
      </c>
      <c r="C66" t="s">
        <v>76</v>
      </c>
    </row>
    <row r="67" spans="1:3" x14ac:dyDescent="0.25">
      <c r="A67">
        <v>4133</v>
      </c>
      <c r="B67" t="s">
        <v>77</v>
      </c>
      <c r="C67" t="s">
        <v>78</v>
      </c>
    </row>
    <row r="68" spans="1:3" x14ac:dyDescent="0.25">
      <c r="A68">
        <v>4134</v>
      </c>
      <c r="B68" t="s">
        <v>79</v>
      </c>
      <c r="C68" t="s">
        <v>80</v>
      </c>
    </row>
    <row r="69" spans="1:3" x14ac:dyDescent="0.25">
      <c r="A69">
        <v>4135</v>
      </c>
      <c r="B69" t="s">
        <v>81</v>
      </c>
      <c r="C69" t="s">
        <v>82</v>
      </c>
    </row>
    <row r="70" spans="1:3" x14ac:dyDescent="0.25">
      <c r="A70">
        <v>4136</v>
      </c>
      <c r="B70" t="s">
        <v>83</v>
      </c>
      <c r="C70" t="e">
        <f>+proj=longlat +ellps=clrk66 +no_defs</f>
        <v>#NAME?</v>
      </c>
    </row>
    <row r="71" spans="1:3" x14ac:dyDescent="0.25">
      <c r="A71">
        <v>4137</v>
      </c>
      <c r="B71" t="s">
        <v>84</v>
      </c>
      <c r="C71" t="e">
        <f>+proj=longlat +ellps=clrk66 +no_defs</f>
        <v>#NAME?</v>
      </c>
    </row>
    <row r="72" spans="1:3" x14ac:dyDescent="0.25">
      <c r="A72">
        <v>4138</v>
      </c>
      <c r="B72" t="s">
        <v>85</v>
      </c>
      <c r="C72" t="e">
        <f>+proj=longlat +ellps=clrk66 +no_defs</f>
        <v>#NAME?</v>
      </c>
    </row>
    <row r="73" spans="1:3" x14ac:dyDescent="0.25">
      <c r="A73">
        <v>4139</v>
      </c>
      <c r="B73" t="s">
        <v>86</v>
      </c>
      <c r="C73" t="s">
        <v>87</v>
      </c>
    </row>
    <row r="74" spans="1:3" x14ac:dyDescent="0.25">
      <c r="A74">
        <v>4140</v>
      </c>
      <c r="B74" t="s">
        <v>88</v>
      </c>
      <c r="C74" t="s">
        <v>4</v>
      </c>
    </row>
    <row r="75" spans="1:3" x14ac:dyDescent="0.25">
      <c r="A75">
        <v>4141</v>
      </c>
      <c r="B75" t="s">
        <v>89</v>
      </c>
      <c r="C75" t="s">
        <v>90</v>
      </c>
    </row>
    <row r="76" spans="1:3" x14ac:dyDescent="0.25">
      <c r="A76">
        <v>4142</v>
      </c>
      <c r="B76" t="s">
        <v>91</v>
      </c>
      <c r="C76" t="s">
        <v>92</v>
      </c>
    </row>
    <row r="77" spans="1:3" x14ac:dyDescent="0.25">
      <c r="A77">
        <v>4143</v>
      </c>
      <c r="B77" t="s">
        <v>93</v>
      </c>
      <c r="C77" t="s">
        <v>94</v>
      </c>
    </row>
    <row r="78" spans="1:3" x14ac:dyDescent="0.25">
      <c r="A78">
        <v>4144</v>
      </c>
      <c r="B78" t="s">
        <v>95</v>
      </c>
      <c r="C78" t="s">
        <v>96</v>
      </c>
    </row>
    <row r="79" spans="1:3" x14ac:dyDescent="0.25">
      <c r="A79">
        <v>4145</v>
      </c>
      <c r="B79" t="s">
        <v>97</v>
      </c>
      <c r="C79" t="s">
        <v>98</v>
      </c>
    </row>
    <row r="80" spans="1:3" x14ac:dyDescent="0.25">
      <c r="A80">
        <v>4146</v>
      </c>
      <c r="B80" t="s">
        <v>99</v>
      </c>
      <c r="C80" t="s">
        <v>100</v>
      </c>
    </row>
    <row r="81" spans="1:3" x14ac:dyDescent="0.25">
      <c r="A81">
        <v>4147</v>
      </c>
      <c r="B81" t="s">
        <v>101</v>
      </c>
      <c r="C81" t="s">
        <v>102</v>
      </c>
    </row>
    <row r="82" spans="1:3" x14ac:dyDescent="0.25">
      <c r="A82">
        <v>4148</v>
      </c>
      <c r="B82" t="s">
        <v>103</v>
      </c>
      <c r="C82" t="s">
        <v>72</v>
      </c>
    </row>
    <row r="83" spans="1:3" x14ac:dyDescent="0.25">
      <c r="A83">
        <v>4149</v>
      </c>
      <c r="B83" t="s">
        <v>104</v>
      </c>
      <c r="C83" t="s">
        <v>105</v>
      </c>
    </row>
    <row r="84" spans="1:3" x14ac:dyDescent="0.25">
      <c r="A84">
        <v>4150</v>
      </c>
      <c r="B84" t="s">
        <v>106</v>
      </c>
      <c r="C84" t="s">
        <v>105</v>
      </c>
    </row>
    <row r="85" spans="1:3" x14ac:dyDescent="0.25">
      <c r="A85">
        <v>4151</v>
      </c>
      <c r="B85" t="s">
        <v>107</v>
      </c>
      <c r="C85" t="s">
        <v>4</v>
      </c>
    </row>
    <row r="86" spans="1:3" x14ac:dyDescent="0.25">
      <c r="A86">
        <v>4152</v>
      </c>
      <c r="B86" t="s">
        <v>108</v>
      </c>
      <c r="C86" t="s">
        <v>4</v>
      </c>
    </row>
    <row r="87" spans="1:3" x14ac:dyDescent="0.25">
      <c r="A87">
        <v>4153</v>
      </c>
      <c r="B87" t="s">
        <v>109</v>
      </c>
      <c r="C87" t="s">
        <v>110</v>
      </c>
    </row>
    <row r="88" spans="1:3" x14ac:dyDescent="0.25">
      <c r="A88">
        <v>4154</v>
      </c>
      <c r="B88" t="s">
        <v>111</v>
      </c>
      <c r="C88" t="s">
        <v>112</v>
      </c>
    </row>
    <row r="89" spans="1:3" x14ac:dyDescent="0.25">
      <c r="A89">
        <v>4155</v>
      </c>
      <c r="B89" t="s">
        <v>113</v>
      </c>
      <c r="C89" t="s">
        <v>114</v>
      </c>
    </row>
    <row r="90" spans="1:3" x14ac:dyDescent="0.25">
      <c r="A90">
        <v>4156</v>
      </c>
      <c r="B90" t="s">
        <v>115</v>
      </c>
      <c r="C90" t="s">
        <v>116</v>
      </c>
    </row>
    <row r="91" spans="1:3" x14ac:dyDescent="0.25">
      <c r="A91">
        <v>4157</v>
      </c>
      <c r="B91" t="s">
        <v>117</v>
      </c>
      <c r="C91" t="e">
        <f>+proj=longlat +a=6378293.64520875 +b=6356617.98767983 +no_defs</f>
        <v>#NAME?</v>
      </c>
    </row>
    <row r="92" spans="1:3" x14ac:dyDescent="0.25">
      <c r="A92">
        <v>4158</v>
      </c>
      <c r="B92" t="s">
        <v>118</v>
      </c>
      <c r="C92" t="s">
        <v>119</v>
      </c>
    </row>
    <row r="93" spans="1:3" x14ac:dyDescent="0.25">
      <c r="A93">
        <v>4159</v>
      </c>
      <c r="B93" t="s">
        <v>120</v>
      </c>
      <c r="C93" t="s">
        <v>121</v>
      </c>
    </row>
    <row r="94" spans="1:3" x14ac:dyDescent="0.25">
      <c r="A94">
        <v>4160</v>
      </c>
      <c r="B94" t="s">
        <v>122</v>
      </c>
      <c r="C94" t="e">
        <f>+proj=longlat +ellps=intl +no_defs</f>
        <v>#NAME?</v>
      </c>
    </row>
    <row r="95" spans="1:3" x14ac:dyDescent="0.25">
      <c r="A95">
        <v>4161</v>
      </c>
      <c r="B95" t="s">
        <v>123</v>
      </c>
      <c r="C95" t="s">
        <v>124</v>
      </c>
    </row>
    <row r="96" spans="1:3" x14ac:dyDescent="0.25">
      <c r="A96">
        <v>4162</v>
      </c>
      <c r="B96" t="s">
        <v>125</v>
      </c>
      <c r="C96" t="e">
        <f>+proj=longlat +ellps=bessel +no_defs</f>
        <v>#NAME?</v>
      </c>
    </row>
    <row r="97" spans="1:3" x14ac:dyDescent="0.25">
      <c r="A97">
        <v>4163</v>
      </c>
      <c r="B97" t="s">
        <v>126</v>
      </c>
      <c r="C97" t="s">
        <v>72</v>
      </c>
    </row>
    <row r="98" spans="1:3" x14ac:dyDescent="0.25">
      <c r="A98">
        <v>4164</v>
      </c>
      <c r="B98" t="s">
        <v>127</v>
      </c>
      <c r="C98" t="s">
        <v>128</v>
      </c>
    </row>
    <row r="99" spans="1:3" x14ac:dyDescent="0.25">
      <c r="A99">
        <v>4165</v>
      </c>
      <c r="B99" t="s">
        <v>129</v>
      </c>
      <c r="C99" t="s">
        <v>130</v>
      </c>
    </row>
    <row r="100" spans="1:3" x14ac:dyDescent="0.25">
      <c r="A100">
        <v>4166</v>
      </c>
      <c r="B100" t="s">
        <v>131</v>
      </c>
      <c r="C100" t="s">
        <v>72</v>
      </c>
    </row>
    <row r="101" spans="1:3" x14ac:dyDescent="0.25">
      <c r="A101">
        <v>4167</v>
      </c>
      <c r="B101" t="s">
        <v>132</v>
      </c>
      <c r="C101" t="s">
        <v>4</v>
      </c>
    </row>
    <row r="102" spans="1:3" x14ac:dyDescent="0.25">
      <c r="A102">
        <v>4168</v>
      </c>
      <c r="B102" t="s">
        <v>133</v>
      </c>
      <c r="C102" t="s">
        <v>134</v>
      </c>
    </row>
    <row r="103" spans="1:3" x14ac:dyDescent="0.25">
      <c r="A103">
        <v>4169</v>
      </c>
      <c r="B103" t="s">
        <v>135</v>
      </c>
      <c r="C103" t="s">
        <v>136</v>
      </c>
    </row>
    <row r="104" spans="1:3" x14ac:dyDescent="0.25">
      <c r="A104">
        <v>4170</v>
      </c>
      <c r="B104" t="s">
        <v>137</v>
      </c>
      <c r="C104" t="s">
        <v>4</v>
      </c>
    </row>
    <row r="105" spans="1:3" x14ac:dyDescent="0.25">
      <c r="A105">
        <v>4171</v>
      </c>
      <c r="B105" t="s">
        <v>138</v>
      </c>
      <c r="C105" t="s">
        <v>4</v>
      </c>
    </row>
    <row r="106" spans="1:3" x14ac:dyDescent="0.25">
      <c r="A106">
        <v>4172</v>
      </c>
      <c r="B106" t="s">
        <v>139</v>
      </c>
      <c r="C106" t="s">
        <v>4</v>
      </c>
    </row>
    <row r="107" spans="1:3" x14ac:dyDescent="0.25">
      <c r="A107">
        <v>4173</v>
      </c>
      <c r="B107" t="s">
        <v>140</v>
      </c>
      <c r="C107" t="s">
        <v>4</v>
      </c>
    </row>
    <row r="108" spans="1:3" x14ac:dyDescent="0.25">
      <c r="A108">
        <v>4174</v>
      </c>
      <c r="B108" t="s">
        <v>141</v>
      </c>
      <c r="C108" t="e">
        <f>+proj=longlat +a=6378300 +b=6356751.68918918 +no_defs</f>
        <v>#NAME?</v>
      </c>
    </row>
    <row r="109" spans="1:3" x14ac:dyDescent="0.25">
      <c r="A109">
        <v>4175</v>
      </c>
      <c r="B109" t="s">
        <v>142</v>
      </c>
      <c r="C109" t="s">
        <v>143</v>
      </c>
    </row>
    <row r="110" spans="1:3" x14ac:dyDescent="0.25">
      <c r="A110">
        <v>4176</v>
      </c>
      <c r="B110" t="s">
        <v>144</v>
      </c>
      <c r="C110" t="s">
        <v>4</v>
      </c>
    </row>
    <row r="111" spans="1:3" x14ac:dyDescent="0.25">
      <c r="A111">
        <v>4178</v>
      </c>
      <c r="B111" t="s">
        <v>145</v>
      </c>
      <c r="C111" t="s">
        <v>146</v>
      </c>
    </row>
    <row r="112" spans="1:3" x14ac:dyDescent="0.25">
      <c r="A112">
        <v>4179</v>
      </c>
      <c r="B112" t="s">
        <v>147</v>
      </c>
      <c r="C112" t="s">
        <v>148</v>
      </c>
    </row>
    <row r="113" spans="1:3" x14ac:dyDescent="0.25">
      <c r="A113">
        <v>4180</v>
      </c>
      <c r="B113" t="s">
        <v>149</v>
      </c>
      <c r="C113" t="s">
        <v>4</v>
      </c>
    </row>
    <row r="114" spans="1:3" x14ac:dyDescent="0.25">
      <c r="A114">
        <v>4181</v>
      </c>
      <c r="B114" t="s">
        <v>150</v>
      </c>
      <c r="C114" t="s">
        <v>151</v>
      </c>
    </row>
    <row r="115" spans="1:3" x14ac:dyDescent="0.25">
      <c r="A115">
        <v>4182</v>
      </c>
      <c r="B115" t="s">
        <v>152</v>
      </c>
      <c r="C115" t="s">
        <v>153</v>
      </c>
    </row>
    <row r="116" spans="1:3" x14ac:dyDescent="0.25">
      <c r="A116">
        <v>4183</v>
      </c>
      <c r="B116" t="s">
        <v>154</v>
      </c>
      <c r="C116" t="s">
        <v>155</v>
      </c>
    </row>
    <row r="117" spans="1:3" x14ac:dyDescent="0.25">
      <c r="A117">
        <v>4184</v>
      </c>
      <c r="B117" t="s">
        <v>156</v>
      </c>
      <c r="C117" t="s">
        <v>157</v>
      </c>
    </row>
    <row r="118" spans="1:3" x14ac:dyDescent="0.25">
      <c r="A118">
        <v>4185</v>
      </c>
      <c r="B118" t="s">
        <v>158</v>
      </c>
      <c r="C118" t="e">
        <f>+proj=longlat +ellps=intl +no_defs</f>
        <v>#NAME?</v>
      </c>
    </row>
    <row r="119" spans="1:3" x14ac:dyDescent="0.25">
      <c r="A119">
        <v>4188</v>
      </c>
      <c r="B119" t="s">
        <v>159</v>
      </c>
      <c r="C119" t="s">
        <v>160</v>
      </c>
    </row>
    <row r="120" spans="1:3" x14ac:dyDescent="0.25">
      <c r="A120">
        <v>4189</v>
      </c>
      <c r="B120" t="s">
        <v>161</v>
      </c>
      <c r="C120" t="s">
        <v>4</v>
      </c>
    </row>
    <row r="121" spans="1:3" x14ac:dyDescent="0.25">
      <c r="A121">
        <v>4190</v>
      </c>
      <c r="B121" t="s">
        <v>162</v>
      </c>
      <c r="C121" t="s">
        <v>4</v>
      </c>
    </row>
    <row r="122" spans="1:3" x14ac:dyDescent="0.25">
      <c r="A122">
        <v>4191</v>
      </c>
      <c r="B122" t="s">
        <v>163</v>
      </c>
      <c r="C122" t="s">
        <v>164</v>
      </c>
    </row>
    <row r="123" spans="1:3" x14ac:dyDescent="0.25">
      <c r="A123">
        <v>4192</v>
      </c>
      <c r="B123" t="s">
        <v>165</v>
      </c>
      <c r="C123" t="s">
        <v>166</v>
      </c>
    </row>
    <row r="124" spans="1:3" x14ac:dyDescent="0.25">
      <c r="A124">
        <v>4193</v>
      </c>
      <c r="B124" t="s">
        <v>167</v>
      </c>
      <c r="C124" t="s">
        <v>168</v>
      </c>
    </row>
    <row r="125" spans="1:3" x14ac:dyDescent="0.25">
      <c r="A125">
        <v>4194</v>
      </c>
      <c r="B125" t="s">
        <v>169</v>
      </c>
      <c r="C125" t="s">
        <v>170</v>
      </c>
    </row>
    <row r="126" spans="1:3" x14ac:dyDescent="0.25">
      <c r="A126">
        <v>4195</v>
      </c>
      <c r="B126" t="s">
        <v>171</v>
      </c>
      <c r="C126" t="s">
        <v>172</v>
      </c>
    </row>
    <row r="127" spans="1:3" x14ac:dyDescent="0.25">
      <c r="A127">
        <v>4196</v>
      </c>
      <c r="B127" t="s">
        <v>173</v>
      </c>
      <c r="C127" t="s">
        <v>174</v>
      </c>
    </row>
    <row r="128" spans="1:3" x14ac:dyDescent="0.25">
      <c r="A128">
        <v>4197</v>
      </c>
      <c r="B128" t="s">
        <v>175</v>
      </c>
      <c r="C128" t="e">
        <f>+proj=longlat +ellps=clrk80 +no_defs</f>
        <v>#NAME?</v>
      </c>
    </row>
    <row r="129" spans="1:3" x14ac:dyDescent="0.25">
      <c r="A129">
        <v>4198</v>
      </c>
      <c r="B129" t="s">
        <v>176</v>
      </c>
      <c r="C129" t="e">
        <f>+proj=longlat +ellps=clrk80 +no_defs</f>
        <v>#NAME?</v>
      </c>
    </row>
    <row r="130" spans="1:3" x14ac:dyDescent="0.25">
      <c r="A130">
        <v>4199</v>
      </c>
      <c r="B130" t="s">
        <v>177</v>
      </c>
      <c r="C130" t="e">
        <f>+proj=longlat +ellps=intl +no_defs</f>
        <v>#NAME?</v>
      </c>
    </row>
    <row r="131" spans="1:3" x14ac:dyDescent="0.25">
      <c r="A131">
        <v>4200</v>
      </c>
      <c r="B131" t="s">
        <v>178</v>
      </c>
      <c r="C131" t="s">
        <v>179</v>
      </c>
    </row>
    <row r="132" spans="1:3" x14ac:dyDescent="0.25">
      <c r="A132">
        <v>4201</v>
      </c>
      <c r="B132" t="s">
        <v>180</v>
      </c>
      <c r="C132" t="s">
        <v>181</v>
      </c>
    </row>
    <row r="133" spans="1:3" x14ac:dyDescent="0.25">
      <c r="A133">
        <v>4202</v>
      </c>
      <c r="B133" t="s">
        <v>182</v>
      </c>
      <c r="C133" t="s">
        <v>183</v>
      </c>
    </row>
    <row r="134" spans="1:3" x14ac:dyDescent="0.25">
      <c r="A134">
        <v>4203</v>
      </c>
      <c r="B134" t="s">
        <v>184</v>
      </c>
      <c r="C134" t="s">
        <v>185</v>
      </c>
    </row>
    <row r="135" spans="1:3" x14ac:dyDescent="0.25">
      <c r="A135">
        <v>4204</v>
      </c>
      <c r="B135" t="s">
        <v>186</v>
      </c>
      <c r="C135" t="s">
        <v>187</v>
      </c>
    </row>
    <row r="136" spans="1:3" x14ac:dyDescent="0.25">
      <c r="A136">
        <v>4205</v>
      </c>
      <c r="B136" t="s">
        <v>188</v>
      </c>
      <c r="C136" t="s">
        <v>189</v>
      </c>
    </row>
    <row r="137" spans="1:3" x14ac:dyDescent="0.25">
      <c r="A137">
        <v>4206</v>
      </c>
      <c r="B137" t="s">
        <v>190</v>
      </c>
      <c r="C137" t="e">
        <f>+proj=longlat +a=6378249.2 +b=6356515 +no_defs</f>
        <v>#NAME?</v>
      </c>
    </row>
    <row r="138" spans="1:3" x14ac:dyDescent="0.25">
      <c r="A138">
        <v>4207</v>
      </c>
      <c r="B138" t="s">
        <v>191</v>
      </c>
      <c r="C138" t="s">
        <v>192</v>
      </c>
    </row>
    <row r="139" spans="1:3" x14ac:dyDescent="0.25">
      <c r="A139">
        <v>4208</v>
      </c>
      <c r="B139" t="s">
        <v>193</v>
      </c>
      <c r="C139" t="s">
        <v>194</v>
      </c>
    </row>
    <row r="140" spans="1:3" x14ac:dyDescent="0.25">
      <c r="A140">
        <v>4209</v>
      </c>
      <c r="B140" t="s">
        <v>195</v>
      </c>
      <c r="C140" t="s">
        <v>196</v>
      </c>
    </row>
    <row r="141" spans="1:3" x14ac:dyDescent="0.25">
      <c r="A141">
        <v>4210</v>
      </c>
      <c r="B141" t="s">
        <v>197</v>
      </c>
      <c r="C141" t="s">
        <v>198</v>
      </c>
    </row>
    <row r="142" spans="1:3" x14ac:dyDescent="0.25">
      <c r="A142">
        <v>4211</v>
      </c>
      <c r="B142" t="s">
        <v>199</v>
      </c>
      <c r="C142" t="s">
        <v>200</v>
      </c>
    </row>
    <row r="143" spans="1:3" x14ac:dyDescent="0.25">
      <c r="A143">
        <v>4212</v>
      </c>
      <c r="B143" t="s">
        <v>201</v>
      </c>
      <c r="C143" t="s">
        <v>202</v>
      </c>
    </row>
    <row r="144" spans="1:3" x14ac:dyDescent="0.25">
      <c r="A144">
        <v>4213</v>
      </c>
      <c r="B144" t="s">
        <v>203</v>
      </c>
      <c r="C144" t="s">
        <v>204</v>
      </c>
    </row>
    <row r="145" spans="1:3" x14ac:dyDescent="0.25">
      <c r="A145">
        <v>4214</v>
      </c>
      <c r="B145" t="s">
        <v>205</v>
      </c>
      <c r="C145" t="s">
        <v>206</v>
      </c>
    </row>
    <row r="146" spans="1:3" x14ac:dyDescent="0.25">
      <c r="A146">
        <v>4215</v>
      </c>
      <c r="B146" t="s">
        <v>207</v>
      </c>
      <c r="C146" t="e">
        <f>+proj=longlat +ellps=intl +no_defs</f>
        <v>#NAME?</v>
      </c>
    </row>
    <row r="147" spans="1:3" x14ac:dyDescent="0.25">
      <c r="A147">
        <v>4216</v>
      </c>
      <c r="B147" t="s">
        <v>208</v>
      </c>
      <c r="C147" t="s">
        <v>209</v>
      </c>
    </row>
    <row r="148" spans="1:3" x14ac:dyDescent="0.25">
      <c r="A148">
        <v>4218</v>
      </c>
      <c r="B148" t="s">
        <v>210</v>
      </c>
      <c r="C148" t="s">
        <v>211</v>
      </c>
    </row>
    <row r="149" spans="1:3" x14ac:dyDescent="0.25">
      <c r="A149">
        <v>4219</v>
      </c>
      <c r="B149" t="s">
        <v>212</v>
      </c>
      <c r="C149" t="s">
        <v>213</v>
      </c>
    </row>
    <row r="150" spans="1:3" x14ac:dyDescent="0.25">
      <c r="A150">
        <v>4220</v>
      </c>
      <c r="B150" t="s">
        <v>214</v>
      </c>
      <c r="C150" t="s">
        <v>215</v>
      </c>
    </row>
    <row r="151" spans="1:3" x14ac:dyDescent="0.25">
      <c r="A151">
        <v>4221</v>
      </c>
      <c r="B151" t="s">
        <v>216</v>
      </c>
      <c r="C151" t="s">
        <v>217</v>
      </c>
    </row>
    <row r="152" spans="1:3" x14ac:dyDescent="0.25">
      <c r="A152">
        <v>4222</v>
      </c>
      <c r="B152" t="s">
        <v>218</v>
      </c>
      <c r="C152" t="s">
        <v>219</v>
      </c>
    </row>
    <row r="153" spans="1:3" x14ac:dyDescent="0.25">
      <c r="A153">
        <v>4223</v>
      </c>
      <c r="B153" t="s">
        <v>220</v>
      </c>
      <c r="C153" t="e">
        <f>+proj=longlat +datum=carthage +no_defs</f>
        <v>#NAME?</v>
      </c>
    </row>
    <row r="154" spans="1:3" x14ac:dyDescent="0.25">
      <c r="A154">
        <v>4224</v>
      </c>
      <c r="B154" t="s">
        <v>221</v>
      </c>
      <c r="C154" t="s">
        <v>222</v>
      </c>
    </row>
    <row r="155" spans="1:3" x14ac:dyDescent="0.25">
      <c r="A155">
        <v>4225</v>
      </c>
      <c r="B155" t="s">
        <v>223</v>
      </c>
      <c r="C155" t="s">
        <v>224</v>
      </c>
    </row>
    <row r="156" spans="1:3" x14ac:dyDescent="0.25">
      <c r="A156">
        <v>4226</v>
      </c>
      <c r="B156" t="s">
        <v>225</v>
      </c>
      <c r="C156" t="e">
        <f>+proj=longlat +a=6378249.2 +b=6356515 +no_defs</f>
        <v>#NAME?</v>
      </c>
    </row>
    <row r="157" spans="1:3" x14ac:dyDescent="0.25">
      <c r="A157">
        <v>4227</v>
      </c>
      <c r="B157" t="s">
        <v>226</v>
      </c>
      <c r="C157" t="s">
        <v>227</v>
      </c>
    </row>
    <row r="158" spans="1:3" x14ac:dyDescent="0.25">
      <c r="A158">
        <v>4228</v>
      </c>
      <c r="B158" t="s">
        <v>228</v>
      </c>
      <c r="C158" t="e">
        <f>+proj=longlat +a=6378249.2 +b=6356515 +no_defs</f>
        <v>#NAME?</v>
      </c>
    </row>
    <row r="159" spans="1:3" x14ac:dyDescent="0.25">
      <c r="A159">
        <v>4229</v>
      </c>
      <c r="B159" t="s">
        <v>229</v>
      </c>
      <c r="C159" t="s">
        <v>230</v>
      </c>
    </row>
    <row r="160" spans="1:3" x14ac:dyDescent="0.25">
      <c r="A160">
        <v>4230</v>
      </c>
      <c r="B160" t="s">
        <v>231</v>
      </c>
      <c r="C160" t="s">
        <v>232</v>
      </c>
    </row>
    <row r="161" spans="1:3" x14ac:dyDescent="0.25">
      <c r="A161">
        <v>4231</v>
      </c>
      <c r="B161" t="s">
        <v>233</v>
      </c>
      <c r="C161" t="s">
        <v>234</v>
      </c>
    </row>
    <row r="162" spans="1:3" x14ac:dyDescent="0.25">
      <c r="A162">
        <v>4232</v>
      </c>
      <c r="B162" t="s">
        <v>235</v>
      </c>
      <c r="C162" t="s">
        <v>236</v>
      </c>
    </row>
    <row r="163" spans="1:3" x14ac:dyDescent="0.25">
      <c r="A163">
        <v>4233</v>
      </c>
      <c r="B163" t="s">
        <v>237</v>
      </c>
      <c r="C163" t="s">
        <v>238</v>
      </c>
    </row>
    <row r="164" spans="1:3" x14ac:dyDescent="0.25">
      <c r="A164">
        <v>4234</v>
      </c>
      <c r="B164" t="s">
        <v>239</v>
      </c>
      <c r="C164" t="e">
        <f>+proj=longlat +a=6378249.2 +b=6356515 +no_defs</f>
        <v>#NAME?</v>
      </c>
    </row>
    <row r="165" spans="1:3" x14ac:dyDescent="0.25">
      <c r="A165">
        <v>4235</v>
      </c>
      <c r="B165" t="s">
        <v>240</v>
      </c>
      <c r="C165" t="e">
        <f>+proj=longlat +ellps=intl +no_defs</f>
        <v>#NAME?</v>
      </c>
    </row>
    <row r="166" spans="1:3" x14ac:dyDescent="0.25">
      <c r="A166">
        <v>4236</v>
      </c>
      <c r="B166" t="s">
        <v>241</v>
      </c>
      <c r="C166" t="s">
        <v>242</v>
      </c>
    </row>
    <row r="167" spans="1:3" x14ac:dyDescent="0.25">
      <c r="A167">
        <v>4237</v>
      </c>
      <c r="B167" t="s">
        <v>243</v>
      </c>
      <c r="C167" t="s">
        <v>244</v>
      </c>
    </row>
    <row r="168" spans="1:3" x14ac:dyDescent="0.25">
      <c r="A168">
        <v>4238</v>
      </c>
      <c r="B168" t="s">
        <v>245</v>
      </c>
      <c r="C168" t="s">
        <v>246</v>
      </c>
    </row>
    <row r="169" spans="1:3" x14ac:dyDescent="0.25">
      <c r="A169">
        <v>4239</v>
      </c>
      <c r="B169" t="s">
        <v>247</v>
      </c>
      <c r="C169" t="s">
        <v>248</v>
      </c>
    </row>
    <row r="170" spans="1:3" x14ac:dyDescent="0.25">
      <c r="A170">
        <v>4240</v>
      </c>
      <c r="B170" t="s">
        <v>249</v>
      </c>
      <c r="C170" t="s">
        <v>250</v>
      </c>
    </row>
    <row r="171" spans="1:3" x14ac:dyDescent="0.25">
      <c r="A171">
        <v>4241</v>
      </c>
      <c r="B171" t="s">
        <v>251</v>
      </c>
      <c r="C171" t="e">
        <f>+proj=longlat +a=6378249.14480801 +b=6356514.96620413 +no_defs</f>
        <v>#NAME?</v>
      </c>
    </row>
    <row r="172" spans="1:3" x14ac:dyDescent="0.25">
      <c r="A172">
        <v>4242</v>
      </c>
      <c r="B172" t="s">
        <v>252</v>
      </c>
      <c r="C172" t="s">
        <v>253</v>
      </c>
    </row>
    <row r="173" spans="1:3" x14ac:dyDescent="0.25">
      <c r="A173">
        <v>4243</v>
      </c>
      <c r="B173" t="s">
        <v>254</v>
      </c>
      <c r="C173" t="e">
        <f>+proj=longlat +a=6377299.36559538 +b=6356098.35900515 +no_defs</f>
        <v>#NAME?</v>
      </c>
    </row>
    <row r="174" spans="1:3" x14ac:dyDescent="0.25">
      <c r="A174">
        <v>4244</v>
      </c>
      <c r="B174" t="s">
        <v>255</v>
      </c>
      <c r="C174" t="s">
        <v>256</v>
      </c>
    </row>
    <row r="175" spans="1:3" x14ac:dyDescent="0.25">
      <c r="A175">
        <v>4245</v>
      </c>
      <c r="B175" t="s">
        <v>257</v>
      </c>
      <c r="C175" t="s">
        <v>258</v>
      </c>
    </row>
    <row r="176" spans="1:3" x14ac:dyDescent="0.25">
      <c r="A176">
        <v>4246</v>
      </c>
      <c r="B176" t="s">
        <v>259</v>
      </c>
      <c r="C176" t="s">
        <v>260</v>
      </c>
    </row>
    <row r="177" spans="1:3" x14ac:dyDescent="0.25">
      <c r="A177">
        <v>4247</v>
      </c>
      <c r="B177" t="s">
        <v>261</v>
      </c>
      <c r="C177" t="s">
        <v>262</v>
      </c>
    </row>
    <row r="178" spans="1:3" x14ac:dyDescent="0.25">
      <c r="A178">
        <v>4248</v>
      </c>
      <c r="B178" t="s">
        <v>263</v>
      </c>
      <c r="C178" t="s">
        <v>264</v>
      </c>
    </row>
    <row r="179" spans="1:3" x14ac:dyDescent="0.25">
      <c r="A179">
        <v>4249</v>
      </c>
      <c r="B179" t="s">
        <v>265</v>
      </c>
      <c r="C179" t="e">
        <f>+proj=longlat +ellps=intl +no_defs</f>
        <v>#NAME?</v>
      </c>
    </row>
    <row r="180" spans="1:3" x14ac:dyDescent="0.25">
      <c r="A180">
        <v>4250</v>
      </c>
      <c r="B180" t="s">
        <v>266</v>
      </c>
      <c r="C180" t="s">
        <v>267</v>
      </c>
    </row>
    <row r="181" spans="1:3" x14ac:dyDescent="0.25">
      <c r="A181">
        <v>4251</v>
      </c>
      <c r="B181" t="s">
        <v>268</v>
      </c>
      <c r="C181" t="s">
        <v>269</v>
      </c>
    </row>
    <row r="182" spans="1:3" x14ac:dyDescent="0.25">
      <c r="A182">
        <v>4252</v>
      </c>
      <c r="B182" t="s">
        <v>270</v>
      </c>
      <c r="C182" t="e">
        <f>+proj=longlat +a=6378249.2 +b=6356515 +no_defs</f>
        <v>#NAME?</v>
      </c>
    </row>
    <row r="183" spans="1:3" x14ac:dyDescent="0.25">
      <c r="A183">
        <v>4253</v>
      </c>
      <c r="B183" t="s">
        <v>271</v>
      </c>
      <c r="C183" t="s">
        <v>272</v>
      </c>
    </row>
    <row r="184" spans="1:3" x14ac:dyDescent="0.25">
      <c r="A184">
        <v>4254</v>
      </c>
      <c r="B184" t="s">
        <v>273</v>
      </c>
      <c r="C184" t="s">
        <v>274</v>
      </c>
    </row>
    <row r="185" spans="1:3" x14ac:dyDescent="0.25">
      <c r="A185">
        <v>4255</v>
      </c>
      <c r="B185" t="s">
        <v>275</v>
      </c>
      <c r="C185" t="s">
        <v>276</v>
      </c>
    </row>
    <row r="186" spans="1:3" x14ac:dyDescent="0.25">
      <c r="A186">
        <v>4256</v>
      </c>
      <c r="B186" t="s">
        <v>277</v>
      </c>
      <c r="C186" t="s">
        <v>278</v>
      </c>
    </row>
    <row r="187" spans="1:3" x14ac:dyDescent="0.25">
      <c r="A187">
        <v>4257</v>
      </c>
      <c r="B187" t="s">
        <v>279</v>
      </c>
      <c r="C187" t="s">
        <v>280</v>
      </c>
    </row>
    <row r="188" spans="1:3" x14ac:dyDescent="0.25">
      <c r="A188">
        <v>4258</v>
      </c>
      <c r="B188" t="s">
        <v>281</v>
      </c>
      <c r="C188" t="s">
        <v>4</v>
      </c>
    </row>
    <row r="189" spans="1:3" x14ac:dyDescent="0.25">
      <c r="A189">
        <v>4259</v>
      </c>
      <c r="B189" t="s">
        <v>282</v>
      </c>
      <c r="C189" t="s">
        <v>283</v>
      </c>
    </row>
    <row r="190" spans="1:3" x14ac:dyDescent="0.25">
      <c r="A190">
        <v>4260</v>
      </c>
      <c r="B190" t="s">
        <v>284</v>
      </c>
      <c r="C190" t="s">
        <v>285</v>
      </c>
    </row>
    <row r="191" spans="1:3" x14ac:dyDescent="0.25">
      <c r="A191">
        <v>4261</v>
      </c>
      <c r="B191" t="s">
        <v>286</v>
      </c>
      <c r="C191" t="s">
        <v>287</v>
      </c>
    </row>
    <row r="192" spans="1:3" x14ac:dyDescent="0.25">
      <c r="A192">
        <v>4262</v>
      </c>
      <c r="B192" t="s">
        <v>288</v>
      </c>
      <c r="C192" t="s">
        <v>289</v>
      </c>
    </row>
    <row r="193" spans="1:3" x14ac:dyDescent="0.25">
      <c r="A193">
        <v>4263</v>
      </c>
      <c r="B193" t="s">
        <v>290</v>
      </c>
      <c r="C193" t="s">
        <v>291</v>
      </c>
    </row>
    <row r="194" spans="1:3" x14ac:dyDescent="0.25">
      <c r="A194">
        <v>4264</v>
      </c>
      <c r="B194" t="s">
        <v>292</v>
      </c>
      <c r="C194" t="s">
        <v>293</v>
      </c>
    </row>
    <row r="195" spans="1:3" x14ac:dyDescent="0.25">
      <c r="A195">
        <v>4265</v>
      </c>
      <c r="B195" t="s">
        <v>294</v>
      </c>
      <c r="C195" t="s">
        <v>295</v>
      </c>
    </row>
    <row r="196" spans="1:3" x14ac:dyDescent="0.25">
      <c r="A196">
        <v>4266</v>
      </c>
      <c r="B196" t="s">
        <v>296</v>
      </c>
      <c r="C196" t="s">
        <v>297</v>
      </c>
    </row>
    <row r="197" spans="1:3" x14ac:dyDescent="0.25">
      <c r="A197">
        <v>4267</v>
      </c>
      <c r="B197" t="s">
        <v>298</v>
      </c>
      <c r="C197" t="e">
        <f>+proj=longlat +datum=NAB27 +no_defs</f>
        <v>#NAME?</v>
      </c>
    </row>
    <row r="198" spans="1:3" x14ac:dyDescent="0.25">
      <c r="A198">
        <v>4268</v>
      </c>
      <c r="B198" t="s">
        <v>299</v>
      </c>
      <c r="C198" t="e">
        <f>+proj=longlat +a=6378450.04754889 +b=6356826.62148844 +no_defs</f>
        <v>#NAME?</v>
      </c>
    </row>
    <row r="199" spans="1:3" x14ac:dyDescent="0.25">
      <c r="A199">
        <v>4269</v>
      </c>
      <c r="B199" t="s">
        <v>300</v>
      </c>
      <c r="C199" t="e">
        <f>+proj=longlat +datum=NAB83 +no_defs</f>
        <v>#NAME?</v>
      </c>
    </row>
    <row r="200" spans="1:3" x14ac:dyDescent="0.25">
      <c r="A200">
        <v>4270</v>
      </c>
      <c r="B200" t="s">
        <v>301</v>
      </c>
      <c r="C200" t="s">
        <v>302</v>
      </c>
    </row>
    <row r="201" spans="1:3" x14ac:dyDescent="0.25">
      <c r="A201">
        <v>4271</v>
      </c>
      <c r="B201" t="s">
        <v>303</v>
      </c>
      <c r="C201" t="s">
        <v>304</v>
      </c>
    </row>
    <row r="202" spans="1:3" x14ac:dyDescent="0.25">
      <c r="A202">
        <v>4272</v>
      </c>
      <c r="B202" t="s">
        <v>305</v>
      </c>
      <c r="C202" t="s">
        <v>306</v>
      </c>
    </row>
    <row r="203" spans="1:3" x14ac:dyDescent="0.25">
      <c r="A203">
        <v>4273</v>
      </c>
      <c r="B203" t="s">
        <v>307</v>
      </c>
      <c r="C203" t="s">
        <v>308</v>
      </c>
    </row>
    <row r="204" spans="1:3" x14ac:dyDescent="0.25">
      <c r="A204">
        <v>4274</v>
      </c>
      <c r="B204" t="s">
        <v>309</v>
      </c>
      <c r="C204" t="s">
        <v>310</v>
      </c>
    </row>
    <row r="205" spans="1:3" x14ac:dyDescent="0.25">
      <c r="A205">
        <v>4275</v>
      </c>
      <c r="B205" t="s">
        <v>311</v>
      </c>
      <c r="C205" t="s">
        <v>312</v>
      </c>
    </row>
    <row r="206" spans="1:3" x14ac:dyDescent="0.25">
      <c r="A206">
        <v>4276</v>
      </c>
      <c r="B206" t="s">
        <v>313</v>
      </c>
      <c r="C206" t="e">
        <f>+proj=longlat +ellps=WGQ66 +no_defs</f>
        <v>#NAME?</v>
      </c>
    </row>
    <row r="207" spans="1:3" x14ac:dyDescent="0.25">
      <c r="A207">
        <v>4277</v>
      </c>
      <c r="B207" t="s">
        <v>314</v>
      </c>
      <c r="C207" t="e">
        <f>+proj=longlat +datum=OSGB36 +no_defs</f>
        <v>#NAME?</v>
      </c>
    </row>
    <row r="208" spans="1:3" x14ac:dyDescent="0.25">
      <c r="A208">
        <v>4278</v>
      </c>
      <c r="B208" t="s">
        <v>315</v>
      </c>
      <c r="C208" t="e">
        <f>+proj=longlat +ellps=airy +no_defs</f>
        <v>#NAME?</v>
      </c>
    </row>
    <row r="209" spans="1:3" x14ac:dyDescent="0.25">
      <c r="A209">
        <v>4279</v>
      </c>
      <c r="B209" t="s">
        <v>316</v>
      </c>
      <c r="C209" t="e">
        <f>+proj=longlat +ellps=airy +no_defs</f>
        <v>#NAME?</v>
      </c>
    </row>
    <row r="210" spans="1:3" x14ac:dyDescent="0.25">
      <c r="A210">
        <v>4280</v>
      </c>
      <c r="B210" t="s">
        <v>317</v>
      </c>
      <c r="C210" t="e">
        <f>+proj=longlat +ellps=bessel +no_defs</f>
        <v>#NAME?</v>
      </c>
    </row>
    <row r="211" spans="1:3" x14ac:dyDescent="0.25">
      <c r="A211">
        <v>4281</v>
      </c>
      <c r="B211" t="s">
        <v>318</v>
      </c>
      <c r="C211" t="s">
        <v>319</v>
      </c>
    </row>
    <row r="212" spans="1:3" x14ac:dyDescent="0.25">
      <c r="A212">
        <v>4282</v>
      </c>
      <c r="B212" t="s">
        <v>320</v>
      </c>
      <c r="C212" t="s">
        <v>321</v>
      </c>
    </row>
    <row r="213" spans="1:3" x14ac:dyDescent="0.25">
      <c r="A213">
        <v>4283</v>
      </c>
      <c r="B213" t="s">
        <v>322</v>
      </c>
      <c r="C213" t="s">
        <v>4</v>
      </c>
    </row>
    <row r="214" spans="1:3" x14ac:dyDescent="0.25">
      <c r="A214">
        <v>4284</v>
      </c>
      <c r="B214" t="s">
        <v>323</v>
      </c>
      <c r="C214" t="s">
        <v>324</v>
      </c>
    </row>
    <row r="215" spans="1:3" x14ac:dyDescent="0.25">
      <c r="A215">
        <v>4285</v>
      </c>
      <c r="B215" t="s">
        <v>325</v>
      </c>
      <c r="C215" t="s">
        <v>326</v>
      </c>
    </row>
    <row r="216" spans="1:3" x14ac:dyDescent="0.25">
      <c r="A216">
        <v>4286</v>
      </c>
      <c r="B216" t="s">
        <v>327</v>
      </c>
      <c r="C216" t="e">
        <f>+proj=longlat +ellps=helmert +no_defs</f>
        <v>#NAME?</v>
      </c>
    </row>
    <row r="217" spans="1:3" x14ac:dyDescent="0.25">
      <c r="A217">
        <v>4287</v>
      </c>
      <c r="B217" t="s">
        <v>328</v>
      </c>
      <c r="C217" t="s">
        <v>170</v>
      </c>
    </row>
    <row r="218" spans="1:3" x14ac:dyDescent="0.25">
      <c r="A218">
        <v>4288</v>
      </c>
      <c r="B218" t="s">
        <v>329</v>
      </c>
      <c r="C218" t="e">
        <f>+proj=longlat +ellps=intl +no_defs</f>
        <v>#NAME?</v>
      </c>
    </row>
    <row r="219" spans="1:3" x14ac:dyDescent="0.25">
      <c r="A219">
        <v>4289</v>
      </c>
      <c r="B219" t="s">
        <v>330</v>
      </c>
      <c r="C219" t="s">
        <v>331</v>
      </c>
    </row>
    <row r="220" spans="1:3" x14ac:dyDescent="0.25">
      <c r="A220">
        <v>4291</v>
      </c>
      <c r="B220" t="s">
        <v>332</v>
      </c>
      <c r="C220" t="s">
        <v>333</v>
      </c>
    </row>
    <row r="221" spans="1:3" x14ac:dyDescent="0.25">
      <c r="A221">
        <v>4292</v>
      </c>
      <c r="B221" t="s">
        <v>334</v>
      </c>
      <c r="C221" t="s">
        <v>335</v>
      </c>
    </row>
    <row r="222" spans="1:3" x14ac:dyDescent="0.25">
      <c r="A222">
        <v>4293</v>
      </c>
      <c r="B222" t="s">
        <v>336</v>
      </c>
      <c r="C222" t="s">
        <v>337</v>
      </c>
    </row>
    <row r="223" spans="1:3" x14ac:dyDescent="0.25">
      <c r="A223">
        <v>4294</v>
      </c>
      <c r="B223" t="s">
        <v>338</v>
      </c>
      <c r="C223" t="s">
        <v>339</v>
      </c>
    </row>
    <row r="224" spans="1:3" x14ac:dyDescent="0.25">
      <c r="A224">
        <v>4295</v>
      </c>
      <c r="B224" t="s">
        <v>340</v>
      </c>
      <c r="C224" t="e">
        <f>+proj=longlat +ellps=bessel +no_defs</f>
        <v>#NAME?</v>
      </c>
    </row>
    <row r="225" spans="1:3" x14ac:dyDescent="0.25">
      <c r="A225">
        <v>4296</v>
      </c>
      <c r="B225" t="s">
        <v>341</v>
      </c>
      <c r="C225" t="e">
        <f>+proj=longlat +a=6378249.2 +b=6356515 +no_defs</f>
        <v>#NAME?</v>
      </c>
    </row>
    <row r="226" spans="1:3" x14ac:dyDescent="0.25">
      <c r="A226">
        <v>8246</v>
      </c>
      <c r="B226" t="s">
        <v>342</v>
      </c>
      <c r="C226" t="e">
        <f>+proj=longlat +ellps=GRQ80 +no_defs</f>
        <v>#NAME?</v>
      </c>
    </row>
    <row r="227" spans="1:3" x14ac:dyDescent="0.25">
      <c r="A227">
        <v>4297</v>
      </c>
      <c r="B227" t="s">
        <v>343</v>
      </c>
      <c r="C227" t="s">
        <v>344</v>
      </c>
    </row>
    <row r="228" spans="1:3" x14ac:dyDescent="0.25">
      <c r="A228">
        <v>4298</v>
      </c>
      <c r="B228" t="s">
        <v>345</v>
      </c>
      <c r="C228" t="s">
        <v>346</v>
      </c>
    </row>
    <row r="229" spans="1:3" x14ac:dyDescent="0.25">
      <c r="A229">
        <v>4299</v>
      </c>
      <c r="B229" t="s">
        <v>347</v>
      </c>
      <c r="C229" t="e">
        <f>+proj=longlat +datum=IRC65 +no_defs</f>
        <v>#NAME?</v>
      </c>
    </row>
    <row r="230" spans="1:3" x14ac:dyDescent="0.25">
      <c r="A230">
        <v>4300</v>
      </c>
      <c r="B230" t="s">
        <v>348</v>
      </c>
      <c r="C230" t="s">
        <v>349</v>
      </c>
    </row>
    <row r="231" spans="1:3" x14ac:dyDescent="0.25">
      <c r="A231">
        <v>4301</v>
      </c>
      <c r="B231" t="s">
        <v>350</v>
      </c>
      <c r="C231" t="s">
        <v>351</v>
      </c>
    </row>
    <row r="232" spans="1:3" x14ac:dyDescent="0.25">
      <c r="A232">
        <v>4302</v>
      </c>
      <c r="B232" t="s">
        <v>352</v>
      </c>
      <c r="C232" t="s">
        <v>353</v>
      </c>
    </row>
    <row r="233" spans="1:3" x14ac:dyDescent="0.25">
      <c r="A233">
        <v>4303</v>
      </c>
      <c r="B233" t="s">
        <v>354</v>
      </c>
      <c r="C233" t="e">
        <f>+proj=longlat +ellps=helmert +no_defs</f>
        <v>#NAME?</v>
      </c>
    </row>
    <row r="234" spans="1:3" x14ac:dyDescent="0.25">
      <c r="A234">
        <v>4304</v>
      </c>
      <c r="B234" t="s">
        <v>355</v>
      </c>
      <c r="C234" t="s">
        <v>356</v>
      </c>
    </row>
    <row r="235" spans="1:3" x14ac:dyDescent="0.25">
      <c r="A235">
        <v>4306</v>
      </c>
      <c r="B235" t="s">
        <v>357</v>
      </c>
      <c r="C235" t="e">
        <f>+proj=longlat +ellps=bessel +no_defs</f>
        <v>#NAME?</v>
      </c>
    </row>
    <row r="236" spans="1:3" x14ac:dyDescent="0.25">
      <c r="A236">
        <v>4307</v>
      </c>
      <c r="B236" t="s">
        <v>358</v>
      </c>
      <c r="C236" t="s">
        <v>359</v>
      </c>
    </row>
    <row r="237" spans="1:3" x14ac:dyDescent="0.25">
      <c r="A237">
        <v>4308</v>
      </c>
      <c r="B237" t="s">
        <v>360</v>
      </c>
      <c r="C237" t="e">
        <f>+proj=longlat +ellps=bessel +no_defs</f>
        <v>#NAME?</v>
      </c>
    </row>
    <row r="238" spans="1:3" x14ac:dyDescent="0.25">
      <c r="A238">
        <v>4309</v>
      </c>
      <c r="B238" t="s">
        <v>361</v>
      </c>
      <c r="C238" t="s">
        <v>362</v>
      </c>
    </row>
    <row r="239" spans="1:3" x14ac:dyDescent="0.25">
      <c r="A239">
        <v>4310</v>
      </c>
      <c r="B239" t="s">
        <v>363</v>
      </c>
      <c r="C239" t="s">
        <v>364</v>
      </c>
    </row>
    <row r="240" spans="1:3" x14ac:dyDescent="0.25">
      <c r="A240">
        <v>4311</v>
      </c>
      <c r="B240" t="s">
        <v>365</v>
      </c>
      <c r="C240" t="s">
        <v>366</v>
      </c>
    </row>
    <row r="241" spans="1:3" x14ac:dyDescent="0.25">
      <c r="A241">
        <v>4312</v>
      </c>
      <c r="B241" t="s">
        <v>367</v>
      </c>
      <c r="C241" t="e">
        <f>+proj=longlat +datum=hermannskogel +no_defs</f>
        <v>#NAME?</v>
      </c>
    </row>
    <row r="242" spans="1:3" x14ac:dyDescent="0.25">
      <c r="A242">
        <v>4313</v>
      </c>
      <c r="B242" t="s">
        <v>368</v>
      </c>
      <c r="C242" t="s">
        <v>369</v>
      </c>
    </row>
    <row r="243" spans="1:3" x14ac:dyDescent="0.25">
      <c r="A243">
        <v>4314</v>
      </c>
      <c r="B243" t="s">
        <v>370</v>
      </c>
      <c r="C243" t="e">
        <f>+proj=longlat +datum=potsdam +no_defs</f>
        <v>#NAME?</v>
      </c>
    </row>
    <row r="244" spans="1:3" x14ac:dyDescent="0.25">
      <c r="A244">
        <v>4315</v>
      </c>
      <c r="B244" t="s">
        <v>371</v>
      </c>
      <c r="C244" t="s">
        <v>372</v>
      </c>
    </row>
    <row r="245" spans="1:3" x14ac:dyDescent="0.25">
      <c r="A245">
        <v>4605</v>
      </c>
      <c r="B245" t="s">
        <v>373</v>
      </c>
      <c r="C245" t="s">
        <v>374</v>
      </c>
    </row>
    <row r="246" spans="1:3" x14ac:dyDescent="0.25">
      <c r="A246">
        <v>4316</v>
      </c>
      <c r="B246" t="s">
        <v>375</v>
      </c>
      <c r="C246" t="s">
        <v>376</v>
      </c>
    </row>
    <row r="247" spans="1:3" x14ac:dyDescent="0.25">
      <c r="A247">
        <v>4317</v>
      </c>
      <c r="B247" t="s">
        <v>377</v>
      </c>
      <c r="C247" t="s">
        <v>378</v>
      </c>
    </row>
    <row r="248" spans="1:3" x14ac:dyDescent="0.25">
      <c r="A248">
        <v>4318</v>
      </c>
      <c r="B248" t="s">
        <v>379</v>
      </c>
      <c r="C248" t="s">
        <v>380</v>
      </c>
    </row>
    <row r="249" spans="1:3" x14ac:dyDescent="0.25">
      <c r="A249">
        <v>4319</v>
      </c>
      <c r="B249" t="s">
        <v>381</v>
      </c>
      <c r="C249" t="s">
        <v>382</v>
      </c>
    </row>
    <row r="250" spans="1:3" x14ac:dyDescent="0.25">
      <c r="A250">
        <v>4322</v>
      </c>
      <c r="B250" t="s">
        <v>383</v>
      </c>
      <c r="C250" t="s">
        <v>384</v>
      </c>
    </row>
    <row r="251" spans="1:3" x14ac:dyDescent="0.25">
      <c r="A251">
        <v>4324</v>
      </c>
      <c r="B251" t="s">
        <v>385</v>
      </c>
      <c r="C251" t="s">
        <v>386</v>
      </c>
    </row>
    <row r="252" spans="1:3" x14ac:dyDescent="0.25">
      <c r="A252">
        <v>4326</v>
      </c>
      <c r="B252" t="s">
        <v>387</v>
      </c>
      <c r="C252" t="e">
        <f>+proj=longlat +datum=WGQ84 +no_defs</f>
        <v>#NAME?</v>
      </c>
    </row>
    <row r="253" spans="1:3" x14ac:dyDescent="0.25">
      <c r="A253">
        <v>4463</v>
      </c>
      <c r="B253" t="s">
        <v>388</v>
      </c>
      <c r="C253" t="s">
        <v>4</v>
      </c>
    </row>
    <row r="254" spans="1:3" x14ac:dyDescent="0.25">
      <c r="A254">
        <v>4470</v>
      </c>
      <c r="B254" t="s">
        <v>389</v>
      </c>
      <c r="C254" t="s">
        <v>4</v>
      </c>
    </row>
    <row r="255" spans="1:3" x14ac:dyDescent="0.25">
      <c r="A255">
        <v>4475</v>
      </c>
      <c r="B255" t="s">
        <v>390</v>
      </c>
      <c r="C255" t="s">
        <v>391</v>
      </c>
    </row>
    <row r="256" spans="1:3" x14ac:dyDescent="0.25">
      <c r="A256">
        <v>4483</v>
      </c>
      <c r="B256" t="s">
        <v>392</v>
      </c>
      <c r="C256" t="s">
        <v>4</v>
      </c>
    </row>
    <row r="257" spans="1:3" x14ac:dyDescent="0.25">
      <c r="A257">
        <v>4490</v>
      </c>
      <c r="B257" t="s">
        <v>393</v>
      </c>
      <c r="C257" t="e">
        <f>+proj=longlat +ellps=GRQ80 +no_defs</f>
        <v>#NAME?</v>
      </c>
    </row>
    <row r="258" spans="1:3" x14ac:dyDescent="0.25">
      <c r="A258">
        <v>4555</v>
      </c>
      <c r="B258" t="s">
        <v>394</v>
      </c>
      <c r="C258" t="e">
        <f>+proj=longlat +ellps=krass +no_defs</f>
        <v>#NAME?</v>
      </c>
    </row>
    <row r="259" spans="1:3" x14ac:dyDescent="0.25">
      <c r="A259">
        <v>4558</v>
      </c>
      <c r="B259" t="s">
        <v>395</v>
      </c>
      <c r="C259" t="s">
        <v>4</v>
      </c>
    </row>
    <row r="260" spans="1:3" x14ac:dyDescent="0.25">
      <c r="A260">
        <v>4600</v>
      </c>
      <c r="B260" t="s">
        <v>396</v>
      </c>
      <c r="C260" t="e">
        <f>+proj=longlat +ellps=clrk80 +no_defs</f>
        <v>#NAME?</v>
      </c>
    </row>
    <row r="261" spans="1:3" x14ac:dyDescent="0.25">
      <c r="A261">
        <v>4601</v>
      </c>
      <c r="B261" t="s">
        <v>397</v>
      </c>
      <c r="C261" t="s">
        <v>398</v>
      </c>
    </row>
    <row r="262" spans="1:3" x14ac:dyDescent="0.25">
      <c r="A262">
        <v>4602</v>
      </c>
      <c r="B262" t="s">
        <v>399</v>
      </c>
      <c r="C262" t="s">
        <v>400</v>
      </c>
    </row>
    <row r="263" spans="1:3" x14ac:dyDescent="0.25">
      <c r="A263">
        <v>4603</v>
      </c>
      <c r="B263" t="s">
        <v>401</v>
      </c>
      <c r="C263" t="s">
        <v>402</v>
      </c>
    </row>
    <row r="264" spans="1:3" x14ac:dyDescent="0.25">
      <c r="A264">
        <v>4604</v>
      </c>
      <c r="B264" t="s">
        <v>403</v>
      </c>
      <c r="C264" t="s">
        <v>404</v>
      </c>
    </row>
    <row r="265" spans="1:3" x14ac:dyDescent="0.25">
      <c r="A265">
        <v>4606</v>
      </c>
      <c r="B265" t="s">
        <v>405</v>
      </c>
      <c r="C265" t="s">
        <v>406</v>
      </c>
    </row>
    <row r="266" spans="1:3" x14ac:dyDescent="0.25">
      <c r="A266">
        <v>4607</v>
      </c>
      <c r="B266" t="s">
        <v>407</v>
      </c>
      <c r="C266" t="s">
        <v>408</v>
      </c>
    </row>
    <row r="267" spans="1:3" x14ac:dyDescent="0.25">
      <c r="A267">
        <v>4608</v>
      </c>
      <c r="B267" t="s">
        <v>409</v>
      </c>
      <c r="C267" t="e">
        <f>+proj=longlat +ellps=clrk66 +no_defs</f>
        <v>#NAME?</v>
      </c>
    </row>
    <row r="268" spans="1:3" x14ac:dyDescent="0.25">
      <c r="A268">
        <v>4609</v>
      </c>
      <c r="B268" t="s">
        <v>410</v>
      </c>
      <c r="C268" t="e">
        <f>+proj=longlat +ellps=clrk66 +no_defs</f>
        <v>#NAME?</v>
      </c>
    </row>
    <row r="269" spans="1:3" x14ac:dyDescent="0.25">
      <c r="A269">
        <v>4610</v>
      </c>
      <c r="B269" t="s">
        <v>411</v>
      </c>
      <c r="C269" t="e">
        <f>+proj=longlat +a=6378140 +b=6356755.28815752 +no_defs</f>
        <v>#NAME?</v>
      </c>
    </row>
    <row r="270" spans="1:3" x14ac:dyDescent="0.25">
      <c r="A270">
        <v>4611</v>
      </c>
      <c r="B270" t="s">
        <v>412</v>
      </c>
      <c r="C270" t="s">
        <v>413</v>
      </c>
    </row>
    <row r="271" spans="1:3" x14ac:dyDescent="0.25">
      <c r="A271">
        <v>4612</v>
      </c>
      <c r="B271" t="s">
        <v>414</v>
      </c>
      <c r="C271" t="s">
        <v>4</v>
      </c>
    </row>
    <row r="272" spans="1:3" x14ac:dyDescent="0.25">
      <c r="A272">
        <v>4613</v>
      </c>
      <c r="B272" t="s">
        <v>415</v>
      </c>
      <c r="C272" t="s">
        <v>339</v>
      </c>
    </row>
    <row r="273" spans="1:3" x14ac:dyDescent="0.25">
      <c r="A273">
        <v>4614</v>
      </c>
      <c r="B273" t="s">
        <v>416</v>
      </c>
      <c r="C273" t="s">
        <v>417</v>
      </c>
    </row>
    <row r="274" spans="1:3" x14ac:dyDescent="0.25">
      <c r="A274">
        <v>4615</v>
      </c>
      <c r="B274" t="s">
        <v>418</v>
      </c>
      <c r="C274" t="s">
        <v>419</v>
      </c>
    </row>
    <row r="275" spans="1:3" x14ac:dyDescent="0.25">
      <c r="A275">
        <v>4616</v>
      </c>
      <c r="B275" t="s">
        <v>420</v>
      </c>
      <c r="C275" t="s">
        <v>421</v>
      </c>
    </row>
    <row r="276" spans="1:3" x14ac:dyDescent="0.25">
      <c r="A276">
        <v>4617</v>
      </c>
      <c r="B276" t="s">
        <v>422</v>
      </c>
      <c r="C276" t="s">
        <v>4</v>
      </c>
    </row>
    <row r="277" spans="1:3" x14ac:dyDescent="0.25">
      <c r="A277">
        <v>4618</v>
      </c>
      <c r="B277" t="s">
        <v>423</v>
      </c>
      <c r="C277" t="s">
        <v>424</v>
      </c>
    </row>
    <row r="278" spans="1:3" x14ac:dyDescent="0.25">
      <c r="A278">
        <v>4619</v>
      </c>
      <c r="B278" t="s">
        <v>425</v>
      </c>
      <c r="C278" t="s">
        <v>4</v>
      </c>
    </row>
    <row r="279" spans="1:3" x14ac:dyDescent="0.25">
      <c r="A279">
        <v>4620</v>
      </c>
      <c r="B279" t="s">
        <v>426</v>
      </c>
      <c r="C279" t="s">
        <v>427</v>
      </c>
    </row>
    <row r="280" spans="1:3" x14ac:dyDescent="0.25">
      <c r="A280">
        <v>4621</v>
      </c>
      <c r="B280" t="s">
        <v>428</v>
      </c>
      <c r="C280" t="s">
        <v>429</v>
      </c>
    </row>
    <row r="281" spans="1:3" x14ac:dyDescent="0.25">
      <c r="A281">
        <v>4622</v>
      </c>
      <c r="B281" t="s">
        <v>430</v>
      </c>
      <c r="C281" t="s">
        <v>431</v>
      </c>
    </row>
    <row r="282" spans="1:3" x14ac:dyDescent="0.25">
      <c r="A282">
        <v>4623</v>
      </c>
      <c r="B282" t="s">
        <v>432</v>
      </c>
      <c r="C282" t="s">
        <v>433</v>
      </c>
    </row>
    <row r="283" spans="1:3" x14ac:dyDescent="0.25">
      <c r="A283">
        <v>4624</v>
      </c>
      <c r="B283" t="s">
        <v>434</v>
      </c>
      <c r="C283" t="s">
        <v>4</v>
      </c>
    </row>
    <row r="284" spans="1:3" x14ac:dyDescent="0.25">
      <c r="A284">
        <v>4625</v>
      </c>
      <c r="B284" t="s">
        <v>435</v>
      </c>
      <c r="C284" t="s">
        <v>436</v>
      </c>
    </row>
    <row r="285" spans="1:3" x14ac:dyDescent="0.25">
      <c r="A285">
        <v>4626</v>
      </c>
      <c r="B285" t="s">
        <v>437</v>
      </c>
      <c r="C285" t="s">
        <v>438</v>
      </c>
    </row>
    <row r="286" spans="1:3" x14ac:dyDescent="0.25">
      <c r="A286">
        <v>4627</v>
      </c>
      <c r="B286" t="s">
        <v>439</v>
      </c>
      <c r="C286" t="s">
        <v>4</v>
      </c>
    </row>
    <row r="287" spans="1:3" x14ac:dyDescent="0.25">
      <c r="A287">
        <v>4628</v>
      </c>
      <c r="B287" t="s">
        <v>440</v>
      </c>
      <c r="C287" t="s">
        <v>441</v>
      </c>
    </row>
    <row r="288" spans="1:3" x14ac:dyDescent="0.25">
      <c r="A288">
        <v>4629</v>
      </c>
      <c r="B288" t="s">
        <v>442</v>
      </c>
      <c r="C288" t="s">
        <v>443</v>
      </c>
    </row>
    <row r="289" spans="1:3" x14ac:dyDescent="0.25">
      <c r="A289">
        <v>4630</v>
      </c>
      <c r="B289" t="s">
        <v>444</v>
      </c>
      <c r="C289" t="s">
        <v>445</v>
      </c>
    </row>
    <row r="290" spans="1:3" x14ac:dyDescent="0.25">
      <c r="A290">
        <v>4631</v>
      </c>
      <c r="B290" t="s">
        <v>446</v>
      </c>
      <c r="C290" t="s">
        <v>447</v>
      </c>
    </row>
    <row r="291" spans="1:3" x14ac:dyDescent="0.25">
      <c r="A291">
        <v>4632</v>
      </c>
      <c r="B291" t="s">
        <v>448</v>
      </c>
      <c r="C291" t="s">
        <v>449</v>
      </c>
    </row>
    <row r="292" spans="1:3" x14ac:dyDescent="0.25">
      <c r="A292">
        <v>4633</v>
      </c>
      <c r="B292" t="s">
        <v>450</v>
      </c>
      <c r="C292" t="s">
        <v>451</v>
      </c>
    </row>
    <row r="293" spans="1:3" x14ac:dyDescent="0.25">
      <c r="A293">
        <v>4634</v>
      </c>
      <c r="B293" t="s">
        <v>452</v>
      </c>
      <c r="C293" t="s">
        <v>453</v>
      </c>
    </row>
    <row r="294" spans="1:3" x14ac:dyDescent="0.25">
      <c r="A294">
        <v>4635</v>
      </c>
      <c r="B294" t="s">
        <v>454</v>
      </c>
      <c r="C294" t="s">
        <v>455</v>
      </c>
    </row>
    <row r="295" spans="1:3" x14ac:dyDescent="0.25">
      <c r="A295">
        <v>4636</v>
      </c>
      <c r="B295" t="s">
        <v>456</v>
      </c>
      <c r="C295" t="s">
        <v>457</v>
      </c>
    </row>
    <row r="296" spans="1:3" x14ac:dyDescent="0.25">
      <c r="A296">
        <v>4637</v>
      </c>
      <c r="B296" t="s">
        <v>458</v>
      </c>
      <c r="C296" t="s">
        <v>459</v>
      </c>
    </row>
    <row r="297" spans="1:3" x14ac:dyDescent="0.25">
      <c r="A297">
        <v>4638</v>
      </c>
      <c r="B297" t="s">
        <v>460</v>
      </c>
      <c r="C297" t="s">
        <v>461</v>
      </c>
    </row>
    <row r="298" spans="1:3" x14ac:dyDescent="0.25">
      <c r="A298">
        <v>4639</v>
      </c>
      <c r="B298" t="s">
        <v>462</v>
      </c>
      <c r="C298" t="s">
        <v>463</v>
      </c>
    </row>
    <row r="299" spans="1:3" x14ac:dyDescent="0.25">
      <c r="A299">
        <v>4640</v>
      </c>
      <c r="B299" t="s">
        <v>464</v>
      </c>
      <c r="C299" t="s">
        <v>72</v>
      </c>
    </row>
    <row r="300" spans="1:3" x14ac:dyDescent="0.25">
      <c r="A300">
        <v>4641</v>
      </c>
      <c r="B300" t="s">
        <v>465</v>
      </c>
      <c r="C300" t="s">
        <v>466</v>
      </c>
    </row>
    <row r="301" spans="1:3" x14ac:dyDescent="0.25">
      <c r="A301">
        <v>4642</v>
      </c>
      <c r="B301" t="s">
        <v>467</v>
      </c>
      <c r="C301" t="s">
        <v>453</v>
      </c>
    </row>
    <row r="302" spans="1:3" x14ac:dyDescent="0.25">
      <c r="A302">
        <v>4671</v>
      </c>
      <c r="B302" t="s">
        <v>468</v>
      </c>
      <c r="C302" t="e">
        <f>+proj=longlat +a=6378249.2 +b=6356515 +no_defs</f>
        <v>#NAME?</v>
      </c>
    </row>
    <row r="303" spans="1:3" x14ac:dyDescent="0.25">
      <c r="A303">
        <v>4643</v>
      </c>
      <c r="B303" t="s">
        <v>469</v>
      </c>
      <c r="C303" t="s">
        <v>470</v>
      </c>
    </row>
    <row r="304" spans="1:3" x14ac:dyDescent="0.25">
      <c r="A304">
        <v>4644</v>
      </c>
      <c r="B304" t="s">
        <v>471</v>
      </c>
      <c r="C304" t="s">
        <v>472</v>
      </c>
    </row>
    <row r="305" spans="1:3" x14ac:dyDescent="0.25">
      <c r="A305">
        <v>4645</v>
      </c>
      <c r="B305" t="s">
        <v>473</v>
      </c>
      <c r="C305" t="s">
        <v>474</v>
      </c>
    </row>
    <row r="306" spans="1:3" x14ac:dyDescent="0.25">
      <c r="A306">
        <v>4646</v>
      </c>
      <c r="B306" t="s">
        <v>475</v>
      </c>
      <c r="C306" t="s">
        <v>476</v>
      </c>
    </row>
    <row r="307" spans="1:3" x14ac:dyDescent="0.25">
      <c r="A307">
        <v>4657</v>
      </c>
      <c r="B307" t="s">
        <v>477</v>
      </c>
      <c r="C307" t="s">
        <v>478</v>
      </c>
    </row>
    <row r="308" spans="1:3" x14ac:dyDescent="0.25">
      <c r="A308">
        <v>4658</v>
      </c>
      <c r="B308" t="s">
        <v>479</v>
      </c>
      <c r="C308" t="s">
        <v>480</v>
      </c>
    </row>
    <row r="309" spans="1:3" x14ac:dyDescent="0.25">
      <c r="A309">
        <v>4659</v>
      </c>
      <c r="B309" t="s">
        <v>481</v>
      </c>
      <c r="C309" t="s">
        <v>4</v>
      </c>
    </row>
    <row r="310" spans="1:3" x14ac:dyDescent="0.25">
      <c r="A310">
        <v>4660</v>
      </c>
      <c r="B310" t="s">
        <v>482</v>
      </c>
      <c r="C310" t="s">
        <v>483</v>
      </c>
    </row>
    <row r="311" spans="1:3" x14ac:dyDescent="0.25">
      <c r="A311">
        <v>4661</v>
      </c>
      <c r="B311" t="s">
        <v>484</v>
      </c>
      <c r="C311" t="s">
        <v>4</v>
      </c>
    </row>
    <row r="312" spans="1:3" x14ac:dyDescent="0.25">
      <c r="A312">
        <v>4662</v>
      </c>
      <c r="B312" t="s">
        <v>485</v>
      </c>
      <c r="C312" t="s">
        <v>486</v>
      </c>
    </row>
    <row r="313" spans="1:3" x14ac:dyDescent="0.25">
      <c r="A313">
        <v>4663</v>
      </c>
      <c r="B313" t="s">
        <v>487</v>
      </c>
      <c r="C313" t="s">
        <v>488</v>
      </c>
    </row>
    <row r="314" spans="1:3" x14ac:dyDescent="0.25">
      <c r="A314">
        <v>4664</v>
      </c>
      <c r="B314" t="s">
        <v>489</v>
      </c>
      <c r="C314" t="s">
        <v>490</v>
      </c>
    </row>
    <row r="315" spans="1:3" x14ac:dyDescent="0.25">
      <c r="A315">
        <v>4665</v>
      </c>
      <c r="B315" t="s">
        <v>491</v>
      </c>
      <c r="C315" t="s">
        <v>492</v>
      </c>
    </row>
    <row r="316" spans="1:3" x14ac:dyDescent="0.25">
      <c r="A316">
        <v>4666</v>
      </c>
      <c r="B316" t="s">
        <v>493</v>
      </c>
      <c r="C316" t="s">
        <v>494</v>
      </c>
    </row>
    <row r="317" spans="1:3" x14ac:dyDescent="0.25">
      <c r="A317">
        <v>4667</v>
      </c>
      <c r="B317" t="s">
        <v>495</v>
      </c>
      <c r="C317" t="s">
        <v>72</v>
      </c>
    </row>
    <row r="318" spans="1:3" x14ac:dyDescent="0.25">
      <c r="A318">
        <v>4668</v>
      </c>
      <c r="B318" t="s">
        <v>496</v>
      </c>
      <c r="C318" t="s">
        <v>497</v>
      </c>
    </row>
    <row r="319" spans="1:3" x14ac:dyDescent="0.25">
      <c r="A319">
        <v>4669</v>
      </c>
      <c r="B319" t="s">
        <v>498</v>
      </c>
      <c r="C319" t="s">
        <v>4</v>
      </c>
    </row>
    <row r="320" spans="1:3" x14ac:dyDescent="0.25">
      <c r="A320">
        <v>4670</v>
      </c>
      <c r="B320" t="s">
        <v>499</v>
      </c>
      <c r="C320" t="s">
        <v>72</v>
      </c>
    </row>
    <row r="321" spans="1:3" x14ac:dyDescent="0.25">
      <c r="A321">
        <v>4746</v>
      </c>
      <c r="B321" t="s">
        <v>500</v>
      </c>
      <c r="C321" t="e">
        <f>+proj=longlat +ellps=bessel +no_defs</f>
        <v>#NAME?</v>
      </c>
    </row>
    <row r="322" spans="1:3" x14ac:dyDescent="0.25">
      <c r="A322">
        <v>4672</v>
      </c>
      <c r="B322" t="s">
        <v>501</v>
      </c>
      <c r="C322" t="s">
        <v>502</v>
      </c>
    </row>
    <row r="323" spans="1:3" x14ac:dyDescent="0.25">
      <c r="A323">
        <v>4673</v>
      </c>
      <c r="B323" t="s">
        <v>503</v>
      </c>
      <c r="C323" t="s">
        <v>504</v>
      </c>
    </row>
    <row r="324" spans="1:3" x14ac:dyDescent="0.25">
      <c r="A324">
        <v>4674</v>
      </c>
      <c r="B324" t="s">
        <v>505</v>
      </c>
      <c r="C324" t="s">
        <v>4</v>
      </c>
    </row>
    <row r="325" spans="1:3" x14ac:dyDescent="0.25">
      <c r="A325">
        <v>4675</v>
      </c>
      <c r="B325" t="s">
        <v>506</v>
      </c>
      <c r="C325" t="s">
        <v>507</v>
      </c>
    </row>
    <row r="326" spans="1:3" x14ac:dyDescent="0.25">
      <c r="A326">
        <v>4676</v>
      </c>
      <c r="B326" t="s">
        <v>508</v>
      </c>
      <c r="C326" t="e">
        <f>+proj=longlat +ellps=krass +no_defs</f>
        <v>#NAME?</v>
      </c>
    </row>
    <row r="327" spans="1:3" x14ac:dyDescent="0.25">
      <c r="A327">
        <v>4677</v>
      </c>
      <c r="B327" t="s">
        <v>509</v>
      </c>
      <c r="C327" t="e">
        <f>+proj=longlat +ellps=krass +no_defs</f>
        <v>#NAME?</v>
      </c>
    </row>
    <row r="328" spans="1:3" x14ac:dyDescent="0.25">
      <c r="A328">
        <v>4678</v>
      </c>
      <c r="B328" t="s">
        <v>510</v>
      </c>
      <c r="C328" t="s">
        <v>511</v>
      </c>
    </row>
    <row r="329" spans="1:3" x14ac:dyDescent="0.25">
      <c r="A329">
        <v>4679</v>
      </c>
      <c r="B329" t="s">
        <v>512</v>
      </c>
      <c r="C329" t="s">
        <v>513</v>
      </c>
    </row>
    <row r="330" spans="1:3" x14ac:dyDescent="0.25">
      <c r="A330">
        <v>4680</v>
      </c>
      <c r="B330" t="s">
        <v>514</v>
      </c>
      <c r="C330" t="s">
        <v>515</v>
      </c>
    </row>
    <row r="331" spans="1:3" x14ac:dyDescent="0.25">
      <c r="A331">
        <v>4681</v>
      </c>
      <c r="B331" t="s">
        <v>516</v>
      </c>
      <c r="C331" t="e">
        <f>+proj=longlat +ellps=clrk80 +no_defs</f>
        <v>#NAME?</v>
      </c>
    </row>
    <row r="332" spans="1:3" x14ac:dyDescent="0.25">
      <c r="A332">
        <v>4682</v>
      </c>
      <c r="B332" t="s">
        <v>517</v>
      </c>
      <c r="C332" t="s">
        <v>518</v>
      </c>
    </row>
    <row r="333" spans="1:3" x14ac:dyDescent="0.25">
      <c r="A333">
        <v>4683</v>
      </c>
      <c r="B333" t="s">
        <v>519</v>
      </c>
      <c r="C333" t="s">
        <v>520</v>
      </c>
    </row>
    <row r="334" spans="1:3" x14ac:dyDescent="0.25">
      <c r="A334">
        <v>4684</v>
      </c>
      <c r="B334" t="s">
        <v>521</v>
      </c>
      <c r="C334" t="s">
        <v>238</v>
      </c>
    </row>
    <row r="335" spans="1:3" x14ac:dyDescent="0.25">
      <c r="A335">
        <v>4685</v>
      </c>
      <c r="B335" t="s">
        <v>522</v>
      </c>
      <c r="C335" t="e">
        <f>+proj=longlat +ellps=intl +no_defs</f>
        <v>#NAME?</v>
      </c>
    </row>
    <row r="336" spans="1:3" x14ac:dyDescent="0.25">
      <c r="A336">
        <v>4686</v>
      </c>
      <c r="B336" t="s">
        <v>523</v>
      </c>
      <c r="C336" t="s">
        <v>4</v>
      </c>
    </row>
    <row r="337" spans="1:3" x14ac:dyDescent="0.25">
      <c r="A337">
        <v>4687</v>
      </c>
      <c r="B337" t="s">
        <v>524</v>
      </c>
      <c r="C337" t="s">
        <v>525</v>
      </c>
    </row>
    <row r="338" spans="1:3" x14ac:dyDescent="0.25">
      <c r="A338">
        <v>4688</v>
      </c>
      <c r="B338" t="s">
        <v>526</v>
      </c>
      <c r="C338" t="s">
        <v>527</v>
      </c>
    </row>
    <row r="339" spans="1:3" x14ac:dyDescent="0.25">
      <c r="A339">
        <v>4689</v>
      </c>
      <c r="B339" t="s">
        <v>528</v>
      </c>
      <c r="C339" t="s">
        <v>529</v>
      </c>
    </row>
    <row r="340" spans="1:3" x14ac:dyDescent="0.25">
      <c r="A340">
        <v>7039</v>
      </c>
      <c r="B340" t="s">
        <v>530</v>
      </c>
      <c r="C340" t="e">
        <f>+proj=longlat +ellps=GRQ80 +no_defs</f>
        <v>#NAME?</v>
      </c>
    </row>
    <row r="341" spans="1:3" x14ac:dyDescent="0.25">
      <c r="A341">
        <v>4690</v>
      </c>
      <c r="B341" t="s">
        <v>531</v>
      </c>
      <c r="C341" t="s">
        <v>532</v>
      </c>
    </row>
    <row r="342" spans="1:3" x14ac:dyDescent="0.25">
      <c r="A342">
        <v>4691</v>
      </c>
      <c r="B342" t="s">
        <v>533</v>
      </c>
      <c r="C342" t="s">
        <v>534</v>
      </c>
    </row>
    <row r="343" spans="1:3" x14ac:dyDescent="0.25">
      <c r="A343">
        <v>4692</v>
      </c>
      <c r="B343" t="s">
        <v>535</v>
      </c>
      <c r="C343" t="s">
        <v>536</v>
      </c>
    </row>
    <row r="344" spans="1:3" x14ac:dyDescent="0.25">
      <c r="A344">
        <v>4693</v>
      </c>
      <c r="B344" t="s">
        <v>537</v>
      </c>
      <c r="C344" t="s">
        <v>538</v>
      </c>
    </row>
    <row r="345" spans="1:3" x14ac:dyDescent="0.25">
      <c r="A345">
        <v>4694</v>
      </c>
      <c r="B345" t="s">
        <v>539</v>
      </c>
      <c r="C345" t="s">
        <v>72</v>
      </c>
    </row>
    <row r="346" spans="1:3" x14ac:dyDescent="0.25">
      <c r="A346">
        <v>4695</v>
      </c>
      <c r="B346" t="s">
        <v>540</v>
      </c>
      <c r="C346" t="s">
        <v>541</v>
      </c>
    </row>
    <row r="347" spans="1:3" x14ac:dyDescent="0.25">
      <c r="A347">
        <v>4696</v>
      </c>
      <c r="B347" t="s">
        <v>542</v>
      </c>
      <c r="C347" t="e">
        <f>+proj=longlat +ellps=clrk80 +no_defs</f>
        <v>#NAME?</v>
      </c>
    </row>
    <row r="348" spans="1:3" x14ac:dyDescent="0.25">
      <c r="A348">
        <v>4697</v>
      </c>
      <c r="B348" t="s">
        <v>543</v>
      </c>
      <c r="C348" t="e">
        <f>+proj=longlat +ellps=clrk80 +no_defs</f>
        <v>#NAME?</v>
      </c>
    </row>
    <row r="349" spans="1:3" x14ac:dyDescent="0.25">
      <c r="A349">
        <v>4698</v>
      </c>
      <c r="B349" t="s">
        <v>544</v>
      </c>
      <c r="C349" t="s">
        <v>447</v>
      </c>
    </row>
    <row r="350" spans="1:3" x14ac:dyDescent="0.25">
      <c r="A350">
        <v>4699</v>
      </c>
      <c r="B350" t="s">
        <v>545</v>
      </c>
      <c r="C350" t="s">
        <v>546</v>
      </c>
    </row>
    <row r="351" spans="1:3" x14ac:dyDescent="0.25">
      <c r="A351">
        <v>4700</v>
      </c>
      <c r="B351" t="s">
        <v>547</v>
      </c>
      <c r="C351" t="e">
        <f>+proj=longlat +ellps=clrk80 +no_defs</f>
        <v>#NAME?</v>
      </c>
    </row>
    <row r="352" spans="1:3" x14ac:dyDescent="0.25">
      <c r="A352">
        <v>4701</v>
      </c>
      <c r="B352" t="s">
        <v>548</v>
      </c>
      <c r="C352" t="s">
        <v>549</v>
      </c>
    </row>
    <row r="353" spans="1:3" x14ac:dyDescent="0.25">
      <c r="A353">
        <v>4702</v>
      </c>
      <c r="B353" t="s">
        <v>550</v>
      </c>
      <c r="C353" t="s">
        <v>4</v>
      </c>
    </row>
    <row r="354" spans="1:3" x14ac:dyDescent="0.25">
      <c r="A354">
        <v>4703</v>
      </c>
      <c r="B354" t="s">
        <v>551</v>
      </c>
      <c r="C354" t="e">
        <f>+proj=longlat +ellps=clrk80 +no_defs</f>
        <v>#NAME?</v>
      </c>
    </row>
    <row r="355" spans="1:3" x14ac:dyDescent="0.25">
      <c r="A355">
        <v>4704</v>
      </c>
      <c r="B355" t="s">
        <v>552</v>
      </c>
      <c r="C355" t="e">
        <f>+proj=longlat +ellps=intl +no_defs</f>
        <v>#NAME?</v>
      </c>
    </row>
    <row r="356" spans="1:3" x14ac:dyDescent="0.25">
      <c r="A356">
        <v>4705</v>
      </c>
      <c r="B356" t="s">
        <v>553</v>
      </c>
      <c r="C356" t="e">
        <f>+proj=longlat +ellps=intl +no_defs</f>
        <v>#NAME?</v>
      </c>
    </row>
    <row r="357" spans="1:3" x14ac:dyDescent="0.25">
      <c r="A357">
        <v>4706</v>
      </c>
      <c r="B357" t="s">
        <v>554</v>
      </c>
      <c r="C357" t="s">
        <v>555</v>
      </c>
    </row>
    <row r="358" spans="1:3" x14ac:dyDescent="0.25">
      <c r="A358">
        <v>4707</v>
      </c>
      <c r="B358" t="s">
        <v>556</v>
      </c>
      <c r="C358" t="s">
        <v>557</v>
      </c>
    </row>
    <row r="359" spans="1:3" x14ac:dyDescent="0.25">
      <c r="A359">
        <v>4708</v>
      </c>
      <c r="B359" t="s">
        <v>558</v>
      </c>
      <c r="C359" t="s">
        <v>559</v>
      </c>
    </row>
    <row r="360" spans="1:3" x14ac:dyDescent="0.25">
      <c r="A360">
        <v>4709</v>
      </c>
      <c r="B360" t="s">
        <v>560</v>
      </c>
      <c r="C360" t="s">
        <v>561</v>
      </c>
    </row>
    <row r="361" spans="1:3" x14ac:dyDescent="0.25">
      <c r="A361">
        <v>4710</v>
      </c>
      <c r="B361" t="s">
        <v>562</v>
      </c>
      <c r="C361" t="s">
        <v>563</v>
      </c>
    </row>
    <row r="362" spans="1:3" x14ac:dyDescent="0.25">
      <c r="A362">
        <v>4711</v>
      </c>
      <c r="B362" t="s">
        <v>564</v>
      </c>
      <c r="C362" t="s">
        <v>565</v>
      </c>
    </row>
    <row r="363" spans="1:3" x14ac:dyDescent="0.25">
      <c r="A363">
        <v>4712</v>
      </c>
      <c r="B363" t="s">
        <v>566</v>
      </c>
      <c r="C363" t="s">
        <v>567</v>
      </c>
    </row>
    <row r="364" spans="1:3" x14ac:dyDescent="0.25">
      <c r="A364">
        <v>4713</v>
      </c>
      <c r="B364" t="s">
        <v>568</v>
      </c>
      <c r="C364" t="s">
        <v>569</v>
      </c>
    </row>
    <row r="365" spans="1:3" x14ac:dyDescent="0.25">
      <c r="A365">
        <v>4714</v>
      </c>
      <c r="B365" t="s">
        <v>570</v>
      </c>
      <c r="C365" t="s">
        <v>571</v>
      </c>
    </row>
    <row r="366" spans="1:3" x14ac:dyDescent="0.25">
      <c r="A366">
        <v>4715</v>
      </c>
      <c r="B366" t="s">
        <v>572</v>
      </c>
      <c r="C366" t="s">
        <v>573</v>
      </c>
    </row>
    <row r="367" spans="1:3" x14ac:dyDescent="0.25">
      <c r="A367">
        <v>4716</v>
      </c>
      <c r="B367" t="s">
        <v>574</v>
      </c>
      <c r="C367" t="s">
        <v>575</v>
      </c>
    </row>
    <row r="368" spans="1:3" x14ac:dyDescent="0.25">
      <c r="A368">
        <v>4717</v>
      </c>
      <c r="B368" t="s">
        <v>576</v>
      </c>
      <c r="C368" t="s">
        <v>577</v>
      </c>
    </row>
    <row r="369" spans="1:3" x14ac:dyDescent="0.25">
      <c r="A369">
        <v>4718</v>
      </c>
      <c r="B369" t="s">
        <v>578</v>
      </c>
      <c r="C369" t="s">
        <v>579</v>
      </c>
    </row>
    <row r="370" spans="1:3" x14ac:dyDescent="0.25">
      <c r="A370">
        <v>4719</v>
      </c>
      <c r="B370" t="s">
        <v>580</v>
      </c>
      <c r="C370" t="s">
        <v>581</v>
      </c>
    </row>
    <row r="371" spans="1:3" x14ac:dyDescent="0.25">
      <c r="A371">
        <v>4720</v>
      </c>
      <c r="B371" t="s">
        <v>582</v>
      </c>
      <c r="C371" t="s">
        <v>384</v>
      </c>
    </row>
    <row r="372" spans="1:3" x14ac:dyDescent="0.25">
      <c r="A372">
        <v>4721</v>
      </c>
      <c r="B372" t="s">
        <v>583</v>
      </c>
      <c r="C372" t="s">
        <v>584</v>
      </c>
    </row>
    <row r="373" spans="1:3" x14ac:dyDescent="0.25">
      <c r="A373">
        <v>4722</v>
      </c>
      <c r="B373" t="s">
        <v>585</v>
      </c>
      <c r="C373" t="s">
        <v>586</v>
      </c>
    </row>
    <row r="374" spans="1:3" x14ac:dyDescent="0.25">
      <c r="A374">
        <v>4723</v>
      </c>
      <c r="B374" t="s">
        <v>587</v>
      </c>
      <c r="C374" t="s">
        <v>588</v>
      </c>
    </row>
    <row r="375" spans="1:3" x14ac:dyDescent="0.25">
      <c r="A375">
        <v>4724</v>
      </c>
      <c r="B375" t="s">
        <v>589</v>
      </c>
      <c r="C375" t="s">
        <v>590</v>
      </c>
    </row>
    <row r="376" spans="1:3" x14ac:dyDescent="0.25">
      <c r="A376">
        <v>4725</v>
      </c>
      <c r="B376" t="s">
        <v>591</v>
      </c>
      <c r="C376" t="s">
        <v>592</v>
      </c>
    </row>
    <row r="377" spans="1:3" x14ac:dyDescent="0.25">
      <c r="A377">
        <v>4726</v>
      </c>
      <c r="B377" t="s">
        <v>593</v>
      </c>
      <c r="C377" t="s">
        <v>594</v>
      </c>
    </row>
    <row r="378" spans="1:3" x14ac:dyDescent="0.25">
      <c r="A378">
        <v>4727</v>
      </c>
      <c r="B378" t="s">
        <v>595</v>
      </c>
      <c r="C378" t="s">
        <v>596</v>
      </c>
    </row>
    <row r="379" spans="1:3" x14ac:dyDescent="0.25">
      <c r="A379">
        <v>4728</v>
      </c>
      <c r="B379" t="s">
        <v>597</v>
      </c>
      <c r="C379" t="s">
        <v>598</v>
      </c>
    </row>
    <row r="380" spans="1:3" x14ac:dyDescent="0.25">
      <c r="A380">
        <v>4729</v>
      </c>
      <c r="B380" t="s">
        <v>599</v>
      </c>
      <c r="C380" t="s">
        <v>600</v>
      </c>
    </row>
    <row r="381" spans="1:3" x14ac:dyDescent="0.25">
      <c r="A381">
        <v>4730</v>
      </c>
      <c r="B381" t="s">
        <v>601</v>
      </c>
      <c r="C381" t="s">
        <v>602</v>
      </c>
    </row>
    <row r="382" spans="1:3" x14ac:dyDescent="0.25">
      <c r="A382">
        <v>4731</v>
      </c>
      <c r="B382" t="s">
        <v>603</v>
      </c>
      <c r="C382" t="s">
        <v>604</v>
      </c>
    </row>
    <row r="383" spans="1:3" x14ac:dyDescent="0.25">
      <c r="A383">
        <v>4732</v>
      </c>
      <c r="B383" t="s">
        <v>605</v>
      </c>
      <c r="C383" t="s">
        <v>606</v>
      </c>
    </row>
    <row r="384" spans="1:3" x14ac:dyDescent="0.25">
      <c r="A384">
        <v>4733</v>
      </c>
      <c r="B384" t="s">
        <v>607</v>
      </c>
      <c r="C384" t="s">
        <v>608</v>
      </c>
    </row>
    <row r="385" spans="1:3" x14ac:dyDescent="0.25">
      <c r="A385">
        <v>4734</v>
      </c>
      <c r="B385" t="s">
        <v>609</v>
      </c>
      <c r="C385" t="s">
        <v>610</v>
      </c>
    </row>
    <row r="386" spans="1:3" x14ac:dyDescent="0.25">
      <c r="A386">
        <v>4735</v>
      </c>
      <c r="B386" t="s">
        <v>611</v>
      </c>
      <c r="C386" t="s">
        <v>612</v>
      </c>
    </row>
    <row r="387" spans="1:3" x14ac:dyDescent="0.25">
      <c r="A387">
        <v>4736</v>
      </c>
      <c r="B387" t="s">
        <v>613</v>
      </c>
      <c r="C387" t="s">
        <v>614</v>
      </c>
    </row>
    <row r="388" spans="1:3" x14ac:dyDescent="0.25">
      <c r="A388">
        <v>4737</v>
      </c>
      <c r="B388" t="s">
        <v>615</v>
      </c>
      <c r="C388" t="s">
        <v>4</v>
      </c>
    </row>
    <row r="389" spans="1:3" x14ac:dyDescent="0.25">
      <c r="A389">
        <v>4738</v>
      </c>
      <c r="B389" t="s">
        <v>616</v>
      </c>
      <c r="C389" t="e">
        <f>+proj=longlat +a=6378293.64520875 +b=6356617.98767983 +no_defs</f>
        <v>#NAME?</v>
      </c>
    </row>
    <row r="390" spans="1:3" x14ac:dyDescent="0.25">
      <c r="A390">
        <v>4739</v>
      </c>
      <c r="B390" t="s">
        <v>617</v>
      </c>
      <c r="C390" t="s">
        <v>618</v>
      </c>
    </row>
    <row r="391" spans="1:3" x14ac:dyDescent="0.25">
      <c r="A391">
        <v>4740</v>
      </c>
      <c r="B391" t="s">
        <v>619</v>
      </c>
      <c r="C391" t="s">
        <v>620</v>
      </c>
    </row>
    <row r="392" spans="1:3" x14ac:dyDescent="0.25">
      <c r="A392">
        <v>4741</v>
      </c>
      <c r="B392" t="s">
        <v>621</v>
      </c>
      <c r="C392" t="e">
        <f>+proj=longlat +ellps=intl +no_defs</f>
        <v>#NAME?</v>
      </c>
    </row>
    <row r="393" spans="1:3" x14ac:dyDescent="0.25">
      <c r="A393">
        <v>4742</v>
      </c>
      <c r="B393" t="s">
        <v>622</v>
      </c>
      <c r="C393" t="e">
        <f>+proj=longlat +ellps=GRQ80 +no_defs</f>
        <v>#NAME?</v>
      </c>
    </row>
    <row r="394" spans="1:3" x14ac:dyDescent="0.25">
      <c r="A394">
        <v>4743</v>
      </c>
      <c r="B394" t="s">
        <v>623</v>
      </c>
      <c r="C394" t="s">
        <v>624</v>
      </c>
    </row>
    <row r="395" spans="1:3" x14ac:dyDescent="0.25">
      <c r="A395">
        <v>4744</v>
      </c>
      <c r="B395" t="s">
        <v>625</v>
      </c>
      <c r="C395" t="s">
        <v>626</v>
      </c>
    </row>
    <row r="396" spans="1:3" x14ac:dyDescent="0.25">
      <c r="A396">
        <v>4745</v>
      </c>
      <c r="B396" t="s">
        <v>627</v>
      </c>
      <c r="C396" t="e">
        <f>+proj=longlat +ellps=bessel +no_defs</f>
        <v>#NAME?</v>
      </c>
    </row>
    <row r="397" spans="1:3" x14ac:dyDescent="0.25">
      <c r="A397">
        <v>4747</v>
      </c>
      <c r="B397" t="s">
        <v>628</v>
      </c>
      <c r="C397" t="s">
        <v>4</v>
      </c>
    </row>
    <row r="398" spans="1:3" x14ac:dyDescent="0.25">
      <c r="A398">
        <v>4748</v>
      </c>
      <c r="B398" t="s">
        <v>629</v>
      </c>
      <c r="C398" t="s">
        <v>630</v>
      </c>
    </row>
    <row r="399" spans="1:3" x14ac:dyDescent="0.25">
      <c r="A399">
        <v>4749</v>
      </c>
      <c r="B399" t="s">
        <v>631</v>
      </c>
      <c r="C399" t="s">
        <v>4</v>
      </c>
    </row>
    <row r="400" spans="1:3" x14ac:dyDescent="0.25">
      <c r="A400">
        <v>4750</v>
      </c>
      <c r="B400" t="s">
        <v>632</v>
      </c>
      <c r="C400" t="s">
        <v>633</v>
      </c>
    </row>
    <row r="401" spans="1:3" x14ac:dyDescent="0.25">
      <c r="A401">
        <v>4751</v>
      </c>
      <c r="B401" t="s">
        <v>634</v>
      </c>
      <c r="C401" t="e">
        <f>+proj=longlat +a=6377295.664 +b=6356094.6679152 +no_defs</f>
        <v>#NAME?</v>
      </c>
    </row>
    <row r="402" spans="1:3" x14ac:dyDescent="0.25">
      <c r="A402">
        <v>4752</v>
      </c>
      <c r="B402" t="s">
        <v>635</v>
      </c>
      <c r="C402" t="s">
        <v>636</v>
      </c>
    </row>
    <row r="403" spans="1:3" x14ac:dyDescent="0.25">
      <c r="A403">
        <v>4753</v>
      </c>
      <c r="B403" t="s">
        <v>637</v>
      </c>
      <c r="C403" t="e">
        <f>+proj=longlat +ellps=intl +no_defs</f>
        <v>#NAME?</v>
      </c>
    </row>
    <row r="404" spans="1:3" x14ac:dyDescent="0.25">
      <c r="A404">
        <v>4754</v>
      </c>
      <c r="B404" t="s">
        <v>638</v>
      </c>
      <c r="C404" t="s">
        <v>639</v>
      </c>
    </row>
    <row r="405" spans="1:3" x14ac:dyDescent="0.25">
      <c r="A405">
        <v>4755</v>
      </c>
      <c r="B405" t="s">
        <v>640</v>
      </c>
      <c r="C405" t="s">
        <v>72</v>
      </c>
    </row>
    <row r="406" spans="1:3" x14ac:dyDescent="0.25">
      <c r="A406">
        <v>4756</v>
      </c>
      <c r="B406" t="s">
        <v>641</v>
      </c>
      <c r="C406" t="s">
        <v>642</v>
      </c>
    </row>
    <row r="407" spans="1:3" x14ac:dyDescent="0.25">
      <c r="A407">
        <v>4757</v>
      </c>
      <c r="B407" t="s">
        <v>643</v>
      </c>
      <c r="C407" t="e">
        <f>+proj=longlat +ellps=WGQ84 +no_defs</f>
        <v>#NAME?</v>
      </c>
    </row>
    <row r="408" spans="1:3" x14ac:dyDescent="0.25">
      <c r="A408">
        <v>4758</v>
      </c>
      <c r="B408" t="s">
        <v>644</v>
      </c>
      <c r="C408" t="s">
        <v>72</v>
      </c>
    </row>
    <row r="409" spans="1:3" x14ac:dyDescent="0.25">
      <c r="A409">
        <v>4759</v>
      </c>
      <c r="B409" t="s">
        <v>645</v>
      </c>
      <c r="C409" t="s">
        <v>4</v>
      </c>
    </row>
    <row r="410" spans="1:3" x14ac:dyDescent="0.25">
      <c r="A410">
        <v>4760</v>
      </c>
      <c r="B410" t="s">
        <v>646</v>
      </c>
      <c r="C410" t="e">
        <f>+proj=longlat +ellps=WGQ66 +no_defs</f>
        <v>#NAME?</v>
      </c>
    </row>
    <row r="411" spans="1:3" x14ac:dyDescent="0.25">
      <c r="A411">
        <v>4761</v>
      </c>
      <c r="B411" t="s">
        <v>647</v>
      </c>
      <c r="C411" t="s">
        <v>4</v>
      </c>
    </row>
    <row r="412" spans="1:3" x14ac:dyDescent="0.25">
      <c r="A412">
        <v>4762</v>
      </c>
      <c r="B412" t="s">
        <v>648</v>
      </c>
      <c r="C412" t="s">
        <v>72</v>
      </c>
    </row>
    <row r="413" spans="1:3" x14ac:dyDescent="0.25">
      <c r="A413">
        <v>4763</v>
      </c>
      <c r="B413" t="s">
        <v>649</v>
      </c>
      <c r="C413" t="s">
        <v>72</v>
      </c>
    </row>
    <row r="414" spans="1:3" x14ac:dyDescent="0.25">
      <c r="A414">
        <v>4764</v>
      </c>
      <c r="B414" t="s">
        <v>650</v>
      </c>
      <c r="C414" t="s">
        <v>4</v>
      </c>
    </row>
    <row r="415" spans="1:3" x14ac:dyDescent="0.25">
      <c r="A415">
        <v>4765</v>
      </c>
      <c r="B415" t="s">
        <v>651</v>
      </c>
      <c r="C415" t="s">
        <v>4</v>
      </c>
    </row>
    <row r="416" spans="1:3" x14ac:dyDescent="0.25">
      <c r="A416">
        <v>4801</v>
      </c>
      <c r="B416" t="s">
        <v>652</v>
      </c>
      <c r="C416" t="s">
        <v>653</v>
      </c>
    </row>
    <row r="417" spans="1:3" x14ac:dyDescent="0.25">
      <c r="A417">
        <v>4802</v>
      </c>
      <c r="B417" t="s">
        <v>654</v>
      </c>
      <c r="C417" t="s">
        <v>655</v>
      </c>
    </row>
    <row r="418" spans="1:3" x14ac:dyDescent="0.25">
      <c r="A418">
        <v>4803</v>
      </c>
      <c r="B418" t="s">
        <v>656</v>
      </c>
      <c r="C418" t="s">
        <v>657</v>
      </c>
    </row>
    <row r="419" spans="1:3" x14ac:dyDescent="0.25">
      <c r="A419">
        <v>4804</v>
      </c>
      <c r="B419" t="s">
        <v>658</v>
      </c>
      <c r="C419" t="s">
        <v>659</v>
      </c>
    </row>
    <row r="420" spans="1:3" x14ac:dyDescent="0.25">
      <c r="A420">
        <v>4805</v>
      </c>
      <c r="B420" t="s">
        <v>660</v>
      </c>
      <c r="C420" t="s">
        <v>661</v>
      </c>
    </row>
    <row r="421" spans="1:3" x14ac:dyDescent="0.25">
      <c r="A421">
        <v>4806</v>
      </c>
      <c r="B421" t="s">
        <v>662</v>
      </c>
      <c r="C421" t="s">
        <v>663</v>
      </c>
    </row>
    <row r="422" spans="1:3" x14ac:dyDescent="0.25">
      <c r="A422">
        <v>4807</v>
      </c>
      <c r="B422" t="s">
        <v>664</v>
      </c>
      <c r="C422" t="s">
        <v>665</v>
      </c>
    </row>
    <row r="423" spans="1:3" x14ac:dyDescent="0.25">
      <c r="A423">
        <v>4808</v>
      </c>
      <c r="B423" t="s">
        <v>666</v>
      </c>
      <c r="C423" t="e">
        <f>+proj=longlat +ellps=bessel +pm=jakarta +no_defs</f>
        <v>#NAME?</v>
      </c>
    </row>
    <row r="424" spans="1:3" x14ac:dyDescent="0.25">
      <c r="A424">
        <v>4809</v>
      </c>
      <c r="B424" t="s">
        <v>667</v>
      </c>
      <c r="C424" t="e">
        <f>+proj=longlat +ellps=intl +pm=brussels +no_defs</f>
        <v>#NAME?</v>
      </c>
    </row>
    <row r="425" spans="1:3" x14ac:dyDescent="0.25">
      <c r="A425">
        <v>4810</v>
      </c>
      <c r="B425" t="s">
        <v>668</v>
      </c>
      <c r="C425" t="s">
        <v>669</v>
      </c>
    </row>
    <row r="426" spans="1:3" x14ac:dyDescent="0.25">
      <c r="A426">
        <v>4811</v>
      </c>
      <c r="B426" t="s">
        <v>670</v>
      </c>
      <c r="C426" t="s">
        <v>671</v>
      </c>
    </row>
    <row r="427" spans="1:3" x14ac:dyDescent="0.25">
      <c r="A427">
        <v>4813</v>
      </c>
      <c r="B427" t="s">
        <v>672</v>
      </c>
      <c r="C427" t="s">
        <v>673</v>
      </c>
    </row>
    <row r="428" spans="1:3" x14ac:dyDescent="0.25">
      <c r="A428">
        <v>4814</v>
      </c>
      <c r="B428" t="s">
        <v>674</v>
      </c>
      <c r="C428" t="e">
        <f>+proj=longlat +ellps=bessel +pm=stockholm +no_defs</f>
        <v>#NAME?</v>
      </c>
    </row>
    <row r="429" spans="1:3" x14ac:dyDescent="0.25">
      <c r="A429">
        <v>4815</v>
      </c>
      <c r="B429" t="s">
        <v>675</v>
      </c>
      <c r="C429" t="e">
        <f>+proj=longlat +ellps=bessel +pm=athens +no_defs</f>
        <v>#NAME?</v>
      </c>
    </row>
    <row r="430" spans="1:3" x14ac:dyDescent="0.25">
      <c r="A430">
        <v>4816</v>
      </c>
      <c r="B430" t="s">
        <v>676</v>
      </c>
      <c r="C430" t="s">
        <v>677</v>
      </c>
    </row>
    <row r="431" spans="1:3" x14ac:dyDescent="0.25">
      <c r="A431">
        <v>4817</v>
      </c>
      <c r="B431" t="s">
        <v>678</v>
      </c>
      <c r="C431" t="s">
        <v>679</v>
      </c>
    </row>
    <row r="432" spans="1:3" x14ac:dyDescent="0.25">
      <c r="A432">
        <v>4818</v>
      </c>
      <c r="B432" t="s">
        <v>680</v>
      </c>
      <c r="C432" t="s">
        <v>681</v>
      </c>
    </row>
    <row r="433" spans="1:3" x14ac:dyDescent="0.25">
      <c r="A433">
        <v>7041</v>
      </c>
      <c r="B433" t="s">
        <v>682</v>
      </c>
      <c r="C433" t="e">
        <f>+proj=longlat +ellps=GRQ80 +no_defs</f>
        <v>#NAME?</v>
      </c>
    </row>
    <row r="434" spans="1:3" x14ac:dyDescent="0.25">
      <c r="A434">
        <v>4819</v>
      </c>
      <c r="B434" t="s">
        <v>683</v>
      </c>
      <c r="C434" t="s">
        <v>684</v>
      </c>
    </row>
    <row r="435" spans="1:3" x14ac:dyDescent="0.25">
      <c r="A435">
        <v>4820</v>
      </c>
      <c r="B435" t="s">
        <v>685</v>
      </c>
      <c r="C435" t="s">
        <v>686</v>
      </c>
    </row>
    <row r="436" spans="1:3" x14ac:dyDescent="0.25">
      <c r="A436">
        <v>4821</v>
      </c>
      <c r="B436" t="s">
        <v>687</v>
      </c>
      <c r="C436" t="e">
        <f>+proj=longlat +a=6378249.2 +b=6356515 +pm=paris +no_defs</f>
        <v>#NAME?</v>
      </c>
    </row>
    <row r="437" spans="1:3" x14ac:dyDescent="0.25">
      <c r="A437">
        <v>4823</v>
      </c>
      <c r="B437" t="s">
        <v>688</v>
      </c>
      <c r="C437" t="e">
        <f>+proj=longlat +ellps=intl +no_defs</f>
        <v>#NAME?</v>
      </c>
    </row>
    <row r="438" spans="1:3" x14ac:dyDescent="0.25">
      <c r="A438">
        <v>4824</v>
      </c>
      <c r="B438" t="s">
        <v>689</v>
      </c>
      <c r="C438" t="e">
        <f>+proj=longlat +ellps=intl +no_defs</f>
        <v>#NAME?</v>
      </c>
    </row>
    <row r="439" spans="1:3" x14ac:dyDescent="0.25">
      <c r="A439">
        <v>4901</v>
      </c>
      <c r="B439" t="s">
        <v>690</v>
      </c>
      <c r="C439" t="e">
        <f>+proj=longlat +a=6376523 +b=6355862.93325557 +pm=2.33720833333333 +no_defs</f>
        <v>#NAME?</v>
      </c>
    </row>
    <row r="440" spans="1:3" x14ac:dyDescent="0.25">
      <c r="A440">
        <v>4902</v>
      </c>
      <c r="B440" t="s">
        <v>691</v>
      </c>
      <c r="C440" t="e">
        <f>+proj=longlat +a=6376523 +b=6355862.93325557 +pm=paris +no_defs</f>
        <v>#NAME?</v>
      </c>
    </row>
    <row r="441" spans="1:3" x14ac:dyDescent="0.25">
      <c r="A441">
        <v>4903</v>
      </c>
      <c r="B441" t="s">
        <v>692</v>
      </c>
      <c r="C441" t="e">
        <f>+proj=longlat +a=6378298.3 +b=6356657.14266956 +pm=madrid +no_defs</f>
        <v>#NAME?</v>
      </c>
    </row>
    <row r="442" spans="1:3" x14ac:dyDescent="0.25">
      <c r="A442">
        <v>4904</v>
      </c>
      <c r="B442" t="s">
        <v>693</v>
      </c>
      <c r="C442" t="s">
        <v>694</v>
      </c>
    </row>
    <row r="443" spans="1:3" x14ac:dyDescent="0.25">
      <c r="A443">
        <v>5013</v>
      </c>
      <c r="B443" t="s">
        <v>695</v>
      </c>
      <c r="C443" t="s">
        <v>4</v>
      </c>
    </row>
    <row r="444" spans="1:3" x14ac:dyDescent="0.25">
      <c r="A444">
        <v>5132</v>
      </c>
      <c r="B444" t="s">
        <v>696</v>
      </c>
      <c r="C444" t="e">
        <f>+proj=longlat +ellps=bessel +no_defs</f>
        <v>#NAME?</v>
      </c>
    </row>
    <row r="445" spans="1:3" x14ac:dyDescent="0.25">
      <c r="A445">
        <v>5228</v>
      </c>
      <c r="B445" t="s">
        <v>697</v>
      </c>
      <c r="C445" t="s">
        <v>698</v>
      </c>
    </row>
    <row r="446" spans="1:3" x14ac:dyDescent="0.25">
      <c r="A446">
        <v>5229</v>
      </c>
      <c r="B446" t="s">
        <v>699</v>
      </c>
      <c r="C446" t="s">
        <v>700</v>
      </c>
    </row>
    <row r="447" spans="1:3" x14ac:dyDescent="0.25">
      <c r="A447">
        <v>5233</v>
      </c>
      <c r="B447" t="s">
        <v>701</v>
      </c>
      <c r="C447" t="s">
        <v>702</v>
      </c>
    </row>
    <row r="448" spans="1:3" x14ac:dyDescent="0.25">
      <c r="A448">
        <v>5246</v>
      </c>
      <c r="B448" t="s">
        <v>703</v>
      </c>
      <c r="C448" t="s">
        <v>4</v>
      </c>
    </row>
    <row r="449" spans="1:3" x14ac:dyDescent="0.25">
      <c r="A449">
        <v>5252</v>
      </c>
      <c r="B449" t="s">
        <v>704</v>
      </c>
      <c r="C449" t="s">
        <v>4</v>
      </c>
    </row>
    <row r="450" spans="1:3" x14ac:dyDescent="0.25">
      <c r="A450">
        <v>5264</v>
      </c>
      <c r="B450" t="s">
        <v>705</v>
      </c>
      <c r="C450" t="s">
        <v>4</v>
      </c>
    </row>
    <row r="451" spans="1:3" x14ac:dyDescent="0.25">
      <c r="A451">
        <v>5324</v>
      </c>
      <c r="B451" t="s">
        <v>706</v>
      </c>
      <c r="C451" t="s">
        <v>4</v>
      </c>
    </row>
    <row r="452" spans="1:3" x14ac:dyDescent="0.25">
      <c r="A452">
        <v>5340</v>
      </c>
      <c r="B452" t="s">
        <v>707</v>
      </c>
      <c r="C452" t="s">
        <v>4</v>
      </c>
    </row>
    <row r="453" spans="1:3" x14ac:dyDescent="0.25">
      <c r="A453">
        <v>5354</v>
      </c>
      <c r="B453" t="s">
        <v>708</v>
      </c>
      <c r="C453" t="s">
        <v>4</v>
      </c>
    </row>
    <row r="454" spans="1:3" x14ac:dyDescent="0.25">
      <c r="A454">
        <v>5360</v>
      </c>
      <c r="B454" t="s">
        <v>709</v>
      </c>
      <c r="C454" t="s">
        <v>4</v>
      </c>
    </row>
    <row r="455" spans="1:3" x14ac:dyDescent="0.25">
      <c r="A455">
        <v>5365</v>
      </c>
      <c r="B455" t="s">
        <v>710</v>
      </c>
      <c r="C455" t="s">
        <v>72</v>
      </c>
    </row>
    <row r="456" spans="1:3" x14ac:dyDescent="0.25">
      <c r="A456">
        <v>5371</v>
      </c>
      <c r="B456" t="s">
        <v>711</v>
      </c>
      <c r="C456" t="s">
        <v>4</v>
      </c>
    </row>
    <row r="457" spans="1:3" x14ac:dyDescent="0.25">
      <c r="A457">
        <v>5373</v>
      </c>
      <c r="B457" t="s">
        <v>712</v>
      </c>
      <c r="C457" t="s">
        <v>4</v>
      </c>
    </row>
    <row r="458" spans="1:3" x14ac:dyDescent="0.25">
      <c r="A458">
        <v>5381</v>
      </c>
      <c r="B458" t="s">
        <v>713</v>
      </c>
      <c r="C458" t="s">
        <v>72</v>
      </c>
    </row>
    <row r="459" spans="1:3" x14ac:dyDescent="0.25">
      <c r="A459">
        <v>5393</v>
      </c>
      <c r="B459" t="s">
        <v>714</v>
      </c>
      <c r="C459" t="s">
        <v>4</v>
      </c>
    </row>
    <row r="460" spans="1:3" x14ac:dyDescent="0.25">
      <c r="A460">
        <v>5451</v>
      </c>
      <c r="B460" t="s">
        <v>715</v>
      </c>
      <c r="C460" t="s">
        <v>716</v>
      </c>
    </row>
    <row r="461" spans="1:3" x14ac:dyDescent="0.25">
      <c r="A461">
        <v>5464</v>
      </c>
      <c r="B461" t="s">
        <v>717</v>
      </c>
      <c r="C461" t="e">
        <f>+proj=longlat +a=6378293.64520875 +b=6356617.98767983 +no_defs</f>
        <v>#NAME?</v>
      </c>
    </row>
    <row r="462" spans="1:3" x14ac:dyDescent="0.25">
      <c r="A462">
        <v>5467</v>
      </c>
      <c r="B462" t="s">
        <v>718</v>
      </c>
      <c r="C462" t="e">
        <f>+proj=longlat +ellps=clrk66 +no_defs</f>
        <v>#NAME?</v>
      </c>
    </row>
    <row r="463" spans="1:3" x14ac:dyDescent="0.25">
      <c r="A463">
        <v>5489</v>
      </c>
      <c r="B463" t="s">
        <v>719</v>
      </c>
      <c r="C463" t="s">
        <v>4</v>
      </c>
    </row>
    <row r="464" spans="1:3" x14ac:dyDescent="0.25">
      <c r="A464">
        <v>5524</v>
      </c>
      <c r="B464" t="s">
        <v>720</v>
      </c>
      <c r="C464" t="e">
        <f>+proj=longlat +ellps=intl +no_defs</f>
        <v>#NAME?</v>
      </c>
    </row>
    <row r="465" spans="1:3" x14ac:dyDescent="0.25">
      <c r="A465">
        <v>5527</v>
      </c>
      <c r="B465" t="s">
        <v>721</v>
      </c>
      <c r="C465" t="s">
        <v>722</v>
      </c>
    </row>
    <row r="466" spans="1:3" x14ac:dyDescent="0.25">
      <c r="A466">
        <v>5546</v>
      </c>
      <c r="B466" t="s">
        <v>723</v>
      </c>
      <c r="C466" t="s">
        <v>4</v>
      </c>
    </row>
    <row r="467" spans="1:3" x14ac:dyDescent="0.25">
      <c r="A467">
        <v>5561</v>
      </c>
      <c r="B467" t="s">
        <v>724</v>
      </c>
      <c r="C467" t="s">
        <v>725</v>
      </c>
    </row>
    <row r="468" spans="1:3" x14ac:dyDescent="0.25">
      <c r="A468">
        <v>5593</v>
      </c>
      <c r="B468" t="s">
        <v>726</v>
      </c>
      <c r="C468" t="s">
        <v>4</v>
      </c>
    </row>
    <row r="469" spans="1:3" x14ac:dyDescent="0.25">
      <c r="A469">
        <v>5681</v>
      </c>
      <c r="B469" t="s">
        <v>727</v>
      </c>
      <c r="C469" t="e">
        <f>+proj=longlat +ellps=bessel +no_defs</f>
        <v>#NAME?</v>
      </c>
    </row>
    <row r="470" spans="1:3" x14ac:dyDescent="0.25">
      <c r="A470">
        <v>5886</v>
      </c>
      <c r="B470" t="s">
        <v>728</v>
      </c>
      <c r="C470" t="e">
        <f>+proj=longlat +ellps=GRQ80 +no_defs</f>
        <v>#NAME?</v>
      </c>
    </row>
    <row r="471" spans="1:3" x14ac:dyDescent="0.25">
      <c r="A471">
        <v>6135</v>
      </c>
      <c r="B471" t="s">
        <v>729</v>
      </c>
      <c r="C471" t="s">
        <v>4</v>
      </c>
    </row>
    <row r="472" spans="1:3" x14ac:dyDescent="0.25">
      <c r="A472">
        <v>6207</v>
      </c>
      <c r="B472" t="s">
        <v>730</v>
      </c>
      <c r="C472" t="s">
        <v>731</v>
      </c>
    </row>
    <row r="473" spans="1:3" x14ac:dyDescent="0.25">
      <c r="A473">
        <v>6311</v>
      </c>
      <c r="B473" t="s">
        <v>732</v>
      </c>
      <c r="C473" t="s">
        <v>733</v>
      </c>
    </row>
    <row r="474" spans="1:3" x14ac:dyDescent="0.25">
      <c r="A474">
        <v>6318</v>
      </c>
      <c r="B474" t="s">
        <v>734</v>
      </c>
      <c r="C474" t="e">
        <f>+proj=longlat +ellps=GRQ80 +no_defs</f>
        <v>#NAME?</v>
      </c>
    </row>
    <row r="475" spans="1:3" x14ac:dyDescent="0.25">
      <c r="A475">
        <v>6322</v>
      </c>
      <c r="B475" t="s">
        <v>735</v>
      </c>
      <c r="C475" t="e">
        <f>+proj=longlat +ellps=GRQ80 +no_defs</f>
        <v>#NAME?</v>
      </c>
    </row>
    <row r="476" spans="1:3" x14ac:dyDescent="0.25">
      <c r="A476">
        <v>6325</v>
      </c>
      <c r="B476" t="s">
        <v>736</v>
      </c>
      <c r="C476" t="e">
        <f>+proj=longlat +ellps=GRQ80 +no_defs</f>
        <v>#NAME?</v>
      </c>
    </row>
    <row r="477" spans="1:3" x14ac:dyDescent="0.25">
      <c r="A477">
        <v>6365</v>
      </c>
      <c r="B477" t="s">
        <v>737</v>
      </c>
      <c r="C477" t="s">
        <v>4</v>
      </c>
    </row>
    <row r="478" spans="1:3" x14ac:dyDescent="0.25">
      <c r="A478">
        <v>6668</v>
      </c>
      <c r="B478" t="s">
        <v>738</v>
      </c>
      <c r="C478" t="e">
        <f>+proj=longlat +ellps=GRQ80 +no_defs</f>
        <v>#NAME?</v>
      </c>
    </row>
    <row r="479" spans="1:3" x14ac:dyDescent="0.25">
      <c r="A479">
        <v>6706</v>
      </c>
      <c r="B479" t="s">
        <v>739</v>
      </c>
      <c r="C479" t="s">
        <v>4</v>
      </c>
    </row>
    <row r="480" spans="1:3" x14ac:dyDescent="0.25">
      <c r="A480">
        <v>6783</v>
      </c>
      <c r="B480" t="s">
        <v>740</v>
      </c>
      <c r="C480" t="e">
        <f>+proj=longlat +ellps=GRQ80 +no_defs</f>
        <v>#NAME?</v>
      </c>
    </row>
    <row r="481" spans="1:3" x14ac:dyDescent="0.25">
      <c r="A481">
        <v>6881</v>
      </c>
      <c r="B481" t="s">
        <v>741</v>
      </c>
      <c r="C481" t="s">
        <v>742</v>
      </c>
    </row>
    <row r="482" spans="1:3" x14ac:dyDescent="0.25">
      <c r="A482">
        <v>6882</v>
      </c>
      <c r="B482" t="s">
        <v>743</v>
      </c>
      <c r="C482" t="s">
        <v>744</v>
      </c>
    </row>
    <row r="483" spans="1:3" x14ac:dyDescent="0.25">
      <c r="A483">
        <v>6883</v>
      </c>
      <c r="B483" t="s">
        <v>745</v>
      </c>
      <c r="C483" t="s">
        <v>746</v>
      </c>
    </row>
    <row r="484" spans="1:3" x14ac:dyDescent="0.25">
      <c r="A484">
        <v>6892</v>
      </c>
      <c r="B484" t="s">
        <v>747</v>
      </c>
      <c r="C484" t="s">
        <v>748</v>
      </c>
    </row>
    <row r="485" spans="1:3" x14ac:dyDescent="0.25">
      <c r="A485">
        <v>6894</v>
      </c>
      <c r="B485" t="s">
        <v>749</v>
      </c>
      <c r="C485" t="s">
        <v>750</v>
      </c>
    </row>
    <row r="486" spans="1:3" x14ac:dyDescent="0.25">
      <c r="A486">
        <v>6980</v>
      </c>
      <c r="B486" t="s">
        <v>751</v>
      </c>
      <c r="C486" t="e">
        <f>+proj=longlat +ellps=GRQ80 +no_defs</f>
        <v>#NAME?</v>
      </c>
    </row>
    <row r="487" spans="1:3" x14ac:dyDescent="0.25">
      <c r="A487">
        <v>6983</v>
      </c>
      <c r="B487" t="s">
        <v>752</v>
      </c>
      <c r="C487" t="e">
        <f>+proj=longlat +ellps=GRQ80 +no_defs</f>
        <v>#NAME?</v>
      </c>
    </row>
    <row r="488" spans="1:3" x14ac:dyDescent="0.25">
      <c r="A488">
        <v>6987</v>
      </c>
      <c r="B488" t="s">
        <v>753</v>
      </c>
      <c r="C488" t="e">
        <f>+proj=longlat +ellps=GRQ80 +no_defs</f>
        <v>#NAME?</v>
      </c>
    </row>
    <row r="489" spans="1:3" x14ac:dyDescent="0.25">
      <c r="A489">
        <v>6990</v>
      </c>
      <c r="B489" t="s">
        <v>754</v>
      </c>
      <c r="C489" t="e">
        <f>+proj=longlat +ellps=GRQ80 +no_defs</f>
        <v>#NAME?</v>
      </c>
    </row>
    <row r="490" spans="1:3" x14ac:dyDescent="0.25">
      <c r="A490">
        <v>7035</v>
      </c>
      <c r="B490" t="s">
        <v>755</v>
      </c>
      <c r="C490" t="e">
        <f>+proj=longlat +ellps=GRQ80 +no_defs</f>
        <v>#NAME?</v>
      </c>
    </row>
    <row r="491" spans="1:3" x14ac:dyDescent="0.25">
      <c r="A491">
        <v>7037</v>
      </c>
      <c r="B491" t="s">
        <v>756</v>
      </c>
      <c r="C491" t="e">
        <f>+proj=longlat +ellps=GRQ80 +no_defs</f>
        <v>#NAME?</v>
      </c>
    </row>
    <row r="492" spans="1:3" x14ac:dyDescent="0.25">
      <c r="A492">
        <v>7073</v>
      </c>
      <c r="B492" t="s">
        <v>757</v>
      </c>
      <c r="C492" t="e">
        <f>+proj=longlat +ellps=GRQ80 +no_defs</f>
        <v>#NAME?</v>
      </c>
    </row>
    <row r="493" spans="1:3" x14ac:dyDescent="0.25">
      <c r="A493">
        <v>7084</v>
      </c>
      <c r="B493" t="s">
        <v>758</v>
      </c>
      <c r="C493" t="e">
        <f>+proj=longlat +ellps=GRQ80 +no_defs</f>
        <v>#NAME?</v>
      </c>
    </row>
    <row r="494" spans="1:3" x14ac:dyDescent="0.25">
      <c r="A494">
        <v>7086</v>
      </c>
      <c r="B494" t="s">
        <v>759</v>
      </c>
      <c r="C494" t="e">
        <f>+proj=longlat +ellps=GRQ80 +no_defs</f>
        <v>#NAME?</v>
      </c>
    </row>
    <row r="495" spans="1:3" x14ac:dyDescent="0.25">
      <c r="A495">
        <v>7088</v>
      </c>
      <c r="B495" t="s">
        <v>760</v>
      </c>
      <c r="C495" t="e">
        <f>+proj=longlat +ellps=GRQ80 +no_defs</f>
        <v>#NAME?</v>
      </c>
    </row>
    <row r="496" spans="1:3" x14ac:dyDescent="0.25">
      <c r="A496">
        <v>7133</v>
      </c>
      <c r="B496" t="s">
        <v>761</v>
      </c>
      <c r="C496" t="e">
        <f>+proj=longlat +ellps=GRQ80 +no_defs</f>
        <v>#NAME?</v>
      </c>
    </row>
    <row r="497" spans="1:3" x14ac:dyDescent="0.25">
      <c r="A497">
        <v>7136</v>
      </c>
      <c r="B497" t="s">
        <v>762</v>
      </c>
      <c r="C497" t="e">
        <f>+proj=longlat +ellps=WGQ84 +no_defs</f>
        <v>#NAME?</v>
      </c>
    </row>
    <row r="498" spans="1:3" x14ac:dyDescent="0.25">
      <c r="A498">
        <v>7139</v>
      </c>
      <c r="B498" t="s">
        <v>763</v>
      </c>
      <c r="C498" t="e">
        <f>+proj=longlat +ellps=WGQ84 +no_defs</f>
        <v>#NAME?</v>
      </c>
    </row>
    <row r="499" spans="1:3" x14ac:dyDescent="0.25">
      <c r="A499">
        <v>7373</v>
      </c>
      <c r="B499" t="s">
        <v>764</v>
      </c>
      <c r="C499" t="s">
        <v>4</v>
      </c>
    </row>
    <row r="500" spans="1:3" x14ac:dyDescent="0.25">
      <c r="A500">
        <v>7683</v>
      </c>
      <c r="B500" t="s">
        <v>765</v>
      </c>
      <c r="C500" t="e">
        <f>+proj=longlat +a=6378136.5 +b=6356751.7579556 +no_defs</f>
        <v>#NAME?</v>
      </c>
    </row>
    <row r="501" spans="1:3" x14ac:dyDescent="0.25">
      <c r="A501">
        <v>7686</v>
      </c>
      <c r="B501" t="s">
        <v>766</v>
      </c>
      <c r="C501" t="e">
        <f>+proj=longlat +ellps=GRQ80 +no_defs</f>
        <v>#NAME?</v>
      </c>
    </row>
    <row r="502" spans="1:3" x14ac:dyDescent="0.25">
      <c r="A502">
        <v>7798</v>
      </c>
      <c r="B502" t="s">
        <v>767</v>
      </c>
      <c r="C502" t="e">
        <f>+proj=longlat +ellps=GRQ80 +no_defs</f>
        <v>#NAME?</v>
      </c>
    </row>
    <row r="503" spans="1:3" x14ac:dyDescent="0.25">
      <c r="A503">
        <v>7844</v>
      </c>
      <c r="B503" t="s">
        <v>768</v>
      </c>
      <c r="C503" t="e">
        <f>+proj=longlat +ellps=GRQ80 +no_defs</f>
        <v>#NAME?</v>
      </c>
    </row>
    <row r="504" spans="1:3" x14ac:dyDescent="0.25">
      <c r="A504">
        <v>7881</v>
      </c>
      <c r="B504" t="s">
        <v>769</v>
      </c>
      <c r="C504" t="s">
        <v>770</v>
      </c>
    </row>
    <row r="505" spans="1:3" x14ac:dyDescent="0.25">
      <c r="A505">
        <v>7886</v>
      </c>
      <c r="B505" t="s">
        <v>771</v>
      </c>
      <c r="C505" t="s">
        <v>4</v>
      </c>
    </row>
    <row r="506" spans="1:3" x14ac:dyDescent="0.25">
      <c r="A506">
        <v>8042</v>
      </c>
      <c r="B506" t="s">
        <v>772</v>
      </c>
      <c r="C506" t="e">
        <f>+proj=longlat +a=6376045 +b=6355477.11290322 +pm=ferro +no_defs</f>
        <v>#NAME?</v>
      </c>
    </row>
    <row r="507" spans="1:3" x14ac:dyDescent="0.25">
      <c r="A507">
        <v>8043</v>
      </c>
      <c r="B507" t="s">
        <v>773</v>
      </c>
      <c r="C507" t="e">
        <f>+proj=longlat +a=6376045 +b=6355477.11290322 +pm=ferro +no_defs</f>
        <v>#NAME?</v>
      </c>
    </row>
    <row r="508" spans="1:3" x14ac:dyDescent="0.25">
      <c r="A508">
        <v>8086</v>
      </c>
      <c r="B508" t="s">
        <v>774</v>
      </c>
      <c r="C508" t="e">
        <f>+proj=longlat +ellps=GRQ80 +no_defs</f>
        <v>#NAME?</v>
      </c>
    </row>
    <row r="509" spans="1:3" x14ac:dyDescent="0.25">
      <c r="A509">
        <v>8232</v>
      </c>
      <c r="B509" t="s">
        <v>775</v>
      </c>
      <c r="C509" t="e">
        <f>+proj=longlat +ellps=GRQ80 +no_defs</f>
        <v>#NAME?</v>
      </c>
    </row>
    <row r="510" spans="1:3" x14ac:dyDescent="0.25">
      <c r="A510">
        <v>8237</v>
      </c>
      <c r="B510" t="s">
        <v>776</v>
      </c>
      <c r="C510" t="e">
        <f>+proj=longlat +ellps=GRQ80 +no_defs</f>
        <v>#NAME?</v>
      </c>
    </row>
    <row r="511" spans="1:3" x14ac:dyDescent="0.25">
      <c r="A511">
        <v>8240</v>
      </c>
      <c r="B511" t="s">
        <v>777</v>
      </c>
      <c r="C511" t="e">
        <f>+proj=longlat +ellps=GRQ80 +no_defs</f>
        <v>#NAME?</v>
      </c>
    </row>
    <row r="512" spans="1:3" x14ac:dyDescent="0.25">
      <c r="A512">
        <v>8249</v>
      </c>
      <c r="B512" t="s">
        <v>778</v>
      </c>
      <c r="C512" t="e">
        <f>+proj=longlat +ellps=GRQ80 +no_defs</f>
        <v>#NAME?</v>
      </c>
    </row>
    <row r="513" spans="1:3" x14ac:dyDescent="0.25">
      <c r="A513">
        <v>8252</v>
      </c>
      <c r="B513" t="s">
        <v>779</v>
      </c>
      <c r="C513" t="e">
        <f>+proj=longlat +ellps=GRQ80 +no_defs</f>
        <v>#NAME?</v>
      </c>
    </row>
    <row r="514" spans="1:3" x14ac:dyDescent="0.25">
      <c r="A514">
        <v>8255</v>
      </c>
      <c r="B514" t="s">
        <v>780</v>
      </c>
      <c r="C514" t="e">
        <f>+proj=longlat +ellps=GRQ80 +no_defs</f>
        <v>#NAME?</v>
      </c>
    </row>
    <row r="515" spans="1:3" x14ac:dyDescent="0.25">
      <c r="A515">
        <v>2000</v>
      </c>
      <c r="B515" t="s">
        <v>781</v>
      </c>
      <c r="C515" t="e">
        <f>+proj=tmerc +lat_0=0 +lon_0=-62 +k=0.9995 +x_0=400000 +y_0=0 +ellps=clrk80 +units=m +no_defs</f>
        <v>#NAME?</v>
      </c>
    </row>
    <row r="516" spans="1:3" x14ac:dyDescent="0.25">
      <c r="A516">
        <v>2001</v>
      </c>
      <c r="B516" t="s">
        <v>782</v>
      </c>
      <c r="C516" t="s">
        <v>783</v>
      </c>
    </row>
    <row r="517" spans="1:3" x14ac:dyDescent="0.25">
      <c r="A517">
        <v>2002</v>
      </c>
      <c r="B517" t="s">
        <v>784</v>
      </c>
      <c r="C517" t="s">
        <v>785</v>
      </c>
    </row>
    <row r="518" spans="1:3" x14ac:dyDescent="0.25">
      <c r="A518">
        <v>2003</v>
      </c>
      <c r="B518" t="s">
        <v>786</v>
      </c>
      <c r="C518" t="s">
        <v>787</v>
      </c>
    </row>
    <row r="519" spans="1:3" x14ac:dyDescent="0.25">
      <c r="A519">
        <v>2004</v>
      </c>
      <c r="B519" t="s">
        <v>788</v>
      </c>
      <c r="C519" t="s">
        <v>789</v>
      </c>
    </row>
    <row r="520" spans="1:3" x14ac:dyDescent="0.25">
      <c r="A520">
        <v>2005</v>
      </c>
      <c r="B520" t="s">
        <v>790</v>
      </c>
      <c r="C520" t="s">
        <v>791</v>
      </c>
    </row>
    <row r="521" spans="1:3" x14ac:dyDescent="0.25">
      <c r="A521">
        <v>2006</v>
      </c>
      <c r="B521" t="s">
        <v>792</v>
      </c>
      <c r="C521" t="s">
        <v>793</v>
      </c>
    </row>
    <row r="522" spans="1:3" x14ac:dyDescent="0.25">
      <c r="A522">
        <v>2007</v>
      </c>
      <c r="B522" t="s">
        <v>794</v>
      </c>
      <c r="C522" t="s">
        <v>795</v>
      </c>
    </row>
    <row r="523" spans="1:3" x14ac:dyDescent="0.25">
      <c r="A523">
        <v>2008</v>
      </c>
      <c r="B523" t="s">
        <v>796</v>
      </c>
      <c r="C523" t="e">
        <f>+proj=tmerc +lat_0=0 +lon_0=-55.5 +k=0.9999 +x_0=304800 +y_0=0 +ellps=clrk66 +units=m +no_defs</f>
        <v>#NAME?</v>
      </c>
    </row>
    <row r="524" spans="1:3" x14ac:dyDescent="0.25">
      <c r="A524">
        <v>2009</v>
      </c>
      <c r="B524" t="s">
        <v>797</v>
      </c>
      <c r="C524" t="e">
        <f>+proj=tmerc +lat_0=0 +lon_0=-58.5 +k=0.9999 +x_0=304800 +y_0=0 +ellps=clrk66 +units=m +no_defs</f>
        <v>#NAME?</v>
      </c>
    </row>
    <row r="525" spans="1:3" x14ac:dyDescent="0.25">
      <c r="A525">
        <v>2010</v>
      </c>
      <c r="B525" t="s">
        <v>798</v>
      </c>
      <c r="C525" t="e">
        <f>+proj=tmerc +lat_0=0 +lon_0=-61.5 +k=0.9999 +x_0=304800 +y_0=0 +ellps=clrk66 +units=m +no_defs</f>
        <v>#NAME?</v>
      </c>
    </row>
    <row r="526" spans="1:3" x14ac:dyDescent="0.25">
      <c r="A526">
        <v>2011</v>
      </c>
      <c r="B526" t="s">
        <v>799</v>
      </c>
      <c r="C526" t="e">
        <f>+proj=tmerc +lat_0=0 +lon_0=-64.5 +k=0.9999 +x_0=304800 +y_0=0 +ellps=clrk66 +units=m +no_defs</f>
        <v>#NAME?</v>
      </c>
    </row>
    <row r="527" spans="1:3" x14ac:dyDescent="0.25">
      <c r="A527">
        <v>2012</v>
      </c>
      <c r="B527" t="s">
        <v>800</v>
      </c>
      <c r="C527" t="e">
        <f>+proj=tmerc +lat_0=0 +lon_0=-67.5 +k=0.9999 +x_0=304800 +y_0=0 +ellps=clrk66 +units=m +no_defs</f>
        <v>#NAME?</v>
      </c>
    </row>
    <row r="528" spans="1:3" x14ac:dyDescent="0.25">
      <c r="A528">
        <v>2013</v>
      </c>
      <c r="B528" t="s">
        <v>801</v>
      </c>
      <c r="C528" t="e">
        <f>+proj=tmerc +lat_0=0 +lon_0=-70.5 +k=0.9999 +x_0=304800 +y_0=0 +ellps=clrk66 +units=m +no_defs</f>
        <v>#NAME?</v>
      </c>
    </row>
    <row r="529" spans="1:3" x14ac:dyDescent="0.25">
      <c r="A529">
        <v>2014</v>
      </c>
      <c r="B529" t="s">
        <v>802</v>
      </c>
      <c r="C529" t="e">
        <f>+proj=tmerc +lat_0=0 +lon_0=-73.5 +k=0.9999 +x_0=304800 +y_0=0 +ellps=clrk66 +units=m +no_defs</f>
        <v>#NAME?</v>
      </c>
    </row>
    <row r="530" spans="1:3" x14ac:dyDescent="0.25">
      <c r="A530">
        <v>2015</v>
      </c>
      <c r="B530" t="s">
        <v>803</v>
      </c>
      <c r="C530" t="e">
        <f>+proj=tmerc +lat_0=0 +lon_0=-76.5 +k=0.9999 +x_0=304800 +y_0=0 +ellps=clrk66 +units=m +no_defs</f>
        <v>#NAME?</v>
      </c>
    </row>
    <row r="531" spans="1:3" x14ac:dyDescent="0.25">
      <c r="A531">
        <v>2016</v>
      </c>
      <c r="B531" t="s">
        <v>804</v>
      </c>
      <c r="C531" t="e">
        <f>+proj=tmerc +lat_0=0 +lon_0=-79.5 +k=0.9999 +x_0=304800 +y_0=0 +ellps=clrk66 +units=m +no_defs</f>
        <v>#NAME?</v>
      </c>
    </row>
    <row r="532" spans="1:3" x14ac:dyDescent="0.25">
      <c r="A532">
        <v>2017</v>
      </c>
      <c r="B532" t="s">
        <v>805</v>
      </c>
      <c r="C532" t="e">
        <f>+proj=tmerc +lat_0=0 +lon_0=-73.5 +k=0.9999 +x_0=304800 +y_0=0 +ellps=clrk66 +units=m +no_defs</f>
        <v>#NAME?</v>
      </c>
    </row>
    <row r="533" spans="1:3" x14ac:dyDescent="0.25">
      <c r="A533">
        <v>2018</v>
      </c>
      <c r="B533" t="s">
        <v>806</v>
      </c>
      <c r="C533" t="e">
        <f>+proj=tmerc +lat_0=0 +lon_0=-76.5 +k=0.9999 +x_0=304800 +y_0=0 +ellps=clrk66 +units=m +no_defs</f>
        <v>#NAME?</v>
      </c>
    </row>
    <row r="534" spans="1:3" x14ac:dyDescent="0.25">
      <c r="A534">
        <v>2019</v>
      </c>
      <c r="B534" t="s">
        <v>807</v>
      </c>
      <c r="C534" t="e">
        <f>+proj=tmerc +lat_0=0 +lon_0=-79.5 +k=0.9999 +x_0=304800 +y_0=0 +ellps=clrk66 +units=m +no_defs</f>
        <v>#NAME?</v>
      </c>
    </row>
    <row r="535" spans="1:3" x14ac:dyDescent="0.25">
      <c r="A535">
        <v>2020</v>
      </c>
      <c r="B535" t="s">
        <v>808</v>
      </c>
      <c r="C535" t="e">
        <f>+proj=tmerc +lat_0=0 +lon_0=-82.5 +k=0.9999 +x_0=304800 +y_0=0 +ellps=clrk66 +units=m +no_defs</f>
        <v>#NAME?</v>
      </c>
    </row>
    <row r="536" spans="1:3" x14ac:dyDescent="0.25">
      <c r="A536">
        <v>2021</v>
      </c>
      <c r="B536" t="s">
        <v>809</v>
      </c>
      <c r="C536" t="e">
        <f>+proj=tmerc +lat_0=0 +lon_0=-81 +k=0.9999 +x_0=304800 +y_0=0 +ellps=clrk66 +units=m +no_defs</f>
        <v>#NAME?</v>
      </c>
    </row>
    <row r="537" spans="1:3" x14ac:dyDescent="0.25">
      <c r="A537">
        <v>2022</v>
      </c>
      <c r="B537" t="s">
        <v>810</v>
      </c>
      <c r="C537" t="e">
        <f>+proj=tmerc +lat_0=0 +lon_0=-84 +k=0.9999 +x_0=304800 +y_0=0 +ellps=clrk66 +units=m +no_defs</f>
        <v>#NAME?</v>
      </c>
    </row>
    <row r="538" spans="1:3" x14ac:dyDescent="0.25">
      <c r="A538">
        <v>2023</v>
      </c>
      <c r="B538" t="s">
        <v>811</v>
      </c>
      <c r="C538" t="e">
        <f>+proj=tmerc +lat_0=0 +lon_0=-87 +k=0.9999 +x_0=304800 +y_0=0 +ellps=clrk66 +units=m +no_defs</f>
        <v>#NAME?</v>
      </c>
    </row>
    <row r="539" spans="1:3" x14ac:dyDescent="0.25">
      <c r="A539">
        <v>2024</v>
      </c>
      <c r="B539" t="s">
        <v>812</v>
      </c>
      <c r="C539" t="e">
        <f>+proj=tmerc +lat_0=0 +lon_0=-90 +k=0.9999 +x_0=304800 +y_0=0 +ellps=clrk66 +units=m +no_defs</f>
        <v>#NAME?</v>
      </c>
    </row>
    <row r="540" spans="1:3" x14ac:dyDescent="0.25">
      <c r="A540">
        <v>2025</v>
      </c>
      <c r="B540" t="s">
        <v>813</v>
      </c>
      <c r="C540" t="e">
        <f>+proj=tmerc +lat_0=0 +lon_0=-93 +k=0.9999 +x_0=304800 +y_0=0 +ellps=clrk66 +units=m +no_defs</f>
        <v>#NAME?</v>
      </c>
    </row>
    <row r="541" spans="1:3" x14ac:dyDescent="0.25">
      <c r="A541">
        <v>2026</v>
      </c>
      <c r="B541" t="s">
        <v>814</v>
      </c>
      <c r="C541" t="e">
        <f>+proj=tmerc +lat_0=0 +lon_0=-96 +k=0.9999 +x_0=304800 +y_0=0 +ellps=clrk66 +units=m +no_defs</f>
        <v>#NAME?</v>
      </c>
    </row>
    <row r="542" spans="1:3" x14ac:dyDescent="0.25">
      <c r="A542">
        <v>2027</v>
      </c>
      <c r="B542" t="s">
        <v>815</v>
      </c>
      <c r="C542" t="e">
        <f>+proj=utm +zone=15 +ellps=clrk66 +units=m +no_defs</f>
        <v>#NAME?</v>
      </c>
    </row>
    <row r="543" spans="1:3" x14ac:dyDescent="0.25">
      <c r="A543">
        <v>2028</v>
      </c>
      <c r="B543" t="s">
        <v>816</v>
      </c>
      <c r="C543" t="e">
        <f>+proj=utm +zone=16 +ellps=clrk66 +units=m +no_defs</f>
        <v>#NAME?</v>
      </c>
    </row>
    <row r="544" spans="1:3" x14ac:dyDescent="0.25">
      <c r="A544">
        <v>2029</v>
      </c>
      <c r="B544" t="s">
        <v>817</v>
      </c>
      <c r="C544" t="e">
        <f>+proj=utm +zone=17 +ellps=clrk66 +units=m +no_defs</f>
        <v>#NAME?</v>
      </c>
    </row>
    <row r="545" spans="1:3" x14ac:dyDescent="0.25">
      <c r="A545">
        <v>2030</v>
      </c>
      <c r="B545" t="s">
        <v>818</v>
      </c>
      <c r="C545" t="e">
        <f>+proj=utm +zone=18 +ellps=clrk66 +units=m +no_defs</f>
        <v>#NAME?</v>
      </c>
    </row>
    <row r="546" spans="1:3" x14ac:dyDescent="0.25">
      <c r="A546">
        <v>2031</v>
      </c>
      <c r="B546" t="s">
        <v>819</v>
      </c>
      <c r="C546" t="e">
        <f>+proj=utm +zone=17 +ellps=clrk66 +units=m +no_defs</f>
        <v>#NAME?</v>
      </c>
    </row>
    <row r="547" spans="1:3" x14ac:dyDescent="0.25">
      <c r="A547">
        <v>2032</v>
      </c>
      <c r="B547" t="s">
        <v>820</v>
      </c>
      <c r="C547" t="e">
        <f>+proj=utm +zone=18 +ellps=clrk66 +units=m +no_defs</f>
        <v>#NAME?</v>
      </c>
    </row>
    <row r="548" spans="1:3" x14ac:dyDescent="0.25">
      <c r="A548">
        <v>2033</v>
      </c>
      <c r="B548" t="s">
        <v>821</v>
      </c>
      <c r="C548" t="e">
        <f>+proj=utm +zone=19 +ellps=clrk66 +units=m +no_defs</f>
        <v>#NAME?</v>
      </c>
    </row>
    <row r="549" spans="1:3" x14ac:dyDescent="0.25">
      <c r="A549">
        <v>2034</v>
      </c>
      <c r="B549" t="s">
        <v>822</v>
      </c>
      <c r="C549" t="e">
        <f>+proj=utm +zone=20 +ellps=clrk66 +units=m +no_defs</f>
        <v>#NAME?</v>
      </c>
    </row>
    <row r="550" spans="1:3" x14ac:dyDescent="0.25">
      <c r="A550">
        <v>2035</v>
      </c>
      <c r="B550" t="s">
        <v>823</v>
      </c>
      <c r="C550" t="e">
        <f>+proj=utm +zone=21 +ellps=clrk66 +units=m +no_defs</f>
        <v>#NAME?</v>
      </c>
    </row>
    <row r="551" spans="1:3" x14ac:dyDescent="0.25">
      <c r="A551">
        <v>2036</v>
      </c>
      <c r="B551" t="s">
        <v>824</v>
      </c>
      <c r="C551" t="s">
        <v>825</v>
      </c>
    </row>
    <row r="552" spans="1:3" x14ac:dyDescent="0.25">
      <c r="A552">
        <v>2037</v>
      </c>
      <c r="B552" t="s">
        <v>826</v>
      </c>
      <c r="C552" t="s">
        <v>827</v>
      </c>
    </row>
    <row r="553" spans="1:3" x14ac:dyDescent="0.25">
      <c r="A553">
        <v>4338</v>
      </c>
      <c r="B553" t="s">
        <v>828</v>
      </c>
      <c r="C553" t="e">
        <f>+proj=geocent +ellps=GRQ80 +units=m +no_defs</f>
        <v>#NAME?</v>
      </c>
    </row>
    <row r="554" spans="1:3" x14ac:dyDescent="0.25">
      <c r="A554">
        <v>2038</v>
      </c>
      <c r="B554" t="s">
        <v>829</v>
      </c>
      <c r="C554" t="s">
        <v>830</v>
      </c>
    </row>
    <row r="555" spans="1:3" x14ac:dyDescent="0.25">
      <c r="A555">
        <v>2039</v>
      </c>
      <c r="B555" t="s">
        <v>831</v>
      </c>
      <c r="C555" t="s">
        <v>832</v>
      </c>
    </row>
    <row r="556" spans="1:3" x14ac:dyDescent="0.25">
      <c r="A556">
        <v>2040</v>
      </c>
      <c r="B556" t="s">
        <v>833</v>
      </c>
      <c r="C556" t="s">
        <v>834</v>
      </c>
    </row>
    <row r="557" spans="1:3" x14ac:dyDescent="0.25">
      <c r="A557">
        <v>2041</v>
      </c>
      <c r="B557" t="s">
        <v>835</v>
      </c>
      <c r="C557" t="s">
        <v>836</v>
      </c>
    </row>
    <row r="558" spans="1:3" x14ac:dyDescent="0.25">
      <c r="A558">
        <v>2042</v>
      </c>
      <c r="B558" t="s">
        <v>837</v>
      </c>
      <c r="C558" t="s">
        <v>838</v>
      </c>
    </row>
    <row r="559" spans="1:3" x14ac:dyDescent="0.25">
      <c r="A559">
        <v>2043</v>
      </c>
      <c r="B559" t="s">
        <v>839</v>
      </c>
      <c r="C559" t="s">
        <v>840</v>
      </c>
    </row>
    <row r="560" spans="1:3" x14ac:dyDescent="0.25">
      <c r="A560">
        <v>2044</v>
      </c>
      <c r="B560" t="s">
        <v>841</v>
      </c>
      <c r="C560" t="s">
        <v>842</v>
      </c>
    </row>
    <row r="561" spans="1:3" x14ac:dyDescent="0.25">
      <c r="A561">
        <v>2045</v>
      </c>
      <c r="B561" t="s">
        <v>843</v>
      </c>
      <c r="C561" t="s">
        <v>844</v>
      </c>
    </row>
    <row r="562" spans="1:3" x14ac:dyDescent="0.25">
      <c r="A562">
        <v>2046</v>
      </c>
      <c r="B562" t="s">
        <v>845</v>
      </c>
      <c r="C562" t="s">
        <v>846</v>
      </c>
    </row>
    <row r="563" spans="1:3" x14ac:dyDescent="0.25">
      <c r="A563">
        <v>2047</v>
      </c>
      <c r="B563" t="s">
        <v>847</v>
      </c>
      <c r="C563" t="s">
        <v>848</v>
      </c>
    </row>
    <row r="564" spans="1:3" x14ac:dyDescent="0.25">
      <c r="A564">
        <v>2048</v>
      </c>
      <c r="B564" t="s">
        <v>849</v>
      </c>
      <c r="C564" t="s">
        <v>850</v>
      </c>
    </row>
    <row r="565" spans="1:3" x14ac:dyDescent="0.25">
      <c r="A565">
        <v>2049</v>
      </c>
      <c r="B565" t="s">
        <v>851</v>
      </c>
      <c r="C565" t="s">
        <v>852</v>
      </c>
    </row>
    <row r="566" spans="1:3" x14ac:dyDescent="0.25">
      <c r="A566">
        <v>2050</v>
      </c>
      <c r="B566" t="s">
        <v>853</v>
      </c>
      <c r="C566" t="s">
        <v>854</v>
      </c>
    </row>
    <row r="567" spans="1:3" x14ac:dyDescent="0.25">
      <c r="A567">
        <v>2051</v>
      </c>
      <c r="B567" t="s">
        <v>855</v>
      </c>
      <c r="C567" t="s">
        <v>856</v>
      </c>
    </row>
    <row r="568" spans="1:3" x14ac:dyDescent="0.25">
      <c r="A568">
        <v>2052</v>
      </c>
      <c r="B568" t="s">
        <v>857</v>
      </c>
      <c r="C568" t="s">
        <v>858</v>
      </c>
    </row>
    <row r="569" spans="1:3" x14ac:dyDescent="0.25">
      <c r="A569">
        <v>2053</v>
      </c>
      <c r="B569" t="s">
        <v>859</v>
      </c>
      <c r="C569" t="s">
        <v>860</v>
      </c>
    </row>
    <row r="570" spans="1:3" x14ac:dyDescent="0.25">
      <c r="A570">
        <v>2054</v>
      </c>
      <c r="B570" t="s">
        <v>861</v>
      </c>
      <c r="C570" t="s">
        <v>862</v>
      </c>
    </row>
    <row r="571" spans="1:3" x14ac:dyDescent="0.25">
      <c r="A571">
        <v>2055</v>
      </c>
      <c r="B571" t="s">
        <v>863</v>
      </c>
      <c r="C571" t="s">
        <v>864</v>
      </c>
    </row>
    <row r="572" spans="1:3" x14ac:dyDescent="0.25">
      <c r="A572">
        <v>2056</v>
      </c>
      <c r="B572" t="s">
        <v>865</v>
      </c>
      <c r="C572" t="s">
        <v>866</v>
      </c>
    </row>
    <row r="573" spans="1:3" x14ac:dyDescent="0.25">
      <c r="A573">
        <v>2085</v>
      </c>
      <c r="B573" t="s">
        <v>867</v>
      </c>
      <c r="C573" t="e">
        <f>+proj=lcc +lat_1=22.35 +lat_0=22.35 +lon_0=-81 +k_0=0.99993602 +x_0=500000 +y_0=280296.016 +datum=NAB27 +units=m +no_defs</f>
        <v>#NAME?</v>
      </c>
    </row>
    <row r="574" spans="1:3" x14ac:dyDescent="0.25">
      <c r="A574">
        <v>2057</v>
      </c>
      <c r="B574" t="s">
        <v>868</v>
      </c>
      <c r="C574" t="s">
        <v>869</v>
      </c>
    </row>
    <row r="575" spans="1:3" x14ac:dyDescent="0.25">
      <c r="A575">
        <v>2058</v>
      </c>
      <c r="B575" t="s">
        <v>870</v>
      </c>
      <c r="C575" t="s">
        <v>871</v>
      </c>
    </row>
    <row r="576" spans="1:3" x14ac:dyDescent="0.25">
      <c r="A576">
        <v>2059</v>
      </c>
      <c r="B576" t="s">
        <v>872</v>
      </c>
      <c r="C576" t="s">
        <v>873</v>
      </c>
    </row>
    <row r="577" spans="1:3" x14ac:dyDescent="0.25">
      <c r="A577">
        <v>2060</v>
      </c>
      <c r="B577" t="s">
        <v>874</v>
      </c>
      <c r="C577" t="s">
        <v>875</v>
      </c>
    </row>
    <row r="578" spans="1:3" x14ac:dyDescent="0.25">
      <c r="A578">
        <v>2061</v>
      </c>
      <c r="B578" t="s">
        <v>876</v>
      </c>
      <c r="C578" t="s">
        <v>877</v>
      </c>
    </row>
    <row r="579" spans="1:3" x14ac:dyDescent="0.25">
      <c r="A579">
        <v>2062</v>
      </c>
      <c r="B579" t="s">
        <v>878</v>
      </c>
      <c r="C579" t="e">
        <f>+proj=lcc +lat_1=40 +lat_0=40 +lon_0=0 +k_0=0.9988085293 +x_0=600000 +y_0=600000 +a=6378298.3 +b=6356657.14266956 +pm=madrid +units=m +no_defs</f>
        <v>#NAME?</v>
      </c>
    </row>
    <row r="580" spans="1:3" x14ac:dyDescent="0.25">
      <c r="A580">
        <v>2063</v>
      </c>
      <c r="B580" t="s">
        <v>879</v>
      </c>
      <c r="C580" t="s">
        <v>880</v>
      </c>
    </row>
    <row r="581" spans="1:3" x14ac:dyDescent="0.25">
      <c r="A581">
        <v>2064</v>
      </c>
      <c r="B581" t="s">
        <v>881</v>
      </c>
      <c r="C581" t="s">
        <v>882</v>
      </c>
    </row>
    <row r="582" spans="1:3" x14ac:dyDescent="0.25">
      <c r="A582">
        <v>2065</v>
      </c>
      <c r="B582" t="s">
        <v>883</v>
      </c>
      <c r="C582" t="s">
        <v>884</v>
      </c>
    </row>
    <row r="583" spans="1:3" x14ac:dyDescent="0.25">
      <c r="A583">
        <v>2066</v>
      </c>
      <c r="B583" t="s">
        <v>885</v>
      </c>
      <c r="C583" t="e">
        <f>+proj=cass +lat_0=11.2521786111111 +lon_0=-60.6860088888888 +x_0=37718.6615932499 +y_0=36209.9151295199 +a=6378293.64520875 +b=6356617.98767983 +to_meter=0.201166195164 +no_defs</f>
        <v>#NAME?</v>
      </c>
    </row>
    <row r="584" spans="1:3" x14ac:dyDescent="0.25">
      <c r="A584">
        <v>2067</v>
      </c>
      <c r="B584" t="s">
        <v>886</v>
      </c>
      <c r="C584" t="s">
        <v>887</v>
      </c>
    </row>
    <row r="585" spans="1:3" x14ac:dyDescent="0.25">
      <c r="A585">
        <v>2068</v>
      </c>
      <c r="B585" t="s">
        <v>888</v>
      </c>
      <c r="C585" t="s">
        <v>889</v>
      </c>
    </row>
    <row r="586" spans="1:3" x14ac:dyDescent="0.25">
      <c r="A586">
        <v>2069</v>
      </c>
      <c r="B586" t="s">
        <v>890</v>
      </c>
      <c r="C586" t="s">
        <v>891</v>
      </c>
    </row>
    <row r="587" spans="1:3" x14ac:dyDescent="0.25">
      <c r="A587">
        <v>2070</v>
      </c>
      <c r="B587" t="s">
        <v>892</v>
      </c>
      <c r="C587" t="s">
        <v>893</v>
      </c>
    </row>
    <row r="588" spans="1:3" x14ac:dyDescent="0.25">
      <c r="A588">
        <v>2071</v>
      </c>
      <c r="B588" t="s">
        <v>894</v>
      </c>
      <c r="C588" t="s">
        <v>895</v>
      </c>
    </row>
    <row r="589" spans="1:3" x14ac:dyDescent="0.25">
      <c r="A589">
        <v>2072</v>
      </c>
      <c r="B589" t="s">
        <v>896</v>
      </c>
      <c r="C589" t="s">
        <v>897</v>
      </c>
    </row>
    <row r="590" spans="1:3" x14ac:dyDescent="0.25">
      <c r="A590">
        <v>2073</v>
      </c>
      <c r="B590" t="s">
        <v>898</v>
      </c>
      <c r="C590" t="s">
        <v>899</v>
      </c>
    </row>
    <row r="591" spans="1:3" x14ac:dyDescent="0.25">
      <c r="A591">
        <v>2074</v>
      </c>
      <c r="B591" t="s">
        <v>900</v>
      </c>
      <c r="C591" t="s">
        <v>901</v>
      </c>
    </row>
    <row r="592" spans="1:3" x14ac:dyDescent="0.25">
      <c r="A592">
        <v>4340</v>
      </c>
      <c r="B592" t="s">
        <v>902</v>
      </c>
      <c r="C592" t="e">
        <f>+proj=geocent +ellps=GRQ80 +units=m +no_defs</f>
        <v>#NAME?</v>
      </c>
    </row>
    <row r="593" spans="1:3" x14ac:dyDescent="0.25">
      <c r="A593">
        <v>2075</v>
      </c>
      <c r="B593" t="s">
        <v>903</v>
      </c>
      <c r="C593" t="s">
        <v>904</v>
      </c>
    </row>
    <row r="594" spans="1:3" x14ac:dyDescent="0.25">
      <c r="A594">
        <v>2076</v>
      </c>
      <c r="B594" t="s">
        <v>905</v>
      </c>
      <c r="C594" t="s">
        <v>906</v>
      </c>
    </row>
    <row r="595" spans="1:3" x14ac:dyDescent="0.25">
      <c r="A595">
        <v>2077</v>
      </c>
      <c r="B595" t="s">
        <v>907</v>
      </c>
      <c r="C595" t="s">
        <v>908</v>
      </c>
    </row>
    <row r="596" spans="1:3" x14ac:dyDescent="0.25">
      <c r="A596">
        <v>2078</v>
      </c>
      <c r="B596" t="s">
        <v>909</v>
      </c>
      <c r="C596" t="s">
        <v>910</v>
      </c>
    </row>
    <row r="597" spans="1:3" x14ac:dyDescent="0.25">
      <c r="A597">
        <v>2079</v>
      </c>
      <c r="B597" t="s">
        <v>911</v>
      </c>
      <c r="C597" t="s">
        <v>912</v>
      </c>
    </row>
    <row r="598" spans="1:3" x14ac:dyDescent="0.25">
      <c r="A598">
        <v>2080</v>
      </c>
      <c r="B598" t="s">
        <v>913</v>
      </c>
      <c r="C598" t="s">
        <v>914</v>
      </c>
    </row>
    <row r="599" spans="1:3" x14ac:dyDescent="0.25">
      <c r="A599">
        <v>2081</v>
      </c>
      <c r="B599" t="s">
        <v>915</v>
      </c>
      <c r="C599" t="e">
        <f>+proj=tmerc +lat_0=-90 +lon_0=-69 +k=1 +x_0=2500000 +y_0=0 +ellps=intl +units=m +no_defs</f>
        <v>#NAME?</v>
      </c>
    </row>
    <row r="600" spans="1:3" x14ac:dyDescent="0.25">
      <c r="A600">
        <v>2082</v>
      </c>
      <c r="B600" t="s">
        <v>916</v>
      </c>
      <c r="C600" t="s">
        <v>917</v>
      </c>
    </row>
    <row r="601" spans="1:3" x14ac:dyDescent="0.25">
      <c r="A601">
        <v>2083</v>
      </c>
      <c r="B601" t="s">
        <v>918</v>
      </c>
      <c r="C601" t="s">
        <v>919</v>
      </c>
    </row>
    <row r="602" spans="1:3" x14ac:dyDescent="0.25">
      <c r="A602">
        <v>2084</v>
      </c>
      <c r="B602" t="s">
        <v>920</v>
      </c>
      <c r="C602" t="s">
        <v>921</v>
      </c>
    </row>
    <row r="603" spans="1:3" x14ac:dyDescent="0.25">
      <c r="A603">
        <v>2086</v>
      </c>
      <c r="B603" t="s">
        <v>922</v>
      </c>
      <c r="C603" t="e">
        <f>+proj=lcc +lat_1=20.7166666666666 +lat_0=20.7166666666666 +lon_0=-76.8333333333333 +k_0=0.99994848 +x_0=500000 +y_0=229126.939 +datum=NAB27 +units=m +no_defs</f>
        <v>#NAME?</v>
      </c>
    </row>
    <row r="604" spans="1:3" x14ac:dyDescent="0.25">
      <c r="A604">
        <v>2087</v>
      </c>
      <c r="B604" t="s">
        <v>923</v>
      </c>
      <c r="C604" t="s">
        <v>924</v>
      </c>
    </row>
    <row r="605" spans="1:3" x14ac:dyDescent="0.25">
      <c r="A605">
        <v>2088</v>
      </c>
      <c r="B605" t="s">
        <v>925</v>
      </c>
      <c r="C605" t="e">
        <f>+proj=tmerc +lat_0=0 +lon_0=11 +k=0.9996 +x_0=500000 +y_0=0 +datum=carthage +units=m +no_defs</f>
        <v>#NAME?</v>
      </c>
    </row>
    <row r="606" spans="1:3" x14ac:dyDescent="0.25">
      <c r="A606">
        <v>2089</v>
      </c>
      <c r="B606" t="s">
        <v>926</v>
      </c>
      <c r="C606" t="s">
        <v>927</v>
      </c>
    </row>
    <row r="607" spans="1:3" x14ac:dyDescent="0.25">
      <c r="A607">
        <v>2090</v>
      </c>
      <c r="B607" t="s">
        <v>928</v>
      </c>
      <c r="C607" t="s">
        <v>929</v>
      </c>
    </row>
    <row r="608" spans="1:3" x14ac:dyDescent="0.25">
      <c r="A608">
        <v>2091</v>
      </c>
      <c r="B608" t="s">
        <v>930</v>
      </c>
      <c r="C608" t="s">
        <v>931</v>
      </c>
    </row>
    <row r="609" spans="1:3" x14ac:dyDescent="0.25">
      <c r="A609">
        <v>2092</v>
      </c>
      <c r="B609" t="s">
        <v>932</v>
      </c>
      <c r="C609" t="s">
        <v>933</v>
      </c>
    </row>
    <row r="610" spans="1:3" x14ac:dyDescent="0.25">
      <c r="A610">
        <v>2093</v>
      </c>
      <c r="B610" t="s">
        <v>934</v>
      </c>
      <c r="C610" t="s">
        <v>935</v>
      </c>
    </row>
    <row r="611" spans="1:3" x14ac:dyDescent="0.25">
      <c r="A611">
        <v>2094</v>
      </c>
      <c r="B611" t="s">
        <v>936</v>
      </c>
      <c r="C611" t="s">
        <v>937</v>
      </c>
    </row>
    <row r="612" spans="1:3" x14ac:dyDescent="0.25">
      <c r="A612">
        <v>2095</v>
      </c>
      <c r="B612" t="s">
        <v>938</v>
      </c>
      <c r="C612" t="s">
        <v>939</v>
      </c>
    </row>
    <row r="613" spans="1:3" x14ac:dyDescent="0.25">
      <c r="A613">
        <v>2096</v>
      </c>
      <c r="B613" t="s">
        <v>940</v>
      </c>
      <c r="C613" t="e">
        <f>+proj=tmerc +lat_0=38 +lon_0=129 +k=1 +x_0=200000 +y_0=500000 +ellps=bessel +units=m +no_defs</f>
        <v>#NAME?</v>
      </c>
    </row>
    <row r="614" spans="1:3" x14ac:dyDescent="0.25">
      <c r="A614">
        <v>2097</v>
      </c>
      <c r="B614" t="s">
        <v>941</v>
      </c>
      <c r="C614" t="e">
        <f>+proj=tmerc +lat_0=38 +lon_0=127 +k=1 +x_0=200000 +y_0=500000 +ellps=bessel +units=m +no_defs</f>
        <v>#NAME?</v>
      </c>
    </row>
    <row r="615" spans="1:3" x14ac:dyDescent="0.25">
      <c r="A615">
        <v>2098</v>
      </c>
      <c r="B615" t="s">
        <v>942</v>
      </c>
      <c r="C615" t="e">
        <f>+proj=tmerc +lat_0=38 +lon_0=125 +k=1 +x_0=200000 +y_0=500000 +ellps=bessel +units=m +no_defs</f>
        <v>#NAME?</v>
      </c>
    </row>
    <row r="616" spans="1:3" x14ac:dyDescent="0.25">
      <c r="A616">
        <v>2099</v>
      </c>
      <c r="B616" t="s">
        <v>943</v>
      </c>
      <c r="C616" t="e">
        <f>+proj=cass +lat_0=25.3823611111111 +lon_0=50.7613888888888 +x_0=100000 +y_0=100000 +ellps=helmert +units=m +no_defs</f>
        <v>#NAME?</v>
      </c>
    </row>
    <row r="617" spans="1:3" x14ac:dyDescent="0.25">
      <c r="A617">
        <v>2100</v>
      </c>
      <c r="B617" t="s">
        <v>944</v>
      </c>
      <c r="C617" t="e">
        <f>+proj=tmerc +lat_0=0 +lon_0=24 +k=0.9996 +x_0=500000 +y_0=0 +datum=GGRS87 +units=m +no_defs</f>
        <v>#NAME?</v>
      </c>
    </row>
    <row r="618" spans="1:3" x14ac:dyDescent="0.25">
      <c r="A618">
        <v>2101</v>
      </c>
      <c r="B618" t="s">
        <v>945</v>
      </c>
      <c r="C618" t="e">
        <f>+proj=lcc +lat_1=10.1666666666666 +lat_0=10.1666666666666 +lon_0=-71.6056177777777 +k_0=1 +x_0=0 +y_0=-52684.972 +ellps=intl +units=m +no_defs</f>
        <v>#NAME?</v>
      </c>
    </row>
    <row r="619" spans="1:3" x14ac:dyDescent="0.25">
      <c r="A619">
        <v>2102</v>
      </c>
      <c r="B619" t="s">
        <v>946</v>
      </c>
      <c r="C619" t="e">
        <f>+proj=lcc +lat_1=10.1666666666666 +lat_0=10.1666666666666 +lon_0=-71.6056177777777 +k_0=1 +x_0=200000 +y_0=147315.028 +ellps=intl +units=m +no_defs</f>
        <v>#NAME?</v>
      </c>
    </row>
    <row r="620" spans="1:3" x14ac:dyDescent="0.25">
      <c r="A620">
        <v>2103</v>
      </c>
      <c r="B620" t="s">
        <v>947</v>
      </c>
      <c r="C620" t="e">
        <f>+proj=lcc +lat_1=10.1666666666666 +lat_0=10.1666666666666 +lon_0=-71.6056177777777 +k_0=1 +x_0=500000 +y_0=447315.028 +ellps=intl +units=m +no_defs</f>
        <v>#NAME?</v>
      </c>
    </row>
    <row r="621" spans="1:3" x14ac:dyDescent="0.25">
      <c r="A621">
        <v>2104</v>
      </c>
      <c r="B621" t="s">
        <v>948</v>
      </c>
      <c r="C621" t="e">
        <f>+proj=lcc +lat_1=10.1666666666666 +lat_0=10.1666666666666 +lon_0=-71.6056177777777 +k_0=1 +x_0=-17044 +y_0=-23139.97 +ellps=intl +units=m +no_defs</f>
        <v>#NAME?</v>
      </c>
    </row>
    <row r="622" spans="1:3" x14ac:dyDescent="0.25">
      <c r="A622">
        <v>2105</v>
      </c>
      <c r="B622" t="s">
        <v>949</v>
      </c>
      <c r="C622" t="s">
        <v>950</v>
      </c>
    </row>
    <row r="623" spans="1:3" x14ac:dyDescent="0.25">
      <c r="A623">
        <v>2106</v>
      </c>
      <c r="B623" t="s">
        <v>951</v>
      </c>
      <c r="C623" t="s">
        <v>952</v>
      </c>
    </row>
    <row r="624" spans="1:3" x14ac:dyDescent="0.25">
      <c r="A624">
        <v>2107</v>
      </c>
      <c r="B624" t="s">
        <v>953</v>
      </c>
      <c r="C624" t="s">
        <v>954</v>
      </c>
    </row>
    <row r="625" spans="1:3" x14ac:dyDescent="0.25">
      <c r="A625">
        <v>2108</v>
      </c>
      <c r="B625" t="s">
        <v>955</v>
      </c>
      <c r="C625" t="s">
        <v>956</v>
      </c>
    </row>
    <row r="626" spans="1:3" x14ac:dyDescent="0.25">
      <c r="A626">
        <v>2109</v>
      </c>
      <c r="B626" t="s">
        <v>957</v>
      </c>
      <c r="C626" t="s">
        <v>958</v>
      </c>
    </row>
    <row r="627" spans="1:3" x14ac:dyDescent="0.25">
      <c r="A627">
        <v>2110</v>
      </c>
      <c r="B627" t="s">
        <v>959</v>
      </c>
      <c r="C627" t="s">
        <v>960</v>
      </c>
    </row>
    <row r="628" spans="1:3" x14ac:dyDescent="0.25">
      <c r="A628">
        <v>2111</v>
      </c>
      <c r="B628" t="s">
        <v>961</v>
      </c>
      <c r="C628" t="s">
        <v>962</v>
      </c>
    </row>
    <row r="629" spans="1:3" x14ac:dyDescent="0.25">
      <c r="A629">
        <v>2112</v>
      </c>
      <c r="B629" t="s">
        <v>963</v>
      </c>
      <c r="C629" t="s">
        <v>964</v>
      </c>
    </row>
    <row r="630" spans="1:3" x14ac:dyDescent="0.25">
      <c r="A630">
        <v>2113</v>
      </c>
      <c r="B630" t="s">
        <v>965</v>
      </c>
      <c r="C630" t="s">
        <v>966</v>
      </c>
    </row>
    <row r="631" spans="1:3" x14ac:dyDescent="0.25">
      <c r="A631">
        <v>2114</v>
      </c>
      <c r="B631" t="s">
        <v>967</v>
      </c>
      <c r="C631" t="s">
        <v>968</v>
      </c>
    </row>
    <row r="632" spans="1:3" x14ac:dyDescent="0.25">
      <c r="A632">
        <v>4342</v>
      </c>
      <c r="B632" t="s">
        <v>969</v>
      </c>
      <c r="C632" t="e">
        <f>+proj=geocent +ellps=GRQ80 +units=m +no_defs</f>
        <v>#NAME?</v>
      </c>
    </row>
    <row r="633" spans="1:3" x14ac:dyDescent="0.25">
      <c r="A633">
        <v>2115</v>
      </c>
      <c r="B633" t="s">
        <v>970</v>
      </c>
      <c r="C633" t="s">
        <v>971</v>
      </c>
    </row>
    <row r="634" spans="1:3" x14ac:dyDescent="0.25">
      <c r="A634">
        <v>2116</v>
      </c>
      <c r="B634" t="s">
        <v>972</v>
      </c>
      <c r="C634" t="s">
        <v>973</v>
      </c>
    </row>
    <row r="635" spans="1:3" x14ac:dyDescent="0.25">
      <c r="A635">
        <v>2117</v>
      </c>
      <c r="B635" t="s">
        <v>974</v>
      </c>
      <c r="C635" t="s">
        <v>975</v>
      </c>
    </row>
    <row r="636" spans="1:3" x14ac:dyDescent="0.25">
      <c r="A636">
        <v>2118</v>
      </c>
      <c r="B636" t="s">
        <v>976</v>
      </c>
      <c r="C636" t="s">
        <v>977</v>
      </c>
    </row>
    <row r="637" spans="1:3" x14ac:dyDescent="0.25">
      <c r="A637">
        <v>2119</v>
      </c>
      <c r="B637" t="s">
        <v>978</v>
      </c>
      <c r="C637" t="s">
        <v>979</v>
      </c>
    </row>
    <row r="638" spans="1:3" x14ac:dyDescent="0.25">
      <c r="A638">
        <v>2120</v>
      </c>
      <c r="B638" t="s">
        <v>980</v>
      </c>
      <c r="C638" t="s">
        <v>981</v>
      </c>
    </row>
    <row r="639" spans="1:3" x14ac:dyDescent="0.25">
      <c r="A639">
        <v>2121</v>
      </c>
      <c r="B639" t="s">
        <v>982</v>
      </c>
      <c r="C639" t="s">
        <v>983</v>
      </c>
    </row>
    <row r="640" spans="1:3" x14ac:dyDescent="0.25">
      <c r="A640">
        <v>2122</v>
      </c>
      <c r="B640" t="s">
        <v>984</v>
      </c>
      <c r="C640" t="s">
        <v>985</v>
      </c>
    </row>
    <row r="641" spans="1:3" x14ac:dyDescent="0.25">
      <c r="A641">
        <v>2123</v>
      </c>
      <c r="B641" t="s">
        <v>986</v>
      </c>
      <c r="C641" t="s">
        <v>987</v>
      </c>
    </row>
    <row r="642" spans="1:3" x14ac:dyDescent="0.25">
      <c r="A642">
        <v>4344</v>
      </c>
      <c r="B642" t="s">
        <v>988</v>
      </c>
      <c r="C642" t="e">
        <f>+proj=geocent +ellps=GRQ80 +units=m +no_defs</f>
        <v>#NAME?</v>
      </c>
    </row>
    <row r="643" spans="1:3" x14ac:dyDescent="0.25">
      <c r="A643">
        <v>2124</v>
      </c>
      <c r="B643" t="s">
        <v>989</v>
      </c>
      <c r="C643" t="s">
        <v>990</v>
      </c>
    </row>
    <row r="644" spans="1:3" x14ac:dyDescent="0.25">
      <c r="A644">
        <v>2125</v>
      </c>
      <c r="B644" t="s">
        <v>991</v>
      </c>
      <c r="C644" t="s">
        <v>992</v>
      </c>
    </row>
    <row r="645" spans="1:3" x14ac:dyDescent="0.25">
      <c r="A645">
        <v>2126</v>
      </c>
      <c r="B645" t="s">
        <v>993</v>
      </c>
      <c r="C645" t="s">
        <v>994</v>
      </c>
    </row>
    <row r="646" spans="1:3" x14ac:dyDescent="0.25">
      <c r="A646">
        <v>2127</v>
      </c>
      <c r="B646" t="s">
        <v>995</v>
      </c>
      <c r="C646" t="s">
        <v>996</v>
      </c>
    </row>
    <row r="647" spans="1:3" x14ac:dyDescent="0.25">
      <c r="A647">
        <v>2128</v>
      </c>
      <c r="B647" t="s">
        <v>997</v>
      </c>
      <c r="C647" t="s">
        <v>998</v>
      </c>
    </row>
    <row r="648" spans="1:3" x14ac:dyDescent="0.25">
      <c r="A648">
        <v>2129</v>
      </c>
      <c r="B648" t="s">
        <v>999</v>
      </c>
      <c r="C648" t="s">
        <v>1000</v>
      </c>
    </row>
    <row r="649" spans="1:3" x14ac:dyDescent="0.25">
      <c r="A649">
        <v>2130</v>
      </c>
      <c r="B649" t="s">
        <v>1001</v>
      </c>
      <c r="C649" t="s">
        <v>1002</v>
      </c>
    </row>
    <row r="650" spans="1:3" x14ac:dyDescent="0.25">
      <c r="A650">
        <v>2131</v>
      </c>
      <c r="B650" t="s">
        <v>1003</v>
      </c>
      <c r="C650" t="s">
        <v>1004</v>
      </c>
    </row>
    <row r="651" spans="1:3" x14ac:dyDescent="0.25">
      <c r="A651">
        <v>2132</v>
      </c>
      <c r="B651" t="s">
        <v>1005</v>
      </c>
      <c r="C651" t="s">
        <v>1006</v>
      </c>
    </row>
    <row r="652" spans="1:3" x14ac:dyDescent="0.25">
      <c r="A652">
        <v>4346</v>
      </c>
      <c r="B652" t="s">
        <v>1007</v>
      </c>
      <c r="C652" t="e">
        <f>+proj=geocent +ellps=GRQ80 +units=m +no_defs</f>
        <v>#NAME?</v>
      </c>
    </row>
    <row r="653" spans="1:3" x14ac:dyDescent="0.25">
      <c r="A653">
        <v>2133</v>
      </c>
      <c r="B653" t="s">
        <v>1008</v>
      </c>
      <c r="C653" t="s">
        <v>1009</v>
      </c>
    </row>
    <row r="654" spans="1:3" x14ac:dyDescent="0.25">
      <c r="A654">
        <v>2134</v>
      </c>
      <c r="B654" t="s">
        <v>1010</v>
      </c>
      <c r="C654" t="s">
        <v>1011</v>
      </c>
    </row>
    <row r="655" spans="1:3" x14ac:dyDescent="0.25">
      <c r="A655">
        <v>2135</v>
      </c>
      <c r="B655" t="s">
        <v>1012</v>
      </c>
      <c r="C655" t="s">
        <v>1013</v>
      </c>
    </row>
    <row r="656" spans="1:3" x14ac:dyDescent="0.25">
      <c r="A656">
        <v>2136</v>
      </c>
      <c r="B656" t="s">
        <v>1014</v>
      </c>
      <c r="C656" t="s">
        <v>1015</v>
      </c>
    </row>
    <row r="657" spans="1:3" x14ac:dyDescent="0.25">
      <c r="A657">
        <v>2137</v>
      </c>
      <c r="B657" t="s">
        <v>1016</v>
      </c>
      <c r="C657" t="s">
        <v>1017</v>
      </c>
    </row>
    <row r="658" spans="1:3" x14ac:dyDescent="0.25">
      <c r="A658">
        <v>2138</v>
      </c>
      <c r="B658" t="s">
        <v>1018</v>
      </c>
      <c r="C658" t="e">
        <f>+proj=lcc +lat_1=60 +lat_2=46 +lat_0=44 +lon_0=-68.5 +x_0=0 +y_0=0 +ellps=clrk66 +units=m +no_defs</f>
        <v>#NAME?</v>
      </c>
    </row>
    <row r="659" spans="1:3" x14ac:dyDescent="0.25">
      <c r="A659">
        <v>2139</v>
      </c>
      <c r="B659" t="s">
        <v>1019</v>
      </c>
      <c r="C659" t="s">
        <v>1020</v>
      </c>
    </row>
    <row r="660" spans="1:3" x14ac:dyDescent="0.25">
      <c r="A660">
        <v>2140</v>
      </c>
      <c r="B660" t="s">
        <v>1021</v>
      </c>
      <c r="C660" t="s">
        <v>1022</v>
      </c>
    </row>
    <row r="661" spans="1:3" x14ac:dyDescent="0.25">
      <c r="A661">
        <v>2141</v>
      </c>
      <c r="B661" t="s">
        <v>1023</v>
      </c>
      <c r="C661" t="s">
        <v>1024</v>
      </c>
    </row>
    <row r="662" spans="1:3" x14ac:dyDescent="0.25">
      <c r="A662">
        <v>2327</v>
      </c>
      <c r="B662" t="s">
        <v>1025</v>
      </c>
      <c r="C662" t="e">
        <f>+proj=tmerc +lat_0=0 +lon_0=75 +k=1 +x_0=13500000 +y_0=0 +a=6378140 +b=6356755.28815752 +units=m +no_defs</f>
        <v>#NAME?</v>
      </c>
    </row>
    <row r="663" spans="1:3" x14ac:dyDescent="0.25">
      <c r="A663">
        <v>2142</v>
      </c>
      <c r="B663" t="s">
        <v>1026</v>
      </c>
      <c r="C663" t="s">
        <v>1027</v>
      </c>
    </row>
    <row r="664" spans="1:3" x14ac:dyDescent="0.25">
      <c r="A664">
        <v>2143</v>
      </c>
      <c r="B664" t="s">
        <v>1028</v>
      </c>
      <c r="C664" t="s">
        <v>1029</v>
      </c>
    </row>
    <row r="665" spans="1:3" x14ac:dyDescent="0.25">
      <c r="A665">
        <v>2144</v>
      </c>
      <c r="B665" t="s">
        <v>1030</v>
      </c>
      <c r="C665" t="s">
        <v>1031</v>
      </c>
    </row>
    <row r="666" spans="1:3" x14ac:dyDescent="0.25">
      <c r="A666">
        <v>2145</v>
      </c>
      <c r="B666" t="s">
        <v>1032</v>
      </c>
      <c r="C666" t="s">
        <v>1033</v>
      </c>
    </row>
    <row r="667" spans="1:3" x14ac:dyDescent="0.25">
      <c r="A667">
        <v>2146</v>
      </c>
      <c r="B667" t="s">
        <v>1034</v>
      </c>
      <c r="C667" t="s">
        <v>1035</v>
      </c>
    </row>
    <row r="668" spans="1:3" x14ac:dyDescent="0.25">
      <c r="A668">
        <v>2147</v>
      </c>
      <c r="B668" t="s">
        <v>1036</v>
      </c>
      <c r="C668" t="s">
        <v>1037</v>
      </c>
    </row>
    <row r="669" spans="1:3" x14ac:dyDescent="0.25">
      <c r="A669">
        <v>2148</v>
      </c>
      <c r="B669" t="s">
        <v>1038</v>
      </c>
      <c r="C669" t="s">
        <v>1039</v>
      </c>
    </row>
    <row r="670" spans="1:3" x14ac:dyDescent="0.25">
      <c r="A670">
        <v>2149</v>
      </c>
      <c r="B670" t="s">
        <v>1040</v>
      </c>
      <c r="C670" t="s">
        <v>1041</v>
      </c>
    </row>
    <row r="671" spans="1:3" x14ac:dyDescent="0.25">
      <c r="A671">
        <v>2150</v>
      </c>
      <c r="B671" t="s">
        <v>1042</v>
      </c>
      <c r="C671" t="s">
        <v>1043</v>
      </c>
    </row>
    <row r="672" spans="1:3" x14ac:dyDescent="0.25">
      <c r="A672">
        <v>4348</v>
      </c>
      <c r="B672" t="s">
        <v>1044</v>
      </c>
      <c r="C672" t="e">
        <f>+proj=geocent +ellps=GRQ80 +units=m +no_defs</f>
        <v>#NAME?</v>
      </c>
    </row>
    <row r="673" spans="1:3" x14ac:dyDescent="0.25">
      <c r="A673">
        <v>2151</v>
      </c>
      <c r="B673" t="s">
        <v>1045</v>
      </c>
      <c r="C673" t="s">
        <v>1046</v>
      </c>
    </row>
    <row r="674" spans="1:3" x14ac:dyDescent="0.25">
      <c r="A674">
        <v>2152</v>
      </c>
      <c r="B674" t="s">
        <v>1047</v>
      </c>
      <c r="C674" t="s">
        <v>1048</v>
      </c>
    </row>
    <row r="675" spans="1:3" x14ac:dyDescent="0.25">
      <c r="A675">
        <v>2153</v>
      </c>
      <c r="B675" t="s">
        <v>1049</v>
      </c>
      <c r="C675" t="s">
        <v>1050</v>
      </c>
    </row>
    <row r="676" spans="1:3" x14ac:dyDescent="0.25">
      <c r="A676">
        <v>2154</v>
      </c>
      <c r="B676" t="s">
        <v>1051</v>
      </c>
      <c r="C676" t="s">
        <v>1052</v>
      </c>
    </row>
    <row r="677" spans="1:3" x14ac:dyDescent="0.25">
      <c r="A677">
        <v>2155</v>
      </c>
      <c r="B677" t="s">
        <v>1053</v>
      </c>
      <c r="C677" t="s">
        <v>1054</v>
      </c>
    </row>
    <row r="678" spans="1:3" x14ac:dyDescent="0.25">
      <c r="A678">
        <v>2156</v>
      </c>
      <c r="B678" t="s">
        <v>1055</v>
      </c>
      <c r="C678" t="s">
        <v>1011</v>
      </c>
    </row>
    <row r="679" spans="1:3" x14ac:dyDescent="0.25">
      <c r="A679">
        <v>2157</v>
      </c>
      <c r="B679" t="s">
        <v>1056</v>
      </c>
      <c r="C679" t="s">
        <v>1057</v>
      </c>
    </row>
    <row r="680" spans="1:3" x14ac:dyDescent="0.25">
      <c r="A680">
        <v>2158</v>
      </c>
      <c r="B680" t="s">
        <v>1058</v>
      </c>
      <c r="C680" t="s">
        <v>1059</v>
      </c>
    </row>
    <row r="681" spans="1:3" x14ac:dyDescent="0.25">
      <c r="A681">
        <v>2159</v>
      </c>
      <c r="B681" t="s">
        <v>1060</v>
      </c>
      <c r="C681" t="e">
        <f>+proj=tmerc +lat_0=6.66666666666666 +lon_0=-12 +k=1 +x_0=152399.855090754 +y_0=0 +a=6378300 +b=6356751.68918918 +to_meter=0.304799710181508 +no_defs</f>
        <v>#NAME?</v>
      </c>
    </row>
    <row r="682" spans="1:3" x14ac:dyDescent="0.25">
      <c r="A682">
        <v>4350</v>
      </c>
      <c r="B682" t="s">
        <v>1061</v>
      </c>
      <c r="C682" t="e">
        <f>+proj=geocent +ellps=WGQ84 +units=m +no_defs</f>
        <v>#NAME?</v>
      </c>
    </row>
    <row r="683" spans="1:3" x14ac:dyDescent="0.25">
      <c r="A683">
        <v>2160</v>
      </c>
      <c r="B683" t="s">
        <v>1062</v>
      </c>
      <c r="C683" t="e">
        <f>+proj=tmerc +lat_0=6.66666666666666 +lon_0=-12 +k=1 +x_0=243839.768145207 +y_0=182879.826108905 +a=6378300 +b=6356751.68918918 +to_meter=0.304799710181508 +no_defs</f>
        <v>#NAME?</v>
      </c>
    </row>
    <row r="684" spans="1:3" x14ac:dyDescent="0.25">
      <c r="A684">
        <v>2161</v>
      </c>
      <c r="B684" t="s">
        <v>1063</v>
      </c>
      <c r="C684" t="s">
        <v>1064</v>
      </c>
    </row>
    <row r="685" spans="1:3" x14ac:dyDescent="0.25">
      <c r="A685">
        <v>2162</v>
      </c>
      <c r="B685" t="s">
        <v>1065</v>
      </c>
      <c r="C685" t="s">
        <v>1066</v>
      </c>
    </row>
    <row r="686" spans="1:3" x14ac:dyDescent="0.25">
      <c r="A686">
        <v>2163</v>
      </c>
      <c r="B686" t="s">
        <v>1067</v>
      </c>
      <c r="C686" t="e">
        <f>+proj=laea +lat_0=45 +lon_0=-100 +x_0=0 +y_0=0 +a=6370997 +b=6370997 +units=m +no_defs</f>
        <v>#NAME?</v>
      </c>
    </row>
    <row r="687" spans="1:3" x14ac:dyDescent="0.25">
      <c r="A687">
        <v>2164</v>
      </c>
      <c r="B687" t="s">
        <v>1068</v>
      </c>
      <c r="C687" t="s">
        <v>1069</v>
      </c>
    </row>
    <row r="688" spans="1:3" x14ac:dyDescent="0.25">
      <c r="A688">
        <v>2165</v>
      </c>
      <c r="B688" t="s">
        <v>1070</v>
      </c>
      <c r="C688" t="s">
        <v>1071</v>
      </c>
    </row>
    <row r="689" spans="1:3" x14ac:dyDescent="0.25">
      <c r="A689">
        <v>2166</v>
      </c>
      <c r="B689" t="s">
        <v>1072</v>
      </c>
      <c r="C689" t="s">
        <v>1073</v>
      </c>
    </row>
    <row r="690" spans="1:3" x14ac:dyDescent="0.25">
      <c r="A690">
        <v>2167</v>
      </c>
      <c r="B690" t="s">
        <v>1074</v>
      </c>
      <c r="C690" t="s">
        <v>1075</v>
      </c>
    </row>
    <row r="691" spans="1:3" x14ac:dyDescent="0.25">
      <c r="A691">
        <v>2168</v>
      </c>
      <c r="B691" t="s">
        <v>1076</v>
      </c>
      <c r="C691" t="s">
        <v>1077</v>
      </c>
    </row>
    <row r="692" spans="1:3" x14ac:dyDescent="0.25">
      <c r="A692">
        <v>2178</v>
      </c>
      <c r="B692" t="s">
        <v>1078</v>
      </c>
      <c r="C692" t="s">
        <v>1079</v>
      </c>
    </row>
    <row r="693" spans="1:3" x14ac:dyDescent="0.25">
      <c r="A693">
        <v>2169</v>
      </c>
      <c r="B693" t="s">
        <v>1080</v>
      </c>
      <c r="C693" t="s">
        <v>1081</v>
      </c>
    </row>
    <row r="694" spans="1:3" x14ac:dyDescent="0.25">
      <c r="A694">
        <v>2170</v>
      </c>
      <c r="B694" t="s">
        <v>1082</v>
      </c>
      <c r="C694" t="e">
        <f>+proj=tmerc +lat_0=0 +lon_0=15 +k=0.9999 +x_0=500000 +y_0=0 +datum=hermannskogel +units=m +no_defs</f>
        <v>#NAME?</v>
      </c>
    </row>
    <row r="695" spans="1:3" x14ac:dyDescent="0.25">
      <c r="A695">
        <v>2171</v>
      </c>
      <c r="B695" t="s">
        <v>1083</v>
      </c>
      <c r="C695" t="s">
        <v>1084</v>
      </c>
    </row>
    <row r="696" spans="1:3" x14ac:dyDescent="0.25">
      <c r="A696">
        <v>2172</v>
      </c>
      <c r="B696" t="s">
        <v>1085</v>
      </c>
      <c r="C696" t="s">
        <v>1086</v>
      </c>
    </row>
    <row r="697" spans="1:3" x14ac:dyDescent="0.25">
      <c r="A697">
        <v>2173</v>
      </c>
      <c r="B697" t="s">
        <v>1087</v>
      </c>
      <c r="C697" t="s">
        <v>1088</v>
      </c>
    </row>
    <row r="698" spans="1:3" x14ac:dyDescent="0.25">
      <c r="A698">
        <v>2174</v>
      </c>
      <c r="B698" t="s">
        <v>1089</v>
      </c>
      <c r="C698" t="s">
        <v>1090</v>
      </c>
    </row>
    <row r="699" spans="1:3" x14ac:dyDescent="0.25">
      <c r="A699">
        <v>2175</v>
      </c>
      <c r="B699" t="s">
        <v>1091</v>
      </c>
      <c r="C699" t="s">
        <v>1092</v>
      </c>
    </row>
    <row r="700" spans="1:3" x14ac:dyDescent="0.25">
      <c r="A700">
        <v>2176</v>
      </c>
      <c r="B700" t="s">
        <v>1093</v>
      </c>
      <c r="C700" t="s">
        <v>1094</v>
      </c>
    </row>
    <row r="701" spans="1:3" x14ac:dyDescent="0.25">
      <c r="A701">
        <v>2177</v>
      </c>
      <c r="B701" t="s">
        <v>1095</v>
      </c>
      <c r="C701" t="s">
        <v>1096</v>
      </c>
    </row>
    <row r="702" spans="1:3" x14ac:dyDescent="0.25">
      <c r="A702">
        <v>2179</v>
      </c>
      <c r="B702" t="s">
        <v>1097</v>
      </c>
      <c r="C702" t="s">
        <v>1098</v>
      </c>
    </row>
    <row r="703" spans="1:3" x14ac:dyDescent="0.25">
      <c r="A703">
        <v>2180</v>
      </c>
      <c r="B703" t="s">
        <v>1099</v>
      </c>
      <c r="C703" t="s">
        <v>1100</v>
      </c>
    </row>
    <row r="704" spans="1:3" x14ac:dyDescent="0.25">
      <c r="A704">
        <v>2188</v>
      </c>
      <c r="B704" t="s">
        <v>1101</v>
      </c>
      <c r="C704" t="s">
        <v>1102</v>
      </c>
    </row>
    <row r="705" spans="1:3" x14ac:dyDescent="0.25">
      <c r="A705">
        <v>2189</v>
      </c>
      <c r="B705" t="s">
        <v>1103</v>
      </c>
      <c r="C705" t="s">
        <v>1104</v>
      </c>
    </row>
    <row r="706" spans="1:3" x14ac:dyDescent="0.25">
      <c r="A706">
        <v>2190</v>
      </c>
      <c r="B706" t="s">
        <v>1105</v>
      </c>
      <c r="C706" t="s">
        <v>1106</v>
      </c>
    </row>
    <row r="707" spans="1:3" x14ac:dyDescent="0.25">
      <c r="A707">
        <v>2191</v>
      </c>
      <c r="B707" t="s">
        <v>1107</v>
      </c>
      <c r="C707" t="e">
        <f>+proj=utm +zone=28 +ellps=intl +units=m +no_defs</f>
        <v>#NAME?</v>
      </c>
    </row>
    <row r="708" spans="1:3" x14ac:dyDescent="0.25">
      <c r="A708">
        <v>2192</v>
      </c>
      <c r="B708" t="s">
        <v>1108</v>
      </c>
      <c r="C708" t="s">
        <v>1109</v>
      </c>
    </row>
    <row r="709" spans="1:3" x14ac:dyDescent="0.25">
      <c r="A709">
        <v>2193</v>
      </c>
      <c r="B709" t="s">
        <v>1110</v>
      </c>
      <c r="C709" t="s">
        <v>1111</v>
      </c>
    </row>
    <row r="710" spans="1:3" x14ac:dyDescent="0.25">
      <c r="A710">
        <v>2194</v>
      </c>
      <c r="B710" t="s">
        <v>1112</v>
      </c>
      <c r="C710" t="s">
        <v>1113</v>
      </c>
    </row>
    <row r="711" spans="1:3" x14ac:dyDescent="0.25">
      <c r="A711">
        <v>2328</v>
      </c>
      <c r="B711" t="s">
        <v>1114</v>
      </c>
      <c r="C711" t="e">
        <f>+proj=tmerc +lat_0=0 +lon_0=81 +k=1 +x_0=14500000 +y_0=0 +a=6378140 +b=6356755.28815752 +units=m +no_defs</f>
        <v>#NAME?</v>
      </c>
    </row>
    <row r="712" spans="1:3" x14ac:dyDescent="0.25">
      <c r="A712">
        <v>2195</v>
      </c>
      <c r="B712" t="s">
        <v>1115</v>
      </c>
      <c r="C712" t="s">
        <v>1116</v>
      </c>
    </row>
    <row r="713" spans="1:3" x14ac:dyDescent="0.25">
      <c r="A713">
        <v>2196</v>
      </c>
      <c r="B713" t="s">
        <v>1117</v>
      </c>
      <c r="C713" t="s">
        <v>1118</v>
      </c>
    </row>
    <row r="714" spans="1:3" x14ac:dyDescent="0.25">
      <c r="A714">
        <v>2197</v>
      </c>
      <c r="B714" t="s">
        <v>1119</v>
      </c>
      <c r="C714" t="s">
        <v>1120</v>
      </c>
    </row>
    <row r="715" spans="1:3" x14ac:dyDescent="0.25">
      <c r="A715">
        <v>2198</v>
      </c>
      <c r="B715" t="s">
        <v>1121</v>
      </c>
      <c r="C715" t="s">
        <v>1122</v>
      </c>
    </row>
    <row r="716" spans="1:3" x14ac:dyDescent="0.25">
      <c r="A716">
        <v>2199</v>
      </c>
      <c r="B716" t="s">
        <v>1123</v>
      </c>
      <c r="C716" t="s">
        <v>1124</v>
      </c>
    </row>
    <row r="717" spans="1:3" x14ac:dyDescent="0.25">
      <c r="A717">
        <v>2200</v>
      </c>
      <c r="B717" t="s">
        <v>1125</v>
      </c>
      <c r="C717" t="e">
        <f>+proj=sterea +lat_0=46.5 +lon_0=-66.5 +k=0.999912 +x_0=300000 +y_0=800000 +a=6378135 +b=6356750.30492159 +units=m +no_defs</f>
        <v>#NAME?</v>
      </c>
    </row>
    <row r="718" spans="1:3" x14ac:dyDescent="0.25">
      <c r="A718">
        <v>2201</v>
      </c>
      <c r="B718" t="s">
        <v>1126</v>
      </c>
      <c r="C718" t="s">
        <v>1041</v>
      </c>
    </row>
    <row r="719" spans="1:3" x14ac:dyDescent="0.25">
      <c r="A719">
        <v>2202</v>
      </c>
      <c r="B719" t="s">
        <v>1127</v>
      </c>
      <c r="C719" t="s">
        <v>827</v>
      </c>
    </row>
    <row r="720" spans="1:3" x14ac:dyDescent="0.25">
      <c r="A720">
        <v>2203</v>
      </c>
      <c r="B720" t="s">
        <v>1128</v>
      </c>
      <c r="C720" t="s">
        <v>830</v>
      </c>
    </row>
    <row r="721" spans="1:3" x14ac:dyDescent="0.25">
      <c r="A721">
        <v>2204</v>
      </c>
      <c r="B721" t="s">
        <v>1129</v>
      </c>
      <c r="C721" t="e">
        <f>+proj=lcc +lat_1=35.25 +lat_2=36.4166666666666 +lat_0=34.6666666666666 +lon_0=-86 +x_0=609601.219202438 +y_0=30480.0609601219 +datum=NAB27 +units=us-ft +no_defs</f>
        <v>#NAME?</v>
      </c>
    </row>
    <row r="722" spans="1:3" x14ac:dyDescent="0.25">
      <c r="A722">
        <v>2205</v>
      </c>
      <c r="B722" t="s">
        <v>1130</v>
      </c>
      <c r="C722" t="e">
        <f>+proj=lcc +lat_1=37.9666666666666 +lat_2=38.9666666666666 +lat_0=37.5 +lon_0=-84.25 +x_0=500000 +y_0=0 +datum=NAB83 +units=m +no_defs</f>
        <v>#NAME?</v>
      </c>
    </row>
    <row r="723" spans="1:3" x14ac:dyDescent="0.25">
      <c r="A723">
        <v>2206</v>
      </c>
      <c r="B723" t="s">
        <v>1131</v>
      </c>
      <c r="C723" t="s">
        <v>1132</v>
      </c>
    </row>
    <row r="724" spans="1:3" x14ac:dyDescent="0.25">
      <c r="A724">
        <v>2207</v>
      </c>
      <c r="B724" t="s">
        <v>1133</v>
      </c>
      <c r="C724" t="s">
        <v>1134</v>
      </c>
    </row>
    <row r="725" spans="1:3" x14ac:dyDescent="0.25">
      <c r="A725">
        <v>2208</v>
      </c>
      <c r="B725" t="s">
        <v>1135</v>
      </c>
      <c r="C725" t="s">
        <v>1136</v>
      </c>
    </row>
    <row r="726" spans="1:3" x14ac:dyDescent="0.25">
      <c r="A726">
        <v>2209</v>
      </c>
      <c r="B726" t="s">
        <v>1137</v>
      </c>
      <c r="C726" t="s">
        <v>1138</v>
      </c>
    </row>
    <row r="727" spans="1:3" x14ac:dyDescent="0.25">
      <c r="A727">
        <v>2210</v>
      </c>
      <c r="B727" t="s">
        <v>1139</v>
      </c>
      <c r="C727" t="s">
        <v>1140</v>
      </c>
    </row>
    <row r="728" spans="1:3" x14ac:dyDescent="0.25">
      <c r="A728">
        <v>2211</v>
      </c>
      <c r="B728" t="s">
        <v>1141</v>
      </c>
      <c r="C728" t="s">
        <v>1142</v>
      </c>
    </row>
    <row r="729" spans="1:3" x14ac:dyDescent="0.25">
      <c r="A729">
        <v>2212</v>
      </c>
      <c r="B729" t="s">
        <v>1143</v>
      </c>
      <c r="C729" t="s">
        <v>1144</v>
      </c>
    </row>
    <row r="730" spans="1:3" x14ac:dyDescent="0.25">
      <c r="A730">
        <v>2213</v>
      </c>
      <c r="B730" t="s">
        <v>1145</v>
      </c>
      <c r="C730" t="s">
        <v>1146</v>
      </c>
    </row>
    <row r="731" spans="1:3" x14ac:dyDescent="0.25">
      <c r="A731">
        <v>2214</v>
      </c>
      <c r="B731" t="s">
        <v>1147</v>
      </c>
      <c r="C731" t="s">
        <v>1148</v>
      </c>
    </row>
    <row r="732" spans="1:3" x14ac:dyDescent="0.25">
      <c r="A732">
        <v>2215</v>
      </c>
      <c r="B732" t="s">
        <v>1149</v>
      </c>
      <c r="C732" t="s">
        <v>1150</v>
      </c>
    </row>
    <row r="733" spans="1:3" x14ac:dyDescent="0.25">
      <c r="A733">
        <v>2216</v>
      </c>
      <c r="B733" t="s">
        <v>1151</v>
      </c>
      <c r="C733" t="s">
        <v>1152</v>
      </c>
    </row>
    <row r="734" spans="1:3" x14ac:dyDescent="0.25">
      <c r="A734">
        <v>2217</v>
      </c>
      <c r="B734" t="s">
        <v>1153</v>
      </c>
      <c r="C734" t="s">
        <v>1154</v>
      </c>
    </row>
    <row r="735" spans="1:3" x14ac:dyDescent="0.25">
      <c r="A735">
        <v>2219</v>
      </c>
      <c r="B735" t="s">
        <v>1155</v>
      </c>
      <c r="C735" t="e">
        <f>+proj=utm +zone=19 +a=6378135 +b=6356750.30492159 +units=m +no_defs</f>
        <v>#NAME?</v>
      </c>
    </row>
    <row r="736" spans="1:3" x14ac:dyDescent="0.25">
      <c r="A736">
        <v>2220</v>
      </c>
      <c r="B736" t="s">
        <v>1156</v>
      </c>
      <c r="C736" t="e">
        <f>+proj=utm +zone=20 +a=6378135 +b=6356750.30492159 +units=m +no_defs</f>
        <v>#NAME?</v>
      </c>
    </row>
    <row r="737" spans="1:3" x14ac:dyDescent="0.25">
      <c r="A737">
        <v>2222</v>
      </c>
      <c r="B737" t="s">
        <v>1157</v>
      </c>
      <c r="C737" t="e">
        <f>+proj=tmerc +lat_0=31 +lon_0=-110.166666666666 +k=0.9999 +x_0=213360 +y_0=0 +datum=NAB83 +units=ft +no_defs</f>
        <v>#NAME?</v>
      </c>
    </row>
    <row r="738" spans="1:3" x14ac:dyDescent="0.25">
      <c r="A738">
        <v>2223</v>
      </c>
      <c r="B738" t="s">
        <v>1158</v>
      </c>
      <c r="C738" t="e">
        <f>+proj=tmerc +lat_0=31 +lon_0=-111.916666666666 +k=0.9999 +x_0=213360 +y_0=0 +datum=NAB83 +units=ft +no_defs</f>
        <v>#NAME?</v>
      </c>
    </row>
    <row r="739" spans="1:3" x14ac:dyDescent="0.25">
      <c r="A739">
        <v>2224</v>
      </c>
      <c r="B739" t="s">
        <v>1159</v>
      </c>
      <c r="C739" t="e">
        <f>+proj=tmerc +lat_0=31 +lon_0=-113.75 +k=0.999933333 +x_0=213360 +y_0=0 +datum=NAB83 +units=ft +no_defs</f>
        <v>#NAME?</v>
      </c>
    </row>
    <row r="740" spans="1:3" x14ac:dyDescent="0.25">
      <c r="A740">
        <v>2225</v>
      </c>
      <c r="B740" t="s">
        <v>1160</v>
      </c>
      <c r="C740" t="e">
        <f>+proj=lcc +lat_1=41.6666666666666 +lat_2=40 +lat_0=39.3333333333333 +lon_0=-122 +x_0=2000000.0001016 +y_0=500000.0001016 +datum=NAB83 +units=us-ft +no_defs</f>
        <v>#NAME?</v>
      </c>
    </row>
    <row r="741" spans="1:3" x14ac:dyDescent="0.25">
      <c r="A741">
        <v>2243</v>
      </c>
      <c r="B741" t="s">
        <v>1161</v>
      </c>
      <c r="C741" t="e">
        <f>+proj=tmerc +lat_0=41.6666666666666 +lon_0=-115.75 +k=0.999933333 +x_0=800000.0001016 +y_0=0 +datum=NAB83 +units=us-ft +no_defs</f>
        <v>#NAME?</v>
      </c>
    </row>
    <row r="742" spans="1:3" x14ac:dyDescent="0.25">
      <c r="A742">
        <v>2226</v>
      </c>
      <c r="B742" t="s">
        <v>1162</v>
      </c>
      <c r="C742" t="e">
        <f>+proj=lcc +lat_1=39.8333333333333 +lat_2=38.3333333333333 +lat_0=37.6666666666666 +lon_0=-122 +x_0=2000000.0001016 +y_0=500000.0001016 +datum=NAB83 +units=us-ft +no_defs</f>
        <v>#NAME?</v>
      </c>
    </row>
    <row r="743" spans="1:3" x14ac:dyDescent="0.25">
      <c r="A743">
        <v>2227</v>
      </c>
      <c r="B743" t="s">
        <v>1163</v>
      </c>
      <c r="C743" t="e">
        <f>+proj=lcc +lat_1=38.4333333333333 +lat_2=37.0666666666666 +lat_0=36.5 +lon_0=-120.5 +x_0=2000000.0001016 +y_0=500000.0001016 +datum=NAB83 +units=us-ft +no_defs</f>
        <v>#NAME?</v>
      </c>
    </row>
    <row r="744" spans="1:3" x14ac:dyDescent="0.25">
      <c r="A744">
        <v>2228</v>
      </c>
      <c r="B744" t="s">
        <v>1164</v>
      </c>
      <c r="C744" t="e">
        <f>+proj=lcc +lat_1=37.25 +lat_2=36 +lat_0=35.3333333333333 +lon_0=-119 +x_0=2000000.0001016 +y_0=500000.0001016 +datum=NAB83 +units=us-ft +no_defs</f>
        <v>#NAME?</v>
      </c>
    </row>
    <row r="745" spans="1:3" x14ac:dyDescent="0.25">
      <c r="A745">
        <v>2229</v>
      </c>
      <c r="B745" t="s">
        <v>1165</v>
      </c>
      <c r="C745" t="e">
        <f>+proj=lcc +lat_1=35.4666666666666 +lat_2=34.0333333333333 +lat_0=33.5 +lon_0=-118 +x_0=2000000.0001016 +y_0=500000.0001016 +datum=NAB83 +units=us-ft +no_defs</f>
        <v>#NAME?</v>
      </c>
    </row>
    <row r="746" spans="1:3" x14ac:dyDescent="0.25">
      <c r="A746">
        <v>2230</v>
      </c>
      <c r="B746" t="s">
        <v>1166</v>
      </c>
      <c r="C746" t="e">
        <f>+proj=lcc +lat_1=33.8833333333333 +lat_2=32.7833333333333 +lat_0=32.1666666666666 +lon_0=-116.25 +x_0=2000000.0001016 +y_0=500000.0001016 +datum=NAB83 +units=us-ft +no_defs</f>
        <v>#NAME?</v>
      </c>
    </row>
    <row r="747" spans="1:3" x14ac:dyDescent="0.25">
      <c r="A747">
        <v>2231</v>
      </c>
      <c r="B747" t="s">
        <v>1167</v>
      </c>
      <c r="C747" t="e">
        <f>+proj=lcc +lat_1=40.7833333333333 +lat_2=39.7166666666666 +lat_0=39.3333333333333 +lon_0=-105.5 +x_0=914401.828803657 +y_0=304800.609601219 +datum=NAB83 +units=us-ft +no_defs</f>
        <v>#NAME?</v>
      </c>
    </row>
    <row r="748" spans="1:3" x14ac:dyDescent="0.25">
      <c r="A748">
        <v>2232</v>
      </c>
      <c r="B748" t="s">
        <v>1168</v>
      </c>
      <c r="C748" t="e">
        <f>+proj=lcc +lat_1=39.75 +lat_2=38.45 +lat_0=37.8333333333333 +lon_0=-105.5 +x_0=914401.828803657 +y_0=304800.609601219 +datum=NAB83 +units=us-ft +no_defs</f>
        <v>#NAME?</v>
      </c>
    </row>
    <row r="749" spans="1:3" x14ac:dyDescent="0.25">
      <c r="A749">
        <v>2233</v>
      </c>
      <c r="B749" t="s">
        <v>1169</v>
      </c>
      <c r="C749" t="e">
        <f>+proj=lcc +lat_1=38.4333333333333 +lat_2=37.2333333333333 +lat_0=36.6666666666666 +lon_0=-105.5 +x_0=914401.828803657 +y_0=304800.609601219 +datum=NAB83 +units=us-ft +no_defs</f>
        <v>#NAME?</v>
      </c>
    </row>
    <row r="750" spans="1:3" x14ac:dyDescent="0.25">
      <c r="A750">
        <v>2234</v>
      </c>
      <c r="B750" t="s">
        <v>1170</v>
      </c>
      <c r="C750" t="e">
        <f>+proj=lcc +lat_1=41.8666666666666 +lat_2=41.2 +lat_0=40.8333333333333 +lon_0=-72.75 +x_0=304800.609601219 +y_0=152400.304800609 +datum=NAB83 +units=us-ft +no_defs</f>
        <v>#NAME?</v>
      </c>
    </row>
    <row r="751" spans="1:3" x14ac:dyDescent="0.25">
      <c r="A751">
        <v>2235</v>
      </c>
      <c r="B751" t="s">
        <v>1171</v>
      </c>
      <c r="C751" t="e">
        <f>+proj=tmerc +lat_0=38 +lon_0=-75.4166666666666 +k=0.999995 +x_0=200000.0001016 +y_0=0 +datum=NAB83 +units=us-ft +no_defs</f>
        <v>#NAME?</v>
      </c>
    </row>
    <row r="752" spans="1:3" x14ac:dyDescent="0.25">
      <c r="A752">
        <v>2236</v>
      </c>
      <c r="B752" t="s">
        <v>1172</v>
      </c>
      <c r="C752" t="e">
        <f>+proj=tmerc +lat_0=24.3333333333333 +lon_0=-81 +k=0.999941177 +x_0=200000.0001016 +y_0=0 +datum=NAB83 +units=us-ft +no_defs</f>
        <v>#NAME?</v>
      </c>
    </row>
    <row r="753" spans="1:3" x14ac:dyDescent="0.25">
      <c r="A753">
        <v>2237</v>
      </c>
      <c r="B753" t="s">
        <v>1173</v>
      </c>
      <c r="C753" t="e">
        <f>+proj=tmerc +lat_0=24.3333333333333 +lon_0=-82 +k=0.999941177 +x_0=200000.0001016 +y_0=0 +datum=NAB83 +units=us-ft +no_defs</f>
        <v>#NAME?</v>
      </c>
    </row>
    <row r="754" spans="1:3" x14ac:dyDescent="0.25">
      <c r="A754">
        <v>2238</v>
      </c>
      <c r="B754" t="s">
        <v>1174</v>
      </c>
      <c r="C754" t="e">
        <f>+proj=lcc +lat_1=30.75 +lat_2=29.5833333333333 +lat_0=29 +lon_0=-84.5 +x_0=600000 +y_0=0 +datum=NAB83 +units=us-ft +no_defs</f>
        <v>#NAME?</v>
      </c>
    </row>
    <row r="755" spans="1:3" x14ac:dyDescent="0.25">
      <c r="A755">
        <v>2239</v>
      </c>
      <c r="B755" t="s">
        <v>1175</v>
      </c>
      <c r="C755" t="e">
        <f>+proj=tmerc +lat_0=30 +lon_0=-82.1666666666666 +k=0.9999 +x_0=200000.0001016 +y_0=0 +datum=NAB83 +units=us-ft +no_defs</f>
        <v>#NAME?</v>
      </c>
    </row>
    <row r="756" spans="1:3" x14ac:dyDescent="0.25">
      <c r="A756">
        <v>2240</v>
      </c>
      <c r="B756" t="s">
        <v>1176</v>
      </c>
      <c r="C756" t="e">
        <f>+proj=tmerc +lat_0=30 +lon_0=-84.1666666666666 +k=0.9999 +x_0=699999.999898399 +y_0=0 +datum=NAB83 +units=us-ft +no_defs</f>
        <v>#NAME?</v>
      </c>
    </row>
    <row r="757" spans="1:3" x14ac:dyDescent="0.25">
      <c r="A757">
        <v>2241</v>
      </c>
      <c r="B757" t="s">
        <v>1177</v>
      </c>
      <c r="C757" t="e">
        <f>+proj=tmerc +lat_0=41.6666666666666 +lon_0=-112.166666666666 +k=0.999947367999999 +x_0=200000.0001016 +y_0=0 +datum=NAB83 +units=us-ft +no_defs</f>
        <v>#NAME?</v>
      </c>
    </row>
    <row r="758" spans="1:3" x14ac:dyDescent="0.25">
      <c r="A758">
        <v>2242</v>
      </c>
      <c r="B758" t="s">
        <v>1178</v>
      </c>
      <c r="C758" t="e">
        <f>+proj=tmerc +lat_0=41.6666666666666 +lon_0=-114 +k=0.999947367999999 +x_0=500000.0001016 +y_0=0 +datum=NAB83 +units=us-ft +no_defs</f>
        <v>#NAME?</v>
      </c>
    </row>
    <row r="759" spans="1:3" x14ac:dyDescent="0.25">
      <c r="A759">
        <v>2244</v>
      </c>
      <c r="B759" t="s">
        <v>1179</v>
      </c>
      <c r="C759" t="e">
        <f>+proj=tmerc +lat_0=37.5 +lon_0=-85.6666666666666 +k=0.999966667 +x_0=99999.9998983997 +y_0=249364.998729997 +datum=NAB83 +units=us-ft +no_defs</f>
        <v>#NAME?</v>
      </c>
    </row>
    <row r="760" spans="1:3" x14ac:dyDescent="0.25">
      <c r="A760">
        <v>2245</v>
      </c>
      <c r="B760" t="s">
        <v>1180</v>
      </c>
      <c r="C760" t="e">
        <f>+proj=tmerc +lat_0=37.5 +lon_0=-87.0833333333333 +k=0.999966667 +x_0=900000 +y_0=249364.998729997 +datum=NAB83 +units=us-ft +no_defs</f>
        <v>#NAME?</v>
      </c>
    </row>
    <row r="761" spans="1:3" x14ac:dyDescent="0.25">
      <c r="A761">
        <v>2246</v>
      </c>
      <c r="B761" t="s">
        <v>1181</v>
      </c>
      <c r="C761" t="e">
        <f>+proj=lcc +lat_1=37.9666666666666 +lat_2=38.9666666666666 +lat_0=37.5 +lon_0=-84.25 +x_0=500000.0001016 +y_0=0 +datum=NAB83 +units=us-ft +no_defs</f>
        <v>#NAME?</v>
      </c>
    </row>
    <row r="762" spans="1:3" x14ac:dyDescent="0.25">
      <c r="A762">
        <v>2247</v>
      </c>
      <c r="B762" t="s">
        <v>1182</v>
      </c>
      <c r="C762" t="e">
        <f>+proj=lcc +lat_1=37.9333333333333 +lat_2=36.7333333333333 +lat_0=36.3333333333333 +lon_0=-85.75 +x_0=500000.0001016 +y_0=500000.0001016 +datum=NAB83 +units=us-ft +no_defs</f>
        <v>#NAME?</v>
      </c>
    </row>
    <row r="763" spans="1:3" x14ac:dyDescent="0.25">
      <c r="A763">
        <v>2248</v>
      </c>
      <c r="B763" t="s">
        <v>1183</v>
      </c>
      <c r="C763" t="e">
        <f>+proj=lcc +lat_1=39.45 +lat_2=38.3 +lat_0=37.6666666666666 +lon_0=-77 +x_0=399999.999898399 +y_0=0 +datum=NAB83 +units=us-ft +no_defs</f>
        <v>#NAME?</v>
      </c>
    </row>
    <row r="764" spans="1:3" x14ac:dyDescent="0.25">
      <c r="A764">
        <v>2249</v>
      </c>
      <c r="B764" t="s">
        <v>1184</v>
      </c>
      <c r="C764" t="e">
        <f>+proj=lcc +lat_1=42.6833333333333 +lat_2=41.7166666666666 +lat_0=41 +lon_0=-71.5 +x_0=200000.0001016 +y_0=750000 +datum=NAB83 +units=us-ft +no_defs</f>
        <v>#NAME?</v>
      </c>
    </row>
    <row r="765" spans="1:3" x14ac:dyDescent="0.25">
      <c r="A765">
        <v>2250</v>
      </c>
      <c r="B765" t="s">
        <v>1185</v>
      </c>
      <c r="C765" t="e">
        <f>+proj=lcc +lat_1=41.4833333333333 +lat_2=41.2833333333333 +lat_0=41 +lon_0=-70.5 +x_0=500000.0001016 +y_0=0 +datum=NAB83 +units=us-ft +no_defs</f>
        <v>#NAME?</v>
      </c>
    </row>
    <row r="766" spans="1:3" x14ac:dyDescent="0.25">
      <c r="A766">
        <v>2251</v>
      </c>
      <c r="B766" t="s">
        <v>1186</v>
      </c>
      <c r="C766" t="e">
        <f>+proj=lcc +lat_1=47.0833333333333 +lat_2=45.4833333333333 +lat_0=44.7833333333333 +lon_0=-87 +x_0=7999999.999968 +y_0=0 +datum=NAB83 +units=ft +no_defs</f>
        <v>#NAME?</v>
      </c>
    </row>
    <row r="767" spans="1:3" x14ac:dyDescent="0.25">
      <c r="A767">
        <v>4352</v>
      </c>
      <c r="B767" t="s">
        <v>1187</v>
      </c>
      <c r="C767" t="e">
        <f>+proj=geocent +ellps=GRQ80 +units=m +no_defs</f>
        <v>#NAME?</v>
      </c>
    </row>
    <row r="768" spans="1:3" x14ac:dyDescent="0.25">
      <c r="A768">
        <v>2252</v>
      </c>
      <c r="B768" t="s">
        <v>1188</v>
      </c>
      <c r="C768" t="e">
        <f>+proj=lcc +lat_1=45.7 +lat_2=44.1833333333333 +lat_0=43.3166666666666 +lon_0=-84.3666666666666 +x_0=5999999.999976 +y_0=0 +datum=NAB83 +units=ft +no_defs</f>
        <v>#NAME?</v>
      </c>
    </row>
    <row r="769" spans="1:3" x14ac:dyDescent="0.25">
      <c r="A769">
        <v>2253</v>
      </c>
      <c r="B769" t="s">
        <v>1189</v>
      </c>
      <c r="C769" t="e">
        <f>+proj=lcc +lat_1=43.6666666666666 +lat_2=42.1 +lat_0=41.5 +lon_0=-84.3666666666666 +x_0=3999999.999984 +y_0=0 +datum=NAB83 +units=ft +no_defs</f>
        <v>#NAME?</v>
      </c>
    </row>
    <row r="770" spans="1:3" x14ac:dyDescent="0.25">
      <c r="A770">
        <v>2254</v>
      </c>
      <c r="B770" t="s">
        <v>1190</v>
      </c>
      <c r="C770" t="e">
        <f>+proj=tmerc +lat_0=29.5 +lon_0=-88.8333333333333 +k=0.99995 +x_0=300000 +y_0=0 +datum=NAB83 +units=us-ft +no_defs</f>
        <v>#NAME?</v>
      </c>
    </row>
    <row r="771" spans="1:3" x14ac:dyDescent="0.25">
      <c r="A771">
        <v>2255</v>
      </c>
      <c r="B771" t="s">
        <v>1191</v>
      </c>
      <c r="C771" t="e">
        <f>+proj=tmerc +lat_0=29.5 +lon_0=-90.3333333333333 +k=0.99995 +x_0=699999.999898399 +y_0=0 +datum=NAB83 +units=us-ft +no_defs</f>
        <v>#NAME?</v>
      </c>
    </row>
    <row r="772" spans="1:3" x14ac:dyDescent="0.25">
      <c r="A772">
        <v>2256</v>
      </c>
      <c r="B772" t="s">
        <v>1192</v>
      </c>
      <c r="C772" t="e">
        <f>+proj=lcc +lat_1=49 +lat_2=45 +lat_0=44.25 +lon_0=-109.5 +x_0=599999.9999976 +y_0=0 +datum=NAB83 +units=ft +no_defs</f>
        <v>#NAME?</v>
      </c>
    </row>
    <row r="773" spans="1:3" x14ac:dyDescent="0.25">
      <c r="A773">
        <v>2257</v>
      </c>
      <c r="B773" t="s">
        <v>1193</v>
      </c>
      <c r="C773" t="e">
        <f>+proj=tmerc +lat_0=31 +lon_0=-104.333333333333 +k=0.999909091 +x_0=165000 +y_0=0 +datum=NAB83 +units=us-ft +no_defs</f>
        <v>#NAME?</v>
      </c>
    </row>
    <row r="774" spans="1:3" x14ac:dyDescent="0.25">
      <c r="A774">
        <v>2258</v>
      </c>
      <c r="B774" t="s">
        <v>1194</v>
      </c>
      <c r="C774" t="e">
        <f>+proj=tmerc +lat_0=31 +lon_0=-106.25 +k=0.9999 +x_0=500000.0001016 +y_0=0 +datum=NAB83 +units=us-ft +no_defs</f>
        <v>#NAME?</v>
      </c>
    </row>
    <row r="775" spans="1:3" x14ac:dyDescent="0.25">
      <c r="A775">
        <v>2259</v>
      </c>
      <c r="B775" t="s">
        <v>1195</v>
      </c>
      <c r="C775" t="e">
        <f>+proj=tmerc +lat_0=31 +lon_0=-107.833333333333 +k=0.999916667 +x_0=830000.0001016 +y_0=0 +datum=NAB83 +units=us-ft +no_defs</f>
        <v>#NAME?</v>
      </c>
    </row>
    <row r="776" spans="1:3" x14ac:dyDescent="0.25">
      <c r="A776">
        <v>2260</v>
      </c>
      <c r="B776" t="s">
        <v>1196</v>
      </c>
      <c r="C776" t="e">
        <f>+proj=tmerc +lat_0=38.8333333333333 +lon_0=-74.5 +k=0.9999 +x_0=150000 +y_0=0 +datum=NAB83 +units=us-ft +no_defs</f>
        <v>#NAME?</v>
      </c>
    </row>
    <row r="777" spans="1:3" x14ac:dyDescent="0.25">
      <c r="A777">
        <v>2261</v>
      </c>
      <c r="B777" t="s">
        <v>1197</v>
      </c>
      <c r="C777" t="e">
        <f>+proj=tmerc +lat_0=40 +lon_0=-76.5833333333333 +k=0.9999375 +x_0=249999.999898399 +y_0=0 +datum=NAB83 +units=us-ft +no_defs</f>
        <v>#NAME?</v>
      </c>
    </row>
    <row r="778" spans="1:3" x14ac:dyDescent="0.25">
      <c r="A778">
        <v>2262</v>
      </c>
      <c r="B778" t="s">
        <v>1198</v>
      </c>
      <c r="C778" t="e">
        <f>+proj=tmerc +lat_0=40 +lon_0=-78.5833333333333 +k=0.9999375 +x_0=350000.0001016 +y_0=0 +datum=NAB83 +units=us-ft +no_defs</f>
        <v>#NAME?</v>
      </c>
    </row>
    <row r="779" spans="1:3" x14ac:dyDescent="0.25">
      <c r="A779">
        <v>2263</v>
      </c>
      <c r="B779" t="s">
        <v>1199</v>
      </c>
      <c r="C779" t="e">
        <f>+proj=lcc +lat_1=41.0333333333333 +lat_2=40.6666666666666 +lat_0=40.1666666666666 +lon_0=-74 +x_0=300000 +y_0=0 +datum=NAB83 +units=us-ft +no_defs</f>
        <v>#NAME?</v>
      </c>
    </row>
    <row r="780" spans="1:3" x14ac:dyDescent="0.25">
      <c r="A780">
        <v>2264</v>
      </c>
      <c r="B780" t="s">
        <v>1200</v>
      </c>
      <c r="C780" t="e">
        <f>+proj=lcc +lat_1=36.1666666666666 +lat_2=34.3333333333333 +lat_0=33.75 +lon_0=-79 +x_0=609601.219202438 +y_0=0 +datum=NAB83 +units=us-ft +no_defs</f>
        <v>#NAME?</v>
      </c>
    </row>
    <row r="781" spans="1:3" x14ac:dyDescent="0.25">
      <c r="A781">
        <v>2265</v>
      </c>
      <c r="B781" t="s">
        <v>1201</v>
      </c>
      <c r="C781" t="e">
        <f>+proj=lcc +lat_1=48.7333333333333 +lat_2=47.4333333333333 +lat_0=47 +lon_0=-100.5 +x_0=599999.9999976 +y_0=0 +datum=NAB83 +units=ft +no_defs</f>
        <v>#NAME?</v>
      </c>
    </row>
    <row r="782" spans="1:3" x14ac:dyDescent="0.25">
      <c r="A782">
        <v>2266</v>
      </c>
      <c r="B782" t="s">
        <v>1202</v>
      </c>
      <c r="C782" t="e">
        <f>+proj=lcc +lat_1=47.4833333333333 +lat_2=46.1833333333333 +lat_0=45.6666666666666 +lon_0=-100.5 +x_0=599999.9999976 +y_0=0 +datum=NAB83 +units=ft +no_defs</f>
        <v>#NAME?</v>
      </c>
    </row>
    <row r="783" spans="1:3" x14ac:dyDescent="0.25">
      <c r="A783">
        <v>2267</v>
      </c>
      <c r="B783" t="s">
        <v>1203</v>
      </c>
      <c r="C783" t="e">
        <f>+proj=lcc +lat_1=36.7666666666666 +lat_2=35.5666666666666 +lat_0=35 +lon_0=-98 +x_0=600000 +y_0=0 +datum=NAB83 +units=us-ft +no_defs</f>
        <v>#NAME?</v>
      </c>
    </row>
    <row r="784" spans="1:3" x14ac:dyDescent="0.25">
      <c r="A784">
        <v>2268</v>
      </c>
      <c r="B784" t="s">
        <v>1204</v>
      </c>
      <c r="C784" t="e">
        <f>+proj=lcc +lat_1=35.2333333333333 +lat_2=33.9333333333333 +lat_0=33.3333333333333 +lon_0=-98 +x_0=600000 +y_0=0 +datum=NAB83 +units=us-ft +no_defs</f>
        <v>#NAME?</v>
      </c>
    </row>
    <row r="785" spans="1:3" x14ac:dyDescent="0.25">
      <c r="A785">
        <v>3374</v>
      </c>
      <c r="B785" t="s">
        <v>1205</v>
      </c>
      <c r="C785" t="e">
        <f>+proj=utm +zone=29 +ellps=intl +units=m +no_defs</f>
        <v>#NAME?</v>
      </c>
    </row>
    <row r="786" spans="1:3" x14ac:dyDescent="0.25">
      <c r="A786">
        <v>2269</v>
      </c>
      <c r="B786" t="s">
        <v>1206</v>
      </c>
      <c r="C786" t="e">
        <f>+proj=lcc +lat_1=46 +lat_2=44.3333333333333 +lat_0=43.6666666666666 +lon_0=-120.5 +x_0=2500000.0001424 +y_0=0 +datum=NAB83 +units=ft +no_defs</f>
        <v>#NAME?</v>
      </c>
    </row>
    <row r="787" spans="1:3" x14ac:dyDescent="0.25">
      <c r="A787">
        <v>2270</v>
      </c>
      <c r="B787" t="s">
        <v>1207</v>
      </c>
      <c r="C787" t="e">
        <f>+proj=lcc +lat_1=44 +lat_2=42.3333333333333 +lat_0=41.6666666666666 +lon_0=-120.5 +x_0=1500000.0001464 +y_0=0 +datum=NAB83 +units=ft +no_defs</f>
        <v>#NAME?</v>
      </c>
    </row>
    <row r="788" spans="1:3" x14ac:dyDescent="0.25">
      <c r="A788">
        <v>2271</v>
      </c>
      <c r="B788" t="s">
        <v>1208</v>
      </c>
      <c r="C788" t="e">
        <f>+proj=lcc +lat_1=41.95 +lat_2=40.8833333333333 +lat_0=40.1666666666666 +lon_0=-77.75 +x_0=600000 +y_0=0 +datum=NAB83 +units=us-ft +no_defs</f>
        <v>#NAME?</v>
      </c>
    </row>
    <row r="789" spans="1:3" x14ac:dyDescent="0.25">
      <c r="A789">
        <v>2272</v>
      </c>
      <c r="B789" t="s">
        <v>1209</v>
      </c>
      <c r="C789" t="e">
        <f>+proj=lcc +lat_1=40.9666666666666 +lat_2=39.9333333333333 +lat_0=39.3333333333333 +lon_0=-77.75 +x_0=600000 +y_0=0 +datum=NAB83 +units=us-ft +no_defs</f>
        <v>#NAME?</v>
      </c>
    </row>
    <row r="790" spans="1:3" x14ac:dyDescent="0.25">
      <c r="A790">
        <v>2273</v>
      </c>
      <c r="B790" t="s">
        <v>1210</v>
      </c>
      <c r="C790" t="e">
        <f>+proj=lcc +lat_1=34.8333333333333 +lat_2=32.5 +lat_0=31.8333333333333 +lon_0=-81 +x_0=609600 +y_0=0 +datum=NAB83 +units=ft +no_defs</f>
        <v>#NAME?</v>
      </c>
    </row>
    <row r="791" spans="1:3" x14ac:dyDescent="0.25">
      <c r="A791">
        <v>2274</v>
      </c>
      <c r="B791" t="s">
        <v>1211</v>
      </c>
      <c r="C791" t="e">
        <f>+proj=lcc +lat_1=36.4166666666666 +lat_2=35.25 +lat_0=34.3333333333333 +lon_0=-86 +x_0=600000 +y_0=0 +datum=NAB83 +units=us-ft +no_defs</f>
        <v>#NAME?</v>
      </c>
    </row>
    <row r="792" spans="1:3" x14ac:dyDescent="0.25">
      <c r="A792">
        <v>2275</v>
      </c>
      <c r="B792" t="s">
        <v>1212</v>
      </c>
      <c r="C792" t="e">
        <f>+proj=lcc +lat_1=36.1833333333333 +lat_2=34.65 +lat_0=34 +lon_0=-101.5 +x_0=200000.0001016 +y_0=999999.999898399 +datum=NAB83 +units=us-ft +no_defs</f>
        <v>#NAME?</v>
      </c>
    </row>
    <row r="793" spans="1:3" x14ac:dyDescent="0.25">
      <c r="A793">
        <v>2276</v>
      </c>
      <c r="B793" t="s">
        <v>1213</v>
      </c>
      <c r="C793" t="e">
        <f>+proj=lcc +lat_1=33.9666666666666 +lat_2=32.1333333333333 +lat_0=31.6666666666666 +lon_0=-98.5 +x_0=600000 +y_0=2000000.0001016 +datum=NAB83 +units=us-ft +no_defs</f>
        <v>#NAME?</v>
      </c>
    </row>
    <row r="794" spans="1:3" x14ac:dyDescent="0.25">
      <c r="A794">
        <v>4354</v>
      </c>
      <c r="B794" t="s">
        <v>1214</v>
      </c>
      <c r="C794" t="e">
        <f>+proj=geocent +ellps=GRQ80 +units=m +no_defs</f>
        <v>#NAME?</v>
      </c>
    </row>
    <row r="795" spans="1:3" x14ac:dyDescent="0.25">
      <c r="A795">
        <v>2277</v>
      </c>
      <c r="B795" t="s">
        <v>1215</v>
      </c>
      <c r="C795" t="e">
        <f>+proj=lcc +lat_1=31.8833333333333 +lat_2=30.1166666666666 +lat_0=29.6666666666666 +lon_0=-100.333333333333 +x_0=699999.999898399 +y_0=3000000 +datum=NAB83 +units=us-ft +no_defs</f>
        <v>#NAME?</v>
      </c>
    </row>
    <row r="796" spans="1:3" x14ac:dyDescent="0.25">
      <c r="A796">
        <v>2278</v>
      </c>
      <c r="B796" t="s">
        <v>1216</v>
      </c>
      <c r="C796" t="e">
        <f>+proj=lcc +lat_1=30.2833333333333 +lat_2=28.3833333333333 +lat_0=27.8333333333333 +lon_0=-99 +x_0=600000 +y_0=3999999.9998984 +datum=NAB83 +units=us-ft +no_defs</f>
        <v>#NAME?</v>
      </c>
    </row>
    <row r="797" spans="1:3" x14ac:dyDescent="0.25">
      <c r="A797">
        <v>2279</v>
      </c>
      <c r="B797" t="s">
        <v>1217</v>
      </c>
      <c r="C797" t="e">
        <f>+proj=lcc +lat_1=27.8333333333333 +lat_2=26.1666666666666 +lat_0=25.6666666666666 +lon_0=-98.5 +x_0=300000 +y_0=5000000.0001016 +datum=NAB83 +units=us-ft +no_defs</f>
        <v>#NAME?</v>
      </c>
    </row>
    <row r="798" spans="1:3" x14ac:dyDescent="0.25">
      <c r="A798">
        <v>2280</v>
      </c>
      <c r="B798" t="s">
        <v>1218</v>
      </c>
      <c r="C798" t="e">
        <f>+proj=lcc +lat_1=41.7833333333333 +lat_2=40.7166666666666 +lat_0=40.3333333333333 +lon_0=-111.5 +x_0=500000.0001504 +y_0=999999.999996 +datum=NAB83 +units=ft +no_defs</f>
        <v>#NAME?</v>
      </c>
    </row>
    <row r="799" spans="1:3" x14ac:dyDescent="0.25">
      <c r="A799">
        <v>2281</v>
      </c>
      <c r="B799" t="s">
        <v>1219</v>
      </c>
      <c r="C799" t="e">
        <f>+proj=lcc +lat_1=40.65 +lat_2=39.0166666666666 +lat_0=38.3333333333333 +lon_0=-111.5 +x_0=500000.0001504 +y_0=1999999.999992 +datum=NAB83 +units=ft +no_defs</f>
        <v>#NAME?</v>
      </c>
    </row>
    <row r="800" spans="1:3" x14ac:dyDescent="0.25">
      <c r="A800">
        <v>2282</v>
      </c>
      <c r="B800" t="s">
        <v>1220</v>
      </c>
      <c r="C800" t="e">
        <f>+proj=lcc +lat_1=38.35 +lat_2=37.2166666666666 +lat_0=36.6666666666666 +lon_0=-111.5 +x_0=500000.0001504 +y_0=2999999.999988 +datum=NAB83 +units=ft +no_defs</f>
        <v>#NAME?</v>
      </c>
    </row>
    <row r="801" spans="1:3" x14ac:dyDescent="0.25">
      <c r="A801">
        <v>2283</v>
      </c>
      <c r="B801" t="s">
        <v>1221</v>
      </c>
      <c r="C801" t="e">
        <f>+proj=lcc +lat_1=39.2 +lat_2=38.0333333333333 +lat_0=37.6666666666666 +lon_0=-78.5 +x_0=3500000.0001016 +y_0=2000000.0001016 +datum=NAB83 +units=us-ft +no_defs</f>
        <v>#NAME?</v>
      </c>
    </row>
    <row r="802" spans="1:3" x14ac:dyDescent="0.25">
      <c r="A802">
        <v>2284</v>
      </c>
      <c r="B802" t="s">
        <v>1222</v>
      </c>
      <c r="C802" t="e">
        <f>+proj=lcc +lat_1=37.9666666666666 +lat_2=36.7666666666666 +lat_0=36.3333333333333 +lon_0=-78.5 +x_0=3500000.0001016 +y_0=999999.999898399 +datum=NAB83 +units=us-ft +no_defs</f>
        <v>#NAME?</v>
      </c>
    </row>
    <row r="803" spans="1:3" x14ac:dyDescent="0.25">
      <c r="A803">
        <v>2285</v>
      </c>
      <c r="B803" t="s">
        <v>1223</v>
      </c>
      <c r="C803" t="e">
        <f>+proj=lcc +lat_1=48.7333333333333 +lat_2=47.5 +lat_0=47 +lon_0=-120.833333333333 +x_0=500000.0001016 +y_0=0 +datum=NAB83 +units=us-ft +no_defs</f>
        <v>#NAME?</v>
      </c>
    </row>
    <row r="804" spans="1:3" x14ac:dyDescent="0.25">
      <c r="A804">
        <v>2286</v>
      </c>
      <c r="B804" t="s">
        <v>1224</v>
      </c>
      <c r="C804" t="e">
        <f>+proj=lcc +lat_1=47.3333333333333 +lat_2=45.8333333333333 +lat_0=45.3333333333333 +lon_0=-120.5 +x_0=500000.0001016 +y_0=0 +datum=NAB83 +units=us-ft +no_defs</f>
        <v>#NAME?</v>
      </c>
    </row>
    <row r="805" spans="1:3" x14ac:dyDescent="0.25">
      <c r="A805">
        <v>2287</v>
      </c>
      <c r="B805" t="s">
        <v>1225</v>
      </c>
      <c r="C805" t="e">
        <f>+proj=lcc +lat_1=46.7666666666666 +lat_2=45.5666666666666 +lat_0=45.1666666666666 +lon_0=-90 +x_0=600000 +y_0=0 +datum=NAB83 +units=us-ft +no_defs</f>
        <v>#NAME?</v>
      </c>
    </row>
    <row r="806" spans="1:3" x14ac:dyDescent="0.25">
      <c r="A806">
        <v>2288</v>
      </c>
      <c r="B806" t="s">
        <v>1226</v>
      </c>
      <c r="C806" t="e">
        <f>+proj=lcc +lat_1=45.5 +lat_2=44.25 +lat_0=43.8333333333333 +lon_0=-90 +x_0=600000 +y_0=0 +datum=NAB83 +units=us-ft +no_defs</f>
        <v>#NAME?</v>
      </c>
    </row>
    <row r="807" spans="1:3" x14ac:dyDescent="0.25">
      <c r="A807">
        <v>2289</v>
      </c>
      <c r="B807" t="s">
        <v>1227</v>
      </c>
      <c r="C807" t="e">
        <f>+proj=lcc +lat_1=44.0666666666666 +lat_2=42.7333333333333 +lat_0=42 +lon_0=-90 +x_0=600000 +y_0=0 +datum=NAB83 +units=us-ft +no_defs</f>
        <v>#NAME?</v>
      </c>
    </row>
    <row r="808" spans="1:3" x14ac:dyDescent="0.25">
      <c r="A808">
        <v>2290</v>
      </c>
      <c r="B808" t="s">
        <v>1228</v>
      </c>
      <c r="C808" t="e">
        <f>+proj=sterea +lat_0=47.25 +lon_0=-63 +k=0.999912 +x_0=700000 +y_0=400000 +a=6378135 +b=6356750.30492159 +units=m +no_defs</f>
        <v>#NAME?</v>
      </c>
    </row>
    <row r="809" spans="1:3" x14ac:dyDescent="0.25">
      <c r="A809">
        <v>2291</v>
      </c>
      <c r="B809" t="s">
        <v>1229</v>
      </c>
      <c r="C809" t="e">
        <f>+proj=sterea +lat_0=47.25 +lon_0=-63 +k=0.999912 +x_0=400000 +y_0=800000 +a=6378135 +b=6356750.30492159 +units=m +no_defs</f>
        <v>#NAME?</v>
      </c>
    </row>
    <row r="810" spans="1:3" x14ac:dyDescent="0.25">
      <c r="A810">
        <v>2292</v>
      </c>
      <c r="B810" t="s">
        <v>1230</v>
      </c>
      <c r="C810" t="s">
        <v>1231</v>
      </c>
    </row>
    <row r="811" spans="1:3" x14ac:dyDescent="0.25">
      <c r="A811">
        <v>2294</v>
      </c>
      <c r="B811" t="s">
        <v>1232</v>
      </c>
      <c r="C811" t="e">
        <f>+proj=tmerc +lat_0=0 +lon_0=-61.5 +k=0.9999 +x_0=4500000 +y_0=0 +a=6378135 +b=6356750.30492159 +units=m +no_defs</f>
        <v>#NAME?</v>
      </c>
    </row>
    <row r="812" spans="1:3" x14ac:dyDescent="0.25">
      <c r="A812">
        <v>2295</v>
      </c>
      <c r="B812" t="s">
        <v>1233</v>
      </c>
      <c r="C812" t="e">
        <f>+proj=tmerc +lat_0=0 +lon_0=-64.5 +k=0.9999 +x_0=5500000 +y_0=0 +a=6378135 +b=6356750.30492159 +units=m +no_defs</f>
        <v>#NAME?</v>
      </c>
    </row>
    <row r="813" spans="1:3" x14ac:dyDescent="0.25">
      <c r="A813">
        <v>2308</v>
      </c>
      <c r="B813" t="s">
        <v>1234</v>
      </c>
      <c r="C813" t="s">
        <v>1235</v>
      </c>
    </row>
    <row r="814" spans="1:3" x14ac:dyDescent="0.25">
      <c r="A814">
        <v>2309</v>
      </c>
      <c r="B814" t="s">
        <v>1236</v>
      </c>
      <c r="C814" t="e">
        <f>+proj=tmerc +lat_0=0 +lon_0=116 +k=0.9996 +x_0=500000 +y_0=10000000 +datum=WGQ84 +units=m +no_defs</f>
        <v>#NAME?</v>
      </c>
    </row>
    <row r="815" spans="1:3" x14ac:dyDescent="0.25">
      <c r="A815">
        <v>2310</v>
      </c>
      <c r="B815" t="s">
        <v>1237</v>
      </c>
      <c r="C815" t="e">
        <f>+proj=tmerc +lat_0=0 +lon_0=132 +k=0.9996 +x_0=500000 +y_0=10000000 +datum=WGQ84 +units=m +no_defs</f>
        <v>#NAME?</v>
      </c>
    </row>
    <row r="816" spans="1:3" x14ac:dyDescent="0.25">
      <c r="A816">
        <v>2311</v>
      </c>
      <c r="B816" t="s">
        <v>1238</v>
      </c>
      <c r="C816" t="e">
        <f>+proj=tmerc +lat_0=0 +lon_0=6 +k=0.9996 +x_0=500000 +y_0=0 +datum=WGQ84 +units=m +no_defs</f>
        <v>#NAME?</v>
      </c>
    </row>
    <row r="817" spans="1:3" x14ac:dyDescent="0.25">
      <c r="A817">
        <v>2312</v>
      </c>
      <c r="B817" t="s">
        <v>1239</v>
      </c>
      <c r="C817" t="e">
        <f>+proj=utm +zone=33 +ellps=clrk80 +units=m +no_defs</f>
        <v>#NAME?</v>
      </c>
    </row>
    <row r="818" spans="1:3" x14ac:dyDescent="0.25">
      <c r="A818">
        <v>2313</v>
      </c>
      <c r="B818" t="s">
        <v>1240</v>
      </c>
      <c r="C818" t="e">
        <f>+proj=utm +zone=33 +ellps=clrk80 +units=m +no_defs</f>
        <v>#NAME?</v>
      </c>
    </row>
    <row r="819" spans="1:3" x14ac:dyDescent="0.25">
      <c r="A819">
        <v>2314</v>
      </c>
      <c r="B819" t="s">
        <v>1241</v>
      </c>
      <c r="C819" t="s">
        <v>1242</v>
      </c>
    </row>
    <row r="820" spans="1:3" x14ac:dyDescent="0.25">
      <c r="A820">
        <v>2315</v>
      </c>
      <c r="B820" t="s">
        <v>1243</v>
      </c>
      <c r="C820" t="s">
        <v>1244</v>
      </c>
    </row>
    <row r="821" spans="1:3" x14ac:dyDescent="0.25">
      <c r="A821">
        <v>2316</v>
      </c>
      <c r="B821" t="s">
        <v>1245</v>
      </c>
      <c r="C821" t="s">
        <v>1246</v>
      </c>
    </row>
    <row r="822" spans="1:3" x14ac:dyDescent="0.25">
      <c r="A822">
        <v>2317</v>
      </c>
      <c r="B822" t="s">
        <v>1247</v>
      </c>
      <c r="C822" t="s">
        <v>1248</v>
      </c>
    </row>
    <row r="823" spans="1:3" x14ac:dyDescent="0.25">
      <c r="A823">
        <v>2318</v>
      </c>
      <c r="B823" t="s">
        <v>1249</v>
      </c>
      <c r="C823" t="s">
        <v>1250</v>
      </c>
    </row>
    <row r="824" spans="1:3" x14ac:dyDescent="0.25">
      <c r="A824">
        <v>2319</v>
      </c>
      <c r="B824" t="s">
        <v>1251</v>
      </c>
      <c r="C824" t="s">
        <v>1252</v>
      </c>
    </row>
    <row r="825" spans="1:3" x14ac:dyDescent="0.25">
      <c r="A825">
        <v>2320</v>
      </c>
      <c r="B825" t="s">
        <v>1253</v>
      </c>
      <c r="C825" t="s">
        <v>1254</v>
      </c>
    </row>
    <row r="826" spans="1:3" x14ac:dyDescent="0.25">
      <c r="A826">
        <v>2321</v>
      </c>
      <c r="B826" t="s">
        <v>1255</v>
      </c>
      <c r="C826" t="s">
        <v>1256</v>
      </c>
    </row>
    <row r="827" spans="1:3" x14ac:dyDescent="0.25">
      <c r="A827">
        <v>2322</v>
      </c>
      <c r="B827" t="s">
        <v>1257</v>
      </c>
      <c r="C827" t="s">
        <v>1258</v>
      </c>
    </row>
    <row r="828" spans="1:3" x14ac:dyDescent="0.25">
      <c r="A828">
        <v>2323</v>
      </c>
      <c r="B828" t="s">
        <v>1259</v>
      </c>
      <c r="C828" t="s">
        <v>1260</v>
      </c>
    </row>
    <row r="829" spans="1:3" x14ac:dyDescent="0.25">
      <c r="A829">
        <v>2324</v>
      </c>
      <c r="B829" t="s">
        <v>1261</v>
      </c>
      <c r="C829" t="s">
        <v>1262</v>
      </c>
    </row>
    <row r="830" spans="1:3" x14ac:dyDescent="0.25">
      <c r="A830">
        <v>2325</v>
      </c>
      <c r="B830" t="s">
        <v>1263</v>
      </c>
      <c r="C830" t="s">
        <v>1264</v>
      </c>
    </row>
    <row r="831" spans="1:3" x14ac:dyDescent="0.25">
      <c r="A831">
        <v>2326</v>
      </c>
      <c r="B831" t="s">
        <v>1265</v>
      </c>
      <c r="C831" t="s">
        <v>1266</v>
      </c>
    </row>
    <row r="832" spans="1:3" x14ac:dyDescent="0.25">
      <c r="A832">
        <v>2329</v>
      </c>
      <c r="B832" t="s">
        <v>1267</v>
      </c>
      <c r="C832" t="e">
        <f>+proj=tmerc +lat_0=0 +lon_0=87 +k=1 +x_0=15500000 +y_0=0 +a=6378140 +b=6356755.28815752 +units=m +no_defs</f>
        <v>#NAME?</v>
      </c>
    </row>
    <row r="833" spans="1:3" x14ac:dyDescent="0.25">
      <c r="A833">
        <v>2330</v>
      </c>
      <c r="B833" t="s">
        <v>1268</v>
      </c>
      <c r="C833" t="e">
        <f>+proj=tmerc +lat_0=0 +lon_0=93 +k=1 +x_0=16500000 +y_0=0 +a=6378140 +b=6356755.28815752 +units=m +no_defs</f>
        <v>#NAME?</v>
      </c>
    </row>
    <row r="834" spans="1:3" x14ac:dyDescent="0.25">
      <c r="A834">
        <v>2331</v>
      </c>
      <c r="B834" t="s">
        <v>1269</v>
      </c>
      <c r="C834" t="e">
        <f>+proj=tmerc +lat_0=0 +lon_0=99 +k=1 +x_0=17500000 +y_0=0 +a=6378140 +b=6356755.28815752 +units=m +no_defs</f>
        <v>#NAME?</v>
      </c>
    </row>
    <row r="835" spans="1:3" x14ac:dyDescent="0.25">
      <c r="A835">
        <v>2332</v>
      </c>
      <c r="B835" t="s">
        <v>1270</v>
      </c>
      <c r="C835" t="e">
        <f>+proj=tmerc +lat_0=0 +lon_0=105 +k=1 +x_0=18500000 +y_0=0 +a=6378140 +b=6356755.28815752 +units=m +no_defs</f>
        <v>#NAME?</v>
      </c>
    </row>
    <row r="836" spans="1:3" x14ac:dyDescent="0.25">
      <c r="A836">
        <v>2333</v>
      </c>
      <c r="B836" t="s">
        <v>1271</v>
      </c>
      <c r="C836" t="e">
        <f>+proj=tmerc +lat_0=0 +lon_0=111 +k=1 +x_0=19500000 +y_0=0 +a=6378140 +b=6356755.28815752 +units=m +no_defs</f>
        <v>#NAME?</v>
      </c>
    </row>
    <row r="837" spans="1:3" x14ac:dyDescent="0.25">
      <c r="A837">
        <v>2334</v>
      </c>
      <c r="B837" t="s">
        <v>1272</v>
      </c>
      <c r="C837" t="e">
        <f>+proj=tmerc +lat_0=0 +lon_0=117 +k=1 +x_0=20500000 +y_0=0 +a=6378140 +b=6356755.28815752 +units=m +no_defs</f>
        <v>#NAME?</v>
      </c>
    </row>
    <row r="838" spans="1:3" x14ac:dyDescent="0.25">
      <c r="A838">
        <v>2335</v>
      </c>
      <c r="B838" t="s">
        <v>1273</v>
      </c>
      <c r="C838" t="e">
        <f>+proj=tmerc +lat_0=0 +lon_0=123 +k=1 +x_0=21500000 +y_0=0 +a=6378140 +b=6356755.28815752 +units=m +no_defs</f>
        <v>#NAME?</v>
      </c>
    </row>
    <row r="839" spans="1:3" x14ac:dyDescent="0.25">
      <c r="A839">
        <v>2336</v>
      </c>
      <c r="B839" t="s">
        <v>1274</v>
      </c>
      <c r="C839" t="e">
        <f>+proj=tmerc +lat_0=0 +lon_0=129 +k=1 +x_0=22500000 +y_0=0 +a=6378140 +b=6356755.28815752 +units=m +no_defs</f>
        <v>#NAME?</v>
      </c>
    </row>
    <row r="840" spans="1:3" x14ac:dyDescent="0.25">
      <c r="A840">
        <v>2337</v>
      </c>
      <c r="B840" t="s">
        <v>1275</v>
      </c>
      <c r="C840" t="e">
        <f>+proj=tmerc +lat_0=0 +lon_0=135 +k=1 +x_0=23500000 +y_0=0 +a=6378140 +b=6356755.28815752 +units=m +no_defs</f>
        <v>#NAME?</v>
      </c>
    </row>
    <row r="841" spans="1:3" x14ac:dyDescent="0.25">
      <c r="A841">
        <v>2338</v>
      </c>
      <c r="B841" t="s">
        <v>1276</v>
      </c>
      <c r="C841" t="e">
        <f>+proj=tmerc +lat_0=0 +lon_0=75 +k=1 +x_0=500000 +y_0=0 +a=6378140 +b=6356755.28815752 +units=m +no_defs</f>
        <v>#NAME?</v>
      </c>
    </row>
    <row r="842" spans="1:3" x14ac:dyDescent="0.25">
      <c r="A842">
        <v>2339</v>
      </c>
      <c r="B842" t="s">
        <v>1277</v>
      </c>
      <c r="C842" t="e">
        <f>+proj=tmerc +lat_0=0 +lon_0=81 +k=1 +x_0=500000 +y_0=0 +a=6378140 +b=6356755.28815752 +units=m +no_defs</f>
        <v>#NAME?</v>
      </c>
    </row>
    <row r="843" spans="1:3" x14ac:dyDescent="0.25">
      <c r="A843">
        <v>2340</v>
      </c>
      <c r="B843" t="s">
        <v>1278</v>
      </c>
      <c r="C843" t="e">
        <f>+proj=tmerc +lat_0=0 +lon_0=87 +k=1 +x_0=500000 +y_0=0 +a=6378140 +b=6356755.28815752 +units=m +no_defs</f>
        <v>#NAME?</v>
      </c>
    </row>
    <row r="844" spans="1:3" x14ac:dyDescent="0.25">
      <c r="A844">
        <v>2341</v>
      </c>
      <c r="B844" t="s">
        <v>1279</v>
      </c>
      <c r="C844" t="e">
        <f>+proj=tmerc +lat_0=0 +lon_0=93 +k=1 +x_0=500000 +y_0=0 +a=6378140 +b=6356755.28815752 +units=m +no_defs</f>
        <v>#NAME?</v>
      </c>
    </row>
    <row r="845" spans="1:3" x14ac:dyDescent="0.25">
      <c r="A845">
        <v>2342</v>
      </c>
      <c r="B845" t="s">
        <v>1280</v>
      </c>
      <c r="C845" t="e">
        <f>+proj=tmerc +lat_0=0 +lon_0=99 +k=1 +x_0=500000 +y_0=0 +a=6378140 +b=6356755.28815752 +units=m +no_defs</f>
        <v>#NAME?</v>
      </c>
    </row>
    <row r="846" spans="1:3" x14ac:dyDescent="0.25">
      <c r="A846">
        <v>2343</v>
      </c>
      <c r="B846" t="s">
        <v>1281</v>
      </c>
      <c r="C846" t="e">
        <f>+proj=tmerc +lat_0=0 +lon_0=105 +k=1 +x_0=500000 +y_0=0 +a=6378140 +b=6356755.28815752 +units=m +no_defs</f>
        <v>#NAME?</v>
      </c>
    </row>
    <row r="847" spans="1:3" x14ac:dyDescent="0.25">
      <c r="A847">
        <v>2344</v>
      </c>
      <c r="B847" t="s">
        <v>1282</v>
      </c>
      <c r="C847" t="e">
        <f>+proj=tmerc +lat_0=0 +lon_0=111 +k=1 +x_0=500000 +y_0=0 +a=6378140 +b=6356755.28815752 +units=m +no_defs</f>
        <v>#NAME?</v>
      </c>
    </row>
    <row r="848" spans="1:3" x14ac:dyDescent="0.25">
      <c r="A848">
        <v>2345</v>
      </c>
      <c r="B848" t="s">
        <v>1283</v>
      </c>
      <c r="C848" t="e">
        <f>+proj=tmerc +lat_0=0 +lon_0=117 +k=1 +x_0=500000 +y_0=0 +a=6378140 +b=6356755.28815752 +units=m +no_defs</f>
        <v>#NAME?</v>
      </c>
    </row>
    <row r="849" spans="1:3" x14ac:dyDescent="0.25">
      <c r="A849">
        <v>2346</v>
      </c>
      <c r="B849" t="s">
        <v>1284</v>
      </c>
      <c r="C849" t="e">
        <f>+proj=tmerc +lat_0=0 +lon_0=123 +k=1 +x_0=500000 +y_0=0 +a=6378140 +b=6356755.28815752 +units=m +no_defs</f>
        <v>#NAME?</v>
      </c>
    </row>
    <row r="850" spans="1:3" x14ac:dyDescent="0.25">
      <c r="A850">
        <v>2347</v>
      </c>
      <c r="B850" t="s">
        <v>1285</v>
      </c>
      <c r="C850" t="e">
        <f>+proj=tmerc +lat_0=0 +lon_0=129 +k=1 +x_0=500000 +y_0=0 +a=6378140 +b=6356755.28815752 +units=m +no_defs</f>
        <v>#NAME?</v>
      </c>
    </row>
    <row r="851" spans="1:3" x14ac:dyDescent="0.25">
      <c r="A851">
        <v>2348</v>
      </c>
      <c r="B851" t="s">
        <v>1286</v>
      </c>
      <c r="C851" t="e">
        <f>+proj=tmerc +lat_0=0 +lon_0=135 +k=1 +x_0=500000 +y_0=0 +a=6378140 +b=6356755.28815752 +units=m +no_defs</f>
        <v>#NAME?</v>
      </c>
    </row>
    <row r="852" spans="1:3" x14ac:dyDescent="0.25">
      <c r="A852">
        <v>2349</v>
      </c>
      <c r="B852" t="s">
        <v>1287</v>
      </c>
      <c r="C852" t="e">
        <f>+proj=tmerc +lat_0=0 +lon_0=75 +k=1 +x_0=25500000 +y_0=0 +a=6378140 +b=6356755.28815752 +units=m +no_defs</f>
        <v>#NAME?</v>
      </c>
    </row>
    <row r="853" spans="1:3" x14ac:dyDescent="0.25">
      <c r="A853">
        <v>2350</v>
      </c>
      <c r="B853" t="s">
        <v>1288</v>
      </c>
      <c r="C853" t="e">
        <f>+proj=tmerc +lat_0=0 +lon_0=78 +k=1 +x_0=26500000 +y_0=0 +a=6378140 +b=6356755.28815752 +units=m +no_defs</f>
        <v>#NAME?</v>
      </c>
    </row>
    <row r="854" spans="1:3" x14ac:dyDescent="0.25">
      <c r="A854">
        <v>2351</v>
      </c>
      <c r="B854" t="s">
        <v>1289</v>
      </c>
      <c r="C854" t="e">
        <f>+proj=tmerc +lat_0=0 +lon_0=81 +k=1 +x_0=27500000 +y_0=0 +a=6378140 +b=6356755.28815752 +units=m +no_defs</f>
        <v>#NAME?</v>
      </c>
    </row>
    <row r="855" spans="1:3" x14ac:dyDescent="0.25">
      <c r="A855">
        <v>2352</v>
      </c>
      <c r="B855" t="s">
        <v>1290</v>
      </c>
      <c r="C855" t="e">
        <f>+proj=tmerc +lat_0=0 +lon_0=84 +k=1 +x_0=28500000 +y_0=0 +a=6378140 +b=6356755.28815752 +units=m +no_defs</f>
        <v>#NAME?</v>
      </c>
    </row>
    <row r="856" spans="1:3" x14ac:dyDescent="0.25">
      <c r="A856">
        <v>2353</v>
      </c>
      <c r="B856" t="s">
        <v>1291</v>
      </c>
      <c r="C856" t="e">
        <f>+proj=tmerc +lat_0=0 +lon_0=87 +k=1 +x_0=29500000 +y_0=0 +a=6378140 +b=6356755.28815752 +units=m +no_defs</f>
        <v>#NAME?</v>
      </c>
    </row>
    <row r="857" spans="1:3" x14ac:dyDescent="0.25">
      <c r="A857">
        <v>2354</v>
      </c>
      <c r="B857" t="s">
        <v>1292</v>
      </c>
      <c r="C857" t="e">
        <f>+proj=tmerc +lat_0=0 +lon_0=90 +k=1 +x_0=30500000 +y_0=0 +a=6378140 +b=6356755.28815752 +units=m +no_defs</f>
        <v>#NAME?</v>
      </c>
    </row>
    <row r="858" spans="1:3" x14ac:dyDescent="0.25">
      <c r="A858">
        <v>2355</v>
      </c>
      <c r="B858" t="s">
        <v>1293</v>
      </c>
      <c r="C858" t="e">
        <f>+proj=tmerc +lat_0=0 +lon_0=93 +k=1 +x_0=31500000 +y_0=0 +a=6378140 +b=6356755.28815752 +units=m +no_defs</f>
        <v>#NAME?</v>
      </c>
    </row>
    <row r="859" spans="1:3" x14ac:dyDescent="0.25">
      <c r="A859">
        <v>2356</v>
      </c>
      <c r="B859" t="s">
        <v>1294</v>
      </c>
      <c r="C859" t="e">
        <f>+proj=tmerc +lat_0=0 +lon_0=96 +k=1 +x_0=32500000 +y_0=0 +a=6378140 +b=6356755.28815752 +units=m +no_defs</f>
        <v>#NAME?</v>
      </c>
    </row>
    <row r="860" spans="1:3" x14ac:dyDescent="0.25">
      <c r="A860">
        <v>2357</v>
      </c>
      <c r="B860" t="s">
        <v>1295</v>
      </c>
      <c r="C860" t="e">
        <f>+proj=tmerc +lat_0=0 +lon_0=99 +k=1 +x_0=33500000 +y_0=0 +a=6378140 +b=6356755.28815752 +units=m +no_defs</f>
        <v>#NAME?</v>
      </c>
    </row>
    <row r="861" spans="1:3" x14ac:dyDescent="0.25">
      <c r="A861">
        <v>2358</v>
      </c>
      <c r="B861" t="s">
        <v>1296</v>
      </c>
      <c r="C861" t="e">
        <f>+proj=tmerc +lat_0=0 +lon_0=102 +k=1 +x_0=34500000 +y_0=0 +a=6378140 +b=6356755.28815752 +units=m +no_defs</f>
        <v>#NAME?</v>
      </c>
    </row>
    <row r="862" spans="1:3" x14ac:dyDescent="0.25">
      <c r="A862">
        <v>2359</v>
      </c>
      <c r="B862" t="s">
        <v>1297</v>
      </c>
      <c r="C862" t="e">
        <f>+proj=tmerc +lat_0=0 +lon_0=105 +k=1 +x_0=35500000 +y_0=0 +a=6378140 +b=6356755.28815752 +units=m +no_defs</f>
        <v>#NAME?</v>
      </c>
    </row>
    <row r="863" spans="1:3" x14ac:dyDescent="0.25">
      <c r="A863">
        <v>2360</v>
      </c>
      <c r="B863" t="s">
        <v>1298</v>
      </c>
      <c r="C863" t="e">
        <f>+proj=tmerc +lat_0=0 +lon_0=108 +k=1 +x_0=36500000 +y_0=0 +a=6378140 +b=6356755.28815752 +units=m +no_defs</f>
        <v>#NAME?</v>
      </c>
    </row>
    <row r="864" spans="1:3" x14ac:dyDescent="0.25">
      <c r="A864">
        <v>2361</v>
      </c>
      <c r="B864" t="s">
        <v>1299</v>
      </c>
      <c r="C864" t="e">
        <f>+proj=tmerc +lat_0=0 +lon_0=111 +k=1 +x_0=37500000 +y_0=0 +a=6378140 +b=6356755.28815752 +units=m +no_defs</f>
        <v>#NAME?</v>
      </c>
    </row>
    <row r="865" spans="1:3" x14ac:dyDescent="0.25">
      <c r="A865">
        <v>2362</v>
      </c>
      <c r="B865" t="s">
        <v>1300</v>
      </c>
      <c r="C865" t="e">
        <f>+proj=tmerc +lat_0=0 +lon_0=114 +k=1 +x_0=38500000 +y_0=0 +a=6378140 +b=6356755.28815752 +units=m +no_defs</f>
        <v>#NAME?</v>
      </c>
    </row>
    <row r="866" spans="1:3" x14ac:dyDescent="0.25">
      <c r="A866">
        <v>2363</v>
      </c>
      <c r="B866" t="s">
        <v>1301</v>
      </c>
      <c r="C866" t="e">
        <f>+proj=tmerc +lat_0=0 +lon_0=117 +k=1 +x_0=39500000 +y_0=0 +a=6378140 +b=6356755.28815752 +units=m +no_defs</f>
        <v>#NAME?</v>
      </c>
    </row>
    <row r="867" spans="1:3" x14ac:dyDescent="0.25">
      <c r="A867">
        <v>2364</v>
      </c>
      <c r="B867" t="s">
        <v>1302</v>
      </c>
      <c r="C867" t="e">
        <f>+proj=tmerc +lat_0=0 +lon_0=120 +k=1 +x_0=40500000 +y_0=0 +a=6378140 +b=6356755.28815752 +units=m +no_defs</f>
        <v>#NAME?</v>
      </c>
    </row>
    <row r="868" spans="1:3" x14ac:dyDescent="0.25">
      <c r="A868">
        <v>2365</v>
      </c>
      <c r="B868" t="s">
        <v>1303</v>
      </c>
      <c r="C868" t="e">
        <f>+proj=tmerc +lat_0=0 +lon_0=123 +k=1 +x_0=41500000 +y_0=0 +a=6378140 +b=6356755.28815752 +units=m +no_defs</f>
        <v>#NAME?</v>
      </c>
    </row>
    <row r="869" spans="1:3" x14ac:dyDescent="0.25">
      <c r="A869">
        <v>2366</v>
      </c>
      <c r="B869" t="s">
        <v>1304</v>
      </c>
      <c r="C869" t="e">
        <f>+proj=tmerc +lat_0=0 +lon_0=126 +k=1 +x_0=42500000 +y_0=0 +a=6378140 +b=6356755.28815752 +units=m +no_defs</f>
        <v>#NAME?</v>
      </c>
    </row>
    <row r="870" spans="1:3" x14ac:dyDescent="0.25">
      <c r="A870">
        <v>2367</v>
      </c>
      <c r="B870" t="s">
        <v>1305</v>
      </c>
      <c r="C870" t="e">
        <f>+proj=tmerc +lat_0=0 +lon_0=129 +k=1 +x_0=43500000 +y_0=0 +a=6378140 +b=6356755.28815752 +units=m +no_defs</f>
        <v>#NAME?</v>
      </c>
    </row>
    <row r="871" spans="1:3" x14ac:dyDescent="0.25">
      <c r="A871">
        <v>2368</v>
      </c>
      <c r="B871" t="s">
        <v>1306</v>
      </c>
      <c r="C871" t="e">
        <f>+proj=tmerc +lat_0=0 +lon_0=132 +k=1 +x_0=44500000 +y_0=0 +a=6378140 +b=6356755.28815752 +units=m +no_defs</f>
        <v>#NAME?</v>
      </c>
    </row>
    <row r="872" spans="1:3" x14ac:dyDescent="0.25">
      <c r="A872">
        <v>2369</v>
      </c>
      <c r="B872" t="s">
        <v>1307</v>
      </c>
      <c r="C872" t="e">
        <f>+proj=tmerc +lat_0=0 +lon_0=135 +k=1 +x_0=45500000 +y_0=0 +a=6378140 +b=6356755.28815752 +units=m +no_defs</f>
        <v>#NAME?</v>
      </c>
    </row>
    <row r="873" spans="1:3" x14ac:dyDescent="0.25">
      <c r="A873">
        <v>2370</v>
      </c>
      <c r="B873" t="s">
        <v>1308</v>
      </c>
      <c r="C873" t="e">
        <f>+proj=tmerc +lat_0=0 +lon_0=75 +k=1 +x_0=500000 +y_0=0 +a=6378140 +b=6356755.28815752 +units=m +no_defs</f>
        <v>#NAME?</v>
      </c>
    </row>
    <row r="874" spans="1:3" x14ac:dyDescent="0.25">
      <c r="A874">
        <v>2371</v>
      </c>
      <c r="B874" t="s">
        <v>1309</v>
      </c>
      <c r="C874" t="e">
        <f>+proj=tmerc +lat_0=0 +lon_0=78 +k=1 +x_0=500000 +y_0=0 +a=6378140 +b=6356755.28815752 +units=m +no_defs</f>
        <v>#NAME?</v>
      </c>
    </row>
    <row r="875" spans="1:3" x14ac:dyDescent="0.25">
      <c r="A875">
        <v>2372</v>
      </c>
      <c r="B875" t="s">
        <v>1310</v>
      </c>
      <c r="C875" t="e">
        <f>+proj=tmerc +lat_0=0 +lon_0=81 +k=1 +x_0=500000 +y_0=0 +a=6378140 +b=6356755.28815752 +units=m +no_defs</f>
        <v>#NAME?</v>
      </c>
    </row>
    <row r="876" spans="1:3" x14ac:dyDescent="0.25">
      <c r="A876">
        <v>2373</v>
      </c>
      <c r="B876" t="s">
        <v>1311</v>
      </c>
      <c r="C876" t="e">
        <f>+proj=tmerc +lat_0=0 +lon_0=84 +k=1 +x_0=500000 +y_0=0 +a=6378140 +b=6356755.28815752 +units=m +no_defs</f>
        <v>#NAME?</v>
      </c>
    </row>
    <row r="877" spans="1:3" x14ac:dyDescent="0.25">
      <c r="A877">
        <v>2374</v>
      </c>
      <c r="B877" t="s">
        <v>1312</v>
      </c>
      <c r="C877" t="e">
        <f>+proj=tmerc +lat_0=0 +lon_0=87 +k=1 +x_0=500000 +y_0=0 +a=6378140 +b=6356755.28815752 +units=m +no_defs</f>
        <v>#NAME?</v>
      </c>
    </row>
    <row r="878" spans="1:3" x14ac:dyDescent="0.25">
      <c r="A878">
        <v>2375</v>
      </c>
      <c r="B878" t="s">
        <v>1313</v>
      </c>
      <c r="C878" t="e">
        <f>+proj=tmerc +lat_0=0 +lon_0=90 +k=1 +x_0=500000 +y_0=0 +a=6378140 +b=6356755.28815752 +units=m +no_defs</f>
        <v>#NAME?</v>
      </c>
    </row>
    <row r="879" spans="1:3" x14ac:dyDescent="0.25">
      <c r="A879">
        <v>2376</v>
      </c>
      <c r="B879" t="s">
        <v>1314</v>
      </c>
      <c r="C879" t="e">
        <f>+proj=tmerc +lat_0=0 +lon_0=93 +k=1 +x_0=500000 +y_0=0 +a=6378140 +b=6356755.28815752 +units=m +no_defs</f>
        <v>#NAME?</v>
      </c>
    </row>
    <row r="880" spans="1:3" x14ac:dyDescent="0.25">
      <c r="A880">
        <v>2377</v>
      </c>
      <c r="B880" t="s">
        <v>1315</v>
      </c>
      <c r="C880" t="e">
        <f>+proj=tmerc +lat_0=0 +lon_0=96 +k=1 +x_0=500000 +y_0=0 +a=6378140 +b=6356755.28815752 +units=m +no_defs</f>
        <v>#NAME?</v>
      </c>
    </row>
    <row r="881" spans="1:3" x14ac:dyDescent="0.25">
      <c r="A881">
        <v>2378</v>
      </c>
      <c r="B881" t="s">
        <v>1316</v>
      </c>
      <c r="C881" t="e">
        <f>+proj=tmerc +lat_0=0 +lon_0=99 +k=1 +x_0=500000 +y_0=0 +a=6378140 +b=6356755.28815752 +units=m +no_defs</f>
        <v>#NAME?</v>
      </c>
    </row>
    <row r="882" spans="1:3" x14ac:dyDescent="0.25">
      <c r="A882">
        <v>2379</v>
      </c>
      <c r="B882" t="s">
        <v>1317</v>
      </c>
      <c r="C882" t="e">
        <f>+proj=tmerc +lat_0=0 +lon_0=102 +k=1 +x_0=500000 +y_0=0 +a=6378140 +b=6356755.28815752 +units=m +no_defs</f>
        <v>#NAME?</v>
      </c>
    </row>
    <row r="883" spans="1:3" x14ac:dyDescent="0.25">
      <c r="A883">
        <v>2380</v>
      </c>
      <c r="B883" t="s">
        <v>1318</v>
      </c>
      <c r="C883" t="e">
        <f>+proj=tmerc +lat_0=0 +lon_0=105 +k=1 +x_0=500000 +y_0=0 +a=6378140 +b=6356755.28815752 +units=m +no_defs</f>
        <v>#NAME?</v>
      </c>
    </row>
    <row r="884" spans="1:3" x14ac:dyDescent="0.25">
      <c r="A884">
        <v>2381</v>
      </c>
      <c r="B884" t="s">
        <v>1319</v>
      </c>
      <c r="C884" t="e">
        <f>+proj=tmerc +lat_0=0 +lon_0=108 +k=1 +x_0=500000 +y_0=0 +a=6378140 +b=6356755.28815752 +units=m +no_defs</f>
        <v>#NAME?</v>
      </c>
    </row>
    <row r="885" spans="1:3" x14ac:dyDescent="0.25">
      <c r="A885">
        <v>2382</v>
      </c>
      <c r="B885" t="s">
        <v>1320</v>
      </c>
      <c r="C885" t="e">
        <f>+proj=tmerc +lat_0=0 +lon_0=111 +k=1 +x_0=500000 +y_0=0 +a=6378140 +b=6356755.28815752 +units=m +no_defs</f>
        <v>#NAME?</v>
      </c>
    </row>
    <row r="886" spans="1:3" x14ac:dyDescent="0.25">
      <c r="A886">
        <v>2383</v>
      </c>
      <c r="B886" t="s">
        <v>1321</v>
      </c>
      <c r="C886" t="e">
        <f>+proj=tmerc +lat_0=0 +lon_0=114 +k=1 +x_0=500000 +y_0=0 +a=6378140 +b=6356755.28815752 +units=m +no_defs</f>
        <v>#NAME?</v>
      </c>
    </row>
    <row r="887" spans="1:3" x14ac:dyDescent="0.25">
      <c r="A887">
        <v>2384</v>
      </c>
      <c r="B887" t="s">
        <v>1322</v>
      </c>
      <c r="C887" t="e">
        <f>+proj=tmerc +lat_0=0 +lon_0=117 +k=1 +x_0=500000 +y_0=0 +a=6378140 +b=6356755.28815752 +units=m +no_defs</f>
        <v>#NAME?</v>
      </c>
    </row>
    <row r="888" spans="1:3" x14ac:dyDescent="0.25">
      <c r="A888">
        <v>2385</v>
      </c>
      <c r="B888" t="s">
        <v>1323</v>
      </c>
      <c r="C888" t="e">
        <f>+proj=tmerc +lat_0=0 +lon_0=120 +k=1 +x_0=500000 +y_0=0 +a=6378140 +b=6356755.28815752 +units=m +no_defs</f>
        <v>#NAME?</v>
      </c>
    </row>
    <row r="889" spans="1:3" x14ac:dyDescent="0.25">
      <c r="A889">
        <v>2386</v>
      </c>
      <c r="B889" t="s">
        <v>1324</v>
      </c>
      <c r="C889" t="e">
        <f>+proj=tmerc +lat_0=0 +lon_0=123 +k=1 +x_0=500000 +y_0=0 +a=6378140 +b=6356755.28815752 +units=m +no_defs</f>
        <v>#NAME?</v>
      </c>
    </row>
    <row r="890" spans="1:3" x14ac:dyDescent="0.25">
      <c r="A890">
        <v>2387</v>
      </c>
      <c r="B890" t="s">
        <v>1325</v>
      </c>
      <c r="C890" t="e">
        <f>+proj=tmerc +lat_0=0 +lon_0=126 +k=1 +x_0=500000 +y_0=0 +a=6378140 +b=6356755.28815752 +units=m +no_defs</f>
        <v>#NAME?</v>
      </c>
    </row>
    <row r="891" spans="1:3" x14ac:dyDescent="0.25">
      <c r="A891">
        <v>2388</v>
      </c>
      <c r="B891" t="s">
        <v>1326</v>
      </c>
      <c r="C891" t="e">
        <f>+proj=tmerc +lat_0=0 +lon_0=129 +k=1 +x_0=500000 +y_0=0 +a=6378140 +b=6356755.28815752 +units=m +no_defs</f>
        <v>#NAME?</v>
      </c>
    </row>
    <row r="892" spans="1:3" x14ac:dyDescent="0.25">
      <c r="A892">
        <v>2389</v>
      </c>
      <c r="B892" t="s">
        <v>1327</v>
      </c>
      <c r="C892" t="e">
        <f>+proj=tmerc +lat_0=0 +lon_0=132 +k=1 +x_0=500000 +y_0=0 +a=6378140 +b=6356755.28815752 +units=m +no_defs</f>
        <v>#NAME?</v>
      </c>
    </row>
    <row r="893" spans="1:3" x14ac:dyDescent="0.25">
      <c r="A893">
        <v>2390</v>
      </c>
      <c r="B893" t="s">
        <v>1328</v>
      </c>
      <c r="C893" t="e">
        <f>+proj=tmerc +lat_0=0 +lon_0=135 +k=1 +x_0=500000 +y_0=0 +a=6378140 +b=6356755.28815752 +units=m +no_defs</f>
        <v>#NAME?</v>
      </c>
    </row>
    <row r="894" spans="1:3" x14ac:dyDescent="0.25">
      <c r="A894">
        <v>2391</v>
      </c>
      <c r="B894" t="s">
        <v>1329</v>
      </c>
      <c r="C894" t="s">
        <v>1330</v>
      </c>
    </row>
    <row r="895" spans="1:3" x14ac:dyDescent="0.25">
      <c r="A895">
        <v>2392</v>
      </c>
      <c r="B895" t="s">
        <v>1331</v>
      </c>
      <c r="C895" t="s">
        <v>1332</v>
      </c>
    </row>
    <row r="896" spans="1:3" x14ac:dyDescent="0.25">
      <c r="A896">
        <v>2393</v>
      </c>
      <c r="B896" t="s">
        <v>1333</v>
      </c>
      <c r="C896" t="s">
        <v>1334</v>
      </c>
    </row>
    <row r="897" spans="1:3" x14ac:dyDescent="0.25">
      <c r="A897">
        <v>4356</v>
      </c>
      <c r="B897" t="s">
        <v>1335</v>
      </c>
      <c r="C897" t="e">
        <f>+proj=geocent +ellps=GRQ80 +units=m +no_defs</f>
        <v>#NAME?</v>
      </c>
    </row>
    <row r="898" spans="1:3" x14ac:dyDescent="0.25">
      <c r="A898">
        <v>2394</v>
      </c>
      <c r="B898" t="s">
        <v>1336</v>
      </c>
      <c r="C898" t="s">
        <v>1337</v>
      </c>
    </row>
    <row r="899" spans="1:3" x14ac:dyDescent="0.25">
      <c r="A899">
        <v>2395</v>
      </c>
      <c r="B899" t="s">
        <v>1338</v>
      </c>
      <c r="C899" t="s">
        <v>931</v>
      </c>
    </row>
    <row r="900" spans="1:3" x14ac:dyDescent="0.25">
      <c r="A900">
        <v>2396</v>
      </c>
      <c r="B900" t="s">
        <v>1339</v>
      </c>
      <c r="C900" t="s">
        <v>933</v>
      </c>
    </row>
    <row r="901" spans="1:3" x14ac:dyDescent="0.25">
      <c r="A901">
        <v>2397</v>
      </c>
      <c r="B901" t="s">
        <v>1340</v>
      </c>
      <c r="C901" t="s">
        <v>1341</v>
      </c>
    </row>
    <row r="902" spans="1:3" x14ac:dyDescent="0.25">
      <c r="A902">
        <v>2398</v>
      </c>
      <c r="B902" t="s">
        <v>1342</v>
      </c>
      <c r="C902" t="s">
        <v>1343</v>
      </c>
    </row>
    <row r="903" spans="1:3" x14ac:dyDescent="0.25">
      <c r="A903">
        <v>2399</v>
      </c>
      <c r="B903" t="s">
        <v>1344</v>
      </c>
      <c r="C903" t="s">
        <v>1345</v>
      </c>
    </row>
    <row r="904" spans="1:3" x14ac:dyDescent="0.25">
      <c r="A904">
        <v>2400</v>
      </c>
      <c r="B904" t="s">
        <v>1346</v>
      </c>
      <c r="C904" t="s">
        <v>1347</v>
      </c>
    </row>
    <row r="905" spans="1:3" x14ac:dyDescent="0.25">
      <c r="A905">
        <v>2401</v>
      </c>
      <c r="B905" t="s">
        <v>1348</v>
      </c>
      <c r="C905" t="s">
        <v>1349</v>
      </c>
    </row>
    <row r="906" spans="1:3" x14ac:dyDescent="0.25">
      <c r="A906">
        <v>2402</v>
      </c>
      <c r="B906" t="s">
        <v>1350</v>
      </c>
      <c r="C906" t="s">
        <v>1351</v>
      </c>
    </row>
    <row r="907" spans="1:3" x14ac:dyDescent="0.25">
      <c r="A907">
        <v>2403</v>
      </c>
      <c r="B907" t="s">
        <v>1352</v>
      </c>
      <c r="C907" t="s">
        <v>1353</v>
      </c>
    </row>
    <row r="908" spans="1:3" x14ac:dyDescent="0.25">
      <c r="A908">
        <v>2404</v>
      </c>
      <c r="B908" t="s">
        <v>1354</v>
      </c>
      <c r="C908" t="s">
        <v>1355</v>
      </c>
    </row>
    <row r="909" spans="1:3" x14ac:dyDescent="0.25">
      <c r="A909">
        <v>2405</v>
      </c>
      <c r="B909" t="s">
        <v>1356</v>
      </c>
      <c r="C909" t="s">
        <v>1357</v>
      </c>
    </row>
    <row r="910" spans="1:3" x14ac:dyDescent="0.25">
      <c r="A910">
        <v>2406</v>
      </c>
      <c r="B910" t="s">
        <v>1358</v>
      </c>
      <c r="C910" t="s">
        <v>1359</v>
      </c>
    </row>
    <row r="911" spans="1:3" x14ac:dyDescent="0.25">
      <c r="A911">
        <v>2407</v>
      </c>
      <c r="B911" t="s">
        <v>1360</v>
      </c>
      <c r="C911" t="s">
        <v>1361</v>
      </c>
    </row>
    <row r="912" spans="1:3" x14ac:dyDescent="0.25">
      <c r="A912">
        <v>2408</v>
      </c>
      <c r="B912" t="s">
        <v>1362</v>
      </c>
      <c r="C912" t="s">
        <v>1363</v>
      </c>
    </row>
    <row r="913" spans="1:3" x14ac:dyDescent="0.25">
      <c r="A913">
        <v>2409</v>
      </c>
      <c r="B913" t="s">
        <v>1364</v>
      </c>
      <c r="C913" t="s">
        <v>1365</v>
      </c>
    </row>
    <row r="914" spans="1:3" x14ac:dyDescent="0.25">
      <c r="A914">
        <v>2410</v>
      </c>
      <c r="B914" t="s">
        <v>1366</v>
      </c>
      <c r="C914" t="s">
        <v>1367</v>
      </c>
    </row>
    <row r="915" spans="1:3" x14ac:dyDescent="0.25">
      <c r="A915">
        <v>2411</v>
      </c>
      <c r="B915" t="s">
        <v>1368</v>
      </c>
      <c r="C915" t="s">
        <v>1369</v>
      </c>
    </row>
    <row r="916" spans="1:3" x14ac:dyDescent="0.25">
      <c r="A916">
        <v>2412</v>
      </c>
      <c r="B916" t="s">
        <v>1370</v>
      </c>
      <c r="C916" t="s">
        <v>1371</v>
      </c>
    </row>
    <row r="917" spans="1:3" x14ac:dyDescent="0.25">
      <c r="A917">
        <v>2413</v>
      </c>
      <c r="B917" t="s">
        <v>1372</v>
      </c>
      <c r="C917" t="s">
        <v>1373</v>
      </c>
    </row>
    <row r="918" spans="1:3" x14ac:dyDescent="0.25">
      <c r="A918">
        <v>2414</v>
      </c>
      <c r="B918" t="s">
        <v>1374</v>
      </c>
      <c r="C918" t="s">
        <v>1375</v>
      </c>
    </row>
    <row r="919" spans="1:3" x14ac:dyDescent="0.25">
      <c r="A919">
        <v>2415</v>
      </c>
      <c r="B919" t="s">
        <v>1376</v>
      </c>
      <c r="C919" t="s">
        <v>1377</v>
      </c>
    </row>
    <row r="920" spans="1:3" x14ac:dyDescent="0.25">
      <c r="A920">
        <v>2416</v>
      </c>
      <c r="B920" t="s">
        <v>1378</v>
      </c>
      <c r="C920" t="s">
        <v>1379</v>
      </c>
    </row>
    <row r="921" spans="1:3" x14ac:dyDescent="0.25">
      <c r="A921">
        <v>2417</v>
      </c>
      <c r="B921" t="s">
        <v>1380</v>
      </c>
      <c r="C921" t="s">
        <v>1381</v>
      </c>
    </row>
    <row r="922" spans="1:3" x14ac:dyDescent="0.25">
      <c r="A922">
        <v>2418</v>
      </c>
      <c r="B922" t="s">
        <v>1382</v>
      </c>
      <c r="C922" t="s">
        <v>1383</v>
      </c>
    </row>
    <row r="923" spans="1:3" x14ac:dyDescent="0.25">
      <c r="A923">
        <v>2419</v>
      </c>
      <c r="B923" t="s">
        <v>1384</v>
      </c>
      <c r="C923" t="s">
        <v>1385</v>
      </c>
    </row>
    <row r="924" spans="1:3" x14ac:dyDescent="0.25">
      <c r="A924">
        <v>2420</v>
      </c>
      <c r="B924" t="s">
        <v>1386</v>
      </c>
      <c r="C924" t="s">
        <v>1387</v>
      </c>
    </row>
    <row r="925" spans="1:3" x14ac:dyDescent="0.25">
      <c r="A925">
        <v>2421</v>
      </c>
      <c r="B925" t="s">
        <v>1388</v>
      </c>
      <c r="C925" t="s">
        <v>1389</v>
      </c>
    </row>
    <row r="926" spans="1:3" x14ac:dyDescent="0.25">
      <c r="A926">
        <v>2422</v>
      </c>
      <c r="B926" t="s">
        <v>1390</v>
      </c>
      <c r="C926" t="s">
        <v>1391</v>
      </c>
    </row>
    <row r="927" spans="1:3" x14ac:dyDescent="0.25">
      <c r="A927">
        <v>2423</v>
      </c>
      <c r="B927" t="s">
        <v>1392</v>
      </c>
      <c r="C927" t="s">
        <v>1393</v>
      </c>
    </row>
    <row r="928" spans="1:3" x14ac:dyDescent="0.25">
      <c r="A928">
        <v>2424</v>
      </c>
      <c r="B928" t="s">
        <v>1394</v>
      </c>
      <c r="C928" t="s">
        <v>1395</v>
      </c>
    </row>
    <row r="929" spans="1:3" x14ac:dyDescent="0.25">
      <c r="A929">
        <v>2425</v>
      </c>
      <c r="B929" t="s">
        <v>1396</v>
      </c>
      <c r="C929" t="s">
        <v>1397</v>
      </c>
    </row>
    <row r="930" spans="1:3" x14ac:dyDescent="0.25">
      <c r="A930">
        <v>2426</v>
      </c>
      <c r="B930" t="s">
        <v>1398</v>
      </c>
      <c r="C930" t="s">
        <v>1399</v>
      </c>
    </row>
    <row r="931" spans="1:3" x14ac:dyDescent="0.25">
      <c r="A931">
        <v>2427</v>
      </c>
      <c r="B931" t="s">
        <v>1400</v>
      </c>
      <c r="C931" t="s">
        <v>1401</v>
      </c>
    </row>
    <row r="932" spans="1:3" x14ac:dyDescent="0.25">
      <c r="A932">
        <v>2428</v>
      </c>
      <c r="B932" t="s">
        <v>1402</v>
      </c>
      <c r="C932" t="s">
        <v>1403</v>
      </c>
    </row>
    <row r="933" spans="1:3" x14ac:dyDescent="0.25">
      <c r="A933">
        <v>2429</v>
      </c>
      <c r="B933" t="s">
        <v>1404</v>
      </c>
      <c r="C933" t="s">
        <v>1405</v>
      </c>
    </row>
    <row r="934" spans="1:3" x14ac:dyDescent="0.25">
      <c r="A934">
        <v>2430</v>
      </c>
      <c r="B934" t="s">
        <v>1406</v>
      </c>
      <c r="C934" t="s">
        <v>1407</v>
      </c>
    </row>
    <row r="935" spans="1:3" x14ac:dyDescent="0.25">
      <c r="A935">
        <v>2431</v>
      </c>
      <c r="B935" t="s">
        <v>1408</v>
      </c>
      <c r="C935" t="s">
        <v>1409</v>
      </c>
    </row>
    <row r="936" spans="1:3" x14ac:dyDescent="0.25">
      <c r="A936">
        <v>2432</v>
      </c>
      <c r="B936" t="s">
        <v>1410</v>
      </c>
      <c r="C936" t="s">
        <v>1411</v>
      </c>
    </row>
    <row r="937" spans="1:3" x14ac:dyDescent="0.25">
      <c r="A937">
        <v>2433</v>
      </c>
      <c r="B937" t="s">
        <v>1412</v>
      </c>
      <c r="C937" t="s">
        <v>1413</v>
      </c>
    </row>
    <row r="938" spans="1:3" x14ac:dyDescent="0.25">
      <c r="A938">
        <v>2434</v>
      </c>
      <c r="B938" t="s">
        <v>1414</v>
      </c>
      <c r="C938" t="s">
        <v>1415</v>
      </c>
    </row>
    <row r="939" spans="1:3" x14ac:dyDescent="0.25">
      <c r="A939">
        <v>2435</v>
      </c>
      <c r="B939" t="s">
        <v>1416</v>
      </c>
      <c r="C939" t="s">
        <v>1417</v>
      </c>
    </row>
    <row r="940" spans="1:3" x14ac:dyDescent="0.25">
      <c r="A940">
        <v>2436</v>
      </c>
      <c r="B940" t="s">
        <v>1418</v>
      </c>
      <c r="C940" t="s">
        <v>1419</v>
      </c>
    </row>
    <row r="941" spans="1:3" x14ac:dyDescent="0.25">
      <c r="A941">
        <v>2437</v>
      </c>
      <c r="B941" t="s">
        <v>1420</v>
      </c>
      <c r="C941" t="s">
        <v>1421</v>
      </c>
    </row>
    <row r="942" spans="1:3" x14ac:dyDescent="0.25">
      <c r="A942">
        <v>2438</v>
      </c>
      <c r="B942" t="s">
        <v>1422</v>
      </c>
      <c r="C942" t="s">
        <v>1423</v>
      </c>
    </row>
    <row r="943" spans="1:3" x14ac:dyDescent="0.25">
      <c r="A943">
        <v>2439</v>
      </c>
      <c r="B943" t="s">
        <v>1424</v>
      </c>
      <c r="C943" t="s">
        <v>1425</v>
      </c>
    </row>
    <row r="944" spans="1:3" x14ac:dyDescent="0.25">
      <c r="A944">
        <v>2440</v>
      </c>
      <c r="B944" t="s">
        <v>1426</v>
      </c>
      <c r="C944" t="s">
        <v>1427</v>
      </c>
    </row>
    <row r="945" spans="1:3" x14ac:dyDescent="0.25">
      <c r="A945">
        <v>2441</v>
      </c>
      <c r="B945" t="s">
        <v>1428</v>
      </c>
      <c r="C945" t="s">
        <v>1429</v>
      </c>
    </row>
    <row r="946" spans="1:3" x14ac:dyDescent="0.25">
      <c r="A946">
        <v>2442</v>
      </c>
      <c r="B946" t="s">
        <v>1430</v>
      </c>
      <c r="C946" t="s">
        <v>1431</v>
      </c>
    </row>
    <row r="947" spans="1:3" x14ac:dyDescent="0.25">
      <c r="A947">
        <v>2443</v>
      </c>
      <c r="B947" t="s">
        <v>1432</v>
      </c>
      <c r="C947" t="s">
        <v>1433</v>
      </c>
    </row>
    <row r="948" spans="1:3" x14ac:dyDescent="0.25">
      <c r="A948">
        <v>2444</v>
      </c>
      <c r="B948" t="s">
        <v>1434</v>
      </c>
      <c r="C948" t="s">
        <v>1435</v>
      </c>
    </row>
    <row r="949" spans="1:3" x14ac:dyDescent="0.25">
      <c r="A949">
        <v>2445</v>
      </c>
      <c r="B949" t="s">
        <v>1436</v>
      </c>
      <c r="C949" t="s">
        <v>1437</v>
      </c>
    </row>
    <row r="950" spans="1:3" x14ac:dyDescent="0.25">
      <c r="A950">
        <v>2446</v>
      </c>
      <c r="B950" t="s">
        <v>1438</v>
      </c>
      <c r="C950" t="s">
        <v>1439</v>
      </c>
    </row>
    <row r="951" spans="1:3" x14ac:dyDescent="0.25">
      <c r="A951">
        <v>2447</v>
      </c>
      <c r="B951" t="s">
        <v>1440</v>
      </c>
      <c r="C951" t="s">
        <v>1441</v>
      </c>
    </row>
    <row r="952" spans="1:3" x14ac:dyDescent="0.25">
      <c r="A952">
        <v>2448</v>
      </c>
      <c r="B952" t="s">
        <v>1442</v>
      </c>
      <c r="C952" t="s">
        <v>1443</v>
      </c>
    </row>
    <row r="953" spans="1:3" x14ac:dyDescent="0.25">
      <c r="A953">
        <v>2449</v>
      </c>
      <c r="B953" t="s">
        <v>1444</v>
      </c>
      <c r="C953" t="s">
        <v>1445</v>
      </c>
    </row>
    <row r="954" spans="1:3" x14ac:dyDescent="0.25">
      <c r="A954">
        <v>2450</v>
      </c>
      <c r="B954" t="s">
        <v>1446</v>
      </c>
      <c r="C954" t="s">
        <v>1447</v>
      </c>
    </row>
    <row r="955" spans="1:3" x14ac:dyDescent="0.25">
      <c r="A955">
        <v>2451</v>
      </c>
      <c r="B955" t="s">
        <v>1448</v>
      </c>
      <c r="C955" t="s">
        <v>1449</v>
      </c>
    </row>
    <row r="956" spans="1:3" x14ac:dyDescent="0.25">
      <c r="A956">
        <v>2452</v>
      </c>
      <c r="B956" t="s">
        <v>1450</v>
      </c>
      <c r="C956" t="s">
        <v>1451</v>
      </c>
    </row>
    <row r="957" spans="1:3" x14ac:dyDescent="0.25">
      <c r="A957">
        <v>2453</v>
      </c>
      <c r="B957" t="s">
        <v>1452</v>
      </c>
      <c r="C957" t="s">
        <v>1453</v>
      </c>
    </row>
    <row r="958" spans="1:3" x14ac:dyDescent="0.25">
      <c r="A958">
        <v>2454</v>
      </c>
      <c r="B958" t="s">
        <v>1454</v>
      </c>
      <c r="C958" t="s">
        <v>1455</v>
      </c>
    </row>
    <row r="959" spans="1:3" x14ac:dyDescent="0.25">
      <c r="A959">
        <v>2455</v>
      </c>
      <c r="B959" t="s">
        <v>1456</v>
      </c>
      <c r="C959" t="s">
        <v>1457</v>
      </c>
    </row>
    <row r="960" spans="1:3" x14ac:dyDescent="0.25">
      <c r="A960">
        <v>2456</v>
      </c>
      <c r="B960" t="s">
        <v>1458</v>
      </c>
      <c r="C960" t="s">
        <v>1459</v>
      </c>
    </row>
    <row r="961" spans="1:3" x14ac:dyDescent="0.25">
      <c r="A961">
        <v>2457</v>
      </c>
      <c r="B961" t="s">
        <v>1460</v>
      </c>
      <c r="C961" t="s">
        <v>1461</v>
      </c>
    </row>
    <row r="962" spans="1:3" x14ac:dyDescent="0.25">
      <c r="A962">
        <v>2458</v>
      </c>
      <c r="B962" t="s">
        <v>1462</v>
      </c>
      <c r="C962" t="s">
        <v>1463</v>
      </c>
    </row>
    <row r="963" spans="1:3" x14ac:dyDescent="0.25">
      <c r="A963">
        <v>2459</v>
      </c>
      <c r="B963" t="s">
        <v>1464</v>
      </c>
      <c r="C963" t="s">
        <v>1465</v>
      </c>
    </row>
    <row r="964" spans="1:3" x14ac:dyDescent="0.25">
      <c r="A964">
        <v>2460</v>
      </c>
      <c r="B964" t="s">
        <v>1466</v>
      </c>
      <c r="C964" t="s">
        <v>1467</v>
      </c>
    </row>
    <row r="965" spans="1:3" x14ac:dyDescent="0.25">
      <c r="A965">
        <v>2461</v>
      </c>
      <c r="B965" t="s">
        <v>1468</v>
      </c>
      <c r="C965" t="s">
        <v>1469</v>
      </c>
    </row>
    <row r="966" spans="1:3" x14ac:dyDescent="0.25">
      <c r="A966">
        <v>2462</v>
      </c>
      <c r="B966" t="s">
        <v>1470</v>
      </c>
      <c r="C966" t="s">
        <v>1124</v>
      </c>
    </row>
    <row r="967" spans="1:3" x14ac:dyDescent="0.25">
      <c r="A967">
        <v>2463</v>
      </c>
      <c r="B967" t="s">
        <v>1471</v>
      </c>
      <c r="C967" t="s">
        <v>1472</v>
      </c>
    </row>
    <row r="968" spans="1:3" x14ac:dyDescent="0.25">
      <c r="A968">
        <v>2464</v>
      </c>
      <c r="B968" t="s">
        <v>1473</v>
      </c>
      <c r="C968" t="s">
        <v>1474</v>
      </c>
    </row>
    <row r="969" spans="1:3" x14ac:dyDescent="0.25">
      <c r="A969">
        <v>2465</v>
      </c>
      <c r="B969" t="s">
        <v>1475</v>
      </c>
      <c r="C969" t="s">
        <v>1476</v>
      </c>
    </row>
    <row r="970" spans="1:3" x14ac:dyDescent="0.25">
      <c r="A970">
        <v>2466</v>
      </c>
      <c r="B970" t="s">
        <v>1477</v>
      </c>
      <c r="C970" t="s">
        <v>1478</v>
      </c>
    </row>
    <row r="971" spans="1:3" x14ac:dyDescent="0.25">
      <c r="A971">
        <v>2467</v>
      </c>
      <c r="B971" t="s">
        <v>1479</v>
      </c>
      <c r="C971" t="s">
        <v>1480</v>
      </c>
    </row>
    <row r="972" spans="1:3" x14ac:dyDescent="0.25">
      <c r="A972">
        <v>2468</v>
      </c>
      <c r="B972" t="s">
        <v>1481</v>
      </c>
      <c r="C972" t="s">
        <v>1482</v>
      </c>
    </row>
    <row r="973" spans="1:3" x14ac:dyDescent="0.25">
      <c r="A973">
        <v>2469</v>
      </c>
      <c r="B973" t="s">
        <v>1483</v>
      </c>
      <c r="C973" t="s">
        <v>1484</v>
      </c>
    </row>
    <row r="974" spans="1:3" x14ac:dyDescent="0.25">
      <c r="A974">
        <v>2470</v>
      </c>
      <c r="B974" t="s">
        <v>1485</v>
      </c>
      <c r="C974" t="s">
        <v>1486</v>
      </c>
    </row>
    <row r="975" spans="1:3" x14ac:dyDescent="0.25">
      <c r="A975">
        <v>2471</v>
      </c>
      <c r="B975" t="s">
        <v>1487</v>
      </c>
      <c r="C975" t="s">
        <v>1488</v>
      </c>
    </row>
    <row r="976" spans="1:3" x14ac:dyDescent="0.25">
      <c r="A976">
        <v>2472</v>
      </c>
      <c r="B976" t="s">
        <v>1489</v>
      </c>
      <c r="C976" t="s">
        <v>1490</v>
      </c>
    </row>
    <row r="977" spans="1:3" x14ac:dyDescent="0.25">
      <c r="A977">
        <v>2473</v>
      </c>
      <c r="B977" t="s">
        <v>1491</v>
      </c>
      <c r="C977" t="s">
        <v>1492</v>
      </c>
    </row>
    <row r="978" spans="1:3" x14ac:dyDescent="0.25">
      <c r="A978">
        <v>2474</v>
      </c>
      <c r="B978" t="s">
        <v>1493</v>
      </c>
      <c r="C978" t="s">
        <v>1494</v>
      </c>
    </row>
    <row r="979" spans="1:3" x14ac:dyDescent="0.25">
      <c r="A979">
        <v>2475</v>
      </c>
      <c r="B979" t="s">
        <v>1495</v>
      </c>
      <c r="C979" t="s">
        <v>1496</v>
      </c>
    </row>
    <row r="980" spans="1:3" x14ac:dyDescent="0.25">
      <c r="A980">
        <v>2476</v>
      </c>
      <c r="B980" t="s">
        <v>1497</v>
      </c>
      <c r="C980" t="s">
        <v>1498</v>
      </c>
    </row>
    <row r="981" spans="1:3" x14ac:dyDescent="0.25">
      <c r="A981">
        <v>2477</v>
      </c>
      <c r="B981" t="s">
        <v>1499</v>
      </c>
      <c r="C981" t="s">
        <v>1500</v>
      </c>
    </row>
    <row r="982" spans="1:3" x14ac:dyDescent="0.25">
      <c r="A982">
        <v>2478</v>
      </c>
      <c r="B982" t="s">
        <v>1501</v>
      </c>
      <c r="C982" t="s">
        <v>1502</v>
      </c>
    </row>
    <row r="983" spans="1:3" x14ac:dyDescent="0.25">
      <c r="A983">
        <v>2479</v>
      </c>
      <c r="B983" t="s">
        <v>1503</v>
      </c>
      <c r="C983" t="s">
        <v>1504</v>
      </c>
    </row>
    <row r="984" spans="1:3" x14ac:dyDescent="0.25">
      <c r="A984">
        <v>2480</v>
      </c>
      <c r="B984" t="s">
        <v>1505</v>
      </c>
      <c r="C984" t="s">
        <v>1506</v>
      </c>
    </row>
    <row r="985" spans="1:3" x14ac:dyDescent="0.25">
      <c r="A985">
        <v>2481</v>
      </c>
      <c r="B985" t="s">
        <v>1507</v>
      </c>
      <c r="C985" t="s">
        <v>1508</v>
      </c>
    </row>
    <row r="986" spans="1:3" x14ac:dyDescent="0.25">
      <c r="A986">
        <v>2482</v>
      </c>
      <c r="B986" t="s">
        <v>1509</v>
      </c>
      <c r="C986" t="s">
        <v>1510</v>
      </c>
    </row>
    <row r="987" spans="1:3" x14ac:dyDescent="0.25">
      <c r="A987">
        <v>2483</v>
      </c>
      <c r="B987" t="s">
        <v>1511</v>
      </c>
      <c r="C987" t="s">
        <v>1512</v>
      </c>
    </row>
    <row r="988" spans="1:3" x14ac:dyDescent="0.25">
      <c r="A988">
        <v>2484</v>
      </c>
      <c r="B988" t="s">
        <v>1513</v>
      </c>
      <c r="C988" t="s">
        <v>1514</v>
      </c>
    </row>
    <row r="989" spans="1:3" x14ac:dyDescent="0.25">
      <c r="A989">
        <v>2485</v>
      </c>
      <c r="B989" t="s">
        <v>1515</v>
      </c>
      <c r="C989" t="s">
        <v>1516</v>
      </c>
    </row>
    <row r="990" spans="1:3" x14ac:dyDescent="0.25">
      <c r="A990">
        <v>2486</v>
      </c>
      <c r="B990" t="s">
        <v>1517</v>
      </c>
      <c r="C990" t="s">
        <v>1518</v>
      </c>
    </row>
    <row r="991" spans="1:3" x14ac:dyDescent="0.25">
      <c r="A991">
        <v>2487</v>
      </c>
      <c r="B991" t="s">
        <v>1519</v>
      </c>
      <c r="C991" t="s">
        <v>1520</v>
      </c>
    </row>
    <row r="992" spans="1:3" x14ac:dyDescent="0.25">
      <c r="A992">
        <v>2488</v>
      </c>
      <c r="B992" t="s">
        <v>1521</v>
      </c>
      <c r="C992" t="s">
        <v>1522</v>
      </c>
    </row>
    <row r="993" spans="1:3" x14ac:dyDescent="0.25">
      <c r="A993">
        <v>2489</v>
      </c>
      <c r="B993" t="s">
        <v>1523</v>
      </c>
      <c r="C993" t="s">
        <v>1524</v>
      </c>
    </row>
    <row r="994" spans="1:3" x14ac:dyDescent="0.25">
      <c r="A994">
        <v>2490</v>
      </c>
      <c r="B994" t="s">
        <v>1525</v>
      </c>
      <c r="C994" t="s">
        <v>1526</v>
      </c>
    </row>
    <row r="995" spans="1:3" x14ac:dyDescent="0.25">
      <c r="A995">
        <v>2491</v>
      </c>
      <c r="B995" t="s">
        <v>1527</v>
      </c>
      <c r="C995" t="s">
        <v>1528</v>
      </c>
    </row>
    <row r="996" spans="1:3" x14ac:dyDescent="0.25">
      <c r="A996">
        <v>2492</v>
      </c>
      <c r="B996" t="s">
        <v>1529</v>
      </c>
      <c r="C996" t="s">
        <v>1530</v>
      </c>
    </row>
    <row r="997" spans="1:3" x14ac:dyDescent="0.25">
      <c r="A997">
        <v>2493</v>
      </c>
      <c r="B997" t="s">
        <v>1531</v>
      </c>
      <c r="C997" t="s">
        <v>1532</v>
      </c>
    </row>
    <row r="998" spans="1:3" x14ac:dyDescent="0.25">
      <c r="A998">
        <v>2494</v>
      </c>
      <c r="B998" t="s">
        <v>1533</v>
      </c>
      <c r="C998" t="s">
        <v>1534</v>
      </c>
    </row>
    <row r="999" spans="1:3" x14ac:dyDescent="0.25">
      <c r="A999">
        <v>2495</v>
      </c>
      <c r="B999" t="s">
        <v>1535</v>
      </c>
      <c r="C999" t="s">
        <v>1536</v>
      </c>
    </row>
    <row r="1000" spans="1:3" x14ac:dyDescent="0.25">
      <c r="A1000">
        <v>2496</v>
      </c>
      <c r="B1000" t="s">
        <v>1537</v>
      </c>
      <c r="C1000" t="s">
        <v>1538</v>
      </c>
    </row>
    <row r="1001" spans="1:3" x14ac:dyDescent="0.25">
      <c r="A1001">
        <v>2497</v>
      </c>
      <c r="B1001" t="s">
        <v>1539</v>
      </c>
      <c r="C1001" t="s">
        <v>1540</v>
      </c>
    </row>
    <row r="1002" spans="1:3" x14ac:dyDescent="0.25">
      <c r="A1002">
        <v>2498</v>
      </c>
      <c r="B1002" t="s">
        <v>1541</v>
      </c>
      <c r="C1002" t="s">
        <v>1542</v>
      </c>
    </row>
    <row r="1003" spans="1:3" x14ac:dyDescent="0.25">
      <c r="A1003">
        <v>2499</v>
      </c>
      <c r="B1003" t="s">
        <v>1543</v>
      </c>
      <c r="C1003" t="s">
        <v>1544</v>
      </c>
    </row>
    <row r="1004" spans="1:3" x14ac:dyDescent="0.25">
      <c r="A1004">
        <v>2500</v>
      </c>
      <c r="B1004" t="s">
        <v>1545</v>
      </c>
      <c r="C1004" t="s">
        <v>1546</v>
      </c>
    </row>
    <row r="1005" spans="1:3" x14ac:dyDescent="0.25">
      <c r="A1005">
        <v>2501</v>
      </c>
      <c r="B1005" t="s">
        <v>1547</v>
      </c>
      <c r="C1005" t="s">
        <v>1548</v>
      </c>
    </row>
    <row r="1006" spans="1:3" x14ac:dyDescent="0.25">
      <c r="A1006">
        <v>2502</v>
      </c>
      <c r="B1006" t="s">
        <v>1549</v>
      </c>
      <c r="C1006" t="s">
        <v>1550</v>
      </c>
    </row>
    <row r="1007" spans="1:3" x14ac:dyDescent="0.25">
      <c r="A1007">
        <v>2503</v>
      </c>
      <c r="B1007" t="s">
        <v>1551</v>
      </c>
      <c r="C1007" t="s">
        <v>1552</v>
      </c>
    </row>
    <row r="1008" spans="1:3" x14ac:dyDescent="0.25">
      <c r="A1008">
        <v>2504</v>
      </c>
      <c r="B1008" t="s">
        <v>1553</v>
      </c>
      <c r="C1008" t="s">
        <v>1554</v>
      </c>
    </row>
    <row r="1009" spans="1:3" x14ac:dyDescent="0.25">
      <c r="A1009">
        <v>2505</v>
      </c>
      <c r="B1009" t="s">
        <v>1555</v>
      </c>
      <c r="C1009" t="s">
        <v>1556</v>
      </c>
    </row>
    <row r="1010" spans="1:3" x14ac:dyDescent="0.25">
      <c r="A1010">
        <v>2506</v>
      </c>
      <c r="B1010" t="s">
        <v>1557</v>
      </c>
      <c r="C1010" t="s">
        <v>1558</v>
      </c>
    </row>
    <row r="1011" spans="1:3" x14ac:dyDescent="0.25">
      <c r="A1011">
        <v>2507</v>
      </c>
      <c r="B1011" t="s">
        <v>1559</v>
      </c>
      <c r="C1011" t="s">
        <v>1560</v>
      </c>
    </row>
    <row r="1012" spans="1:3" x14ac:dyDescent="0.25">
      <c r="A1012">
        <v>2508</v>
      </c>
      <c r="B1012" t="s">
        <v>1561</v>
      </c>
      <c r="C1012" t="s">
        <v>1562</v>
      </c>
    </row>
    <row r="1013" spans="1:3" x14ac:dyDescent="0.25">
      <c r="A1013">
        <v>2509</v>
      </c>
      <c r="B1013" t="s">
        <v>1563</v>
      </c>
      <c r="C1013" t="s">
        <v>1564</v>
      </c>
    </row>
    <row r="1014" spans="1:3" x14ac:dyDescent="0.25">
      <c r="A1014">
        <v>2510</v>
      </c>
      <c r="B1014" t="s">
        <v>1565</v>
      </c>
      <c r="C1014" t="s">
        <v>1566</v>
      </c>
    </row>
    <row r="1015" spans="1:3" x14ac:dyDescent="0.25">
      <c r="A1015">
        <v>2511</v>
      </c>
      <c r="B1015" t="s">
        <v>1567</v>
      </c>
      <c r="C1015" t="s">
        <v>1568</v>
      </c>
    </row>
    <row r="1016" spans="1:3" x14ac:dyDescent="0.25">
      <c r="A1016">
        <v>2512</v>
      </c>
      <c r="B1016" t="s">
        <v>1569</v>
      </c>
      <c r="C1016" t="s">
        <v>1570</v>
      </c>
    </row>
    <row r="1017" spans="1:3" x14ac:dyDescent="0.25">
      <c r="A1017">
        <v>2513</v>
      </c>
      <c r="B1017" t="s">
        <v>1571</v>
      </c>
      <c r="C1017" t="s">
        <v>1572</v>
      </c>
    </row>
    <row r="1018" spans="1:3" x14ac:dyDescent="0.25">
      <c r="A1018">
        <v>2514</v>
      </c>
      <c r="B1018" t="s">
        <v>1573</v>
      </c>
      <c r="C1018" t="s">
        <v>1574</v>
      </c>
    </row>
    <row r="1019" spans="1:3" x14ac:dyDescent="0.25">
      <c r="A1019">
        <v>2515</v>
      </c>
      <c r="B1019" t="s">
        <v>1575</v>
      </c>
      <c r="C1019" t="s">
        <v>1576</v>
      </c>
    </row>
    <row r="1020" spans="1:3" x14ac:dyDescent="0.25">
      <c r="A1020">
        <v>2516</v>
      </c>
      <c r="B1020" t="s">
        <v>1577</v>
      </c>
      <c r="C1020" t="s">
        <v>1578</v>
      </c>
    </row>
    <row r="1021" spans="1:3" x14ac:dyDescent="0.25">
      <c r="A1021">
        <v>2517</v>
      </c>
      <c r="B1021" t="s">
        <v>1579</v>
      </c>
      <c r="C1021" t="s">
        <v>1580</v>
      </c>
    </row>
    <row r="1022" spans="1:3" x14ac:dyDescent="0.25">
      <c r="A1022">
        <v>2518</v>
      </c>
      <c r="B1022" t="s">
        <v>1581</v>
      </c>
      <c r="C1022" t="s">
        <v>1582</v>
      </c>
    </row>
    <row r="1023" spans="1:3" x14ac:dyDescent="0.25">
      <c r="A1023">
        <v>2519</v>
      </c>
      <c r="B1023" t="s">
        <v>1583</v>
      </c>
      <c r="C1023" t="s">
        <v>1584</v>
      </c>
    </row>
    <row r="1024" spans="1:3" x14ac:dyDescent="0.25">
      <c r="A1024">
        <v>2520</v>
      </c>
      <c r="B1024" t="s">
        <v>1585</v>
      </c>
      <c r="C1024" t="s">
        <v>1586</v>
      </c>
    </row>
    <row r="1025" spans="1:3" x14ac:dyDescent="0.25">
      <c r="A1025">
        <v>2521</v>
      </c>
      <c r="B1025" t="s">
        <v>1587</v>
      </c>
      <c r="C1025" t="s">
        <v>1588</v>
      </c>
    </row>
    <row r="1026" spans="1:3" x14ac:dyDescent="0.25">
      <c r="A1026">
        <v>2522</v>
      </c>
      <c r="B1026" t="s">
        <v>1589</v>
      </c>
      <c r="C1026" t="s">
        <v>1590</v>
      </c>
    </row>
    <row r="1027" spans="1:3" x14ac:dyDescent="0.25">
      <c r="A1027">
        <v>2523</v>
      </c>
      <c r="B1027" t="s">
        <v>1591</v>
      </c>
      <c r="C1027" t="s">
        <v>1592</v>
      </c>
    </row>
    <row r="1028" spans="1:3" x14ac:dyDescent="0.25">
      <c r="A1028">
        <v>2524</v>
      </c>
      <c r="B1028" t="s">
        <v>1593</v>
      </c>
      <c r="C1028" t="s">
        <v>1594</v>
      </c>
    </row>
    <row r="1029" spans="1:3" x14ac:dyDescent="0.25">
      <c r="A1029">
        <v>2525</v>
      </c>
      <c r="B1029" t="s">
        <v>1595</v>
      </c>
      <c r="C1029" t="s">
        <v>1596</v>
      </c>
    </row>
    <row r="1030" spans="1:3" x14ac:dyDescent="0.25">
      <c r="A1030">
        <v>2526</v>
      </c>
      <c r="B1030" t="s">
        <v>1597</v>
      </c>
      <c r="C1030" t="s">
        <v>1598</v>
      </c>
    </row>
    <row r="1031" spans="1:3" x14ac:dyDescent="0.25">
      <c r="A1031">
        <v>2527</v>
      </c>
      <c r="B1031" t="s">
        <v>1599</v>
      </c>
      <c r="C1031" t="s">
        <v>1600</v>
      </c>
    </row>
    <row r="1032" spans="1:3" x14ac:dyDescent="0.25">
      <c r="A1032">
        <v>2528</v>
      </c>
      <c r="B1032" t="s">
        <v>1601</v>
      </c>
      <c r="C1032" t="s">
        <v>1602</v>
      </c>
    </row>
    <row r="1033" spans="1:3" x14ac:dyDescent="0.25">
      <c r="A1033">
        <v>2529</v>
      </c>
      <c r="B1033" t="s">
        <v>1603</v>
      </c>
      <c r="C1033" t="s">
        <v>1604</v>
      </c>
    </row>
    <row r="1034" spans="1:3" x14ac:dyDescent="0.25">
      <c r="A1034">
        <v>2530</v>
      </c>
      <c r="B1034" t="s">
        <v>1605</v>
      </c>
      <c r="C1034" t="s">
        <v>1606</v>
      </c>
    </row>
    <row r="1035" spans="1:3" x14ac:dyDescent="0.25">
      <c r="A1035">
        <v>2531</v>
      </c>
      <c r="B1035" t="s">
        <v>1607</v>
      </c>
      <c r="C1035" t="s">
        <v>1608</v>
      </c>
    </row>
    <row r="1036" spans="1:3" x14ac:dyDescent="0.25">
      <c r="A1036">
        <v>2532</v>
      </c>
      <c r="B1036" t="s">
        <v>1609</v>
      </c>
      <c r="C1036" t="s">
        <v>1610</v>
      </c>
    </row>
    <row r="1037" spans="1:3" x14ac:dyDescent="0.25">
      <c r="A1037">
        <v>3013</v>
      </c>
      <c r="B1037" t="s">
        <v>1611</v>
      </c>
      <c r="C1037" t="s">
        <v>1612</v>
      </c>
    </row>
    <row r="1038" spans="1:3" x14ac:dyDescent="0.25">
      <c r="A1038">
        <v>2533</v>
      </c>
      <c r="B1038" t="s">
        <v>1613</v>
      </c>
      <c r="C1038" t="s">
        <v>1614</v>
      </c>
    </row>
    <row r="1039" spans="1:3" x14ac:dyDescent="0.25">
      <c r="A1039">
        <v>2534</v>
      </c>
      <c r="B1039" t="s">
        <v>1615</v>
      </c>
      <c r="C1039" t="s">
        <v>1616</v>
      </c>
    </row>
    <row r="1040" spans="1:3" x14ac:dyDescent="0.25">
      <c r="A1040">
        <v>2535</v>
      </c>
      <c r="B1040" t="s">
        <v>1617</v>
      </c>
      <c r="C1040" t="s">
        <v>1618</v>
      </c>
    </row>
    <row r="1041" spans="1:3" x14ac:dyDescent="0.25">
      <c r="A1041">
        <v>2536</v>
      </c>
      <c r="B1041" t="s">
        <v>1619</v>
      </c>
      <c r="C1041" t="s">
        <v>1620</v>
      </c>
    </row>
    <row r="1042" spans="1:3" x14ac:dyDescent="0.25">
      <c r="A1042">
        <v>2537</v>
      </c>
      <c r="B1042" t="s">
        <v>1621</v>
      </c>
      <c r="C1042" t="s">
        <v>1622</v>
      </c>
    </row>
    <row r="1043" spans="1:3" x14ac:dyDescent="0.25">
      <c r="A1043">
        <v>2538</v>
      </c>
      <c r="B1043" t="s">
        <v>1623</v>
      </c>
      <c r="C1043" t="s">
        <v>1624</v>
      </c>
    </row>
    <row r="1044" spans="1:3" x14ac:dyDescent="0.25">
      <c r="A1044">
        <v>2539</v>
      </c>
      <c r="B1044" t="s">
        <v>1625</v>
      </c>
      <c r="C1044" t="s">
        <v>1626</v>
      </c>
    </row>
    <row r="1045" spans="1:3" x14ac:dyDescent="0.25">
      <c r="A1045">
        <v>2540</v>
      </c>
      <c r="B1045" t="s">
        <v>1627</v>
      </c>
      <c r="C1045" t="s">
        <v>1628</v>
      </c>
    </row>
    <row r="1046" spans="1:3" x14ac:dyDescent="0.25">
      <c r="A1046">
        <v>2541</v>
      </c>
      <c r="B1046" t="s">
        <v>1629</v>
      </c>
      <c r="C1046" t="s">
        <v>1630</v>
      </c>
    </row>
    <row r="1047" spans="1:3" x14ac:dyDescent="0.25">
      <c r="A1047">
        <v>3014</v>
      </c>
      <c r="B1047" t="s">
        <v>1631</v>
      </c>
      <c r="C1047" t="s">
        <v>1632</v>
      </c>
    </row>
    <row r="1048" spans="1:3" x14ac:dyDescent="0.25">
      <c r="A1048">
        <v>2542</v>
      </c>
      <c r="B1048" t="s">
        <v>1633</v>
      </c>
      <c r="C1048" t="s">
        <v>1634</v>
      </c>
    </row>
    <row r="1049" spans="1:3" x14ac:dyDescent="0.25">
      <c r="A1049">
        <v>2543</v>
      </c>
      <c r="B1049" t="s">
        <v>1635</v>
      </c>
      <c r="C1049" t="s">
        <v>1636</v>
      </c>
    </row>
    <row r="1050" spans="1:3" x14ac:dyDescent="0.25">
      <c r="A1050">
        <v>2544</v>
      </c>
      <c r="B1050" t="s">
        <v>1637</v>
      </c>
      <c r="C1050" t="s">
        <v>1638</v>
      </c>
    </row>
    <row r="1051" spans="1:3" x14ac:dyDescent="0.25">
      <c r="A1051">
        <v>2545</v>
      </c>
      <c r="B1051" t="s">
        <v>1639</v>
      </c>
      <c r="C1051" t="s">
        <v>1640</v>
      </c>
    </row>
    <row r="1052" spans="1:3" x14ac:dyDescent="0.25">
      <c r="A1052">
        <v>2546</v>
      </c>
      <c r="B1052" t="s">
        <v>1641</v>
      </c>
      <c r="C1052" t="s">
        <v>1642</v>
      </c>
    </row>
    <row r="1053" spans="1:3" x14ac:dyDescent="0.25">
      <c r="A1053">
        <v>2547</v>
      </c>
      <c r="B1053" t="s">
        <v>1643</v>
      </c>
      <c r="C1053" t="s">
        <v>1644</v>
      </c>
    </row>
    <row r="1054" spans="1:3" x14ac:dyDescent="0.25">
      <c r="A1054">
        <v>2548</v>
      </c>
      <c r="B1054" t="s">
        <v>1645</v>
      </c>
      <c r="C1054" t="s">
        <v>1646</v>
      </c>
    </row>
    <row r="1055" spans="1:3" x14ac:dyDescent="0.25">
      <c r="A1055">
        <v>2549</v>
      </c>
      <c r="B1055" t="s">
        <v>1647</v>
      </c>
      <c r="C1055" t="s">
        <v>1648</v>
      </c>
    </row>
    <row r="1056" spans="1:3" x14ac:dyDescent="0.25">
      <c r="A1056">
        <v>2550</v>
      </c>
      <c r="B1056" t="s">
        <v>1649</v>
      </c>
      <c r="C1056" t="s">
        <v>1650</v>
      </c>
    </row>
    <row r="1057" spans="1:3" x14ac:dyDescent="0.25">
      <c r="A1057">
        <v>3015</v>
      </c>
      <c r="B1057" t="s">
        <v>1651</v>
      </c>
      <c r="C1057" t="s">
        <v>1652</v>
      </c>
    </row>
    <row r="1058" spans="1:3" x14ac:dyDescent="0.25">
      <c r="A1058">
        <v>2551</v>
      </c>
      <c r="B1058" t="s">
        <v>1653</v>
      </c>
      <c r="C1058" t="s">
        <v>1654</v>
      </c>
    </row>
    <row r="1059" spans="1:3" x14ac:dyDescent="0.25">
      <c r="A1059">
        <v>2552</v>
      </c>
      <c r="B1059" t="s">
        <v>1655</v>
      </c>
      <c r="C1059" t="s">
        <v>1656</v>
      </c>
    </row>
    <row r="1060" spans="1:3" x14ac:dyDescent="0.25">
      <c r="A1060">
        <v>2553</v>
      </c>
      <c r="B1060" t="s">
        <v>1657</v>
      </c>
      <c r="C1060" t="s">
        <v>1658</v>
      </c>
    </row>
    <row r="1061" spans="1:3" x14ac:dyDescent="0.25">
      <c r="A1061">
        <v>2554</v>
      </c>
      <c r="B1061" t="s">
        <v>1659</v>
      </c>
      <c r="C1061" t="s">
        <v>1660</v>
      </c>
    </row>
    <row r="1062" spans="1:3" x14ac:dyDescent="0.25">
      <c r="A1062">
        <v>2555</v>
      </c>
      <c r="B1062" t="s">
        <v>1661</v>
      </c>
      <c r="C1062" t="s">
        <v>1662</v>
      </c>
    </row>
    <row r="1063" spans="1:3" x14ac:dyDescent="0.25">
      <c r="A1063">
        <v>2556</v>
      </c>
      <c r="B1063" t="s">
        <v>1663</v>
      </c>
      <c r="C1063" t="s">
        <v>1664</v>
      </c>
    </row>
    <row r="1064" spans="1:3" x14ac:dyDescent="0.25">
      <c r="A1064">
        <v>2557</v>
      </c>
      <c r="B1064" t="s">
        <v>1665</v>
      </c>
      <c r="C1064" t="s">
        <v>1666</v>
      </c>
    </row>
    <row r="1065" spans="1:3" x14ac:dyDescent="0.25">
      <c r="A1065">
        <v>2558</v>
      </c>
      <c r="B1065" t="s">
        <v>1667</v>
      </c>
      <c r="C1065" t="s">
        <v>1668</v>
      </c>
    </row>
    <row r="1066" spans="1:3" x14ac:dyDescent="0.25">
      <c r="A1066">
        <v>2559</v>
      </c>
      <c r="B1066" t="s">
        <v>1669</v>
      </c>
      <c r="C1066" t="s">
        <v>1670</v>
      </c>
    </row>
    <row r="1067" spans="1:3" x14ac:dyDescent="0.25">
      <c r="A1067">
        <v>3016</v>
      </c>
      <c r="B1067" t="s">
        <v>1671</v>
      </c>
      <c r="C1067" t="s">
        <v>1672</v>
      </c>
    </row>
    <row r="1068" spans="1:3" x14ac:dyDescent="0.25">
      <c r="A1068">
        <v>2560</v>
      </c>
      <c r="B1068" t="s">
        <v>1673</v>
      </c>
      <c r="C1068" t="s">
        <v>1674</v>
      </c>
    </row>
    <row r="1069" spans="1:3" x14ac:dyDescent="0.25">
      <c r="A1069">
        <v>2561</v>
      </c>
      <c r="B1069" t="s">
        <v>1675</v>
      </c>
      <c r="C1069" t="s">
        <v>1676</v>
      </c>
    </row>
    <row r="1070" spans="1:3" x14ac:dyDescent="0.25">
      <c r="A1070">
        <v>2562</v>
      </c>
      <c r="B1070" t="s">
        <v>1677</v>
      </c>
      <c r="C1070" t="s">
        <v>1678</v>
      </c>
    </row>
    <row r="1071" spans="1:3" x14ac:dyDescent="0.25">
      <c r="A1071">
        <v>2563</v>
      </c>
      <c r="B1071" t="s">
        <v>1679</v>
      </c>
      <c r="C1071" t="s">
        <v>1680</v>
      </c>
    </row>
    <row r="1072" spans="1:3" x14ac:dyDescent="0.25">
      <c r="A1072">
        <v>2564</v>
      </c>
      <c r="B1072" t="s">
        <v>1681</v>
      </c>
      <c r="C1072" t="s">
        <v>1682</v>
      </c>
    </row>
    <row r="1073" spans="1:3" x14ac:dyDescent="0.25">
      <c r="A1073">
        <v>2565</v>
      </c>
      <c r="B1073" t="s">
        <v>1683</v>
      </c>
      <c r="C1073" t="s">
        <v>1684</v>
      </c>
    </row>
    <row r="1074" spans="1:3" x14ac:dyDescent="0.25">
      <c r="A1074">
        <v>2566</v>
      </c>
      <c r="B1074" t="s">
        <v>1685</v>
      </c>
      <c r="C1074" t="s">
        <v>1686</v>
      </c>
    </row>
    <row r="1075" spans="1:3" x14ac:dyDescent="0.25">
      <c r="A1075">
        <v>2567</v>
      </c>
      <c r="B1075" t="s">
        <v>1687</v>
      </c>
      <c r="C1075" t="s">
        <v>1688</v>
      </c>
    </row>
    <row r="1076" spans="1:3" x14ac:dyDescent="0.25">
      <c r="A1076">
        <v>2568</v>
      </c>
      <c r="B1076" t="s">
        <v>1689</v>
      </c>
      <c r="C1076" t="s">
        <v>1690</v>
      </c>
    </row>
    <row r="1077" spans="1:3" x14ac:dyDescent="0.25">
      <c r="A1077">
        <v>3017</v>
      </c>
      <c r="B1077" t="s">
        <v>1691</v>
      </c>
      <c r="C1077" t="s">
        <v>1692</v>
      </c>
    </row>
    <row r="1078" spans="1:3" x14ac:dyDescent="0.25">
      <c r="A1078">
        <v>2569</v>
      </c>
      <c r="B1078" t="s">
        <v>1693</v>
      </c>
      <c r="C1078" t="s">
        <v>1694</v>
      </c>
    </row>
    <row r="1079" spans="1:3" x14ac:dyDescent="0.25">
      <c r="A1079">
        <v>2570</v>
      </c>
      <c r="B1079" t="s">
        <v>1695</v>
      </c>
      <c r="C1079" t="s">
        <v>1696</v>
      </c>
    </row>
    <row r="1080" spans="1:3" x14ac:dyDescent="0.25">
      <c r="A1080">
        <v>2571</v>
      </c>
      <c r="B1080" t="s">
        <v>1697</v>
      </c>
      <c r="C1080" t="s">
        <v>1698</v>
      </c>
    </row>
    <row r="1081" spans="1:3" x14ac:dyDescent="0.25">
      <c r="A1081">
        <v>2572</v>
      </c>
      <c r="B1081" t="s">
        <v>1699</v>
      </c>
      <c r="C1081" t="s">
        <v>1700</v>
      </c>
    </row>
    <row r="1082" spans="1:3" x14ac:dyDescent="0.25">
      <c r="A1082">
        <v>2573</v>
      </c>
      <c r="B1082" t="s">
        <v>1701</v>
      </c>
      <c r="C1082" t="s">
        <v>1702</v>
      </c>
    </row>
    <row r="1083" spans="1:3" x14ac:dyDescent="0.25">
      <c r="A1083">
        <v>2574</v>
      </c>
      <c r="B1083" t="s">
        <v>1703</v>
      </c>
      <c r="C1083" t="s">
        <v>1704</v>
      </c>
    </row>
    <row r="1084" spans="1:3" x14ac:dyDescent="0.25">
      <c r="A1084">
        <v>2575</v>
      </c>
      <c r="B1084" t="s">
        <v>1705</v>
      </c>
      <c r="C1084" t="s">
        <v>1706</v>
      </c>
    </row>
    <row r="1085" spans="1:3" x14ac:dyDescent="0.25">
      <c r="A1085">
        <v>2576</v>
      </c>
      <c r="B1085" t="s">
        <v>1707</v>
      </c>
      <c r="C1085" t="s">
        <v>1708</v>
      </c>
    </row>
    <row r="1086" spans="1:3" x14ac:dyDescent="0.25">
      <c r="A1086">
        <v>2577</v>
      </c>
      <c r="B1086" t="s">
        <v>1709</v>
      </c>
      <c r="C1086" t="s">
        <v>1710</v>
      </c>
    </row>
    <row r="1087" spans="1:3" x14ac:dyDescent="0.25">
      <c r="A1087">
        <v>3018</v>
      </c>
      <c r="B1087" t="s">
        <v>1711</v>
      </c>
      <c r="C1087" t="s">
        <v>1712</v>
      </c>
    </row>
    <row r="1088" spans="1:3" x14ac:dyDescent="0.25">
      <c r="A1088">
        <v>2578</v>
      </c>
      <c r="B1088" t="s">
        <v>1713</v>
      </c>
      <c r="C1088" t="s">
        <v>1714</v>
      </c>
    </row>
    <row r="1089" spans="1:3" x14ac:dyDescent="0.25">
      <c r="A1089">
        <v>2579</v>
      </c>
      <c r="B1089" t="s">
        <v>1715</v>
      </c>
      <c r="C1089" t="s">
        <v>1716</v>
      </c>
    </row>
    <row r="1090" spans="1:3" x14ac:dyDescent="0.25">
      <c r="A1090">
        <v>2580</v>
      </c>
      <c r="B1090" t="s">
        <v>1717</v>
      </c>
      <c r="C1090" t="s">
        <v>1718</v>
      </c>
    </row>
    <row r="1091" spans="1:3" x14ac:dyDescent="0.25">
      <c r="A1091">
        <v>2581</v>
      </c>
      <c r="B1091" t="s">
        <v>1719</v>
      </c>
      <c r="C1091" t="s">
        <v>1720</v>
      </c>
    </row>
    <row r="1092" spans="1:3" x14ac:dyDescent="0.25">
      <c r="A1092">
        <v>2582</v>
      </c>
      <c r="B1092" t="s">
        <v>1721</v>
      </c>
      <c r="C1092" t="s">
        <v>1534</v>
      </c>
    </row>
    <row r="1093" spans="1:3" x14ac:dyDescent="0.25">
      <c r="A1093">
        <v>2583</v>
      </c>
      <c r="B1093" t="s">
        <v>1722</v>
      </c>
      <c r="C1093" t="s">
        <v>1723</v>
      </c>
    </row>
    <row r="1094" spans="1:3" x14ac:dyDescent="0.25">
      <c r="A1094">
        <v>2584</v>
      </c>
      <c r="B1094" t="s">
        <v>1724</v>
      </c>
      <c r="C1094" t="s">
        <v>1536</v>
      </c>
    </row>
    <row r="1095" spans="1:3" x14ac:dyDescent="0.25">
      <c r="A1095">
        <v>2585</v>
      </c>
      <c r="B1095" t="s">
        <v>1725</v>
      </c>
      <c r="C1095" t="s">
        <v>1726</v>
      </c>
    </row>
    <row r="1096" spans="1:3" x14ac:dyDescent="0.25">
      <c r="A1096">
        <v>2586</v>
      </c>
      <c r="B1096" t="s">
        <v>1727</v>
      </c>
      <c r="C1096" t="s">
        <v>1538</v>
      </c>
    </row>
    <row r="1097" spans="1:3" x14ac:dyDescent="0.25">
      <c r="A1097">
        <v>3029</v>
      </c>
      <c r="B1097" t="s">
        <v>1728</v>
      </c>
      <c r="C1097" t="e">
        <f>+proj=tmerc +lat_0=0 +lon_0=20.3082777777777 +k=1 +x_0=1500000 +y_0=0 +ellps=bessel +units=m +no_defs</f>
        <v>#NAME?</v>
      </c>
    </row>
    <row r="1098" spans="1:3" x14ac:dyDescent="0.25">
      <c r="A1098">
        <v>2587</v>
      </c>
      <c r="B1098" t="s">
        <v>1729</v>
      </c>
      <c r="C1098" t="s">
        <v>1730</v>
      </c>
    </row>
    <row r="1099" spans="1:3" x14ac:dyDescent="0.25">
      <c r="A1099">
        <v>2588</v>
      </c>
      <c r="B1099" t="s">
        <v>1731</v>
      </c>
      <c r="C1099" t="s">
        <v>1540</v>
      </c>
    </row>
    <row r="1100" spans="1:3" x14ac:dyDescent="0.25">
      <c r="A1100">
        <v>2589</v>
      </c>
      <c r="B1100" t="s">
        <v>1732</v>
      </c>
      <c r="C1100" t="s">
        <v>1733</v>
      </c>
    </row>
    <row r="1101" spans="1:3" x14ac:dyDescent="0.25">
      <c r="A1101">
        <v>2590</v>
      </c>
      <c r="B1101" t="s">
        <v>1734</v>
      </c>
      <c r="C1101" t="s">
        <v>1542</v>
      </c>
    </row>
    <row r="1102" spans="1:3" x14ac:dyDescent="0.25">
      <c r="A1102">
        <v>2591</v>
      </c>
      <c r="B1102" t="s">
        <v>1735</v>
      </c>
      <c r="C1102" t="s">
        <v>1736</v>
      </c>
    </row>
    <row r="1103" spans="1:3" x14ac:dyDescent="0.25">
      <c r="A1103">
        <v>2592</v>
      </c>
      <c r="B1103" t="s">
        <v>1737</v>
      </c>
      <c r="C1103" t="s">
        <v>1544</v>
      </c>
    </row>
    <row r="1104" spans="1:3" x14ac:dyDescent="0.25">
      <c r="A1104">
        <v>2593</v>
      </c>
      <c r="B1104" t="s">
        <v>1738</v>
      </c>
      <c r="C1104" t="s">
        <v>1739</v>
      </c>
    </row>
    <row r="1105" spans="1:3" x14ac:dyDescent="0.25">
      <c r="A1105">
        <v>2594</v>
      </c>
      <c r="B1105" t="s">
        <v>1740</v>
      </c>
      <c r="C1105" t="s">
        <v>1546</v>
      </c>
    </row>
    <row r="1106" spans="1:3" x14ac:dyDescent="0.25">
      <c r="A1106">
        <v>2595</v>
      </c>
      <c r="B1106" t="s">
        <v>1741</v>
      </c>
      <c r="C1106" t="s">
        <v>1742</v>
      </c>
    </row>
    <row r="1107" spans="1:3" x14ac:dyDescent="0.25">
      <c r="A1107">
        <v>3030</v>
      </c>
      <c r="B1107" t="s">
        <v>1743</v>
      </c>
      <c r="C1107" t="e">
        <f>+proj=tmerc +lat_0=0 +lon_0=22.5582777777777 +k=1 +x_0=1500000 +y_0=0 +ellps=bessel +units=m +no_defs</f>
        <v>#NAME?</v>
      </c>
    </row>
    <row r="1108" spans="1:3" x14ac:dyDescent="0.25">
      <c r="A1108">
        <v>2596</v>
      </c>
      <c r="B1108" t="s">
        <v>1744</v>
      </c>
      <c r="C1108" t="s">
        <v>1548</v>
      </c>
    </row>
    <row r="1109" spans="1:3" x14ac:dyDescent="0.25">
      <c r="A1109">
        <v>2597</v>
      </c>
      <c r="B1109" t="s">
        <v>1745</v>
      </c>
      <c r="C1109" t="s">
        <v>1746</v>
      </c>
    </row>
    <row r="1110" spans="1:3" x14ac:dyDescent="0.25">
      <c r="A1110">
        <v>2598</v>
      </c>
      <c r="B1110" t="s">
        <v>1747</v>
      </c>
      <c r="C1110" t="s">
        <v>1550</v>
      </c>
    </row>
    <row r="1111" spans="1:3" x14ac:dyDescent="0.25">
      <c r="A1111">
        <v>2599</v>
      </c>
      <c r="B1111" t="s">
        <v>1748</v>
      </c>
      <c r="C1111" t="s">
        <v>1749</v>
      </c>
    </row>
    <row r="1112" spans="1:3" x14ac:dyDescent="0.25">
      <c r="A1112">
        <v>2600</v>
      </c>
      <c r="B1112" t="s">
        <v>1750</v>
      </c>
      <c r="C1112" t="s">
        <v>1751</v>
      </c>
    </row>
    <row r="1113" spans="1:3" x14ac:dyDescent="0.25">
      <c r="A1113">
        <v>2601</v>
      </c>
      <c r="B1113" t="s">
        <v>1752</v>
      </c>
      <c r="C1113" t="s">
        <v>1552</v>
      </c>
    </row>
    <row r="1114" spans="1:3" x14ac:dyDescent="0.25">
      <c r="A1114">
        <v>2602</v>
      </c>
      <c r="B1114" t="s">
        <v>1753</v>
      </c>
      <c r="C1114" t="s">
        <v>1754</v>
      </c>
    </row>
    <row r="1115" spans="1:3" x14ac:dyDescent="0.25">
      <c r="A1115">
        <v>2603</v>
      </c>
      <c r="B1115" t="s">
        <v>1755</v>
      </c>
      <c r="C1115" t="s">
        <v>1554</v>
      </c>
    </row>
    <row r="1116" spans="1:3" x14ac:dyDescent="0.25">
      <c r="A1116">
        <v>2604</v>
      </c>
      <c r="B1116" t="s">
        <v>1756</v>
      </c>
      <c r="C1116" t="s">
        <v>1757</v>
      </c>
    </row>
    <row r="1117" spans="1:3" x14ac:dyDescent="0.25">
      <c r="A1117">
        <v>2605</v>
      </c>
      <c r="B1117" t="s">
        <v>1758</v>
      </c>
      <c r="C1117" t="s">
        <v>1556</v>
      </c>
    </row>
    <row r="1118" spans="1:3" x14ac:dyDescent="0.25">
      <c r="A1118">
        <v>2606</v>
      </c>
      <c r="B1118" t="s">
        <v>1759</v>
      </c>
      <c r="C1118" t="s">
        <v>1760</v>
      </c>
    </row>
    <row r="1119" spans="1:3" x14ac:dyDescent="0.25">
      <c r="A1119">
        <v>2607</v>
      </c>
      <c r="B1119" t="s">
        <v>1761</v>
      </c>
      <c r="C1119" t="s">
        <v>1558</v>
      </c>
    </row>
    <row r="1120" spans="1:3" x14ac:dyDescent="0.25">
      <c r="A1120">
        <v>2608</v>
      </c>
      <c r="B1120" t="s">
        <v>1762</v>
      </c>
      <c r="C1120" t="s">
        <v>1763</v>
      </c>
    </row>
    <row r="1121" spans="1:3" x14ac:dyDescent="0.25">
      <c r="A1121">
        <v>2609</v>
      </c>
      <c r="B1121" t="s">
        <v>1764</v>
      </c>
      <c r="C1121" t="s">
        <v>1560</v>
      </c>
    </row>
    <row r="1122" spans="1:3" x14ac:dyDescent="0.25">
      <c r="A1122">
        <v>2610</v>
      </c>
      <c r="B1122" t="s">
        <v>1765</v>
      </c>
      <c r="C1122" t="s">
        <v>1766</v>
      </c>
    </row>
    <row r="1123" spans="1:3" x14ac:dyDescent="0.25">
      <c r="A1123">
        <v>2611</v>
      </c>
      <c r="B1123" t="s">
        <v>1767</v>
      </c>
      <c r="C1123" t="s">
        <v>1562</v>
      </c>
    </row>
    <row r="1124" spans="1:3" x14ac:dyDescent="0.25">
      <c r="A1124">
        <v>2612</v>
      </c>
      <c r="B1124" t="s">
        <v>1768</v>
      </c>
      <c r="C1124" t="s">
        <v>1769</v>
      </c>
    </row>
    <row r="1125" spans="1:3" x14ac:dyDescent="0.25">
      <c r="A1125">
        <v>2613</v>
      </c>
      <c r="B1125" t="s">
        <v>1770</v>
      </c>
      <c r="C1125" t="s">
        <v>1564</v>
      </c>
    </row>
    <row r="1126" spans="1:3" x14ac:dyDescent="0.25">
      <c r="A1126">
        <v>2614</v>
      </c>
      <c r="B1126" t="s">
        <v>1771</v>
      </c>
      <c r="C1126" t="s">
        <v>1772</v>
      </c>
    </row>
    <row r="1127" spans="1:3" x14ac:dyDescent="0.25">
      <c r="A1127">
        <v>3031</v>
      </c>
      <c r="B1127" t="s">
        <v>1773</v>
      </c>
      <c r="C1127" t="e">
        <f>+proj=stere +lat_0=-90 +lat_ts=-71 +lon_0=0 +k=1 +x_0=0 +y_0=0 +datum=WGQ84 +units=m +no_defs</f>
        <v>#NAME?</v>
      </c>
    </row>
    <row r="1128" spans="1:3" x14ac:dyDescent="0.25">
      <c r="A1128">
        <v>2615</v>
      </c>
      <c r="B1128" t="s">
        <v>1774</v>
      </c>
      <c r="C1128" t="s">
        <v>1566</v>
      </c>
    </row>
    <row r="1129" spans="1:3" x14ac:dyDescent="0.25">
      <c r="A1129">
        <v>2616</v>
      </c>
      <c r="B1129" t="s">
        <v>1775</v>
      </c>
      <c r="C1129" t="s">
        <v>1776</v>
      </c>
    </row>
    <row r="1130" spans="1:3" x14ac:dyDescent="0.25">
      <c r="A1130">
        <v>2617</v>
      </c>
      <c r="B1130" t="s">
        <v>1777</v>
      </c>
      <c r="C1130" t="s">
        <v>1568</v>
      </c>
    </row>
    <row r="1131" spans="1:3" x14ac:dyDescent="0.25">
      <c r="A1131">
        <v>2618</v>
      </c>
      <c r="B1131" t="s">
        <v>1778</v>
      </c>
      <c r="C1131" t="s">
        <v>1779</v>
      </c>
    </row>
    <row r="1132" spans="1:3" x14ac:dyDescent="0.25">
      <c r="A1132">
        <v>2619</v>
      </c>
      <c r="B1132" t="s">
        <v>1780</v>
      </c>
      <c r="C1132" t="s">
        <v>1570</v>
      </c>
    </row>
    <row r="1133" spans="1:3" x14ac:dyDescent="0.25">
      <c r="A1133">
        <v>2620</v>
      </c>
      <c r="B1133" t="s">
        <v>1781</v>
      </c>
      <c r="C1133" t="s">
        <v>1782</v>
      </c>
    </row>
    <row r="1134" spans="1:3" x14ac:dyDescent="0.25">
      <c r="A1134">
        <v>2621</v>
      </c>
      <c r="B1134" t="s">
        <v>1783</v>
      </c>
      <c r="C1134" t="s">
        <v>1572</v>
      </c>
    </row>
    <row r="1135" spans="1:3" x14ac:dyDescent="0.25">
      <c r="A1135">
        <v>2622</v>
      </c>
      <c r="B1135" t="s">
        <v>1784</v>
      </c>
      <c r="C1135" t="s">
        <v>1785</v>
      </c>
    </row>
    <row r="1136" spans="1:3" x14ac:dyDescent="0.25">
      <c r="A1136">
        <v>2623</v>
      </c>
      <c r="B1136" t="s">
        <v>1786</v>
      </c>
      <c r="C1136" t="s">
        <v>1574</v>
      </c>
    </row>
    <row r="1137" spans="1:3" x14ac:dyDescent="0.25">
      <c r="A1137">
        <v>3042</v>
      </c>
      <c r="B1137" t="s">
        <v>1787</v>
      </c>
      <c r="C1137" t="s">
        <v>1788</v>
      </c>
    </row>
    <row r="1138" spans="1:3" x14ac:dyDescent="0.25">
      <c r="A1138">
        <v>2624</v>
      </c>
      <c r="B1138" t="s">
        <v>1789</v>
      </c>
      <c r="C1138" t="s">
        <v>1790</v>
      </c>
    </row>
    <row r="1139" spans="1:3" x14ac:dyDescent="0.25">
      <c r="A1139">
        <v>2625</v>
      </c>
      <c r="B1139" t="s">
        <v>1791</v>
      </c>
      <c r="C1139" t="s">
        <v>1576</v>
      </c>
    </row>
    <row r="1140" spans="1:3" x14ac:dyDescent="0.25">
      <c r="A1140">
        <v>2626</v>
      </c>
      <c r="B1140" t="s">
        <v>1792</v>
      </c>
      <c r="C1140" t="s">
        <v>1793</v>
      </c>
    </row>
    <row r="1141" spans="1:3" x14ac:dyDescent="0.25">
      <c r="A1141">
        <v>2627</v>
      </c>
      <c r="B1141" t="s">
        <v>1794</v>
      </c>
      <c r="C1141" t="s">
        <v>1578</v>
      </c>
    </row>
    <row r="1142" spans="1:3" x14ac:dyDescent="0.25">
      <c r="A1142">
        <v>2628</v>
      </c>
      <c r="B1142" t="s">
        <v>1795</v>
      </c>
      <c r="C1142" t="s">
        <v>1796</v>
      </c>
    </row>
    <row r="1143" spans="1:3" x14ac:dyDescent="0.25">
      <c r="A1143">
        <v>2629</v>
      </c>
      <c r="B1143" t="s">
        <v>1797</v>
      </c>
      <c r="C1143" t="s">
        <v>1580</v>
      </c>
    </row>
    <row r="1144" spans="1:3" x14ac:dyDescent="0.25">
      <c r="A1144">
        <v>2630</v>
      </c>
      <c r="B1144" t="s">
        <v>1798</v>
      </c>
      <c r="C1144" t="s">
        <v>1799</v>
      </c>
    </row>
    <row r="1145" spans="1:3" x14ac:dyDescent="0.25">
      <c r="A1145">
        <v>2631</v>
      </c>
      <c r="B1145" t="s">
        <v>1800</v>
      </c>
      <c r="C1145" t="s">
        <v>1582</v>
      </c>
    </row>
    <row r="1146" spans="1:3" x14ac:dyDescent="0.25">
      <c r="A1146">
        <v>2632</v>
      </c>
      <c r="B1146" t="s">
        <v>1801</v>
      </c>
      <c r="C1146" t="s">
        <v>1802</v>
      </c>
    </row>
    <row r="1147" spans="1:3" x14ac:dyDescent="0.25">
      <c r="A1147">
        <v>3043</v>
      </c>
      <c r="B1147" t="s">
        <v>1803</v>
      </c>
      <c r="C1147" t="s">
        <v>1804</v>
      </c>
    </row>
    <row r="1148" spans="1:3" x14ac:dyDescent="0.25">
      <c r="A1148">
        <v>2633</v>
      </c>
      <c r="B1148" t="s">
        <v>1805</v>
      </c>
      <c r="C1148" t="s">
        <v>1584</v>
      </c>
    </row>
    <row r="1149" spans="1:3" x14ac:dyDescent="0.25">
      <c r="A1149">
        <v>2634</v>
      </c>
      <c r="B1149" t="s">
        <v>1806</v>
      </c>
      <c r="C1149" t="s">
        <v>1807</v>
      </c>
    </row>
    <row r="1150" spans="1:3" x14ac:dyDescent="0.25">
      <c r="A1150">
        <v>2635</v>
      </c>
      <c r="B1150" t="s">
        <v>1808</v>
      </c>
      <c r="C1150" t="s">
        <v>1586</v>
      </c>
    </row>
    <row r="1151" spans="1:3" x14ac:dyDescent="0.25">
      <c r="A1151">
        <v>2636</v>
      </c>
      <c r="B1151" t="s">
        <v>1809</v>
      </c>
      <c r="C1151" t="s">
        <v>1810</v>
      </c>
    </row>
    <row r="1152" spans="1:3" x14ac:dyDescent="0.25">
      <c r="A1152">
        <v>2637</v>
      </c>
      <c r="B1152" t="s">
        <v>1811</v>
      </c>
      <c r="C1152" t="s">
        <v>1588</v>
      </c>
    </row>
    <row r="1153" spans="1:3" x14ac:dyDescent="0.25">
      <c r="A1153">
        <v>2638</v>
      </c>
      <c r="B1153" t="s">
        <v>1812</v>
      </c>
      <c r="C1153" t="s">
        <v>1813</v>
      </c>
    </row>
    <row r="1154" spans="1:3" x14ac:dyDescent="0.25">
      <c r="A1154">
        <v>2639</v>
      </c>
      <c r="B1154" t="s">
        <v>1814</v>
      </c>
      <c r="C1154" t="s">
        <v>1590</v>
      </c>
    </row>
    <row r="1155" spans="1:3" x14ac:dyDescent="0.25">
      <c r="A1155">
        <v>2640</v>
      </c>
      <c r="B1155" t="s">
        <v>1815</v>
      </c>
      <c r="C1155" t="s">
        <v>1816</v>
      </c>
    </row>
    <row r="1156" spans="1:3" x14ac:dyDescent="0.25">
      <c r="A1156">
        <v>2641</v>
      </c>
      <c r="B1156" t="s">
        <v>1817</v>
      </c>
      <c r="C1156" t="s">
        <v>1818</v>
      </c>
    </row>
    <row r="1157" spans="1:3" x14ac:dyDescent="0.25">
      <c r="A1157">
        <v>3044</v>
      </c>
      <c r="B1157" t="s">
        <v>1819</v>
      </c>
      <c r="C1157" t="s">
        <v>1820</v>
      </c>
    </row>
    <row r="1158" spans="1:3" x14ac:dyDescent="0.25">
      <c r="A1158">
        <v>2642</v>
      </c>
      <c r="B1158" t="s">
        <v>1821</v>
      </c>
      <c r="C1158" t="s">
        <v>1822</v>
      </c>
    </row>
    <row r="1159" spans="1:3" x14ac:dyDescent="0.25">
      <c r="A1159">
        <v>2643</v>
      </c>
      <c r="B1159" t="s">
        <v>1823</v>
      </c>
      <c r="C1159" t="s">
        <v>1824</v>
      </c>
    </row>
    <row r="1160" spans="1:3" x14ac:dyDescent="0.25">
      <c r="A1160">
        <v>2644</v>
      </c>
      <c r="B1160" t="s">
        <v>1825</v>
      </c>
      <c r="C1160" t="s">
        <v>1826</v>
      </c>
    </row>
    <row r="1161" spans="1:3" x14ac:dyDescent="0.25">
      <c r="A1161">
        <v>2645</v>
      </c>
      <c r="B1161" t="s">
        <v>1827</v>
      </c>
      <c r="C1161" t="s">
        <v>1828</v>
      </c>
    </row>
    <row r="1162" spans="1:3" x14ac:dyDescent="0.25">
      <c r="A1162">
        <v>2646</v>
      </c>
      <c r="B1162" t="s">
        <v>1829</v>
      </c>
      <c r="C1162" t="s">
        <v>1830</v>
      </c>
    </row>
    <row r="1163" spans="1:3" x14ac:dyDescent="0.25">
      <c r="A1163">
        <v>2647</v>
      </c>
      <c r="B1163" t="s">
        <v>1831</v>
      </c>
      <c r="C1163" t="s">
        <v>1832</v>
      </c>
    </row>
    <row r="1164" spans="1:3" x14ac:dyDescent="0.25">
      <c r="A1164">
        <v>2648</v>
      </c>
      <c r="B1164" t="s">
        <v>1833</v>
      </c>
      <c r="C1164" t="s">
        <v>1834</v>
      </c>
    </row>
    <row r="1165" spans="1:3" x14ac:dyDescent="0.25">
      <c r="A1165">
        <v>2649</v>
      </c>
      <c r="B1165" t="s">
        <v>1835</v>
      </c>
      <c r="C1165" t="s">
        <v>1836</v>
      </c>
    </row>
    <row r="1166" spans="1:3" x14ac:dyDescent="0.25">
      <c r="A1166">
        <v>2650</v>
      </c>
      <c r="B1166" t="s">
        <v>1837</v>
      </c>
      <c r="C1166" t="s">
        <v>1838</v>
      </c>
    </row>
    <row r="1167" spans="1:3" x14ac:dyDescent="0.25">
      <c r="A1167">
        <v>2736</v>
      </c>
      <c r="B1167" t="s">
        <v>1839</v>
      </c>
      <c r="C1167" t="s">
        <v>1840</v>
      </c>
    </row>
    <row r="1168" spans="1:3" x14ac:dyDescent="0.25">
      <c r="A1168">
        <v>2651</v>
      </c>
      <c r="B1168" t="s">
        <v>1841</v>
      </c>
      <c r="C1168" t="s">
        <v>1842</v>
      </c>
    </row>
    <row r="1169" spans="1:3" x14ac:dyDescent="0.25">
      <c r="A1169">
        <v>2652</v>
      </c>
      <c r="B1169" t="s">
        <v>1843</v>
      </c>
      <c r="C1169" t="s">
        <v>1844</v>
      </c>
    </row>
    <row r="1170" spans="1:3" x14ac:dyDescent="0.25">
      <c r="A1170">
        <v>2653</v>
      </c>
      <c r="B1170" t="s">
        <v>1845</v>
      </c>
      <c r="C1170" t="s">
        <v>1846</v>
      </c>
    </row>
    <row r="1171" spans="1:3" x14ac:dyDescent="0.25">
      <c r="A1171">
        <v>2654</v>
      </c>
      <c r="B1171" t="s">
        <v>1847</v>
      </c>
      <c r="C1171" t="s">
        <v>1848</v>
      </c>
    </row>
    <row r="1172" spans="1:3" x14ac:dyDescent="0.25">
      <c r="A1172">
        <v>2655</v>
      </c>
      <c r="B1172" t="s">
        <v>1849</v>
      </c>
      <c r="C1172" t="s">
        <v>1850</v>
      </c>
    </row>
    <row r="1173" spans="1:3" x14ac:dyDescent="0.25">
      <c r="A1173">
        <v>2656</v>
      </c>
      <c r="B1173" t="s">
        <v>1851</v>
      </c>
      <c r="C1173" t="s">
        <v>1852</v>
      </c>
    </row>
    <row r="1174" spans="1:3" x14ac:dyDescent="0.25">
      <c r="A1174">
        <v>2657</v>
      </c>
      <c r="B1174" t="s">
        <v>1853</v>
      </c>
      <c r="C1174" t="s">
        <v>1854</v>
      </c>
    </row>
    <row r="1175" spans="1:3" x14ac:dyDescent="0.25">
      <c r="A1175">
        <v>2658</v>
      </c>
      <c r="B1175" t="s">
        <v>1855</v>
      </c>
      <c r="C1175" t="s">
        <v>1856</v>
      </c>
    </row>
    <row r="1176" spans="1:3" x14ac:dyDescent="0.25">
      <c r="A1176">
        <v>2659</v>
      </c>
      <c r="B1176" t="s">
        <v>1857</v>
      </c>
      <c r="C1176" t="s">
        <v>1858</v>
      </c>
    </row>
    <row r="1177" spans="1:3" x14ac:dyDescent="0.25">
      <c r="A1177">
        <v>3045</v>
      </c>
      <c r="B1177" t="s">
        <v>1859</v>
      </c>
      <c r="C1177" t="s">
        <v>1860</v>
      </c>
    </row>
    <row r="1178" spans="1:3" x14ac:dyDescent="0.25">
      <c r="A1178">
        <v>2660</v>
      </c>
      <c r="B1178" t="s">
        <v>1861</v>
      </c>
      <c r="C1178" t="s">
        <v>1862</v>
      </c>
    </row>
    <row r="1179" spans="1:3" x14ac:dyDescent="0.25">
      <c r="A1179">
        <v>2661</v>
      </c>
      <c r="B1179" t="s">
        <v>1863</v>
      </c>
      <c r="C1179" t="s">
        <v>1864</v>
      </c>
    </row>
    <row r="1180" spans="1:3" x14ac:dyDescent="0.25">
      <c r="A1180">
        <v>2662</v>
      </c>
      <c r="B1180" t="s">
        <v>1865</v>
      </c>
      <c r="C1180" t="s">
        <v>1866</v>
      </c>
    </row>
    <row r="1181" spans="1:3" x14ac:dyDescent="0.25">
      <c r="A1181">
        <v>2663</v>
      </c>
      <c r="B1181" t="s">
        <v>1867</v>
      </c>
      <c r="C1181" t="s">
        <v>1868</v>
      </c>
    </row>
    <row r="1182" spans="1:3" x14ac:dyDescent="0.25">
      <c r="A1182">
        <v>2664</v>
      </c>
      <c r="B1182" t="s">
        <v>1869</v>
      </c>
      <c r="C1182" t="s">
        <v>1870</v>
      </c>
    </row>
    <row r="1183" spans="1:3" x14ac:dyDescent="0.25">
      <c r="A1183">
        <v>2665</v>
      </c>
      <c r="B1183" t="s">
        <v>1871</v>
      </c>
      <c r="C1183" t="s">
        <v>1872</v>
      </c>
    </row>
    <row r="1184" spans="1:3" x14ac:dyDescent="0.25">
      <c r="A1184">
        <v>2666</v>
      </c>
      <c r="B1184" t="s">
        <v>1873</v>
      </c>
      <c r="C1184" t="s">
        <v>1874</v>
      </c>
    </row>
    <row r="1185" spans="1:3" x14ac:dyDescent="0.25">
      <c r="A1185">
        <v>2667</v>
      </c>
      <c r="B1185" t="s">
        <v>1875</v>
      </c>
      <c r="C1185" t="s">
        <v>1876</v>
      </c>
    </row>
    <row r="1186" spans="1:3" x14ac:dyDescent="0.25">
      <c r="A1186">
        <v>2668</v>
      </c>
      <c r="B1186" t="s">
        <v>1877</v>
      </c>
      <c r="C1186" t="s">
        <v>1878</v>
      </c>
    </row>
    <row r="1187" spans="1:3" x14ac:dyDescent="0.25">
      <c r="A1187">
        <v>3046</v>
      </c>
      <c r="B1187" t="s">
        <v>1879</v>
      </c>
      <c r="C1187" t="s">
        <v>1880</v>
      </c>
    </row>
    <row r="1188" spans="1:3" x14ac:dyDescent="0.25">
      <c r="A1188">
        <v>2669</v>
      </c>
      <c r="B1188" t="s">
        <v>1881</v>
      </c>
      <c r="C1188" t="s">
        <v>1882</v>
      </c>
    </row>
    <row r="1189" spans="1:3" x14ac:dyDescent="0.25">
      <c r="A1189">
        <v>2670</v>
      </c>
      <c r="B1189" t="s">
        <v>1883</v>
      </c>
      <c r="C1189" t="s">
        <v>1884</v>
      </c>
    </row>
    <row r="1190" spans="1:3" x14ac:dyDescent="0.25">
      <c r="A1190">
        <v>2671</v>
      </c>
      <c r="B1190" t="s">
        <v>1885</v>
      </c>
      <c r="C1190" t="s">
        <v>1886</v>
      </c>
    </row>
    <row r="1191" spans="1:3" x14ac:dyDescent="0.25">
      <c r="A1191">
        <v>2672</v>
      </c>
      <c r="B1191" t="s">
        <v>1887</v>
      </c>
      <c r="C1191" t="s">
        <v>1888</v>
      </c>
    </row>
    <row r="1192" spans="1:3" x14ac:dyDescent="0.25">
      <c r="A1192">
        <v>2673</v>
      </c>
      <c r="B1192" t="s">
        <v>1889</v>
      </c>
      <c r="C1192" t="s">
        <v>1890</v>
      </c>
    </row>
    <row r="1193" spans="1:3" x14ac:dyDescent="0.25">
      <c r="A1193">
        <v>2674</v>
      </c>
      <c r="B1193" t="s">
        <v>1891</v>
      </c>
      <c r="C1193" t="s">
        <v>1892</v>
      </c>
    </row>
    <row r="1194" spans="1:3" x14ac:dyDescent="0.25">
      <c r="A1194">
        <v>2675</v>
      </c>
      <c r="B1194" t="s">
        <v>1893</v>
      </c>
      <c r="C1194" t="s">
        <v>1894</v>
      </c>
    </row>
    <row r="1195" spans="1:3" x14ac:dyDescent="0.25">
      <c r="A1195">
        <v>2676</v>
      </c>
      <c r="B1195" t="s">
        <v>1895</v>
      </c>
      <c r="C1195" t="s">
        <v>1896</v>
      </c>
    </row>
    <row r="1196" spans="1:3" x14ac:dyDescent="0.25">
      <c r="A1196">
        <v>2677</v>
      </c>
      <c r="B1196" t="s">
        <v>1897</v>
      </c>
      <c r="C1196" t="s">
        <v>1898</v>
      </c>
    </row>
    <row r="1197" spans="1:3" x14ac:dyDescent="0.25">
      <c r="A1197">
        <v>3047</v>
      </c>
      <c r="B1197" t="s">
        <v>1899</v>
      </c>
      <c r="C1197" t="s">
        <v>1900</v>
      </c>
    </row>
    <row r="1198" spans="1:3" x14ac:dyDescent="0.25">
      <c r="A1198">
        <v>2678</v>
      </c>
      <c r="B1198" t="s">
        <v>1901</v>
      </c>
      <c r="C1198" t="s">
        <v>1902</v>
      </c>
    </row>
    <row r="1199" spans="1:3" x14ac:dyDescent="0.25">
      <c r="A1199">
        <v>2679</v>
      </c>
      <c r="B1199" t="s">
        <v>1903</v>
      </c>
      <c r="C1199" t="s">
        <v>1904</v>
      </c>
    </row>
    <row r="1200" spans="1:3" x14ac:dyDescent="0.25">
      <c r="A1200">
        <v>2680</v>
      </c>
      <c r="B1200" t="s">
        <v>1905</v>
      </c>
      <c r="C1200" t="s">
        <v>1906</v>
      </c>
    </row>
    <row r="1201" spans="1:3" x14ac:dyDescent="0.25">
      <c r="A1201">
        <v>2681</v>
      </c>
      <c r="B1201" t="s">
        <v>1907</v>
      </c>
      <c r="C1201" t="s">
        <v>1908</v>
      </c>
    </row>
    <row r="1202" spans="1:3" x14ac:dyDescent="0.25">
      <c r="A1202">
        <v>2682</v>
      </c>
      <c r="B1202" t="s">
        <v>1909</v>
      </c>
      <c r="C1202" t="s">
        <v>1910</v>
      </c>
    </row>
    <row r="1203" spans="1:3" x14ac:dyDescent="0.25">
      <c r="A1203">
        <v>2683</v>
      </c>
      <c r="B1203" t="s">
        <v>1911</v>
      </c>
      <c r="C1203" t="s">
        <v>1912</v>
      </c>
    </row>
    <row r="1204" spans="1:3" x14ac:dyDescent="0.25">
      <c r="A1204">
        <v>2684</v>
      </c>
      <c r="B1204" t="s">
        <v>1913</v>
      </c>
      <c r="C1204" t="s">
        <v>1914</v>
      </c>
    </row>
    <row r="1205" spans="1:3" x14ac:dyDescent="0.25">
      <c r="A1205">
        <v>2685</v>
      </c>
      <c r="B1205" t="s">
        <v>1915</v>
      </c>
      <c r="C1205" t="s">
        <v>1916</v>
      </c>
    </row>
    <row r="1206" spans="1:3" x14ac:dyDescent="0.25">
      <c r="A1206">
        <v>2686</v>
      </c>
      <c r="B1206" t="s">
        <v>1917</v>
      </c>
      <c r="C1206" t="s">
        <v>1918</v>
      </c>
    </row>
    <row r="1207" spans="1:3" x14ac:dyDescent="0.25">
      <c r="A1207">
        <v>3048</v>
      </c>
      <c r="B1207" t="s">
        <v>1919</v>
      </c>
      <c r="C1207" t="s">
        <v>1920</v>
      </c>
    </row>
    <row r="1208" spans="1:3" x14ac:dyDescent="0.25">
      <c r="A1208">
        <v>2687</v>
      </c>
      <c r="B1208" t="s">
        <v>1921</v>
      </c>
      <c r="C1208" t="s">
        <v>1922</v>
      </c>
    </row>
    <row r="1209" spans="1:3" x14ac:dyDescent="0.25">
      <c r="A1209">
        <v>2688</v>
      </c>
      <c r="B1209" t="s">
        <v>1923</v>
      </c>
      <c r="C1209" t="s">
        <v>1924</v>
      </c>
    </row>
    <row r="1210" spans="1:3" x14ac:dyDescent="0.25">
      <c r="A1210">
        <v>2689</v>
      </c>
      <c r="B1210" t="s">
        <v>1925</v>
      </c>
      <c r="C1210" t="s">
        <v>1926</v>
      </c>
    </row>
    <row r="1211" spans="1:3" x14ac:dyDescent="0.25">
      <c r="A1211">
        <v>2690</v>
      </c>
      <c r="B1211" t="s">
        <v>1927</v>
      </c>
      <c r="C1211" t="s">
        <v>1928</v>
      </c>
    </row>
    <row r="1212" spans="1:3" x14ac:dyDescent="0.25">
      <c r="A1212">
        <v>2691</v>
      </c>
      <c r="B1212" t="s">
        <v>1929</v>
      </c>
      <c r="C1212" t="s">
        <v>1930</v>
      </c>
    </row>
    <row r="1213" spans="1:3" x14ac:dyDescent="0.25">
      <c r="A1213">
        <v>2692</v>
      </c>
      <c r="B1213" t="s">
        <v>1931</v>
      </c>
      <c r="C1213" t="s">
        <v>1932</v>
      </c>
    </row>
    <row r="1214" spans="1:3" x14ac:dyDescent="0.25">
      <c r="A1214">
        <v>2693</v>
      </c>
      <c r="B1214" t="s">
        <v>1933</v>
      </c>
      <c r="C1214" t="s">
        <v>1934</v>
      </c>
    </row>
    <row r="1215" spans="1:3" x14ac:dyDescent="0.25">
      <c r="A1215">
        <v>2694</v>
      </c>
      <c r="B1215" t="s">
        <v>1935</v>
      </c>
      <c r="C1215" t="s">
        <v>1936</v>
      </c>
    </row>
    <row r="1216" spans="1:3" x14ac:dyDescent="0.25">
      <c r="A1216">
        <v>2695</v>
      </c>
      <c r="B1216" t="s">
        <v>1937</v>
      </c>
      <c r="C1216" t="s">
        <v>1938</v>
      </c>
    </row>
    <row r="1217" spans="1:3" x14ac:dyDescent="0.25">
      <c r="A1217">
        <v>3049</v>
      </c>
      <c r="B1217" t="s">
        <v>1939</v>
      </c>
      <c r="C1217" t="s">
        <v>1940</v>
      </c>
    </row>
    <row r="1218" spans="1:3" x14ac:dyDescent="0.25">
      <c r="A1218">
        <v>2696</v>
      </c>
      <c r="B1218" t="s">
        <v>1941</v>
      </c>
      <c r="C1218" t="s">
        <v>1942</v>
      </c>
    </row>
    <row r="1219" spans="1:3" x14ac:dyDescent="0.25">
      <c r="A1219">
        <v>2697</v>
      </c>
      <c r="B1219" t="s">
        <v>1943</v>
      </c>
      <c r="C1219" t="s">
        <v>1944</v>
      </c>
    </row>
    <row r="1220" spans="1:3" x14ac:dyDescent="0.25">
      <c r="A1220">
        <v>2698</v>
      </c>
      <c r="B1220" t="s">
        <v>1945</v>
      </c>
      <c r="C1220" t="s">
        <v>1946</v>
      </c>
    </row>
    <row r="1221" spans="1:3" x14ac:dyDescent="0.25">
      <c r="A1221">
        <v>2699</v>
      </c>
      <c r="B1221" t="s">
        <v>1947</v>
      </c>
      <c r="C1221" t="s">
        <v>1472</v>
      </c>
    </row>
    <row r="1222" spans="1:3" x14ac:dyDescent="0.25">
      <c r="A1222">
        <v>2700</v>
      </c>
      <c r="B1222" t="s">
        <v>1948</v>
      </c>
      <c r="C1222" t="s">
        <v>1949</v>
      </c>
    </row>
    <row r="1223" spans="1:3" x14ac:dyDescent="0.25">
      <c r="A1223">
        <v>2701</v>
      </c>
      <c r="B1223" t="s">
        <v>1950</v>
      </c>
      <c r="C1223" t="s">
        <v>1474</v>
      </c>
    </row>
    <row r="1224" spans="1:3" x14ac:dyDescent="0.25">
      <c r="A1224">
        <v>2702</v>
      </c>
      <c r="B1224" t="s">
        <v>1951</v>
      </c>
      <c r="C1224" t="s">
        <v>1952</v>
      </c>
    </row>
    <row r="1225" spans="1:3" x14ac:dyDescent="0.25">
      <c r="A1225">
        <v>2703</v>
      </c>
      <c r="B1225" t="s">
        <v>1953</v>
      </c>
      <c r="C1225" t="s">
        <v>1476</v>
      </c>
    </row>
    <row r="1226" spans="1:3" x14ac:dyDescent="0.25">
      <c r="A1226">
        <v>2704</v>
      </c>
      <c r="B1226" t="s">
        <v>1954</v>
      </c>
      <c r="C1226" t="s">
        <v>1955</v>
      </c>
    </row>
    <row r="1227" spans="1:3" x14ac:dyDescent="0.25">
      <c r="A1227">
        <v>2705</v>
      </c>
      <c r="B1227" t="s">
        <v>1956</v>
      </c>
      <c r="C1227" t="s">
        <v>1478</v>
      </c>
    </row>
    <row r="1228" spans="1:3" x14ac:dyDescent="0.25">
      <c r="A1228">
        <v>2706</v>
      </c>
      <c r="B1228" t="s">
        <v>1957</v>
      </c>
      <c r="C1228" t="s">
        <v>1958</v>
      </c>
    </row>
    <row r="1229" spans="1:3" x14ac:dyDescent="0.25">
      <c r="A1229">
        <v>2707</v>
      </c>
      <c r="B1229" t="s">
        <v>1959</v>
      </c>
      <c r="C1229" t="s">
        <v>1480</v>
      </c>
    </row>
    <row r="1230" spans="1:3" x14ac:dyDescent="0.25">
      <c r="A1230">
        <v>2708</v>
      </c>
      <c r="B1230" t="s">
        <v>1960</v>
      </c>
      <c r="C1230" t="s">
        <v>1961</v>
      </c>
    </row>
    <row r="1231" spans="1:3" x14ac:dyDescent="0.25">
      <c r="A1231">
        <v>2709</v>
      </c>
      <c r="B1231" t="s">
        <v>1962</v>
      </c>
      <c r="C1231" t="s">
        <v>1482</v>
      </c>
    </row>
    <row r="1232" spans="1:3" x14ac:dyDescent="0.25">
      <c r="A1232">
        <v>2710</v>
      </c>
      <c r="B1232" t="s">
        <v>1963</v>
      </c>
      <c r="C1232" t="s">
        <v>1964</v>
      </c>
    </row>
    <row r="1233" spans="1:3" x14ac:dyDescent="0.25">
      <c r="A1233">
        <v>2711</v>
      </c>
      <c r="B1233" t="s">
        <v>1965</v>
      </c>
      <c r="C1233" t="s">
        <v>1484</v>
      </c>
    </row>
    <row r="1234" spans="1:3" x14ac:dyDescent="0.25">
      <c r="A1234">
        <v>2712</v>
      </c>
      <c r="B1234" t="s">
        <v>1966</v>
      </c>
      <c r="C1234" t="s">
        <v>1967</v>
      </c>
    </row>
    <row r="1235" spans="1:3" x14ac:dyDescent="0.25">
      <c r="A1235">
        <v>2713</v>
      </c>
      <c r="B1235" t="s">
        <v>1968</v>
      </c>
      <c r="C1235" t="s">
        <v>1486</v>
      </c>
    </row>
    <row r="1236" spans="1:3" x14ac:dyDescent="0.25">
      <c r="A1236">
        <v>2714</v>
      </c>
      <c r="B1236" t="s">
        <v>1969</v>
      </c>
      <c r="C1236" t="s">
        <v>1970</v>
      </c>
    </row>
    <row r="1237" spans="1:3" x14ac:dyDescent="0.25">
      <c r="A1237">
        <v>2715</v>
      </c>
      <c r="B1237" t="s">
        <v>1971</v>
      </c>
      <c r="C1237" t="s">
        <v>1488</v>
      </c>
    </row>
    <row r="1238" spans="1:3" x14ac:dyDescent="0.25">
      <c r="A1238">
        <v>2716</v>
      </c>
      <c r="B1238" t="s">
        <v>1972</v>
      </c>
      <c r="C1238" t="s">
        <v>1973</v>
      </c>
    </row>
    <row r="1239" spans="1:3" x14ac:dyDescent="0.25">
      <c r="A1239">
        <v>2717</v>
      </c>
      <c r="B1239" t="s">
        <v>1974</v>
      </c>
      <c r="C1239" t="s">
        <v>1490</v>
      </c>
    </row>
    <row r="1240" spans="1:3" x14ac:dyDescent="0.25">
      <c r="A1240">
        <v>2718</v>
      </c>
      <c r="B1240" t="s">
        <v>1975</v>
      </c>
      <c r="C1240" t="s">
        <v>1976</v>
      </c>
    </row>
    <row r="1241" spans="1:3" x14ac:dyDescent="0.25">
      <c r="A1241">
        <v>2719</v>
      </c>
      <c r="B1241" t="s">
        <v>1977</v>
      </c>
      <c r="C1241" t="s">
        <v>1492</v>
      </c>
    </row>
    <row r="1242" spans="1:3" x14ac:dyDescent="0.25">
      <c r="A1242">
        <v>2720</v>
      </c>
      <c r="B1242" t="s">
        <v>1978</v>
      </c>
      <c r="C1242" t="s">
        <v>1979</v>
      </c>
    </row>
    <row r="1243" spans="1:3" x14ac:dyDescent="0.25">
      <c r="A1243">
        <v>2721</v>
      </c>
      <c r="B1243" t="s">
        <v>1980</v>
      </c>
      <c r="C1243" t="s">
        <v>1494</v>
      </c>
    </row>
    <row r="1244" spans="1:3" x14ac:dyDescent="0.25">
      <c r="A1244">
        <v>2722</v>
      </c>
      <c r="B1244" t="s">
        <v>1981</v>
      </c>
      <c r="C1244" t="s">
        <v>1982</v>
      </c>
    </row>
    <row r="1245" spans="1:3" x14ac:dyDescent="0.25">
      <c r="A1245">
        <v>2723</v>
      </c>
      <c r="B1245" t="s">
        <v>1983</v>
      </c>
      <c r="C1245" t="s">
        <v>1496</v>
      </c>
    </row>
    <row r="1246" spans="1:3" x14ac:dyDescent="0.25">
      <c r="A1246">
        <v>2724</v>
      </c>
      <c r="B1246" t="s">
        <v>1984</v>
      </c>
      <c r="C1246" t="s">
        <v>1985</v>
      </c>
    </row>
    <row r="1247" spans="1:3" x14ac:dyDescent="0.25">
      <c r="A1247">
        <v>2725</v>
      </c>
      <c r="B1247" t="s">
        <v>1986</v>
      </c>
      <c r="C1247" t="s">
        <v>1498</v>
      </c>
    </row>
    <row r="1248" spans="1:3" x14ac:dyDescent="0.25">
      <c r="A1248">
        <v>2726</v>
      </c>
      <c r="B1248" t="s">
        <v>1987</v>
      </c>
      <c r="C1248" t="s">
        <v>1988</v>
      </c>
    </row>
    <row r="1249" spans="1:3" x14ac:dyDescent="0.25">
      <c r="A1249">
        <v>2727</v>
      </c>
      <c r="B1249" t="s">
        <v>1989</v>
      </c>
      <c r="C1249" t="s">
        <v>1500</v>
      </c>
    </row>
    <row r="1250" spans="1:3" x14ac:dyDescent="0.25">
      <c r="A1250">
        <v>2728</v>
      </c>
      <c r="B1250" t="s">
        <v>1990</v>
      </c>
      <c r="C1250" t="s">
        <v>1991</v>
      </c>
    </row>
    <row r="1251" spans="1:3" x14ac:dyDescent="0.25">
      <c r="A1251">
        <v>2729</v>
      </c>
      <c r="B1251" t="s">
        <v>1992</v>
      </c>
      <c r="C1251" t="s">
        <v>1502</v>
      </c>
    </row>
    <row r="1252" spans="1:3" x14ac:dyDescent="0.25">
      <c r="A1252">
        <v>2730</v>
      </c>
      <c r="B1252" t="s">
        <v>1993</v>
      </c>
      <c r="C1252" t="s">
        <v>1994</v>
      </c>
    </row>
    <row r="1253" spans="1:3" x14ac:dyDescent="0.25">
      <c r="A1253">
        <v>2731</v>
      </c>
      <c r="B1253" t="s">
        <v>1995</v>
      </c>
      <c r="C1253" t="s">
        <v>1504</v>
      </c>
    </row>
    <row r="1254" spans="1:3" x14ac:dyDescent="0.25">
      <c r="A1254">
        <v>2732</v>
      </c>
      <c r="B1254" t="s">
        <v>1996</v>
      </c>
      <c r="C1254" t="s">
        <v>1997</v>
      </c>
    </row>
    <row r="1255" spans="1:3" x14ac:dyDescent="0.25">
      <c r="A1255">
        <v>2733</v>
      </c>
      <c r="B1255" t="s">
        <v>1998</v>
      </c>
      <c r="C1255" t="s">
        <v>1506</v>
      </c>
    </row>
    <row r="1256" spans="1:3" x14ac:dyDescent="0.25">
      <c r="A1256">
        <v>2734</v>
      </c>
      <c r="B1256" t="s">
        <v>1999</v>
      </c>
      <c r="C1256" t="s">
        <v>2000</v>
      </c>
    </row>
    <row r="1257" spans="1:3" x14ac:dyDescent="0.25">
      <c r="A1257">
        <v>2735</v>
      </c>
      <c r="B1257" t="s">
        <v>2001</v>
      </c>
      <c r="C1257" t="s">
        <v>1508</v>
      </c>
    </row>
    <row r="1258" spans="1:3" x14ac:dyDescent="0.25">
      <c r="A1258">
        <v>2737</v>
      </c>
      <c r="B1258" t="s">
        <v>2002</v>
      </c>
      <c r="C1258" t="s">
        <v>2003</v>
      </c>
    </row>
    <row r="1259" spans="1:3" x14ac:dyDescent="0.25">
      <c r="A1259">
        <v>2738</v>
      </c>
      <c r="B1259" t="s">
        <v>2004</v>
      </c>
      <c r="C1259" t="s">
        <v>2005</v>
      </c>
    </row>
    <row r="1260" spans="1:3" x14ac:dyDescent="0.25">
      <c r="A1260">
        <v>2739</v>
      </c>
      <c r="B1260" t="s">
        <v>2006</v>
      </c>
      <c r="C1260" t="s">
        <v>1510</v>
      </c>
    </row>
    <row r="1261" spans="1:3" x14ac:dyDescent="0.25">
      <c r="A1261">
        <v>2740</v>
      </c>
      <c r="B1261" t="s">
        <v>2007</v>
      </c>
      <c r="C1261" t="s">
        <v>2008</v>
      </c>
    </row>
    <row r="1262" spans="1:3" x14ac:dyDescent="0.25">
      <c r="A1262">
        <v>2741</v>
      </c>
      <c r="B1262" t="s">
        <v>2009</v>
      </c>
      <c r="C1262" t="s">
        <v>1512</v>
      </c>
    </row>
    <row r="1263" spans="1:3" x14ac:dyDescent="0.25">
      <c r="A1263">
        <v>2742</v>
      </c>
      <c r="B1263" t="s">
        <v>2010</v>
      </c>
      <c r="C1263" t="s">
        <v>2011</v>
      </c>
    </row>
    <row r="1264" spans="1:3" x14ac:dyDescent="0.25">
      <c r="A1264">
        <v>2743</v>
      </c>
      <c r="B1264" t="s">
        <v>2012</v>
      </c>
      <c r="C1264" t="s">
        <v>1514</v>
      </c>
    </row>
    <row r="1265" spans="1:3" x14ac:dyDescent="0.25">
      <c r="A1265">
        <v>2744</v>
      </c>
      <c r="B1265" t="s">
        <v>2013</v>
      </c>
      <c r="C1265" t="s">
        <v>2014</v>
      </c>
    </row>
    <row r="1266" spans="1:3" x14ac:dyDescent="0.25">
      <c r="A1266">
        <v>2745</v>
      </c>
      <c r="B1266" t="s">
        <v>2015</v>
      </c>
      <c r="C1266" t="s">
        <v>1516</v>
      </c>
    </row>
    <row r="1267" spans="1:3" x14ac:dyDescent="0.25">
      <c r="A1267">
        <v>2746</v>
      </c>
      <c r="B1267" t="s">
        <v>2016</v>
      </c>
      <c r="C1267" t="s">
        <v>2017</v>
      </c>
    </row>
    <row r="1268" spans="1:3" x14ac:dyDescent="0.25">
      <c r="A1268">
        <v>2747</v>
      </c>
      <c r="B1268" t="s">
        <v>2018</v>
      </c>
      <c r="C1268" t="s">
        <v>1518</v>
      </c>
    </row>
    <row r="1269" spans="1:3" x14ac:dyDescent="0.25">
      <c r="A1269">
        <v>2748</v>
      </c>
      <c r="B1269" t="s">
        <v>2019</v>
      </c>
      <c r="C1269" t="s">
        <v>2020</v>
      </c>
    </row>
    <row r="1270" spans="1:3" x14ac:dyDescent="0.25">
      <c r="A1270">
        <v>2749</v>
      </c>
      <c r="B1270" t="s">
        <v>2021</v>
      </c>
      <c r="C1270" t="s">
        <v>1520</v>
      </c>
    </row>
    <row r="1271" spans="1:3" x14ac:dyDescent="0.25">
      <c r="A1271">
        <v>2750</v>
      </c>
      <c r="B1271" t="s">
        <v>2022</v>
      </c>
      <c r="C1271" t="s">
        <v>2023</v>
      </c>
    </row>
    <row r="1272" spans="1:3" x14ac:dyDescent="0.25">
      <c r="A1272">
        <v>2751</v>
      </c>
      <c r="B1272" t="s">
        <v>2024</v>
      </c>
      <c r="C1272" t="s">
        <v>1522</v>
      </c>
    </row>
    <row r="1273" spans="1:3" x14ac:dyDescent="0.25">
      <c r="A1273">
        <v>2752</v>
      </c>
      <c r="B1273" t="s">
        <v>2025</v>
      </c>
      <c r="C1273" t="s">
        <v>2026</v>
      </c>
    </row>
    <row r="1274" spans="1:3" x14ac:dyDescent="0.25">
      <c r="A1274">
        <v>2753</v>
      </c>
      <c r="B1274" t="s">
        <v>2027</v>
      </c>
      <c r="C1274" t="s">
        <v>1524</v>
      </c>
    </row>
    <row r="1275" spans="1:3" x14ac:dyDescent="0.25">
      <c r="A1275">
        <v>2754</v>
      </c>
      <c r="B1275" t="s">
        <v>2028</v>
      </c>
      <c r="C1275" t="s">
        <v>2029</v>
      </c>
    </row>
    <row r="1276" spans="1:3" x14ac:dyDescent="0.25">
      <c r="A1276">
        <v>2755</v>
      </c>
      <c r="B1276" t="s">
        <v>2030</v>
      </c>
      <c r="C1276" t="s">
        <v>1526</v>
      </c>
    </row>
    <row r="1277" spans="1:3" x14ac:dyDescent="0.25">
      <c r="A1277">
        <v>2756</v>
      </c>
      <c r="B1277" t="s">
        <v>2031</v>
      </c>
      <c r="C1277" t="s">
        <v>2032</v>
      </c>
    </row>
    <row r="1278" spans="1:3" x14ac:dyDescent="0.25">
      <c r="A1278">
        <v>2757</v>
      </c>
      <c r="B1278" t="s">
        <v>2033</v>
      </c>
      <c r="C1278" t="s">
        <v>1528</v>
      </c>
    </row>
    <row r="1279" spans="1:3" x14ac:dyDescent="0.25">
      <c r="A1279">
        <v>2758</v>
      </c>
      <c r="B1279" t="s">
        <v>2034</v>
      </c>
      <c r="C1279" t="s">
        <v>2035</v>
      </c>
    </row>
    <row r="1280" spans="1:3" x14ac:dyDescent="0.25">
      <c r="A1280">
        <v>2759</v>
      </c>
      <c r="B1280" t="s">
        <v>2036</v>
      </c>
      <c r="C1280" t="s">
        <v>2037</v>
      </c>
    </row>
    <row r="1281" spans="1:3" x14ac:dyDescent="0.25">
      <c r="A1281">
        <v>2760</v>
      </c>
      <c r="B1281" t="s">
        <v>2038</v>
      </c>
      <c r="C1281" t="s">
        <v>2039</v>
      </c>
    </row>
    <row r="1282" spans="1:3" x14ac:dyDescent="0.25">
      <c r="A1282">
        <v>2761</v>
      </c>
      <c r="B1282" t="s">
        <v>2040</v>
      </c>
      <c r="C1282" t="s">
        <v>2041</v>
      </c>
    </row>
    <row r="1283" spans="1:3" x14ac:dyDescent="0.25">
      <c r="A1283">
        <v>2762</v>
      </c>
      <c r="B1283" t="s">
        <v>2042</v>
      </c>
      <c r="C1283" t="s">
        <v>2043</v>
      </c>
    </row>
    <row r="1284" spans="1:3" x14ac:dyDescent="0.25">
      <c r="A1284">
        <v>2763</v>
      </c>
      <c r="B1284" t="s">
        <v>2044</v>
      </c>
      <c r="C1284" t="s">
        <v>2045</v>
      </c>
    </row>
    <row r="1285" spans="1:3" x14ac:dyDescent="0.25">
      <c r="A1285">
        <v>2764</v>
      </c>
      <c r="B1285" t="s">
        <v>2046</v>
      </c>
      <c r="C1285" t="s">
        <v>2047</v>
      </c>
    </row>
    <row r="1286" spans="1:3" x14ac:dyDescent="0.25">
      <c r="A1286">
        <v>2765</v>
      </c>
      <c r="B1286" t="s">
        <v>2048</v>
      </c>
      <c r="C1286" t="s">
        <v>2049</v>
      </c>
    </row>
    <row r="1287" spans="1:3" x14ac:dyDescent="0.25">
      <c r="A1287">
        <v>2766</v>
      </c>
      <c r="B1287" t="s">
        <v>2050</v>
      </c>
      <c r="C1287" t="s">
        <v>2051</v>
      </c>
    </row>
    <row r="1288" spans="1:3" x14ac:dyDescent="0.25">
      <c r="A1288">
        <v>2767</v>
      </c>
      <c r="B1288" t="s">
        <v>2052</v>
      </c>
      <c r="C1288" t="s">
        <v>2053</v>
      </c>
    </row>
    <row r="1289" spans="1:3" x14ac:dyDescent="0.25">
      <c r="A1289">
        <v>2768</v>
      </c>
      <c r="B1289" t="s">
        <v>2054</v>
      </c>
      <c r="C1289" t="s">
        <v>2055</v>
      </c>
    </row>
    <row r="1290" spans="1:3" x14ac:dyDescent="0.25">
      <c r="A1290">
        <v>2769</v>
      </c>
      <c r="B1290" t="s">
        <v>2056</v>
      </c>
      <c r="C1290" t="s">
        <v>2057</v>
      </c>
    </row>
    <row r="1291" spans="1:3" x14ac:dyDescent="0.25">
      <c r="A1291">
        <v>2770</v>
      </c>
      <c r="B1291" t="s">
        <v>2058</v>
      </c>
      <c r="C1291" t="s">
        <v>2059</v>
      </c>
    </row>
    <row r="1292" spans="1:3" x14ac:dyDescent="0.25">
      <c r="A1292">
        <v>2771</v>
      </c>
      <c r="B1292" t="s">
        <v>2060</v>
      </c>
      <c r="C1292" t="s">
        <v>2061</v>
      </c>
    </row>
    <row r="1293" spans="1:3" x14ac:dyDescent="0.25">
      <c r="A1293">
        <v>2772</v>
      </c>
      <c r="B1293" t="s">
        <v>2062</v>
      </c>
      <c r="C1293" t="s">
        <v>2063</v>
      </c>
    </row>
    <row r="1294" spans="1:3" x14ac:dyDescent="0.25">
      <c r="A1294">
        <v>2773</v>
      </c>
      <c r="B1294" t="s">
        <v>2064</v>
      </c>
      <c r="C1294" t="s">
        <v>2065</v>
      </c>
    </row>
    <row r="1295" spans="1:3" x14ac:dyDescent="0.25">
      <c r="A1295">
        <v>2774</v>
      </c>
      <c r="B1295" t="s">
        <v>2066</v>
      </c>
      <c r="C1295" t="s">
        <v>2067</v>
      </c>
    </row>
    <row r="1296" spans="1:3" x14ac:dyDescent="0.25">
      <c r="A1296">
        <v>2775</v>
      </c>
      <c r="B1296" t="s">
        <v>2068</v>
      </c>
      <c r="C1296" t="s">
        <v>2069</v>
      </c>
    </row>
    <row r="1297" spans="1:3" x14ac:dyDescent="0.25">
      <c r="A1297">
        <v>2776</v>
      </c>
      <c r="B1297" t="s">
        <v>2070</v>
      </c>
      <c r="C1297" t="s">
        <v>2071</v>
      </c>
    </row>
    <row r="1298" spans="1:3" x14ac:dyDescent="0.25">
      <c r="A1298">
        <v>2777</v>
      </c>
      <c r="B1298" t="s">
        <v>2072</v>
      </c>
      <c r="C1298" t="s">
        <v>2073</v>
      </c>
    </row>
    <row r="1299" spans="1:3" x14ac:dyDescent="0.25">
      <c r="A1299">
        <v>2778</v>
      </c>
      <c r="B1299" t="s">
        <v>2074</v>
      </c>
      <c r="C1299" t="s">
        <v>2075</v>
      </c>
    </row>
    <row r="1300" spans="1:3" x14ac:dyDescent="0.25">
      <c r="A1300">
        <v>2779</v>
      </c>
      <c r="B1300" t="s">
        <v>2076</v>
      </c>
      <c r="C1300" t="s">
        <v>2077</v>
      </c>
    </row>
    <row r="1301" spans="1:3" x14ac:dyDescent="0.25">
      <c r="A1301">
        <v>2780</v>
      </c>
      <c r="B1301" t="s">
        <v>2078</v>
      </c>
      <c r="C1301" t="s">
        <v>2079</v>
      </c>
    </row>
    <row r="1302" spans="1:3" x14ac:dyDescent="0.25">
      <c r="A1302">
        <v>2781</v>
      </c>
      <c r="B1302" t="s">
        <v>2080</v>
      </c>
      <c r="C1302" t="s">
        <v>2081</v>
      </c>
    </row>
    <row r="1303" spans="1:3" x14ac:dyDescent="0.25">
      <c r="A1303">
        <v>2782</v>
      </c>
      <c r="B1303" t="s">
        <v>2082</v>
      </c>
      <c r="C1303" t="s">
        <v>2083</v>
      </c>
    </row>
    <row r="1304" spans="1:3" x14ac:dyDescent="0.25">
      <c r="A1304">
        <v>2783</v>
      </c>
      <c r="B1304" t="s">
        <v>2084</v>
      </c>
      <c r="C1304" t="s">
        <v>2085</v>
      </c>
    </row>
    <row r="1305" spans="1:3" x14ac:dyDescent="0.25">
      <c r="A1305">
        <v>2784</v>
      </c>
      <c r="B1305" t="s">
        <v>2086</v>
      </c>
      <c r="C1305" t="s">
        <v>2087</v>
      </c>
    </row>
    <row r="1306" spans="1:3" x14ac:dyDescent="0.25">
      <c r="A1306">
        <v>2785</v>
      </c>
      <c r="B1306" t="s">
        <v>2088</v>
      </c>
      <c r="C1306" t="s">
        <v>2089</v>
      </c>
    </row>
    <row r="1307" spans="1:3" x14ac:dyDescent="0.25">
      <c r="A1307">
        <v>2786</v>
      </c>
      <c r="B1307" t="s">
        <v>2090</v>
      </c>
      <c r="C1307" t="s">
        <v>2091</v>
      </c>
    </row>
    <row r="1308" spans="1:3" x14ac:dyDescent="0.25">
      <c r="A1308">
        <v>2787</v>
      </c>
      <c r="B1308" t="s">
        <v>2092</v>
      </c>
      <c r="C1308" t="s">
        <v>2093</v>
      </c>
    </row>
    <row r="1309" spans="1:3" x14ac:dyDescent="0.25">
      <c r="A1309">
        <v>2788</v>
      </c>
      <c r="B1309" t="s">
        <v>2094</v>
      </c>
      <c r="C1309" t="s">
        <v>2095</v>
      </c>
    </row>
    <row r="1310" spans="1:3" x14ac:dyDescent="0.25">
      <c r="A1310">
        <v>2789</v>
      </c>
      <c r="B1310" t="s">
        <v>2096</v>
      </c>
      <c r="C1310" t="s">
        <v>2097</v>
      </c>
    </row>
    <row r="1311" spans="1:3" x14ac:dyDescent="0.25">
      <c r="A1311">
        <v>2790</v>
      </c>
      <c r="B1311" t="s">
        <v>2098</v>
      </c>
      <c r="C1311" t="s">
        <v>2099</v>
      </c>
    </row>
    <row r="1312" spans="1:3" x14ac:dyDescent="0.25">
      <c r="A1312">
        <v>2791</v>
      </c>
      <c r="B1312" t="s">
        <v>2100</v>
      </c>
      <c r="C1312" t="s">
        <v>2101</v>
      </c>
    </row>
    <row r="1313" spans="1:3" x14ac:dyDescent="0.25">
      <c r="A1313">
        <v>2792</v>
      </c>
      <c r="B1313" t="s">
        <v>2102</v>
      </c>
      <c r="C1313" t="s">
        <v>2103</v>
      </c>
    </row>
    <row r="1314" spans="1:3" x14ac:dyDescent="0.25">
      <c r="A1314">
        <v>2793</v>
      </c>
      <c r="B1314" t="s">
        <v>2104</v>
      </c>
      <c r="C1314" t="s">
        <v>2105</v>
      </c>
    </row>
    <row r="1315" spans="1:3" x14ac:dyDescent="0.25">
      <c r="A1315">
        <v>2794</v>
      </c>
      <c r="B1315" t="s">
        <v>2106</v>
      </c>
      <c r="C1315" t="s">
        <v>2107</v>
      </c>
    </row>
    <row r="1316" spans="1:3" x14ac:dyDescent="0.25">
      <c r="A1316">
        <v>2795</v>
      </c>
      <c r="B1316" t="s">
        <v>2108</v>
      </c>
      <c r="C1316" t="s">
        <v>2109</v>
      </c>
    </row>
    <row r="1317" spans="1:3" x14ac:dyDescent="0.25">
      <c r="A1317">
        <v>2796</v>
      </c>
      <c r="B1317" t="s">
        <v>2110</v>
      </c>
      <c r="C1317" t="s">
        <v>2111</v>
      </c>
    </row>
    <row r="1318" spans="1:3" x14ac:dyDescent="0.25">
      <c r="A1318">
        <v>2797</v>
      </c>
      <c r="B1318" t="s">
        <v>2112</v>
      </c>
      <c r="C1318" t="s">
        <v>2113</v>
      </c>
    </row>
    <row r="1319" spans="1:3" x14ac:dyDescent="0.25">
      <c r="A1319">
        <v>2798</v>
      </c>
      <c r="B1319" t="s">
        <v>2114</v>
      </c>
      <c r="C1319" t="s">
        <v>2115</v>
      </c>
    </row>
    <row r="1320" spans="1:3" x14ac:dyDescent="0.25">
      <c r="A1320">
        <v>2799</v>
      </c>
      <c r="B1320" t="s">
        <v>2116</v>
      </c>
      <c r="C1320" t="s">
        <v>2117</v>
      </c>
    </row>
    <row r="1321" spans="1:3" x14ac:dyDescent="0.25">
      <c r="A1321">
        <v>4358</v>
      </c>
      <c r="B1321" t="s">
        <v>2118</v>
      </c>
      <c r="C1321" t="e">
        <f>+proj=geocent +ellps=WGQ84 +units=m +no_defs</f>
        <v>#NAME?</v>
      </c>
    </row>
    <row r="1322" spans="1:3" x14ac:dyDescent="0.25">
      <c r="A1322">
        <v>2800</v>
      </c>
      <c r="B1322" t="s">
        <v>2119</v>
      </c>
      <c r="C1322" t="s">
        <v>2120</v>
      </c>
    </row>
    <row r="1323" spans="1:3" x14ac:dyDescent="0.25">
      <c r="A1323">
        <v>2801</v>
      </c>
      <c r="B1323" t="s">
        <v>2121</v>
      </c>
      <c r="C1323" t="s">
        <v>2122</v>
      </c>
    </row>
    <row r="1324" spans="1:3" x14ac:dyDescent="0.25">
      <c r="A1324">
        <v>2802</v>
      </c>
      <c r="B1324" t="s">
        <v>2123</v>
      </c>
      <c r="C1324" t="s">
        <v>2124</v>
      </c>
    </row>
    <row r="1325" spans="1:3" x14ac:dyDescent="0.25">
      <c r="A1325">
        <v>2803</v>
      </c>
      <c r="B1325" t="s">
        <v>2125</v>
      </c>
      <c r="C1325" t="s">
        <v>2126</v>
      </c>
    </row>
    <row r="1326" spans="1:3" x14ac:dyDescent="0.25">
      <c r="A1326">
        <v>2804</v>
      </c>
      <c r="B1326" t="s">
        <v>2127</v>
      </c>
      <c r="C1326" t="s">
        <v>2128</v>
      </c>
    </row>
    <row r="1327" spans="1:3" x14ac:dyDescent="0.25">
      <c r="A1327">
        <v>2805</v>
      </c>
      <c r="B1327" t="s">
        <v>2129</v>
      </c>
      <c r="C1327" t="s">
        <v>2130</v>
      </c>
    </row>
    <row r="1328" spans="1:3" x14ac:dyDescent="0.25">
      <c r="A1328">
        <v>2806</v>
      </c>
      <c r="B1328" t="s">
        <v>2131</v>
      </c>
      <c r="C1328" t="s">
        <v>2132</v>
      </c>
    </row>
    <row r="1329" spans="1:3" x14ac:dyDescent="0.25">
      <c r="A1329">
        <v>2807</v>
      </c>
      <c r="B1329" t="s">
        <v>2133</v>
      </c>
      <c r="C1329" t="s">
        <v>2134</v>
      </c>
    </row>
    <row r="1330" spans="1:3" x14ac:dyDescent="0.25">
      <c r="A1330">
        <v>3050</v>
      </c>
      <c r="B1330" t="s">
        <v>2135</v>
      </c>
      <c r="C1330" t="s">
        <v>2136</v>
      </c>
    </row>
    <row r="1331" spans="1:3" x14ac:dyDescent="0.25">
      <c r="A1331">
        <v>2808</v>
      </c>
      <c r="B1331" t="s">
        <v>2137</v>
      </c>
      <c r="C1331" t="s">
        <v>2138</v>
      </c>
    </row>
    <row r="1332" spans="1:3" x14ac:dyDescent="0.25">
      <c r="A1332">
        <v>2809</v>
      </c>
      <c r="B1332" t="s">
        <v>2139</v>
      </c>
      <c r="C1332" t="s">
        <v>2140</v>
      </c>
    </row>
    <row r="1333" spans="1:3" x14ac:dyDescent="0.25">
      <c r="A1333">
        <v>2810</v>
      </c>
      <c r="B1333" t="s">
        <v>2141</v>
      </c>
      <c r="C1333" t="s">
        <v>2142</v>
      </c>
    </row>
    <row r="1334" spans="1:3" x14ac:dyDescent="0.25">
      <c r="A1334">
        <v>2811</v>
      </c>
      <c r="B1334" t="s">
        <v>2143</v>
      </c>
      <c r="C1334" t="s">
        <v>2144</v>
      </c>
    </row>
    <row r="1335" spans="1:3" x14ac:dyDescent="0.25">
      <c r="A1335">
        <v>2812</v>
      </c>
      <c r="B1335" t="s">
        <v>2145</v>
      </c>
      <c r="C1335" t="s">
        <v>2146</v>
      </c>
    </row>
    <row r="1336" spans="1:3" x14ac:dyDescent="0.25">
      <c r="A1336">
        <v>2813</v>
      </c>
      <c r="B1336" t="s">
        <v>2147</v>
      </c>
      <c r="C1336" t="s">
        <v>2148</v>
      </c>
    </row>
    <row r="1337" spans="1:3" x14ac:dyDescent="0.25">
      <c r="A1337">
        <v>2814</v>
      </c>
      <c r="B1337" t="s">
        <v>2149</v>
      </c>
      <c r="C1337" t="s">
        <v>2150</v>
      </c>
    </row>
    <row r="1338" spans="1:3" x14ac:dyDescent="0.25">
      <c r="A1338">
        <v>2815</v>
      </c>
      <c r="B1338" t="s">
        <v>2151</v>
      </c>
      <c r="C1338" t="s">
        <v>2152</v>
      </c>
    </row>
    <row r="1339" spans="1:3" x14ac:dyDescent="0.25">
      <c r="A1339">
        <v>2960</v>
      </c>
      <c r="B1339" t="s">
        <v>2153</v>
      </c>
      <c r="C1339" t="s">
        <v>827</v>
      </c>
    </row>
    <row r="1340" spans="1:3" x14ac:dyDescent="0.25">
      <c r="A1340">
        <v>2816</v>
      </c>
      <c r="B1340" t="s">
        <v>2154</v>
      </c>
      <c r="C1340" t="s">
        <v>2155</v>
      </c>
    </row>
    <row r="1341" spans="1:3" x14ac:dyDescent="0.25">
      <c r="A1341">
        <v>2817</v>
      </c>
      <c r="B1341" t="s">
        <v>2156</v>
      </c>
      <c r="C1341" t="s">
        <v>2157</v>
      </c>
    </row>
    <row r="1342" spans="1:3" x14ac:dyDescent="0.25">
      <c r="A1342">
        <v>2818</v>
      </c>
      <c r="B1342" t="s">
        <v>2158</v>
      </c>
      <c r="C1342" t="s">
        <v>2159</v>
      </c>
    </row>
    <row r="1343" spans="1:3" x14ac:dyDescent="0.25">
      <c r="A1343">
        <v>2819</v>
      </c>
      <c r="B1343" t="s">
        <v>2160</v>
      </c>
      <c r="C1343" t="s">
        <v>2161</v>
      </c>
    </row>
    <row r="1344" spans="1:3" x14ac:dyDescent="0.25">
      <c r="A1344">
        <v>2820</v>
      </c>
      <c r="B1344" t="s">
        <v>2162</v>
      </c>
      <c r="C1344" t="s">
        <v>2163</v>
      </c>
    </row>
    <row r="1345" spans="1:3" x14ac:dyDescent="0.25">
      <c r="A1345">
        <v>2821</v>
      </c>
      <c r="B1345" t="s">
        <v>2164</v>
      </c>
      <c r="C1345" t="s">
        <v>2165</v>
      </c>
    </row>
    <row r="1346" spans="1:3" x14ac:dyDescent="0.25">
      <c r="A1346">
        <v>2822</v>
      </c>
      <c r="B1346" t="s">
        <v>2166</v>
      </c>
      <c r="C1346" t="s">
        <v>2167</v>
      </c>
    </row>
    <row r="1347" spans="1:3" x14ac:dyDescent="0.25">
      <c r="A1347">
        <v>2823</v>
      </c>
      <c r="B1347" t="s">
        <v>2168</v>
      </c>
      <c r="C1347" t="s">
        <v>2169</v>
      </c>
    </row>
    <row r="1348" spans="1:3" x14ac:dyDescent="0.25">
      <c r="A1348">
        <v>2824</v>
      </c>
      <c r="B1348" t="s">
        <v>2170</v>
      </c>
      <c r="C1348" t="s">
        <v>2171</v>
      </c>
    </row>
    <row r="1349" spans="1:3" x14ac:dyDescent="0.25">
      <c r="A1349">
        <v>2825</v>
      </c>
      <c r="B1349" t="s">
        <v>2172</v>
      </c>
      <c r="C1349" t="s">
        <v>2173</v>
      </c>
    </row>
    <row r="1350" spans="1:3" x14ac:dyDescent="0.25">
      <c r="A1350">
        <v>2826</v>
      </c>
      <c r="B1350" t="s">
        <v>2174</v>
      </c>
      <c r="C1350" t="s">
        <v>2175</v>
      </c>
    </row>
    <row r="1351" spans="1:3" x14ac:dyDescent="0.25">
      <c r="A1351">
        <v>2827</v>
      </c>
      <c r="B1351" t="s">
        <v>2176</v>
      </c>
      <c r="C1351" t="s">
        <v>2177</v>
      </c>
    </row>
    <row r="1352" spans="1:3" x14ac:dyDescent="0.25">
      <c r="A1352">
        <v>2828</v>
      </c>
      <c r="B1352" t="s">
        <v>2178</v>
      </c>
      <c r="C1352" t="s">
        <v>2171</v>
      </c>
    </row>
    <row r="1353" spans="1:3" x14ac:dyDescent="0.25">
      <c r="A1353">
        <v>2829</v>
      </c>
      <c r="B1353" t="s">
        <v>2179</v>
      </c>
      <c r="C1353" t="s">
        <v>2180</v>
      </c>
    </row>
    <row r="1354" spans="1:3" x14ac:dyDescent="0.25">
      <c r="A1354">
        <v>2830</v>
      </c>
      <c r="B1354" t="s">
        <v>2181</v>
      </c>
      <c r="C1354" t="s">
        <v>2182</v>
      </c>
    </row>
    <row r="1355" spans="1:3" x14ac:dyDescent="0.25">
      <c r="A1355">
        <v>2831</v>
      </c>
      <c r="B1355" t="s">
        <v>2183</v>
      </c>
      <c r="C1355" t="s">
        <v>2184</v>
      </c>
    </row>
    <row r="1356" spans="1:3" x14ac:dyDescent="0.25">
      <c r="A1356">
        <v>2832</v>
      </c>
      <c r="B1356" t="s">
        <v>2185</v>
      </c>
      <c r="C1356" t="s">
        <v>2186</v>
      </c>
    </row>
    <row r="1357" spans="1:3" x14ac:dyDescent="0.25">
      <c r="A1357">
        <v>2833</v>
      </c>
      <c r="B1357" t="s">
        <v>2187</v>
      </c>
      <c r="C1357" t="s">
        <v>2188</v>
      </c>
    </row>
    <row r="1358" spans="1:3" x14ac:dyDescent="0.25">
      <c r="A1358">
        <v>2834</v>
      </c>
      <c r="B1358" t="s">
        <v>2189</v>
      </c>
      <c r="C1358" t="s">
        <v>2190</v>
      </c>
    </row>
    <row r="1359" spans="1:3" x14ac:dyDescent="0.25">
      <c r="A1359">
        <v>2835</v>
      </c>
      <c r="B1359" t="s">
        <v>2191</v>
      </c>
      <c r="C1359" t="s">
        <v>2192</v>
      </c>
    </row>
    <row r="1360" spans="1:3" x14ac:dyDescent="0.25">
      <c r="A1360">
        <v>2836</v>
      </c>
      <c r="B1360" t="s">
        <v>2193</v>
      </c>
      <c r="C1360" t="s">
        <v>2194</v>
      </c>
    </row>
    <row r="1361" spans="1:3" x14ac:dyDescent="0.25">
      <c r="A1361">
        <v>2837</v>
      </c>
      <c r="B1361" t="s">
        <v>2195</v>
      </c>
      <c r="C1361" t="s">
        <v>2196</v>
      </c>
    </row>
    <row r="1362" spans="1:3" x14ac:dyDescent="0.25">
      <c r="A1362">
        <v>2838</v>
      </c>
      <c r="B1362" t="s">
        <v>2197</v>
      </c>
      <c r="C1362" t="s">
        <v>2198</v>
      </c>
    </row>
    <row r="1363" spans="1:3" x14ac:dyDescent="0.25">
      <c r="A1363">
        <v>2839</v>
      </c>
      <c r="B1363" t="s">
        <v>2199</v>
      </c>
      <c r="C1363" t="s">
        <v>2200</v>
      </c>
    </row>
    <row r="1364" spans="1:3" x14ac:dyDescent="0.25">
      <c r="A1364">
        <v>2840</v>
      </c>
      <c r="B1364" t="s">
        <v>2201</v>
      </c>
      <c r="C1364" t="s">
        <v>2202</v>
      </c>
    </row>
    <row r="1365" spans="1:3" x14ac:dyDescent="0.25">
      <c r="A1365">
        <v>2841</v>
      </c>
      <c r="B1365" t="s">
        <v>2203</v>
      </c>
      <c r="C1365" t="s">
        <v>2204</v>
      </c>
    </row>
    <row r="1366" spans="1:3" x14ac:dyDescent="0.25">
      <c r="A1366">
        <v>4360</v>
      </c>
      <c r="B1366" t="s">
        <v>2205</v>
      </c>
      <c r="C1366" t="e">
        <f>+proj=geocent +ellps=GRQ80 +units=m +no_defs</f>
        <v>#NAME?</v>
      </c>
    </row>
    <row r="1367" spans="1:3" x14ac:dyDescent="0.25">
      <c r="A1367">
        <v>2842</v>
      </c>
      <c r="B1367" t="s">
        <v>2206</v>
      </c>
      <c r="C1367" t="s">
        <v>2207</v>
      </c>
    </row>
    <row r="1368" spans="1:3" x14ac:dyDescent="0.25">
      <c r="A1368">
        <v>2843</v>
      </c>
      <c r="B1368" t="s">
        <v>2208</v>
      </c>
      <c r="C1368" t="s">
        <v>2209</v>
      </c>
    </row>
    <row r="1369" spans="1:3" x14ac:dyDescent="0.25">
      <c r="A1369">
        <v>2844</v>
      </c>
      <c r="B1369" t="s">
        <v>2210</v>
      </c>
      <c r="C1369" t="s">
        <v>2211</v>
      </c>
    </row>
    <row r="1370" spans="1:3" x14ac:dyDescent="0.25">
      <c r="A1370">
        <v>2845</v>
      </c>
      <c r="B1370" t="s">
        <v>2212</v>
      </c>
      <c r="C1370" t="s">
        <v>2213</v>
      </c>
    </row>
    <row r="1371" spans="1:3" x14ac:dyDescent="0.25">
      <c r="A1371">
        <v>2846</v>
      </c>
      <c r="B1371" t="s">
        <v>2214</v>
      </c>
      <c r="C1371" t="s">
        <v>2215</v>
      </c>
    </row>
    <row r="1372" spans="1:3" x14ac:dyDescent="0.25">
      <c r="A1372">
        <v>2847</v>
      </c>
      <c r="B1372" t="s">
        <v>2216</v>
      </c>
      <c r="C1372" t="s">
        <v>2217</v>
      </c>
    </row>
    <row r="1373" spans="1:3" x14ac:dyDescent="0.25">
      <c r="A1373">
        <v>2848</v>
      </c>
      <c r="B1373" t="s">
        <v>2218</v>
      </c>
      <c r="C1373" t="s">
        <v>2219</v>
      </c>
    </row>
    <row r="1374" spans="1:3" x14ac:dyDescent="0.25">
      <c r="A1374">
        <v>2849</v>
      </c>
      <c r="B1374" t="s">
        <v>2220</v>
      </c>
      <c r="C1374" t="s">
        <v>2221</v>
      </c>
    </row>
    <row r="1375" spans="1:3" x14ac:dyDescent="0.25">
      <c r="A1375">
        <v>2850</v>
      </c>
      <c r="B1375" t="s">
        <v>2222</v>
      </c>
      <c r="C1375" t="s">
        <v>2223</v>
      </c>
    </row>
    <row r="1376" spans="1:3" x14ac:dyDescent="0.25">
      <c r="A1376">
        <v>2851</v>
      </c>
      <c r="B1376" t="s">
        <v>2224</v>
      </c>
      <c r="C1376" t="s">
        <v>2225</v>
      </c>
    </row>
    <row r="1377" spans="1:3" x14ac:dyDescent="0.25">
      <c r="A1377">
        <v>2852</v>
      </c>
      <c r="B1377" t="s">
        <v>2226</v>
      </c>
      <c r="C1377" t="s">
        <v>2227</v>
      </c>
    </row>
    <row r="1378" spans="1:3" x14ac:dyDescent="0.25">
      <c r="A1378">
        <v>2853</v>
      </c>
      <c r="B1378" t="s">
        <v>2228</v>
      </c>
      <c r="C1378" t="s">
        <v>2229</v>
      </c>
    </row>
    <row r="1379" spans="1:3" x14ac:dyDescent="0.25">
      <c r="A1379">
        <v>2854</v>
      </c>
      <c r="B1379" t="s">
        <v>2230</v>
      </c>
      <c r="C1379" t="s">
        <v>2231</v>
      </c>
    </row>
    <row r="1380" spans="1:3" x14ac:dyDescent="0.25">
      <c r="A1380">
        <v>2855</v>
      </c>
      <c r="B1380" t="s">
        <v>2232</v>
      </c>
      <c r="C1380" t="s">
        <v>2233</v>
      </c>
    </row>
    <row r="1381" spans="1:3" x14ac:dyDescent="0.25">
      <c r="A1381">
        <v>2856</v>
      </c>
      <c r="B1381" t="s">
        <v>2234</v>
      </c>
      <c r="C1381" t="s">
        <v>2235</v>
      </c>
    </row>
    <row r="1382" spans="1:3" x14ac:dyDescent="0.25">
      <c r="A1382">
        <v>2857</v>
      </c>
      <c r="B1382" t="s">
        <v>2236</v>
      </c>
      <c r="C1382" t="s">
        <v>2237</v>
      </c>
    </row>
    <row r="1383" spans="1:3" x14ac:dyDescent="0.25">
      <c r="A1383">
        <v>4362</v>
      </c>
      <c r="B1383" t="s">
        <v>2238</v>
      </c>
      <c r="C1383" t="e">
        <f>+proj=geocent +ellps=GRQ80 +units=m +no_defs</f>
        <v>#NAME?</v>
      </c>
    </row>
    <row r="1384" spans="1:3" x14ac:dyDescent="0.25">
      <c r="A1384">
        <v>2858</v>
      </c>
      <c r="B1384" t="s">
        <v>2239</v>
      </c>
      <c r="C1384" t="s">
        <v>2240</v>
      </c>
    </row>
    <row r="1385" spans="1:3" x14ac:dyDescent="0.25">
      <c r="A1385">
        <v>2859</v>
      </c>
      <c r="B1385" t="s">
        <v>2241</v>
      </c>
      <c r="C1385" t="s">
        <v>2242</v>
      </c>
    </row>
    <row r="1386" spans="1:3" x14ac:dyDescent="0.25">
      <c r="A1386">
        <v>2860</v>
      </c>
      <c r="B1386" t="s">
        <v>2243</v>
      </c>
      <c r="C1386" t="s">
        <v>2244</v>
      </c>
    </row>
    <row r="1387" spans="1:3" x14ac:dyDescent="0.25">
      <c r="A1387">
        <v>2861</v>
      </c>
      <c r="B1387" t="s">
        <v>2245</v>
      </c>
      <c r="C1387" t="s">
        <v>2246</v>
      </c>
    </row>
    <row r="1388" spans="1:3" x14ac:dyDescent="0.25">
      <c r="A1388">
        <v>2862</v>
      </c>
      <c r="B1388" t="s">
        <v>2247</v>
      </c>
      <c r="C1388" t="s">
        <v>2248</v>
      </c>
    </row>
    <row r="1389" spans="1:3" x14ac:dyDescent="0.25">
      <c r="A1389">
        <v>2863</v>
      </c>
      <c r="B1389" t="s">
        <v>2249</v>
      </c>
      <c r="C1389" t="s">
        <v>2250</v>
      </c>
    </row>
    <row r="1390" spans="1:3" x14ac:dyDescent="0.25">
      <c r="A1390">
        <v>2864</v>
      </c>
      <c r="B1390" t="s">
        <v>2251</v>
      </c>
      <c r="C1390" t="s">
        <v>2252</v>
      </c>
    </row>
    <row r="1391" spans="1:3" x14ac:dyDescent="0.25">
      <c r="A1391">
        <v>2865</v>
      </c>
      <c r="B1391" t="s">
        <v>2253</v>
      </c>
      <c r="C1391" t="s">
        <v>2254</v>
      </c>
    </row>
    <row r="1392" spans="1:3" x14ac:dyDescent="0.25">
      <c r="A1392">
        <v>2939</v>
      </c>
      <c r="B1392" t="s">
        <v>2255</v>
      </c>
      <c r="C1392" t="s">
        <v>2256</v>
      </c>
    </row>
    <row r="1393" spans="1:3" x14ac:dyDescent="0.25">
      <c r="A1393">
        <v>2866</v>
      </c>
      <c r="B1393" t="s">
        <v>2257</v>
      </c>
      <c r="C1393" t="s">
        <v>2258</v>
      </c>
    </row>
    <row r="1394" spans="1:3" x14ac:dyDescent="0.25">
      <c r="A1394">
        <v>2867</v>
      </c>
      <c r="B1394" t="s">
        <v>2259</v>
      </c>
      <c r="C1394" t="s">
        <v>2260</v>
      </c>
    </row>
    <row r="1395" spans="1:3" x14ac:dyDescent="0.25">
      <c r="A1395">
        <v>2868</v>
      </c>
      <c r="B1395" t="s">
        <v>2261</v>
      </c>
      <c r="C1395" t="s">
        <v>2262</v>
      </c>
    </row>
    <row r="1396" spans="1:3" x14ac:dyDescent="0.25">
      <c r="A1396">
        <v>2869</v>
      </c>
      <c r="B1396" t="s">
        <v>2263</v>
      </c>
      <c r="C1396" t="s">
        <v>2264</v>
      </c>
    </row>
    <row r="1397" spans="1:3" x14ac:dyDescent="0.25">
      <c r="A1397">
        <v>2870</v>
      </c>
      <c r="B1397" t="s">
        <v>2265</v>
      </c>
      <c r="C1397" t="s">
        <v>2266</v>
      </c>
    </row>
    <row r="1398" spans="1:3" x14ac:dyDescent="0.25">
      <c r="A1398">
        <v>2871</v>
      </c>
      <c r="B1398" t="s">
        <v>2267</v>
      </c>
      <c r="C1398" t="s">
        <v>2268</v>
      </c>
    </row>
    <row r="1399" spans="1:3" x14ac:dyDescent="0.25">
      <c r="A1399">
        <v>2872</v>
      </c>
      <c r="B1399" t="s">
        <v>2269</v>
      </c>
      <c r="C1399" t="s">
        <v>2270</v>
      </c>
    </row>
    <row r="1400" spans="1:3" x14ac:dyDescent="0.25">
      <c r="A1400">
        <v>2873</v>
      </c>
      <c r="B1400" t="s">
        <v>2271</v>
      </c>
      <c r="C1400" t="s">
        <v>2272</v>
      </c>
    </row>
    <row r="1401" spans="1:3" x14ac:dyDescent="0.25">
      <c r="A1401">
        <v>4364</v>
      </c>
      <c r="B1401" t="s">
        <v>2273</v>
      </c>
      <c r="C1401" t="e">
        <f>+proj=geocent +ellps=GRQ80 +units=m +no_defs</f>
        <v>#NAME?</v>
      </c>
    </row>
    <row r="1402" spans="1:3" x14ac:dyDescent="0.25">
      <c r="A1402">
        <v>2874</v>
      </c>
      <c r="B1402" t="s">
        <v>2274</v>
      </c>
      <c r="C1402" t="s">
        <v>2275</v>
      </c>
    </row>
    <row r="1403" spans="1:3" x14ac:dyDescent="0.25">
      <c r="A1403">
        <v>2875</v>
      </c>
      <c r="B1403" t="s">
        <v>2276</v>
      </c>
      <c r="C1403" t="s">
        <v>2277</v>
      </c>
    </row>
    <row r="1404" spans="1:3" x14ac:dyDescent="0.25">
      <c r="A1404">
        <v>2876</v>
      </c>
      <c r="B1404" t="s">
        <v>2278</v>
      </c>
      <c r="C1404" t="s">
        <v>2279</v>
      </c>
    </row>
    <row r="1405" spans="1:3" x14ac:dyDescent="0.25">
      <c r="A1405">
        <v>2877</v>
      </c>
      <c r="B1405" t="s">
        <v>2280</v>
      </c>
      <c r="C1405" t="s">
        <v>2281</v>
      </c>
    </row>
    <row r="1406" spans="1:3" x14ac:dyDescent="0.25">
      <c r="A1406">
        <v>2878</v>
      </c>
      <c r="B1406" t="s">
        <v>2282</v>
      </c>
      <c r="C1406" t="s">
        <v>2283</v>
      </c>
    </row>
    <row r="1407" spans="1:3" x14ac:dyDescent="0.25">
      <c r="A1407">
        <v>2879</v>
      </c>
      <c r="B1407" t="s">
        <v>2284</v>
      </c>
      <c r="C1407" t="s">
        <v>2285</v>
      </c>
    </row>
    <row r="1408" spans="1:3" x14ac:dyDescent="0.25">
      <c r="A1408">
        <v>2880</v>
      </c>
      <c r="B1408" t="s">
        <v>2286</v>
      </c>
      <c r="C1408" t="s">
        <v>2287</v>
      </c>
    </row>
    <row r="1409" spans="1:3" x14ac:dyDescent="0.25">
      <c r="A1409">
        <v>2881</v>
      </c>
      <c r="B1409" t="s">
        <v>2288</v>
      </c>
      <c r="C1409" t="s">
        <v>2289</v>
      </c>
    </row>
    <row r="1410" spans="1:3" x14ac:dyDescent="0.25">
      <c r="A1410">
        <v>2882</v>
      </c>
      <c r="B1410" t="s">
        <v>2290</v>
      </c>
      <c r="C1410" t="s">
        <v>2291</v>
      </c>
    </row>
    <row r="1411" spans="1:3" x14ac:dyDescent="0.25">
      <c r="A1411">
        <v>2883</v>
      </c>
      <c r="B1411" t="s">
        <v>2292</v>
      </c>
      <c r="C1411" t="s">
        <v>2293</v>
      </c>
    </row>
    <row r="1412" spans="1:3" x14ac:dyDescent="0.25">
      <c r="A1412">
        <v>2884</v>
      </c>
      <c r="B1412" t="s">
        <v>2294</v>
      </c>
      <c r="C1412" t="s">
        <v>2295</v>
      </c>
    </row>
    <row r="1413" spans="1:3" x14ac:dyDescent="0.25">
      <c r="A1413">
        <v>2885</v>
      </c>
      <c r="B1413" t="s">
        <v>2296</v>
      </c>
      <c r="C1413" t="s">
        <v>2297</v>
      </c>
    </row>
    <row r="1414" spans="1:3" x14ac:dyDescent="0.25">
      <c r="A1414">
        <v>2886</v>
      </c>
      <c r="B1414" t="s">
        <v>2298</v>
      </c>
      <c r="C1414" t="s">
        <v>2299</v>
      </c>
    </row>
    <row r="1415" spans="1:3" x14ac:dyDescent="0.25">
      <c r="A1415">
        <v>2887</v>
      </c>
      <c r="B1415" t="s">
        <v>2300</v>
      </c>
      <c r="C1415" t="s">
        <v>2301</v>
      </c>
    </row>
    <row r="1416" spans="1:3" x14ac:dyDescent="0.25">
      <c r="A1416">
        <v>2888</v>
      </c>
      <c r="B1416" t="s">
        <v>2302</v>
      </c>
      <c r="C1416" t="s">
        <v>2303</v>
      </c>
    </row>
    <row r="1417" spans="1:3" x14ac:dyDescent="0.25">
      <c r="A1417">
        <v>2889</v>
      </c>
      <c r="B1417" t="s">
        <v>2304</v>
      </c>
      <c r="C1417" t="s">
        <v>2305</v>
      </c>
    </row>
    <row r="1418" spans="1:3" x14ac:dyDescent="0.25">
      <c r="A1418">
        <v>3573</v>
      </c>
      <c r="B1418" t="s">
        <v>2306</v>
      </c>
      <c r="C1418" t="e">
        <f>+proj=laea +lat_0=90 +lon_0=-100 +x_0=0 +y_0=0 +datum=WGQ84 +units=m +no_defs</f>
        <v>#NAME?</v>
      </c>
    </row>
    <row r="1419" spans="1:3" x14ac:dyDescent="0.25">
      <c r="A1419">
        <v>2890</v>
      </c>
      <c r="B1419" t="s">
        <v>2307</v>
      </c>
      <c r="C1419" t="s">
        <v>2308</v>
      </c>
    </row>
    <row r="1420" spans="1:3" x14ac:dyDescent="0.25">
      <c r="A1420">
        <v>2891</v>
      </c>
      <c r="B1420" t="s">
        <v>2309</v>
      </c>
      <c r="C1420" t="s">
        <v>2310</v>
      </c>
    </row>
    <row r="1421" spans="1:3" x14ac:dyDescent="0.25">
      <c r="A1421">
        <v>2892</v>
      </c>
      <c r="B1421" t="s">
        <v>2311</v>
      </c>
      <c r="C1421" t="s">
        <v>2312</v>
      </c>
    </row>
    <row r="1422" spans="1:3" x14ac:dyDescent="0.25">
      <c r="A1422">
        <v>2893</v>
      </c>
      <c r="B1422" t="s">
        <v>2313</v>
      </c>
      <c r="C1422" t="s">
        <v>2314</v>
      </c>
    </row>
    <row r="1423" spans="1:3" x14ac:dyDescent="0.25">
      <c r="A1423">
        <v>2894</v>
      </c>
      <c r="B1423" t="s">
        <v>2315</v>
      </c>
      <c r="C1423" t="s">
        <v>2316</v>
      </c>
    </row>
    <row r="1424" spans="1:3" x14ac:dyDescent="0.25">
      <c r="A1424">
        <v>2895</v>
      </c>
      <c r="B1424" t="s">
        <v>2317</v>
      </c>
      <c r="C1424" t="s">
        <v>2318</v>
      </c>
    </row>
    <row r="1425" spans="1:3" x14ac:dyDescent="0.25">
      <c r="A1425">
        <v>2896</v>
      </c>
      <c r="B1425" t="s">
        <v>2319</v>
      </c>
      <c r="C1425" t="s">
        <v>2320</v>
      </c>
    </row>
    <row r="1426" spans="1:3" x14ac:dyDescent="0.25">
      <c r="A1426">
        <v>2897</v>
      </c>
      <c r="B1426" t="s">
        <v>2321</v>
      </c>
      <c r="C1426" t="s">
        <v>2322</v>
      </c>
    </row>
    <row r="1427" spans="1:3" x14ac:dyDescent="0.25">
      <c r="A1427">
        <v>2898</v>
      </c>
      <c r="B1427" t="s">
        <v>2323</v>
      </c>
      <c r="C1427" t="s">
        <v>2324</v>
      </c>
    </row>
    <row r="1428" spans="1:3" x14ac:dyDescent="0.25">
      <c r="A1428">
        <v>2899</v>
      </c>
      <c r="B1428" t="s">
        <v>2325</v>
      </c>
      <c r="C1428" t="s">
        <v>2326</v>
      </c>
    </row>
    <row r="1429" spans="1:3" x14ac:dyDescent="0.25">
      <c r="A1429">
        <v>2900</v>
      </c>
      <c r="B1429" t="s">
        <v>2327</v>
      </c>
      <c r="C1429" t="s">
        <v>2328</v>
      </c>
    </row>
    <row r="1430" spans="1:3" x14ac:dyDescent="0.25">
      <c r="A1430">
        <v>2901</v>
      </c>
      <c r="B1430" t="s">
        <v>2329</v>
      </c>
      <c r="C1430" t="s">
        <v>2330</v>
      </c>
    </row>
    <row r="1431" spans="1:3" x14ac:dyDescent="0.25">
      <c r="A1431">
        <v>2902</v>
      </c>
      <c r="B1431" t="s">
        <v>2331</v>
      </c>
      <c r="C1431" t="s">
        <v>2332</v>
      </c>
    </row>
    <row r="1432" spans="1:3" x14ac:dyDescent="0.25">
      <c r="A1432">
        <v>2903</v>
      </c>
      <c r="B1432" t="s">
        <v>2333</v>
      </c>
      <c r="C1432" t="s">
        <v>2334</v>
      </c>
    </row>
    <row r="1433" spans="1:3" x14ac:dyDescent="0.25">
      <c r="A1433">
        <v>2904</v>
      </c>
      <c r="B1433" t="s">
        <v>2335</v>
      </c>
      <c r="C1433" t="s">
        <v>2336</v>
      </c>
    </row>
    <row r="1434" spans="1:3" x14ac:dyDescent="0.25">
      <c r="A1434">
        <v>2905</v>
      </c>
      <c r="B1434" t="s">
        <v>2337</v>
      </c>
      <c r="C1434" t="s">
        <v>2338</v>
      </c>
    </row>
    <row r="1435" spans="1:3" x14ac:dyDescent="0.25">
      <c r="A1435">
        <v>2949</v>
      </c>
      <c r="B1435" t="s">
        <v>2339</v>
      </c>
      <c r="C1435" t="s">
        <v>1031</v>
      </c>
    </row>
    <row r="1436" spans="1:3" x14ac:dyDescent="0.25">
      <c r="A1436">
        <v>2906</v>
      </c>
      <c r="B1436" t="s">
        <v>2340</v>
      </c>
      <c r="C1436" t="s">
        <v>2341</v>
      </c>
    </row>
    <row r="1437" spans="1:3" x14ac:dyDescent="0.25">
      <c r="A1437">
        <v>2907</v>
      </c>
      <c r="B1437" t="s">
        <v>2342</v>
      </c>
      <c r="C1437" t="s">
        <v>2343</v>
      </c>
    </row>
    <row r="1438" spans="1:3" x14ac:dyDescent="0.25">
      <c r="A1438">
        <v>2908</v>
      </c>
      <c r="B1438" t="s">
        <v>2344</v>
      </c>
      <c r="C1438" t="s">
        <v>2345</v>
      </c>
    </row>
    <row r="1439" spans="1:3" x14ac:dyDescent="0.25">
      <c r="A1439">
        <v>2909</v>
      </c>
      <c r="B1439" t="s">
        <v>2346</v>
      </c>
      <c r="C1439" t="s">
        <v>2347</v>
      </c>
    </row>
    <row r="1440" spans="1:3" x14ac:dyDescent="0.25">
      <c r="A1440">
        <v>2910</v>
      </c>
      <c r="B1440" t="s">
        <v>2348</v>
      </c>
      <c r="C1440" t="s">
        <v>2349</v>
      </c>
    </row>
    <row r="1441" spans="1:3" x14ac:dyDescent="0.25">
      <c r="A1441">
        <v>2911</v>
      </c>
      <c r="B1441" t="s">
        <v>2350</v>
      </c>
      <c r="C1441" t="s">
        <v>2351</v>
      </c>
    </row>
    <row r="1442" spans="1:3" x14ac:dyDescent="0.25">
      <c r="A1442">
        <v>2912</v>
      </c>
      <c r="B1442" t="s">
        <v>2352</v>
      </c>
      <c r="C1442" t="s">
        <v>2353</v>
      </c>
    </row>
    <row r="1443" spans="1:3" x14ac:dyDescent="0.25">
      <c r="A1443">
        <v>2913</v>
      </c>
      <c r="B1443" t="s">
        <v>2354</v>
      </c>
      <c r="C1443" t="s">
        <v>2355</v>
      </c>
    </row>
    <row r="1444" spans="1:3" x14ac:dyDescent="0.25">
      <c r="A1444">
        <v>2914</v>
      </c>
      <c r="B1444" t="s">
        <v>2356</v>
      </c>
      <c r="C1444" t="s">
        <v>2357</v>
      </c>
    </row>
    <row r="1445" spans="1:3" x14ac:dyDescent="0.25">
      <c r="A1445">
        <v>2915</v>
      </c>
      <c r="B1445" t="s">
        <v>2358</v>
      </c>
      <c r="C1445" t="s">
        <v>2359</v>
      </c>
    </row>
    <row r="1446" spans="1:3" x14ac:dyDescent="0.25">
      <c r="A1446">
        <v>2916</v>
      </c>
      <c r="B1446" t="s">
        <v>2360</v>
      </c>
      <c r="C1446" t="s">
        <v>2361</v>
      </c>
    </row>
    <row r="1447" spans="1:3" x14ac:dyDescent="0.25">
      <c r="A1447">
        <v>2917</v>
      </c>
      <c r="B1447" t="s">
        <v>2362</v>
      </c>
      <c r="C1447" t="s">
        <v>2363</v>
      </c>
    </row>
    <row r="1448" spans="1:3" x14ac:dyDescent="0.25">
      <c r="A1448">
        <v>2918</v>
      </c>
      <c r="B1448" t="s">
        <v>2364</v>
      </c>
      <c r="C1448" t="s">
        <v>2365</v>
      </c>
    </row>
    <row r="1449" spans="1:3" x14ac:dyDescent="0.25">
      <c r="A1449">
        <v>2919</v>
      </c>
      <c r="B1449" t="s">
        <v>2366</v>
      </c>
      <c r="C1449" t="s">
        <v>2367</v>
      </c>
    </row>
    <row r="1450" spans="1:3" x14ac:dyDescent="0.25">
      <c r="A1450">
        <v>2920</v>
      </c>
      <c r="B1450" t="s">
        <v>2368</v>
      </c>
      <c r="C1450" t="s">
        <v>2369</v>
      </c>
    </row>
    <row r="1451" spans="1:3" x14ac:dyDescent="0.25">
      <c r="A1451">
        <v>2921</v>
      </c>
      <c r="B1451" t="s">
        <v>2370</v>
      </c>
      <c r="C1451" t="s">
        <v>2371</v>
      </c>
    </row>
    <row r="1452" spans="1:3" x14ac:dyDescent="0.25">
      <c r="A1452">
        <v>2922</v>
      </c>
      <c r="B1452" t="s">
        <v>2372</v>
      </c>
      <c r="C1452" t="s">
        <v>2373</v>
      </c>
    </row>
    <row r="1453" spans="1:3" x14ac:dyDescent="0.25">
      <c r="A1453">
        <v>2923</v>
      </c>
      <c r="B1453" t="s">
        <v>2374</v>
      </c>
      <c r="C1453" t="s">
        <v>2375</v>
      </c>
    </row>
    <row r="1454" spans="1:3" x14ac:dyDescent="0.25">
      <c r="A1454">
        <v>2924</v>
      </c>
      <c r="B1454" t="s">
        <v>2376</v>
      </c>
      <c r="C1454" t="s">
        <v>2377</v>
      </c>
    </row>
    <row r="1455" spans="1:3" x14ac:dyDescent="0.25">
      <c r="A1455">
        <v>2925</v>
      </c>
      <c r="B1455" t="s">
        <v>2378</v>
      </c>
      <c r="C1455" t="s">
        <v>2379</v>
      </c>
    </row>
    <row r="1456" spans="1:3" x14ac:dyDescent="0.25">
      <c r="A1456">
        <v>2926</v>
      </c>
      <c r="B1456" t="s">
        <v>2380</v>
      </c>
      <c r="C1456" t="s">
        <v>2381</v>
      </c>
    </row>
    <row r="1457" spans="1:3" x14ac:dyDescent="0.25">
      <c r="A1457">
        <v>2927</v>
      </c>
      <c r="B1457" t="s">
        <v>2382</v>
      </c>
      <c r="C1457" t="s">
        <v>2383</v>
      </c>
    </row>
    <row r="1458" spans="1:3" x14ac:dyDescent="0.25">
      <c r="A1458">
        <v>2928</v>
      </c>
      <c r="B1458" t="s">
        <v>2384</v>
      </c>
      <c r="C1458" t="s">
        <v>2385</v>
      </c>
    </row>
    <row r="1459" spans="1:3" x14ac:dyDescent="0.25">
      <c r="A1459">
        <v>2929</v>
      </c>
      <c r="B1459" t="s">
        <v>2386</v>
      </c>
      <c r="C1459" t="s">
        <v>2387</v>
      </c>
    </row>
    <row r="1460" spans="1:3" x14ac:dyDescent="0.25">
      <c r="A1460">
        <v>2930</v>
      </c>
      <c r="B1460" t="s">
        <v>2388</v>
      </c>
      <c r="C1460" t="s">
        <v>2389</v>
      </c>
    </row>
    <row r="1461" spans="1:3" x14ac:dyDescent="0.25">
      <c r="A1461">
        <v>2931</v>
      </c>
      <c r="B1461" t="s">
        <v>2390</v>
      </c>
      <c r="C1461" t="s">
        <v>2391</v>
      </c>
    </row>
    <row r="1462" spans="1:3" x14ac:dyDescent="0.25">
      <c r="A1462">
        <v>2932</v>
      </c>
      <c r="B1462" t="s">
        <v>2392</v>
      </c>
      <c r="C1462" t="s">
        <v>2393</v>
      </c>
    </row>
    <row r="1463" spans="1:3" x14ac:dyDescent="0.25">
      <c r="A1463">
        <v>2933</v>
      </c>
      <c r="B1463" t="s">
        <v>2394</v>
      </c>
      <c r="C1463" t="s">
        <v>2395</v>
      </c>
    </row>
    <row r="1464" spans="1:3" x14ac:dyDescent="0.25">
      <c r="A1464">
        <v>2934</v>
      </c>
      <c r="B1464" t="s">
        <v>2396</v>
      </c>
      <c r="C1464" t="s">
        <v>2397</v>
      </c>
    </row>
    <row r="1465" spans="1:3" x14ac:dyDescent="0.25">
      <c r="A1465">
        <v>2935</v>
      </c>
      <c r="B1465" t="s">
        <v>2398</v>
      </c>
      <c r="C1465" t="s">
        <v>2399</v>
      </c>
    </row>
    <row r="1466" spans="1:3" x14ac:dyDescent="0.25">
      <c r="A1466">
        <v>2936</v>
      </c>
      <c r="B1466" t="s">
        <v>2400</v>
      </c>
      <c r="C1466" t="s">
        <v>2401</v>
      </c>
    </row>
    <row r="1467" spans="1:3" x14ac:dyDescent="0.25">
      <c r="A1467">
        <v>2937</v>
      </c>
      <c r="B1467" t="s">
        <v>2402</v>
      </c>
      <c r="C1467" t="s">
        <v>2403</v>
      </c>
    </row>
    <row r="1468" spans="1:3" x14ac:dyDescent="0.25">
      <c r="A1468">
        <v>2938</v>
      </c>
      <c r="B1468" t="s">
        <v>2404</v>
      </c>
      <c r="C1468" t="s">
        <v>2405</v>
      </c>
    </row>
    <row r="1469" spans="1:3" x14ac:dyDescent="0.25">
      <c r="A1469">
        <v>2940</v>
      </c>
      <c r="B1469" t="s">
        <v>2406</v>
      </c>
      <c r="C1469" t="s">
        <v>2407</v>
      </c>
    </row>
    <row r="1470" spans="1:3" x14ac:dyDescent="0.25">
      <c r="A1470">
        <v>2941</v>
      </c>
      <c r="B1470" t="s">
        <v>2408</v>
      </c>
      <c r="C1470" t="s">
        <v>2409</v>
      </c>
    </row>
    <row r="1471" spans="1:3" x14ac:dyDescent="0.25">
      <c r="A1471">
        <v>2942</v>
      </c>
      <c r="B1471" t="s">
        <v>2410</v>
      </c>
      <c r="C1471" t="s">
        <v>2411</v>
      </c>
    </row>
    <row r="1472" spans="1:3" x14ac:dyDescent="0.25">
      <c r="A1472">
        <v>2943</v>
      </c>
      <c r="B1472" t="s">
        <v>2412</v>
      </c>
      <c r="C1472" t="s">
        <v>2413</v>
      </c>
    </row>
    <row r="1473" spans="1:3" x14ac:dyDescent="0.25">
      <c r="A1473">
        <v>2944</v>
      </c>
      <c r="B1473" t="s">
        <v>2414</v>
      </c>
      <c r="C1473" t="s">
        <v>1020</v>
      </c>
    </row>
    <row r="1474" spans="1:3" x14ac:dyDescent="0.25">
      <c r="A1474">
        <v>2945</v>
      </c>
      <c r="B1474" t="s">
        <v>2415</v>
      </c>
      <c r="C1474" t="s">
        <v>1022</v>
      </c>
    </row>
    <row r="1475" spans="1:3" x14ac:dyDescent="0.25">
      <c r="A1475">
        <v>2946</v>
      </c>
      <c r="B1475" t="s">
        <v>2416</v>
      </c>
      <c r="C1475" t="s">
        <v>1024</v>
      </c>
    </row>
    <row r="1476" spans="1:3" x14ac:dyDescent="0.25">
      <c r="A1476">
        <v>2947</v>
      </c>
      <c r="B1476" t="s">
        <v>2417</v>
      </c>
      <c r="C1476" t="s">
        <v>1027</v>
      </c>
    </row>
    <row r="1477" spans="1:3" x14ac:dyDescent="0.25">
      <c r="A1477">
        <v>2948</v>
      </c>
      <c r="B1477" t="s">
        <v>2418</v>
      </c>
      <c r="C1477" t="s">
        <v>1029</v>
      </c>
    </row>
    <row r="1478" spans="1:3" x14ac:dyDescent="0.25">
      <c r="A1478">
        <v>3574</v>
      </c>
      <c r="B1478" t="s">
        <v>2419</v>
      </c>
      <c r="C1478" t="e">
        <f>+proj=laea +lat_0=90 +lon_0=-40 +x_0=0 +y_0=0 +datum=WGQ84 +units=m +no_defs</f>
        <v>#NAME?</v>
      </c>
    </row>
    <row r="1479" spans="1:3" x14ac:dyDescent="0.25">
      <c r="A1479">
        <v>2950</v>
      </c>
      <c r="B1479" t="s">
        <v>2420</v>
      </c>
      <c r="C1479" t="s">
        <v>1033</v>
      </c>
    </row>
    <row r="1480" spans="1:3" x14ac:dyDescent="0.25">
      <c r="A1480">
        <v>2951</v>
      </c>
      <c r="B1480" t="s">
        <v>2421</v>
      </c>
      <c r="C1480" t="s">
        <v>1035</v>
      </c>
    </row>
    <row r="1481" spans="1:3" x14ac:dyDescent="0.25">
      <c r="A1481">
        <v>2952</v>
      </c>
      <c r="B1481" t="s">
        <v>2422</v>
      </c>
      <c r="C1481" t="s">
        <v>1037</v>
      </c>
    </row>
    <row r="1482" spans="1:3" x14ac:dyDescent="0.25">
      <c r="A1482">
        <v>2953</v>
      </c>
      <c r="B1482" t="s">
        <v>2423</v>
      </c>
      <c r="C1482" t="s">
        <v>825</v>
      </c>
    </row>
    <row r="1483" spans="1:3" x14ac:dyDescent="0.25">
      <c r="A1483">
        <v>2954</v>
      </c>
      <c r="B1483" t="s">
        <v>2424</v>
      </c>
      <c r="C1483" t="s">
        <v>1231</v>
      </c>
    </row>
    <row r="1484" spans="1:3" x14ac:dyDescent="0.25">
      <c r="A1484">
        <v>2955</v>
      </c>
      <c r="B1484" t="s">
        <v>2425</v>
      </c>
      <c r="C1484" t="s">
        <v>1050</v>
      </c>
    </row>
    <row r="1485" spans="1:3" x14ac:dyDescent="0.25">
      <c r="A1485">
        <v>2956</v>
      </c>
      <c r="B1485" t="s">
        <v>2426</v>
      </c>
      <c r="C1485" t="s">
        <v>1048</v>
      </c>
    </row>
    <row r="1486" spans="1:3" x14ac:dyDescent="0.25">
      <c r="A1486">
        <v>2957</v>
      </c>
      <c r="B1486" t="s">
        <v>2427</v>
      </c>
      <c r="C1486" t="s">
        <v>1046</v>
      </c>
    </row>
    <row r="1487" spans="1:3" x14ac:dyDescent="0.25">
      <c r="A1487">
        <v>2958</v>
      </c>
      <c r="B1487" t="s">
        <v>2428</v>
      </c>
      <c r="C1487" t="s">
        <v>1043</v>
      </c>
    </row>
    <row r="1488" spans="1:3" x14ac:dyDescent="0.25">
      <c r="A1488">
        <v>2959</v>
      </c>
      <c r="B1488" t="s">
        <v>2429</v>
      </c>
      <c r="C1488" t="s">
        <v>1041</v>
      </c>
    </row>
    <row r="1489" spans="1:3" x14ac:dyDescent="0.25">
      <c r="A1489">
        <v>2961</v>
      </c>
      <c r="B1489" t="s">
        <v>2430</v>
      </c>
      <c r="C1489" t="s">
        <v>830</v>
      </c>
    </row>
    <row r="1490" spans="1:3" x14ac:dyDescent="0.25">
      <c r="A1490">
        <v>2962</v>
      </c>
      <c r="B1490" t="s">
        <v>2431</v>
      </c>
      <c r="C1490" t="s">
        <v>1039</v>
      </c>
    </row>
    <row r="1491" spans="1:3" x14ac:dyDescent="0.25">
      <c r="A1491">
        <v>2964</v>
      </c>
      <c r="B1491" t="s">
        <v>2432</v>
      </c>
      <c r="C1491" t="e">
        <f>+proj=aea +lat_1=55 +lat_2=65 +lat_0=50 +lon_0=-154 +x_0=0 +y_0=0 +datum=NAB27 +units=us-ft +no_defs</f>
        <v>#NAME?</v>
      </c>
    </row>
    <row r="1492" spans="1:3" x14ac:dyDescent="0.25">
      <c r="A1492">
        <v>2965</v>
      </c>
      <c r="B1492" t="s">
        <v>2433</v>
      </c>
      <c r="C1492" t="e">
        <f>+proj=tmerc +lat_0=37.5 +lon_0=-85.6666666666666 +k=0.999966667 +x_0=99999.9998983997 +y_0=249999.999898399 +datum=NAB83 +units=us-ft +no_defs</f>
        <v>#NAME?</v>
      </c>
    </row>
    <row r="1493" spans="1:3" x14ac:dyDescent="0.25">
      <c r="A1493">
        <v>2966</v>
      </c>
      <c r="B1493" t="s">
        <v>2434</v>
      </c>
      <c r="C1493" t="e">
        <f>+proj=tmerc +lat_0=37.5 +lon_0=-87.0833333333333 +k=0.999966667 +x_0=900000 +y_0=249999.999898399 +datum=NAB83 +units=us-ft +no_defs</f>
        <v>#NAME?</v>
      </c>
    </row>
    <row r="1494" spans="1:3" x14ac:dyDescent="0.25">
      <c r="A1494">
        <v>2967</v>
      </c>
      <c r="B1494" t="s">
        <v>2435</v>
      </c>
      <c r="C1494" t="s">
        <v>2436</v>
      </c>
    </row>
    <row r="1495" spans="1:3" x14ac:dyDescent="0.25">
      <c r="A1495">
        <v>2968</v>
      </c>
      <c r="B1495" t="s">
        <v>2437</v>
      </c>
      <c r="C1495" t="s">
        <v>2438</v>
      </c>
    </row>
    <row r="1496" spans="1:3" x14ac:dyDescent="0.25">
      <c r="A1496">
        <v>2969</v>
      </c>
      <c r="B1496" t="s">
        <v>2439</v>
      </c>
      <c r="C1496" t="s">
        <v>2440</v>
      </c>
    </row>
    <row r="1497" spans="1:3" x14ac:dyDescent="0.25">
      <c r="A1497">
        <v>2970</v>
      </c>
      <c r="B1497" t="s">
        <v>2441</v>
      </c>
      <c r="C1497" t="s">
        <v>2442</v>
      </c>
    </row>
    <row r="1498" spans="1:3" x14ac:dyDescent="0.25">
      <c r="A1498">
        <v>4366</v>
      </c>
      <c r="B1498" t="s">
        <v>2443</v>
      </c>
      <c r="C1498" t="e">
        <f>+proj=geocent +ellps=GRQ80 +units=m +no_defs</f>
        <v>#NAME?</v>
      </c>
    </row>
    <row r="1499" spans="1:3" x14ac:dyDescent="0.25">
      <c r="A1499">
        <v>2971</v>
      </c>
      <c r="B1499" t="s">
        <v>2444</v>
      </c>
      <c r="C1499" t="s">
        <v>2445</v>
      </c>
    </row>
    <row r="1500" spans="1:3" x14ac:dyDescent="0.25">
      <c r="A1500">
        <v>2972</v>
      </c>
      <c r="B1500" t="s">
        <v>2446</v>
      </c>
      <c r="C1500" t="s">
        <v>2447</v>
      </c>
    </row>
    <row r="1501" spans="1:3" x14ac:dyDescent="0.25">
      <c r="A1501">
        <v>2973</v>
      </c>
      <c r="B1501" t="s">
        <v>2448</v>
      </c>
      <c r="C1501" t="s">
        <v>2449</v>
      </c>
    </row>
    <row r="1502" spans="1:3" x14ac:dyDescent="0.25">
      <c r="A1502">
        <v>2975</v>
      </c>
      <c r="B1502" t="s">
        <v>2450</v>
      </c>
      <c r="C1502" t="s">
        <v>2451</v>
      </c>
    </row>
    <row r="1503" spans="1:3" x14ac:dyDescent="0.25">
      <c r="A1503">
        <v>2976</v>
      </c>
      <c r="B1503" t="s">
        <v>2452</v>
      </c>
      <c r="C1503" t="s">
        <v>2453</v>
      </c>
    </row>
    <row r="1504" spans="1:3" x14ac:dyDescent="0.25">
      <c r="A1504">
        <v>2977</v>
      </c>
      <c r="B1504" t="s">
        <v>2454</v>
      </c>
      <c r="C1504" t="s">
        <v>2455</v>
      </c>
    </row>
    <row r="1505" spans="1:3" x14ac:dyDescent="0.25">
      <c r="A1505">
        <v>2978</v>
      </c>
      <c r="B1505" t="s">
        <v>2456</v>
      </c>
      <c r="C1505" t="s">
        <v>2457</v>
      </c>
    </row>
    <row r="1506" spans="1:3" x14ac:dyDescent="0.25">
      <c r="A1506">
        <v>2979</v>
      </c>
      <c r="B1506" t="s">
        <v>2458</v>
      </c>
      <c r="C1506" t="s">
        <v>2459</v>
      </c>
    </row>
    <row r="1507" spans="1:3" x14ac:dyDescent="0.25">
      <c r="A1507">
        <v>2980</v>
      </c>
      <c r="B1507" t="s">
        <v>2460</v>
      </c>
      <c r="C1507" t="s">
        <v>2461</v>
      </c>
    </row>
    <row r="1508" spans="1:3" x14ac:dyDescent="0.25">
      <c r="A1508">
        <v>2981</v>
      </c>
      <c r="B1508" t="s">
        <v>2462</v>
      </c>
      <c r="C1508" t="s">
        <v>2463</v>
      </c>
    </row>
    <row r="1509" spans="1:3" x14ac:dyDescent="0.25">
      <c r="A1509">
        <v>2982</v>
      </c>
      <c r="B1509" t="s">
        <v>2464</v>
      </c>
      <c r="C1509" t="s">
        <v>2465</v>
      </c>
    </row>
    <row r="1510" spans="1:3" x14ac:dyDescent="0.25">
      <c r="A1510">
        <v>2983</v>
      </c>
      <c r="B1510" t="s">
        <v>2466</v>
      </c>
      <c r="C1510" t="s">
        <v>2467</v>
      </c>
    </row>
    <row r="1511" spans="1:3" x14ac:dyDescent="0.25">
      <c r="A1511">
        <v>2984</v>
      </c>
      <c r="B1511" t="s">
        <v>2468</v>
      </c>
      <c r="C1511" t="s">
        <v>2469</v>
      </c>
    </row>
    <row r="1512" spans="1:3" x14ac:dyDescent="0.25">
      <c r="A1512">
        <v>2987</v>
      </c>
      <c r="B1512" t="s">
        <v>2470</v>
      </c>
      <c r="C1512" t="s">
        <v>2471</v>
      </c>
    </row>
    <row r="1513" spans="1:3" x14ac:dyDescent="0.25">
      <c r="A1513">
        <v>2988</v>
      </c>
      <c r="B1513" t="s">
        <v>2472</v>
      </c>
      <c r="C1513" t="s">
        <v>2473</v>
      </c>
    </row>
    <row r="1514" spans="1:3" x14ac:dyDescent="0.25">
      <c r="A1514">
        <v>2989</v>
      </c>
      <c r="B1514" t="s">
        <v>2474</v>
      </c>
      <c r="C1514" t="s">
        <v>2475</v>
      </c>
    </row>
    <row r="1515" spans="1:3" x14ac:dyDescent="0.25">
      <c r="A1515">
        <v>2990</v>
      </c>
      <c r="B1515" t="s">
        <v>2476</v>
      </c>
      <c r="C1515" t="s">
        <v>2477</v>
      </c>
    </row>
    <row r="1516" spans="1:3" x14ac:dyDescent="0.25">
      <c r="A1516">
        <v>2991</v>
      </c>
      <c r="B1516" t="s">
        <v>2478</v>
      </c>
      <c r="C1516" t="e">
        <f>+proj=lcc +lat_1=43 +lat_2=45.5 +lat_0=41.75 +lon_0=-120.5 +x_0=400000 +y_0=0 +datum=NAB83 +units=m +no_defs</f>
        <v>#NAME?</v>
      </c>
    </row>
    <row r="1517" spans="1:3" x14ac:dyDescent="0.25">
      <c r="A1517">
        <v>2992</v>
      </c>
      <c r="B1517" t="s">
        <v>2479</v>
      </c>
      <c r="C1517" t="e">
        <f>+proj=lcc +lat_1=43 +lat_2=45.5 +lat_0=41.75 +lon_0=-120.5 +x_0=399999.9999984 +y_0=0 +datum=NAB83 +units=ft +no_defs</f>
        <v>#NAME?</v>
      </c>
    </row>
    <row r="1518" spans="1:3" x14ac:dyDescent="0.25">
      <c r="A1518">
        <v>4368</v>
      </c>
      <c r="B1518" t="s">
        <v>2480</v>
      </c>
      <c r="C1518" t="e">
        <f>+proj=geocent +ellps=GRQ80 +units=m +no_defs</f>
        <v>#NAME?</v>
      </c>
    </row>
    <row r="1519" spans="1:3" x14ac:dyDescent="0.25">
      <c r="A1519">
        <v>2993</v>
      </c>
      <c r="B1519" t="s">
        <v>2481</v>
      </c>
      <c r="C1519" t="s">
        <v>2482</v>
      </c>
    </row>
    <row r="1520" spans="1:3" x14ac:dyDescent="0.25">
      <c r="A1520">
        <v>2994</v>
      </c>
      <c r="B1520" t="s">
        <v>2483</v>
      </c>
      <c r="C1520" t="s">
        <v>2484</v>
      </c>
    </row>
    <row r="1521" spans="1:3" x14ac:dyDescent="0.25">
      <c r="A1521">
        <v>2995</v>
      </c>
      <c r="B1521" t="s">
        <v>2485</v>
      </c>
      <c r="C1521" t="s">
        <v>2486</v>
      </c>
    </row>
    <row r="1522" spans="1:3" x14ac:dyDescent="0.25">
      <c r="A1522">
        <v>2996</v>
      </c>
      <c r="B1522" t="s">
        <v>2487</v>
      </c>
      <c r="C1522" t="s">
        <v>2465</v>
      </c>
    </row>
    <row r="1523" spans="1:3" x14ac:dyDescent="0.25">
      <c r="A1523">
        <v>2997</v>
      </c>
      <c r="B1523" t="s">
        <v>2488</v>
      </c>
      <c r="C1523" t="s">
        <v>2489</v>
      </c>
    </row>
    <row r="1524" spans="1:3" x14ac:dyDescent="0.25">
      <c r="A1524">
        <v>2998</v>
      </c>
      <c r="B1524" t="s">
        <v>2490</v>
      </c>
      <c r="C1524" t="s">
        <v>2491</v>
      </c>
    </row>
    <row r="1525" spans="1:3" x14ac:dyDescent="0.25">
      <c r="A1525">
        <v>2999</v>
      </c>
      <c r="B1525" t="s">
        <v>2492</v>
      </c>
      <c r="C1525" t="s">
        <v>2493</v>
      </c>
    </row>
    <row r="1526" spans="1:3" x14ac:dyDescent="0.25">
      <c r="A1526">
        <v>3000</v>
      </c>
      <c r="B1526" t="s">
        <v>2494</v>
      </c>
      <c r="C1526" t="s">
        <v>2495</v>
      </c>
    </row>
    <row r="1527" spans="1:3" x14ac:dyDescent="0.25">
      <c r="A1527">
        <v>3001</v>
      </c>
      <c r="B1527" t="s">
        <v>2496</v>
      </c>
      <c r="C1527" t="s">
        <v>2497</v>
      </c>
    </row>
    <row r="1528" spans="1:3" x14ac:dyDescent="0.25">
      <c r="A1528">
        <v>3002</v>
      </c>
      <c r="B1528" t="s">
        <v>2498</v>
      </c>
      <c r="C1528" t="s">
        <v>2499</v>
      </c>
    </row>
    <row r="1529" spans="1:3" x14ac:dyDescent="0.25">
      <c r="A1529">
        <v>3003</v>
      </c>
      <c r="B1529" t="s">
        <v>2500</v>
      </c>
      <c r="C1529" t="s">
        <v>2501</v>
      </c>
    </row>
    <row r="1530" spans="1:3" x14ac:dyDescent="0.25">
      <c r="A1530">
        <v>3004</v>
      </c>
      <c r="B1530" t="s">
        <v>2502</v>
      </c>
      <c r="C1530" t="s">
        <v>2503</v>
      </c>
    </row>
    <row r="1531" spans="1:3" x14ac:dyDescent="0.25">
      <c r="A1531">
        <v>3005</v>
      </c>
      <c r="B1531" t="s">
        <v>2504</v>
      </c>
      <c r="C1531" t="e">
        <f>+proj=aea +lat_1=50 +lat_2=58.5 +lat_0=45 +lon_0=-126 +x_0=1000000 +y_0=0 +datum=NAB83 +units=m +no_defs</f>
        <v>#NAME?</v>
      </c>
    </row>
    <row r="1532" spans="1:3" x14ac:dyDescent="0.25">
      <c r="A1532">
        <v>3006</v>
      </c>
      <c r="B1532" t="s">
        <v>2505</v>
      </c>
      <c r="C1532" t="s">
        <v>1860</v>
      </c>
    </row>
    <row r="1533" spans="1:3" x14ac:dyDescent="0.25">
      <c r="A1533">
        <v>3007</v>
      </c>
      <c r="B1533" t="s">
        <v>2506</v>
      </c>
      <c r="C1533" t="s">
        <v>2507</v>
      </c>
    </row>
    <row r="1534" spans="1:3" x14ac:dyDescent="0.25">
      <c r="A1534">
        <v>3008</v>
      </c>
      <c r="B1534" t="s">
        <v>2508</v>
      </c>
      <c r="C1534" t="s">
        <v>2509</v>
      </c>
    </row>
    <row r="1535" spans="1:3" x14ac:dyDescent="0.25">
      <c r="A1535">
        <v>3009</v>
      </c>
      <c r="B1535" t="s">
        <v>2510</v>
      </c>
      <c r="C1535" t="s">
        <v>2511</v>
      </c>
    </row>
    <row r="1536" spans="1:3" x14ac:dyDescent="0.25">
      <c r="A1536">
        <v>3010</v>
      </c>
      <c r="B1536" t="s">
        <v>2512</v>
      </c>
      <c r="C1536" t="s">
        <v>2513</v>
      </c>
    </row>
    <row r="1537" spans="1:3" x14ac:dyDescent="0.25">
      <c r="A1537">
        <v>3011</v>
      </c>
      <c r="B1537" t="s">
        <v>2514</v>
      </c>
      <c r="C1537" t="s">
        <v>2515</v>
      </c>
    </row>
    <row r="1538" spans="1:3" x14ac:dyDescent="0.25">
      <c r="A1538">
        <v>3012</v>
      </c>
      <c r="B1538" t="s">
        <v>2516</v>
      </c>
      <c r="C1538" t="s">
        <v>2517</v>
      </c>
    </row>
    <row r="1539" spans="1:3" x14ac:dyDescent="0.25">
      <c r="A1539">
        <v>4370</v>
      </c>
      <c r="B1539" t="s">
        <v>2518</v>
      </c>
      <c r="C1539" t="e">
        <f>+proj=geocent +ellps=GRQ80 +units=m +no_defs</f>
        <v>#NAME?</v>
      </c>
    </row>
    <row r="1540" spans="1:3" x14ac:dyDescent="0.25">
      <c r="A1540">
        <v>3019</v>
      </c>
      <c r="B1540" t="s">
        <v>2519</v>
      </c>
      <c r="C1540" t="s">
        <v>2520</v>
      </c>
    </row>
    <row r="1541" spans="1:3" x14ac:dyDescent="0.25">
      <c r="A1541">
        <v>3020</v>
      </c>
      <c r="B1541" t="s">
        <v>2521</v>
      </c>
      <c r="C1541" t="s">
        <v>2522</v>
      </c>
    </row>
    <row r="1542" spans="1:3" x14ac:dyDescent="0.25">
      <c r="A1542">
        <v>3021</v>
      </c>
      <c r="B1542" t="s">
        <v>2523</v>
      </c>
      <c r="C1542" t="s">
        <v>1347</v>
      </c>
    </row>
    <row r="1543" spans="1:3" x14ac:dyDescent="0.25">
      <c r="A1543">
        <v>3022</v>
      </c>
      <c r="B1543" t="s">
        <v>2524</v>
      </c>
      <c r="C1543" t="s">
        <v>2525</v>
      </c>
    </row>
    <row r="1544" spans="1:3" x14ac:dyDescent="0.25">
      <c r="A1544">
        <v>3023</v>
      </c>
      <c r="B1544" t="s">
        <v>2526</v>
      </c>
      <c r="C1544" t="s">
        <v>2527</v>
      </c>
    </row>
    <row r="1545" spans="1:3" x14ac:dyDescent="0.25">
      <c r="A1545">
        <v>3024</v>
      </c>
      <c r="B1545" t="s">
        <v>2528</v>
      </c>
      <c r="C1545" t="s">
        <v>2529</v>
      </c>
    </row>
    <row r="1546" spans="1:3" x14ac:dyDescent="0.25">
      <c r="A1546">
        <v>3025</v>
      </c>
      <c r="B1546" t="s">
        <v>2530</v>
      </c>
      <c r="C1546" t="e">
        <f>+proj=tmerc +lat_0=0 +lon_0=11.3082777777777 +k=1 +x_0=1500000 +y_0=0 +ellps=bessel +units=m +no_defs</f>
        <v>#NAME?</v>
      </c>
    </row>
    <row r="1547" spans="1:3" x14ac:dyDescent="0.25">
      <c r="A1547">
        <v>3026</v>
      </c>
      <c r="B1547" t="s">
        <v>2531</v>
      </c>
      <c r="C1547" t="e">
        <f>+proj=tmerc +lat_0=0 +lon_0=13.5582777777777 +k=1 +x_0=1500000 +y_0=0 +ellps=bessel +units=m +no_defs</f>
        <v>#NAME?</v>
      </c>
    </row>
    <row r="1548" spans="1:3" x14ac:dyDescent="0.25">
      <c r="A1548">
        <v>3027</v>
      </c>
      <c r="B1548" t="s">
        <v>2532</v>
      </c>
      <c r="C1548" t="e">
        <f>+proj=tmerc +lat_0=0 +lon_0=15.8082777777777 +k=1 +x_0=1500000 +y_0=0 +ellps=bessel +units=m +no_defs</f>
        <v>#NAME?</v>
      </c>
    </row>
    <row r="1549" spans="1:3" x14ac:dyDescent="0.25">
      <c r="A1549">
        <v>3028</v>
      </c>
      <c r="B1549" t="s">
        <v>2533</v>
      </c>
      <c r="C1549" t="e">
        <f>+proj=tmerc +lat_0=0 +lon_0=18.0582777777777 +k=1 +x_0=1500000 +y_0=0 +ellps=bessel +units=m +no_defs</f>
        <v>#NAME?</v>
      </c>
    </row>
    <row r="1550" spans="1:3" x14ac:dyDescent="0.25">
      <c r="A1550">
        <v>3032</v>
      </c>
      <c r="B1550" t="s">
        <v>2534</v>
      </c>
      <c r="C1550" t="e">
        <f>+proj=stere +lat_0=-90 +lat_ts=-71 +lon_0=70 +k=1 +x_0=6000000 +y_0=6000000 +datum=WGQ84 +units=m +no_defs</f>
        <v>#NAME?</v>
      </c>
    </row>
    <row r="1551" spans="1:3" x14ac:dyDescent="0.25">
      <c r="A1551">
        <v>3033</v>
      </c>
      <c r="B1551" t="s">
        <v>2535</v>
      </c>
      <c r="C1551" t="e">
        <f>+proj=lcc +lat_1=-68.5 +lat_2=-74.5 +lat_0=-50 +lon_0=70 +x_0=6000000 +y_0=6000000 +datum=WGQ84 +units=m +no_defs</f>
        <v>#NAME?</v>
      </c>
    </row>
    <row r="1552" spans="1:3" x14ac:dyDescent="0.25">
      <c r="A1552">
        <v>3034</v>
      </c>
      <c r="B1552" t="s">
        <v>2536</v>
      </c>
      <c r="C1552" t="s">
        <v>2537</v>
      </c>
    </row>
    <row r="1553" spans="1:3" x14ac:dyDescent="0.25">
      <c r="A1553">
        <v>3035</v>
      </c>
      <c r="B1553" t="s">
        <v>2538</v>
      </c>
      <c r="C1553" t="s">
        <v>2539</v>
      </c>
    </row>
    <row r="1554" spans="1:3" x14ac:dyDescent="0.25">
      <c r="A1554">
        <v>3036</v>
      </c>
      <c r="B1554" t="s">
        <v>2540</v>
      </c>
      <c r="C1554" t="s">
        <v>2541</v>
      </c>
    </row>
    <row r="1555" spans="1:3" x14ac:dyDescent="0.25">
      <c r="A1555">
        <v>3037</v>
      </c>
      <c r="B1555" t="s">
        <v>2542</v>
      </c>
      <c r="C1555" t="s">
        <v>2543</v>
      </c>
    </row>
    <row r="1556" spans="1:3" x14ac:dyDescent="0.25">
      <c r="A1556">
        <v>3038</v>
      </c>
      <c r="B1556" t="s">
        <v>2544</v>
      </c>
      <c r="C1556" t="s">
        <v>2545</v>
      </c>
    </row>
    <row r="1557" spans="1:3" x14ac:dyDescent="0.25">
      <c r="A1557">
        <v>3039</v>
      </c>
      <c r="B1557" t="s">
        <v>2546</v>
      </c>
      <c r="C1557" t="s">
        <v>2547</v>
      </c>
    </row>
    <row r="1558" spans="1:3" x14ac:dyDescent="0.25">
      <c r="A1558">
        <v>3040</v>
      </c>
      <c r="B1558" t="s">
        <v>2548</v>
      </c>
      <c r="C1558" t="s">
        <v>2549</v>
      </c>
    </row>
    <row r="1559" spans="1:3" x14ac:dyDescent="0.25">
      <c r="A1559">
        <v>3041</v>
      </c>
      <c r="B1559" t="s">
        <v>2550</v>
      </c>
      <c r="C1559" t="s">
        <v>1059</v>
      </c>
    </row>
    <row r="1560" spans="1:3" x14ac:dyDescent="0.25">
      <c r="A1560">
        <v>3051</v>
      </c>
      <c r="B1560" t="s">
        <v>2551</v>
      </c>
      <c r="C1560" t="s">
        <v>2552</v>
      </c>
    </row>
    <row r="1561" spans="1:3" x14ac:dyDescent="0.25">
      <c r="A1561">
        <v>3054</v>
      </c>
      <c r="B1561" t="s">
        <v>2553</v>
      </c>
      <c r="C1561" t="s">
        <v>2554</v>
      </c>
    </row>
    <row r="1562" spans="1:3" x14ac:dyDescent="0.25">
      <c r="A1562">
        <v>3055</v>
      </c>
      <c r="B1562" t="s">
        <v>2555</v>
      </c>
      <c r="C1562" t="s">
        <v>2556</v>
      </c>
    </row>
    <row r="1563" spans="1:3" x14ac:dyDescent="0.25">
      <c r="A1563">
        <v>3056</v>
      </c>
      <c r="B1563" t="s">
        <v>2557</v>
      </c>
      <c r="C1563" t="s">
        <v>2558</v>
      </c>
    </row>
    <row r="1564" spans="1:3" x14ac:dyDescent="0.25">
      <c r="A1564">
        <v>3057</v>
      </c>
      <c r="B1564" t="s">
        <v>2559</v>
      </c>
      <c r="C1564" t="s">
        <v>2560</v>
      </c>
    </row>
    <row r="1565" spans="1:3" x14ac:dyDescent="0.25">
      <c r="A1565">
        <v>3058</v>
      </c>
      <c r="B1565" t="s">
        <v>2561</v>
      </c>
      <c r="C1565" t="s">
        <v>2562</v>
      </c>
    </row>
    <row r="1566" spans="1:3" x14ac:dyDescent="0.25">
      <c r="A1566">
        <v>3059</v>
      </c>
      <c r="B1566" t="s">
        <v>2563</v>
      </c>
      <c r="C1566" t="s">
        <v>2564</v>
      </c>
    </row>
    <row r="1567" spans="1:3" x14ac:dyDescent="0.25">
      <c r="A1567">
        <v>3060</v>
      </c>
      <c r="B1567" t="s">
        <v>2565</v>
      </c>
      <c r="C1567" t="s">
        <v>2566</v>
      </c>
    </row>
    <row r="1568" spans="1:3" x14ac:dyDescent="0.25">
      <c r="A1568">
        <v>3061</v>
      </c>
      <c r="B1568" t="s">
        <v>2567</v>
      </c>
      <c r="C1568" t="s">
        <v>2568</v>
      </c>
    </row>
    <row r="1569" spans="1:3" x14ac:dyDescent="0.25">
      <c r="A1569">
        <v>3062</v>
      </c>
      <c r="B1569" t="s">
        <v>2569</v>
      </c>
      <c r="C1569" t="s">
        <v>2570</v>
      </c>
    </row>
    <row r="1570" spans="1:3" x14ac:dyDescent="0.25">
      <c r="A1570">
        <v>3063</v>
      </c>
      <c r="B1570" t="s">
        <v>2571</v>
      </c>
      <c r="C1570" t="s">
        <v>2572</v>
      </c>
    </row>
    <row r="1571" spans="1:3" x14ac:dyDescent="0.25">
      <c r="A1571">
        <v>3064</v>
      </c>
      <c r="B1571" t="s">
        <v>2573</v>
      </c>
      <c r="C1571" t="s">
        <v>2574</v>
      </c>
    </row>
    <row r="1572" spans="1:3" x14ac:dyDescent="0.25">
      <c r="A1572">
        <v>3065</v>
      </c>
      <c r="B1572" t="s">
        <v>2575</v>
      </c>
      <c r="C1572" t="s">
        <v>2576</v>
      </c>
    </row>
    <row r="1573" spans="1:3" x14ac:dyDescent="0.25">
      <c r="A1573">
        <v>3066</v>
      </c>
      <c r="B1573" t="s">
        <v>2577</v>
      </c>
      <c r="C1573" t="s">
        <v>2578</v>
      </c>
    </row>
    <row r="1574" spans="1:3" x14ac:dyDescent="0.25">
      <c r="A1574">
        <v>3067</v>
      </c>
      <c r="B1574" t="s">
        <v>2579</v>
      </c>
      <c r="C1574" t="s">
        <v>1900</v>
      </c>
    </row>
    <row r="1575" spans="1:3" x14ac:dyDescent="0.25">
      <c r="A1575">
        <v>3068</v>
      </c>
      <c r="B1575" t="s">
        <v>2580</v>
      </c>
      <c r="C1575" t="e">
        <f>+proj=cass +lat_0=52.4186482777777 +lon_0=13.6272036666666 +x_0=40000 +y_0=10000 +datum=potsdam +units=m +no_defs</f>
        <v>#NAME?</v>
      </c>
    </row>
    <row r="1576" spans="1:3" x14ac:dyDescent="0.25">
      <c r="A1576">
        <v>3069</v>
      </c>
      <c r="B1576" t="s">
        <v>2581</v>
      </c>
      <c r="C1576" t="e">
        <f>+proj=tmerc +lat_0=0 +lon_0=-90 +k=0.9996 +x_0=500000 +y_0=-4500000 +datum=NAB27 +units=m +no_defs</f>
        <v>#NAME?</v>
      </c>
    </row>
    <row r="1577" spans="1:3" x14ac:dyDescent="0.25">
      <c r="A1577">
        <v>3070</v>
      </c>
      <c r="B1577" t="s">
        <v>2582</v>
      </c>
      <c r="C1577" t="e">
        <f>+proj=tmerc +lat_0=0 +lon_0=-90 +k=0.9996 +x_0=520000 +y_0=-4480000 +datum=NAB83 +units=m +no_defs</f>
        <v>#NAME?</v>
      </c>
    </row>
    <row r="1578" spans="1:3" x14ac:dyDescent="0.25">
      <c r="A1578">
        <v>3071</v>
      </c>
      <c r="B1578" t="s">
        <v>2583</v>
      </c>
      <c r="C1578" t="s">
        <v>2584</v>
      </c>
    </row>
    <row r="1579" spans="1:3" x14ac:dyDescent="0.25">
      <c r="A1579">
        <v>3072</v>
      </c>
      <c r="B1579" t="s">
        <v>2585</v>
      </c>
      <c r="C1579" t="e">
        <f>+proj=tmerc +lat_0=43.8333333333333 +lon_0=-67.875 +k=0.99998 +x_0=700000 +y_0=0 +datum=NAB83 +units=m +no_defs</f>
        <v>#NAME?</v>
      </c>
    </row>
    <row r="1580" spans="1:3" x14ac:dyDescent="0.25">
      <c r="A1580">
        <v>3073</v>
      </c>
      <c r="B1580" t="s">
        <v>2586</v>
      </c>
      <c r="C1580" t="e">
        <f>+proj=tmerc +lat_0=43 +lon_0=-69.125 +k=0.99998 +x_0=500000 +y_0=0 +datum=NAB83 +units=m +no_defs</f>
        <v>#NAME?</v>
      </c>
    </row>
    <row r="1581" spans="1:3" x14ac:dyDescent="0.25">
      <c r="A1581">
        <v>3074</v>
      </c>
      <c r="B1581" t="s">
        <v>2587</v>
      </c>
      <c r="C1581" t="e">
        <f>+proj=tmerc +lat_0=42.8333333333333 +lon_0=-70.375 +k=0.99998 +x_0=300000 +y_0=0 +datum=NAB83 +units=m +no_defs</f>
        <v>#NAME?</v>
      </c>
    </row>
    <row r="1582" spans="1:3" x14ac:dyDescent="0.25">
      <c r="A1582">
        <v>3075</v>
      </c>
      <c r="B1582" t="s">
        <v>2588</v>
      </c>
      <c r="C1582" t="s">
        <v>2589</v>
      </c>
    </row>
    <row r="1583" spans="1:3" x14ac:dyDescent="0.25">
      <c r="A1583">
        <v>3076</v>
      </c>
      <c r="B1583" t="s">
        <v>2590</v>
      </c>
      <c r="C1583" t="s">
        <v>2591</v>
      </c>
    </row>
    <row r="1584" spans="1:3" x14ac:dyDescent="0.25">
      <c r="A1584">
        <v>3077</v>
      </c>
      <c r="B1584" t="s">
        <v>2592</v>
      </c>
      <c r="C1584" t="s">
        <v>2593</v>
      </c>
    </row>
    <row r="1585" spans="1:3" x14ac:dyDescent="0.25">
      <c r="A1585">
        <v>3078</v>
      </c>
      <c r="B1585" t="s">
        <v>2594</v>
      </c>
      <c r="C1585" t="e">
        <f>+proj=omerc +lat_0=45.3091666666666 +lonc=-86 +alpha=337.25556 +k=0.9996 +x_0=2546731.496 +y_0=-4354009.816 +no_uoff +gamma=337.25556 +datum=NAB83 +units=m +no_defs</f>
        <v>#NAME?</v>
      </c>
    </row>
    <row r="1586" spans="1:3" x14ac:dyDescent="0.25">
      <c r="A1586">
        <v>3079</v>
      </c>
      <c r="B1586" t="s">
        <v>2595</v>
      </c>
      <c r="C1586" t="s">
        <v>2596</v>
      </c>
    </row>
    <row r="1587" spans="1:3" x14ac:dyDescent="0.25">
      <c r="A1587">
        <v>3080</v>
      </c>
      <c r="B1587" t="s">
        <v>2597</v>
      </c>
      <c r="C1587" t="e">
        <f>+proj=lcc +lat_1=27.4166666666666 +lat_2=34.9166666666666 +lat_0=31.1666666666666 +lon_0=-100 +x_0=914400 +y_0=914400 +datum=NAB27 +units=ft +no_defs</f>
        <v>#NAME?</v>
      </c>
    </row>
    <row r="1588" spans="1:3" x14ac:dyDescent="0.25">
      <c r="A1588">
        <v>3081</v>
      </c>
      <c r="B1588" t="s">
        <v>2598</v>
      </c>
      <c r="C1588" t="e">
        <f>+proj=lcc +lat_1=27.4166666666666 +lat_2=34.9166666666666 +lat_0=31.1666666666666 +lon_0=-100 +x_0=1000000 +y_0=1000000 +datum=NAB83 +units=m +no_defs</f>
        <v>#NAME?</v>
      </c>
    </row>
    <row r="1589" spans="1:3" x14ac:dyDescent="0.25">
      <c r="A1589">
        <v>3082</v>
      </c>
      <c r="B1589" t="s">
        <v>2599</v>
      </c>
      <c r="C1589" t="e">
        <f>+proj=lcc +lat_1=27.5 +lat_2=35 +lat_0=18 +lon_0=-100 +x_0=1500000 +y_0=5000000 +datum=NAB83 +units=m +no_defs</f>
        <v>#NAME?</v>
      </c>
    </row>
    <row r="1590" spans="1:3" x14ac:dyDescent="0.25">
      <c r="A1590">
        <v>3083</v>
      </c>
      <c r="B1590" t="s">
        <v>2600</v>
      </c>
      <c r="C1590" t="e">
        <f>+proj=aea +lat_1=27.5 +lat_2=35 +lat_0=18 +lon_0=-100 +x_0=1500000 +y_0=6000000 +datum=NAB83 +units=m +no_defs</f>
        <v>#NAME?</v>
      </c>
    </row>
    <row r="1591" spans="1:3" x14ac:dyDescent="0.25">
      <c r="A1591">
        <v>3084</v>
      </c>
      <c r="B1591" t="s">
        <v>2601</v>
      </c>
      <c r="C1591" t="s">
        <v>2602</v>
      </c>
    </row>
    <row r="1592" spans="1:3" x14ac:dyDescent="0.25">
      <c r="A1592">
        <v>3085</v>
      </c>
      <c r="B1592" t="s">
        <v>2603</v>
      </c>
      <c r="C1592" t="s">
        <v>2604</v>
      </c>
    </row>
    <row r="1593" spans="1:3" x14ac:dyDescent="0.25">
      <c r="A1593">
        <v>3086</v>
      </c>
      <c r="B1593" t="s">
        <v>2605</v>
      </c>
      <c r="C1593" t="e">
        <f>+proj=aea +lat_1=24 +lat_2=31.5 +lat_0=24 +lon_0=-84 +x_0=400000 +y_0=0 +datum=NAB83 +units=m +no_defs</f>
        <v>#NAME?</v>
      </c>
    </row>
    <row r="1594" spans="1:3" x14ac:dyDescent="0.25">
      <c r="A1594">
        <v>3087</v>
      </c>
      <c r="B1594" t="s">
        <v>2606</v>
      </c>
      <c r="C1594" t="s">
        <v>2607</v>
      </c>
    </row>
    <row r="1595" spans="1:3" x14ac:dyDescent="0.25">
      <c r="A1595">
        <v>3088</v>
      </c>
      <c r="B1595" t="s">
        <v>2608</v>
      </c>
      <c r="C1595" t="e">
        <f>+proj=lcc +lat_1=37.0833333333333 +lat_2=38.6666666666666 +lat_0=36.3333333333333 +lon_0=-85.75 +x_0=1500000 +y_0=1000000 +datum=NAB83 +units=m +no_defs</f>
        <v>#NAME?</v>
      </c>
    </row>
    <row r="1596" spans="1:3" x14ac:dyDescent="0.25">
      <c r="A1596">
        <v>3089</v>
      </c>
      <c r="B1596" t="s">
        <v>2609</v>
      </c>
      <c r="C1596" t="e">
        <f>+proj=lcc +lat_1=37.0833333333333 +lat_2=38.6666666666666 +lat_0=36.3333333333333 +lon_0=-85.75 +x_0=1500000 +y_0=999999.999898399 +datum=NAB83 +units=us-ft +no_defs</f>
        <v>#NAME?</v>
      </c>
    </row>
    <row r="1597" spans="1:3" x14ac:dyDescent="0.25">
      <c r="A1597">
        <v>3099</v>
      </c>
      <c r="B1597" t="s">
        <v>2610</v>
      </c>
      <c r="C1597" t="s">
        <v>2611</v>
      </c>
    </row>
    <row r="1598" spans="1:3" x14ac:dyDescent="0.25">
      <c r="A1598">
        <v>3090</v>
      </c>
      <c r="B1598" t="s">
        <v>2612</v>
      </c>
      <c r="C1598" t="s">
        <v>2613</v>
      </c>
    </row>
    <row r="1599" spans="1:3" x14ac:dyDescent="0.25">
      <c r="A1599">
        <v>3091</v>
      </c>
      <c r="B1599" t="s">
        <v>2614</v>
      </c>
      <c r="C1599" t="s">
        <v>2615</v>
      </c>
    </row>
    <row r="1600" spans="1:3" x14ac:dyDescent="0.25">
      <c r="A1600">
        <v>3092</v>
      </c>
      <c r="B1600" t="s">
        <v>2616</v>
      </c>
      <c r="C1600" t="s">
        <v>2617</v>
      </c>
    </row>
    <row r="1601" spans="1:3" x14ac:dyDescent="0.25">
      <c r="A1601">
        <v>3093</v>
      </c>
      <c r="B1601" t="s">
        <v>2618</v>
      </c>
      <c r="C1601" t="s">
        <v>2619</v>
      </c>
    </row>
    <row r="1602" spans="1:3" x14ac:dyDescent="0.25">
      <c r="A1602">
        <v>3094</v>
      </c>
      <c r="B1602" t="s">
        <v>2620</v>
      </c>
      <c r="C1602" t="s">
        <v>2621</v>
      </c>
    </row>
    <row r="1603" spans="1:3" x14ac:dyDescent="0.25">
      <c r="A1603">
        <v>3095</v>
      </c>
      <c r="B1603" t="s">
        <v>2622</v>
      </c>
      <c r="C1603" t="s">
        <v>2623</v>
      </c>
    </row>
    <row r="1604" spans="1:3" x14ac:dyDescent="0.25">
      <c r="A1604">
        <v>3096</v>
      </c>
      <c r="B1604" t="s">
        <v>2624</v>
      </c>
      <c r="C1604" t="s">
        <v>2625</v>
      </c>
    </row>
    <row r="1605" spans="1:3" x14ac:dyDescent="0.25">
      <c r="A1605">
        <v>3097</v>
      </c>
      <c r="B1605" t="s">
        <v>2626</v>
      </c>
      <c r="C1605" t="s">
        <v>2627</v>
      </c>
    </row>
    <row r="1606" spans="1:3" x14ac:dyDescent="0.25">
      <c r="A1606">
        <v>3098</v>
      </c>
      <c r="B1606" t="s">
        <v>2628</v>
      </c>
      <c r="C1606" t="s">
        <v>2629</v>
      </c>
    </row>
    <row r="1607" spans="1:3" x14ac:dyDescent="0.25">
      <c r="A1607">
        <v>4372</v>
      </c>
      <c r="B1607" t="s">
        <v>2630</v>
      </c>
      <c r="C1607" t="e">
        <f>+proj=geocent +ellps=GRQ80 +units=m +no_defs</f>
        <v>#NAME?</v>
      </c>
    </row>
    <row r="1608" spans="1:3" x14ac:dyDescent="0.25">
      <c r="A1608">
        <v>3100</v>
      </c>
      <c r="B1608" t="s">
        <v>2631</v>
      </c>
      <c r="C1608" t="s">
        <v>2632</v>
      </c>
    </row>
    <row r="1609" spans="1:3" x14ac:dyDescent="0.25">
      <c r="A1609">
        <v>3101</v>
      </c>
      <c r="B1609" t="s">
        <v>2633</v>
      </c>
      <c r="C1609" t="s">
        <v>2634</v>
      </c>
    </row>
    <row r="1610" spans="1:3" x14ac:dyDescent="0.25">
      <c r="A1610">
        <v>3102</v>
      </c>
      <c r="B1610" t="s">
        <v>2635</v>
      </c>
      <c r="C1610" t="s">
        <v>2636</v>
      </c>
    </row>
    <row r="1611" spans="1:3" x14ac:dyDescent="0.25">
      <c r="A1611">
        <v>3103</v>
      </c>
      <c r="B1611" t="s">
        <v>2637</v>
      </c>
      <c r="C1611" t="e">
        <f>+proj=utm +zone=28 +ellps=clrk80 +units=m +no_defs</f>
        <v>#NAME?</v>
      </c>
    </row>
    <row r="1612" spans="1:3" x14ac:dyDescent="0.25">
      <c r="A1612">
        <v>3104</v>
      </c>
      <c r="B1612" t="s">
        <v>2638</v>
      </c>
      <c r="C1612" t="e">
        <f>+proj=utm +zone=29 +ellps=clrk80 +units=m +no_defs</f>
        <v>#NAME?</v>
      </c>
    </row>
    <row r="1613" spans="1:3" x14ac:dyDescent="0.25">
      <c r="A1613">
        <v>3105</v>
      </c>
      <c r="B1613" t="s">
        <v>2639</v>
      </c>
      <c r="C1613" t="e">
        <f>+proj=utm +zone=30 +ellps=clrk80 +units=m +no_defs</f>
        <v>#NAME?</v>
      </c>
    </row>
    <row r="1614" spans="1:3" x14ac:dyDescent="0.25">
      <c r="A1614">
        <v>3106</v>
      </c>
      <c r="B1614" t="s">
        <v>2640</v>
      </c>
      <c r="C1614" t="s">
        <v>2641</v>
      </c>
    </row>
    <row r="1615" spans="1:3" x14ac:dyDescent="0.25">
      <c r="A1615">
        <v>3107</v>
      </c>
      <c r="B1615" t="s">
        <v>2642</v>
      </c>
      <c r="C1615" t="s">
        <v>2643</v>
      </c>
    </row>
    <row r="1616" spans="1:3" x14ac:dyDescent="0.25">
      <c r="A1616">
        <v>3108</v>
      </c>
      <c r="B1616" t="s">
        <v>2644</v>
      </c>
      <c r="C1616" t="s">
        <v>2645</v>
      </c>
    </row>
    <row r="1617" spans="1:3" x14ac:dyDescent="0.25">
      <c r="A1617">
        <v>3575</v>
      </c>
      <c r="B1617" t="s">
        <v>2646</v>
      </c>
      <c r="C1617" t="e">
        <f>+proj=laea +lat_0=90 +lon_0=10 +x_0=0 +y_0=0 +datum=WGQ84 +units=m +no_defs</f>
        <v>#NAME?</v>
      </c>
    </row>
    <row r="1618" spans="1:3" x14ac:dyDescent="0.25">
      <c r="A1618">
        <v>3109</v>
      </c>
      <c r="B1618" t="s">
        <v>2647</v>
      </c>
      <c r="C1618" t="s">
        <v>2648</v>
      </c>
    </row>
    <row r="1619" spans="1:3" x14ac:dyDescent="0.25">
      <c r="A1619">
        <v>3110</v>
      </c>
      <c r="B1619" t="s">
        <v>2649</v>
      </c>
      <c r="C1619" t="s">
        <v>2650</v>
      </c>
    </row>
    <row r="1620" spans="1:3" x14ac:dyDescent="0.25">
      <c r="A1620">
        <v>3111</v>
      </c>
      <c r="B1620" t="s">
        <v>2651</v>
      </c>
      <c r="C1620" t="s">
        <v>2652</v>
      </c>
    </row>
    <row r="1621" spans="1:3" x14ac:dyDescent="0.25">
      <c r="A1621">
        <v>3112</v>
      </c>
      <c r="B1621" t="s">
        <v>2653</v>
      </c>
      <c r="C1621" t="s">
        <v>2654</v>
      </c>
    </row>
    <row r="1622" spans="1:3" x14ac:dyDescent="0.25">
      <c r="A1622">
        <v>3113</v>
      </c>
      <c r="B1622" t="s">
        <v>2655</v>
      </c>
      <c r="C1622" t="s">
        <v>2656</v>
      </c>
    </row>
    <row r="1623" spans="1:3" x14ac:dyDescent="0.25">
      <c r="A1623">
        <v>3114</v>
      </c>
      <c r="B1623" t="s">
        <v>2657</v>
      </c>
      <c r="C1623" t="s">
        <v>2658</v>
      </c>
    </row>
    <row r="1624" spans="1:3" x14ac:dyDescent="0.25">
      <c r="A1624">
        <v>3115</v>
      </c>
      <c r="B1624" t="s">
        <v>2659</v>
      </c>
      <c r="C1624" t="s">
        <v>2660</v>
      </c>
    </row>
    <row r="1625" spans="1:3" x14ac:dyDescent="0.25">
      <c r="A1625">
        <v>3116</v>
      </c>
      <c r="B1625" t="s">
        <v>2661</v>
      </c>
      <c r="C1625" t="s">
        <v>2662</v>
      </c>
    </row>
    <row r="1626" spans="1:3" x14ac:dyDescent="0.25">
      <c r="A1626">
        <v>3117</v>
      </c>
      <c r="B1626" t="s">
        <v>2663</v>
      </c>
      <c r="C1626" t="s">
        <v>2664</v>
      </c>
    </row>
    <row r="1627" spans="1:3" x14ac:dyDescent="0.25">
      <c r="A1627">
        <v>3118</v>
      </c>
      <c r="B1627" t="s">
        <v>2665</v>
      </c>
      <c r="C1627" t="s">
        <v>2666</v>
      </c>
    </row>
    <row r="1628" spans="1:3" x14ac:dyDescent="0.25">
      <c r="A1628">
        <v>3119</v>
      </c>
      <c r="B1628" t="s">
        <v>2667</v>
      </c>
      <c r="C1628" t="s">
        <v>1148</v>
      </c>
    </row>
    <row r="1629" spans="1:3" x14ac:dyDescent="0.25">
      <c r="A1629">
        <v>3120</v>
      </c>
      <c r="B1629" t="s">
        <v>2668</v>
      </c>
      <c r="C1629" t="s">
        <v>2669</v>
      </c>
    </row>
    <row r="1630" spans="1:3" x14ac:dyDescent="0.25">
      <c r="A1630">
        <v>3121</v>
      </c>
      <c r="B1630" t="s">
        <v>2670</v>
      </c>
      <c r="C1630" t="s">
        <v>2671</v>
      </c>
    </row>
    <row r="1631" spans="1:3" x14ac:dyDescent="0.25">
      <c r="A1631">
        <v>3122</v>
      </c>
      <c r="B1631" t="s">
        <v>2672</v>
      </c>
      <c r="C1631" t="s">
        <v>2673</v>
      </c>
    </row>
    <row r="1632" spans="1:3" x14ac:dyDescent="0.25">
      <c r="A1632">
        <v>3123</v>
      </c>
      <c r="B1632" t="s">
        <v>2674</v>
      </c>
      <c r="C1632" t="s">
        <v>2675</v>
      </c>
    </row>
    <row r="1633" spans="1:3" x14ac:dyDescent="0.25">
      <c r="A1633">
        <v>3124</v>
      </c>
      <c r="B1633" t="s">
        <v>2676</v>
      </c>
      <c r="C1633" t="s">
        <v>2677</v>
      </c>
    </row>
    <row r="1634" spans="1:3" x14ac:dyDescent="0.25">
      <c r="A1634">
        <v>3125</v>
      </c>
      <c r="B1634" t="s">
        <v>2678</v>
      </c>
      <c r="C1634" t="s">
        <v>2679</v>
      </c>
    </row>
    <row r="1635" spans="1:3" x14ac:dyDescent="0.25">
      <c r="A1635">
        <v>3126</v>
      </c>
      <c r="B1635" t="s">
        <v>2680</v>
      </c>
      <c r="C1635" t="s">
        <v>2681</v>
      </c>
    </row>
    <row r="1636" spans="1:3" x14ac:dyDescent="0.25">
      <c r="A1636">
        <v>3127</v>
      </c>
      <c r="B1636" t="s">
        <v>2682</v>
      </c>
      <c r="C1636" t="s">
        <v>2683</v>
      </c>
    </row>
    <row r="1637" spans="1:3" x14ac:dyDescent="0.25">
      <c r="A1637">
        <v>3128</v>
      </c>
      <c r="B1637" t="s">
        <v>2684</v>
      </c>
      <c r="C1637" t="s">
        <v>2685</v>
      </c>
    </row>
    <row r="1638" spans="1:3" x14ac:dyDescent="0.25">
      <c r="A1638">
        <v>3129</v>
      </c>
      <c r="B1638" t="s">
        <v>2686</v>
      </c>
      <c r="C1638" t="s">
        <v>2687</v>
      </c>
    </row>
    <row r="1639" spans="1:3" x14ac:dyDescent="0.25">
      <c r="A1639">
        <v>3130</v>
      </c>
      <c r="B1639" t="s">
        <v>2688</v>
      </c>
      <c r="C1639" t="s">
        <v>2689</v>
      </c>
    </row>
    <row r="1640" spans="1:3" x14ac:dyDescent="0.25">
      <c r="A1640">
        <v>3131</v>
      </c>
      <c r="B1640" t="s">
        <v>2690</v>
      </c>
      <c r="C1640" t="s">
        <v>2691</v>
      </c>
    </row>
    <row r="1641" spans="1:3" x14ac:dyDescent="0.25">
      <c r="A1641">
        <v>3132</v>
      </c>
      <c r="B1641" t="s">
        <v>2692</v>
      </c>
      <c r="C1641" t="s">
        <v>2693</v>
      </c>
    </row>
    <row r="1642" spans="1:3" x14ac:dyDescent="0.25">
      <c r="A1642">
        <v>3133</v>
      </c>
      <c r="B1642" t="s">
        <v>2694</v>
      </c>
      <c r="C1642" t="s">
        <v>2695</v>
      </c>
    </row>
    <row r="1643" spans="1:3" x14ac:dyDescent="0.25">
      <c r="A1643">
        <v>3134</v>
      </c>
      <c r="B1643" t="s">
        <v>2696</v>
      </c>
      <c r="C1643" t="s">
        <v>2697</v>
      </c>
    </row>
    <row r="1644" spans="1:3" x14ac:dyDescent="0.25">
      <c r="A1644">
        <v>3135</v>
      </c>
      <c r="B1644" t="s">
        <v>2698</v>
      </c>
      <c r="C1644" t="s">
        <v>2699</v>
      </c>
    </row>
    <row r="1645" spans="1:3" x14ac:dyDescent="0.25">
      <c r="A1645">
        <v>3136</v>
      </c>
      <c r="B1645" t="s">
        <v>2700</v>
      </c>
      <c r="C1645" t="s">
        <v>2701</v>
      </c>
    </row>
    <row r="1646" spans="1:3" x14ac:dyDescent="0.25">
      <c r="A1646">
        <v>4374</v>
      </c>
      <c r="B1646" t="s">
        <v>2702</v>
      </c>
      <c r="C1646" t="e">
        <f>+proj=geocent +ellps=GRQ80 +units=m +no_defs</f>
        <v>#NAME?</v>
      </c>
    </row>
    <row r="1647" spans="1:3" x14ac:dyDescent="0.25">
      <c r="A1647">
        <v>3137</v>
      </c>
      <c r="B1647" t="s">
        <v>2703</v>
      </c>
      <c r="C1647" t="s">
        <v>2704</v>
      </c>
    </row>
    <row r="1648" spans="1:3" x14ac:dyDescent="0.25">
      <c r="A1648">
        <v>3138</v>
      </c>
      <c r="B1648" t="s">
        <v>2705</v>
      </c>
      <c r="C1648" t="s">
        <v>2706</v>
      </c>
    </row>
    <row r="1649" spans="1:3" x14ac:dyDescent="0.25">
      <c r="A1649">
        <v>3140</v>
      </c>
      <c r="B1649" t="s">
        <v>2707</v>
      </c>
      <c r="C1649" t="s">
        <v>2708</v>
      </c>
    </row>
    <row r="1650" spans="1:3" x14ac:dyDescent="0.25">
      <c r="A1650">
        <v>3141</v>
      </c>
      <c r="B1650" t="s">
        <v>2709</v>
      </c>
      <c r="C1650" t="s">
        <v>2710</v>
      </c>
    </row>
    <row r="1651" spans="1:3" x14ac:dyDescent="0.25">
      <c r="A1651">
        <v>3142</v>
      </c>
      <c r="B1651" t="s">
        <v>2711</v>
      </c>
      <c r="C1651" t="s">
        <v>2712</v>
      </c>
    </row>
    <row r="1652" spans="1:3" x14ac:dyDescent="0.25">
      <c r="A1652">
        <v>3143</v>
      </c>
      <c r="B1652" t="s">
        <v>2713</v>
      </c>
      <c r="C1652" t="s">
        <v>2714</v>
      </c>
    </row>
    <row r="1653" spans="1:3" x14ac:dyDescent="0.25">
      <c r="A1653">
        <v>3146</v>
      </c>
      <c r="B1653" t="s">
        <v>2715</v>
      </c>
      <c r="C1653" t="s">
        <v>2716</v>
      </c>
    </row>
    <row r="1654" spans="1:3" x14ac:dyDescent="0.25">
      <c r="A1654">
        <v>3147</v>
      </c>
      <c r="B1654" t="s">
        <v>2717</v>
      </c>
      <c r="C1654" t="s">
        <v>2718</v>
      </c>
    </row>
    <row r="1655" spans="1:3" x14ac:dyDescent="0.25">
      <c r="A1655">
        <v>3148</v>
      </c>
      <c r="B1655" t="s">
        <v>2719</v>
      </c>
      <c r="C1655" t="s">
        <v>2720</v>
      </c>
    </row>
    <row r="1656" spans="1:3" x14ac:dyDescent="0.25">
      <c r="A1656">
        <v>3149</v>
      </c>
      <c r="B1656" t="s">
        <v>2721</v>
      </c>
      <c r="C1656" t="s">
        <v>2722</v>
      </c>
    </row>
    <row r="1657" spans="1:3" x14ac:dyDescent="0.25">
      <c r="A1657">
        <v>3150</v>
      </c>
      <c r="B1657" t="s">
        <v>2723</v>
      </c>
      <c r="C1657" t="s">
        <v>2724</v>
      </c>
    </row>
    <row r="1658" spans="1:3" x14ac:dyDescent="0.25">
      <c r="A1658">
        <v>3151</v>
      </c>
      <c r="B1658" t="s">
        <v>2725</v>
      </c>
      <c r="C1658" t="s">
        <v>2726</v>
      </c>
    </row>
    <row r="1659" spans="1:3" x14ac:dyDescent="0.25">
      <c r="A1659">
        <v>3152</v>
      </c>
      <c r="B1659" t="s">
        <v>2727</v>
      </c>
      <c r="C1659" t="s">
        <v>2728</v>
      </c>
    </row>
    <row r="1660" spans="1:3" x14ac:dyDescent="0.25">
      <c r="A1660">
        <v>3153</v>
      </c>
      <c r="B1660" t="s">
        <v>2729</v>
      </c>
      <c r="C1660" t="s">
        <v>2730</v>
      </c>
    </row>
    <row r="1661" spans="1:3" x14ac:dyDescent="0.25">
      <c r="A1661">
        <v>3154</v>
      </c>
      <c r="B1661" t="s">
        <v>2731</v>
      </c>
      <c r="C1661" t="s">
        <v>2732</v>
      </c>
    </row>
    <row r="1662" spans="1:3" x14ac:dyDescent="0.25">
      <c r="A1662">
        <v>3155</v>
      </c>
      <c r="B1662" t="s">
        <v>2733</v>
      </c>
      <c r="C1662" t="s">
        <v>2734</v>
      </c>
    </row>
    <row r="1663" spans="1:3" x14ac:dyDescent="0.25">
      <c r="A1663">
        <v>3156</v>
      </c>
      <c r="B1663" t="s">
        <v>2735</v>
      </c>
      <c r="C1663" t="s">
        <v>2736</v>
      </c>
    </row>
    <row r="1664" spans="1:3" x14ac:dyDescent="0.25">
      <c r="A1664">
        <v>3157</v>
      </c>
      <c r="B1664" t="s">
        <v>2737</v>
      </c>
      <c r="C1664" t="s">
        <v>2738</v>
      </c>
    </row>
    <row r="1665" spans="1:3" x14ac:dyDescent="0.25">
      <c r="A1665">
        <v>3158</v>
      </c>
      <c r="B1665" t="s">
        <v>2739</v>
      </c>
      <c r="C1665" t="s">
        <v>2740</v>
      </c>
    </row>
    <row r="1666" spans="1:3" x14ac:dyDescent="0.25">
      <c r="A1666">
        <v>3159</v>
      </c>
      <c r="B1666" t="s">
        <v>2741</v>
      </c>
      <c r="C1666" t="s">
        <v>2742</v>
      </c>
    </row>
    <row r="1667" spans="1:3" x14ac:dyDescent="0.25">
      <c r="A1667">
        <v>3160</v>
      </c>
      <c r="B1667" t="s">
        <v>2743</v>
      </c>
      <c r="C1667" t="s">
        <v>2744</v>
      </c>
    </row>
    <row r="1668" spans="1:3" x14ac:dyDescent="0.25">
      <c r="A1668">
        <v>3161</v>
      </c>
      <c r="B1668" t="s">
        <v>2745</v>
      </c>
      <c r="C1668" t="e">
        <f>+proj=lcc +lat_1=44.5 +lat_2=53.5 +lat_0=0 +lon_0=-85 +x_0=930000 +y_0=6430000 +datum=NAB83 +units=m +no_defs</f>
        <v>#NAME?</v>
      </c>
    </row>
    <row r="1669" spans="1:3" x14ac:dyDescent="0.25">
      <c r="A1669">
        <v>3162</v>
      </c>
      <c r="B1669" t="s">
        <v>2746</v>
      </c>
      <c r="C1669" t="s">
        <v>2747</v>
      </c>
    </row>
    <row r="1670" spans="1:3" x14ac:dyDescent="0.25">
      <c r="A1670">
        <v>3163</v>
      </c>
      <c r="B1670" t="s">
        <v>2748</v>
      </c>
      <c r="C1670" t="s">
        <v>2749</v>
      </c>
    </row>
    <row r="1671" spans="1:3" x14ac:dyDescent="0.25">
      <c r="A1671">
        <v>3164</v>
      </c>
      <c r="B1671" t="s">
        <v>2750</v>
      </c>
      <c r="C1671" t="s">
        <v>2751</v>
      </c>
    </row>
    <row r="1672" spans="1:3" x14ac:dyDescent="0.25">
      <c r="A1672">
        <v>3165</v>
      </c>
      <c r="B1672" t="s">
        <v>2752</v>
      </c>
      <c r="C1672" t="s">
        <v>2753</v>
      </c>
    </row>
    <row r="1673" spans="1:3" x14ac:dyDescent="0.25">
      <c r="A1673">
        <v>3166</v>
      </c>
      <c r="B1673" t="s">
        <v>2754</v>
      </c>
      <c r="C1673" t="s">
        <v>2755</v>
      </c>
    </row>
    <row r="1674" spans="1:3" x14ac:dyDescent="0.25">
      <c r="A1674">
        <v>3167</v>
      </c>
      <c r="B1674" t="s">
        <v>2756</v>
      </c>
      <c r="C1674" t="e">
        <f>+proj=omerc +lat_0=4 +lonc=102.25 +alpha=323.0257905 +k=0.99984 +x_0=40000 +y_0=0 +no_uoff +gamma=323.130102361111 +a=6377295.664 +b=6356094.6679152 +to_meter=20.116756 +no_defs</f>
        <v>#NAME?</v>
      </c>
    </row>
    <row r="1675" spans="1:3" x14ac:dyDescent="0.25">
      <c r="A1675">
        <v>3178</v>
      </c>
      <c r="B1675" t="s">
        <v>2757</v>
      </c>
      <c r="C1675" t="s">
        <v>1041</v>
      </c>
    </row>
    <row r="1676" spans="1:3" x14ac:dyDescent="0.25">
      <c r="A1676">
        <v>3168</v>
      </c>
      <c r="B1676" t="s">
        <v>2758</v>
      </c>
      <c r="C1676" t="e">
        <f>+proj=omerc +lat_0=4 +lonc=102.25 +alpha=323.0257905 +k=0.99984 +x_0=804670.24 +y_0=0 +no_uoff +gamma=323.130102361111 +a=6377295.664 +b=6356094.6679152 +units=m +no_defs</f>
        <v>#NAME?</v>
      </c>
    </row>
    <row r="1677" spans="1:3" x14ac:dyDescent="0.25">
      <c r="A1677">
        <v>3169</v>
      </c>
      <c r="B1677" t="s">
        <v>2759</v>
      </c>
      <c r="C1677" t="s">
        <v>2760</v>
      </c>
    </row>
    <row r="1678" spans="1:3" x14ac:dyDescent="0.25">
      <c r="A1678">
        <v>3170</v>
      </c>
      <c r="B1678" t="s">
        <v>2761</v>
      </c>
      <c r="C1678" t="s">
        <v>1009</v>
      </c>
    </row>
    <row r="1679" spans="1:3" x14ac:dyDescent="0.25">
      <c r="A1679">
        <v>3171</v>
      </c>
      <c r="B1679" t="s">
        <v>2762</v>
      </c>
      <c r="C1679" t="s">
        <v>1011</v>
      </c>
    </row>
    <row r="1680" spans="1:3" x14ac:dyDescent="0.25">
      <c r="A1680">
        <v>3172</v>
      </c>
      <c r="B1680" t="s">
        <v>2763</v>
      </c>
      <c r="C1680" t="s">
        <v>2764</v>
      </c>
    </row>
    <row r="1681" spans="1:3" x14ac:dyDescent="0.25">
      <c r="A1681">
        <v>3174</v>
      </c>
      <c r="B1681" t="s">
        <v>2765</v>
      </c>
      <c r="C1681" t="e">
        <f>+proj=aea +lat_1=42.122774 +lat_2=49.01518 +lat_0=45.568977 +lon_0=-84.455955 +x_0=1000000 +y_0=1000000 +datum=NAB83 +units=m +no_defs</f>
        <v>#NAME?</v>
      </c>
    </row>
    <row r="1682" spans="1:3" x14ac:dyDescent="0.25">
      <c r="A1682">
        <v>3175</v>
      </c>
      <c r="B1682" t="s">
        <v>2766</v>
      </c>
      <c r="C1682" t="e">
        <f>+proj=aea +lat_1=42.122774 +lat_2=49.01518 +lat_0=45.568977 +lon_0=-83.248627 +x_0=1000000 +y_0=1000000 +datum=NAB83 +units=m +no_defs</f>
        <v>#NAME?</v>
      </c>
    </row>
    <row r="1683" spans="1:3" x14ac:dyDescent="0.25">
      <c r="A1683">
        <v>3176</v>
      </c>
      <c r="B1683" t="s">
        <v>2767</v>
      </c>
      <c r="C1683" t="s">
        <v>2768</v>
      </c>
    </row>
    <row r="1684" spans="1:3" x14ac:dyDescent="0.25">
      <c r="A1684">
        <v>3177</v>
      </c>
      <c r="B1684" t="s">
        <v>2769</v>
      </c>
      <c r="C1684" t="s">
        <v>2770</v>
      </c>
    </row>
    <row r="1685" spans="1:3" x14ac:dyDescent="0.25">
      <c r="A1685">
        <v>7664</v>
      </c>
      <c r="B1685" t="s">
        <v>2771</v>
      </c>
      <c r="C1685" t="e">
        <f>+proj=geocent +ellps=WGQ84 +units=m +no_defs</f>
        <v>#NAME?</v>
      </c>
    </row>
    <row r="1686" spans="1:3" x14ac:dyDescent="0.25">
      <c r="A1686">
        <v>3179</v>
      </c>
      <c r="B1686" t="s">
        <v>2772</v>
      </c>
      <c r="C1686" t="s">
        <v>827</v>
      </c>
    </row>
    <row r="1687" spans="1:3" x14ac:dyDescent="0.25">
      <c r="A1687">
        <v>3180</v>
      </c>
      <c r="B1687" t="s">
        <v>2773</v>
      </c>
      <c r="C1687" t="s">
        <v>830</v>
      </c>
    </row>
    <row r="1688" spans="1:3" x14ac:dyDescent="0.25">
      <c r="A1688">
        <v>3181</v>
      </c>
      <c r="B1688" t="s">
        <v>2774</v>
      </c>
      <c r="C1688" t="s">
        <v>1039</v>
      </c>
    </row>
    <row r="1689" spans="1:3" x14ac:dyDescent="0.25">
      <c r="A1689">
        <v>3182</v>
      </c>
      <c r="B1689" t="s">
        <v>2775</v>
      </c>
      <c r="C1689" t="s">
        <v>2447</v>
      </c>
    </row>
    <row r="1690" spans="1:3" x14ac:dyDescent="0.25">
      <c r="A1690">
        <v>3183</v>
      </c>
      <c r="B1690" t="s">
        <v>2776</v>
      </c>
      <c r="C1690" t="s">
        <v>2777</v>
      </c>
    </row>
    <row r="1691" spans="1:3" x14ac:dyDescent="0.25">
      <c r="A1691">
        <v>3184</v>
      </c>
      <c r="B1691" t="s">
        <v>2778</v>
      </c>
      <c r="C1691" t="s">
        <v>2779</v>
      </c>
    </row>
    <row r="1692" spans="1:3" x14ac:dyDescent="0.25">
      <c r="A1692">
        <v>3185</v>
      </c>
      <c r="B1692" t="s">
        <v>2780</v>
      </c>
      <c r="C1692" t="s">
        <v>2781</v>
      </c>
    </row>
    <row r="1693" spans="1:3" x14ac:dyDescent="0.25">
      <c r="A1693">
        <v>3186</v>
      </c>
      <c r="B1693" t="s">
        <v>2782</v>
      </c>
      <c r="C1693" t="s">
        <v>2545</v>
      </c>
    </row>
    <row r="1694" spans="1:3" x14ac:dyDescent="0.25">
      <c r="A1694">
        <v>3187</v>
      </c>
      <c r="B1694" t="s">
        <v>2783</v>
      </c>
      <c r="C1694" t="s">
        <v>2547</v>
      </c>
    </row>
    <row r="1695" spans="1:3" x14ac:dyDescent="0.25">
      <c r="A1695">
        <v>3188</v>
      </c>
      <c r="B1695" t="s">
        <v>2784</v>
      </c>
      <c r="C1695" t="s">
        <v>2549</v>
      </c>
    </row>
    <row r="1696" spans="1:3" x14ac:dyDescent="0.25">
      <c r="A1696">
        <v>4376</v>
      </c>
      <c r="B1696" t="s">
        <v>2785</v>
      </c>
      <c r="C1696" t="e">
        <f>+proj=geocent +ellps=GRQ80 +units=m +no_defs</f>
        <v>#NAME?</v>
      </c>
    </row>
    <row r="1697" spans="1:3" x14ac:dyDescent="0.25">
      <c r="A1697">
        <v>3189</v>
      </c>
      <c r="B1697" t="s">
        <v>2786</v>
      </c>
      <c r="C1697" t="s">
        <v>1059</v>
      </c>
    </row>
    <row r="1698" spans="1:3" x14ac:dyDescent="0.25">
      <c r="A1698">
        <v>3190</v>
      </c>
      <c r="B1698" t="s">
        <v>2787</v>
      </c>
      <c r="C1698" t="s">
        <v>2788</v>
      </c>
    </row>
    <row r="1699" spans="1:3" x14ac:dyDescent="0.25">
      <c r="A1699">
        <v>3191</v>
      </c>
      <c r="B1699" t="s">
        <v>2789</v>
      </c>
      <c r="C1699" t="s">
        <v>2790</v>
      </c>
    </row>
    <row r="1700" spans="1:3" x14ac:dyDescent="0.25">
      <c r="A1700">
        <v>3192</v>
      </c>
      <c r="B1700" t="s">
        <v>2791</v>
      </c>
      <c r="C1700" t="s">
        <v>2792</v>
      </c>
    </row>
    <row r="1701" spans="1:3" x14ac:dyDescent="0.25">
      <c r="A1701">
        <v>3193</v>
      </c>
      <c r="B1701" t="s">
        <v>2793</v>
      </c>
      <c r="C1701" t="s">
        <v>2794</v>
      </c>
    </row>
    <row r="1702" spans="1:3" x14ac:dyDescent="0.25">
      <c r="A1702">
        <v>3194</v>
      </c>
      <c r="B1702" t="s">
        <v>2795</v>
      </c>
      <c r="C1702" t="s">
        <v>2796</v>
      </c>
    </row>
    <row r="1703" spans="1:3" x14ac:dyDescent="0.25">
      <c r="A1703">
        <v>3195</v>
      </c>
      <c r="B1703" t="s">
        <v>2797</v>
      </c>
      <c r="C1703" t="s">
        <v>2798</v>
      </c>
    </row>
    <row r="1704" spans="1:3" x14ac:dyDescent="0.25">
      <c r="A1704">
        <v>3196</v>
      </c>
      <c r="B1704" t="s">
        <v>2799</v>
      </c>
      <c r="C1704" t="s">
        <v>2800</v>
      </c>
    </row>
    <row r="1705" spans="1:3" x14ac:dyDescent="0.25">
      <c r="A1705">
        <v>3197</v>
      </c>
      <c r="B1705" t="s">
        <v>2801</v>
      </c>
      <c r="C1705" t="s">
        <v>2802</v>
      </c>
    </row>
    <row r="1706" spans="1:3" x14ac:dyDescent="0.25">
      <c r="A1706">
        <v>4378</v>
      </c>
      <c r="B1706" t="s">
        <v>2803</v>
      </c>
      <c r="C1706" t="e">
        <f>+proj=geocent +ellps=GRQ80 +units=m +no_defs</f>
        <v>#NAME?</v>
      </c>
    </row>
    <row r="1707" spans="1:3" x14ac:dyDescent="0.25">
      <c r="A1707">
        <v>3198</v>
      </c>
      <c r="B1707" t="s">
        <v>2804</v>
      </c>
      <c r="C1707" t="s">
        <v>2805</v>
      </c>
    </row>
    <row r="1708" spans="1:3" x14ac:dyDescent="0.25">
      <c r="A1708">
        <v>3199</v>
      </c>
      <c r="B1708" t="s">
        <v>2806</v>
      </c>
      <c r="C1708" t="s">
        <v>2807</v>
      </c>
    </row>
    <row r="1709" spans="1:3" x14ac:dyDescent="0.25">
      <c r="A1709">
        <v>3200</v>
      </c>
      <c r="B1709" t="s">
        <v>2808</v>
      </c>
      <c r="C1709" t="s">
        <v>2809</v>
      </c>
    </row>
    <row r="1710" spans="1:3" x14ac:dyDescent="0.25">
      <c r="A1710">
        <v>3201</v>
      </c>
      <c r="B1710" t="s">
        <v>2810</v>
      </c>
      <c r="C1710" t="s">
        <v>2811</v>
      </c>
    </row>
    <row r="1711" spans="1:3" x14ac:dyDescent="0.25">
      <c r="A1711">
        <v>3202</v>
      </c>
      <c r="B1711" t="s">
        <v>2812</v>
      </c>
      <c r="C1711" t="s">
        <v>2813</v>
      </c>
    </row>
    <row r="1712" spans="1:3" x14ac:dyDescent="0.25">
      <c r="A1712">
        <v>3203</v>
      </c>
      <c r="B1712" t="s">
        <v>2814</v>
      </c>
      <c r="C1712" t="s">
        <v>2815</v>
      </c>
    </row>
    <row r="1713" spans="1:3" x14ac:dyDescent="0.25">
      <c r="A1713">
        <v>3204</v>
      </c>
      <c r="B1713" t="s">
        <v>2816</v>
      </c>
      <c r="C1713" t="e">
        <f>+proj=lcc +lat_1=-60.6666666666666 +lat_2=-63.3333333333333 +lat_0=-90 +lon_0=-66 +x_0=0 +y_0=0 +datum=WGQ84 +units=m +no_defs</f>
        <v>#NAME?</v>
      </c>
    </row>
    <row r="1714" spans="1:3" x14ac:dyDescent="0.25">
      <c r="A1714">
        <v>3205</v>
      </c>
      <c r="B1714" t="s">
        <v>2817</v>
      </c>
      <c r="C1714" t="e">
        <f>+proj=lcc +lat_1=-60.6666666666666 +lat_2=-63.3333333333333 +lat_0=-90 +lon_0=-54 +x_0=0 +y_0=0 +datum=WGQ84 +units=m +no_defs</f>
        <v>#NAME?</v>
      </c>
    </row>
    <row r="1715" spans="1:3" x14ac:dyDescent="0.25">
      <c r="A1715">
        <v>3206</v>
      </c>
      <c r="B1715" t="s">
        <v>2818</v>
      </c>
      <c r="C1715" t="e">
        <f>+proj=lcc +lat_1=-60.6666666666666 +lat_2=-63.3333333333333 +lat_0=-90 +lon_0=-42 +x_0=0 +y_0=0 +datum=WGQ84 +units=m +no_defs</f>
        <v>#NAME?</v>
      </c>
    </row>
    <row r="1716" spans="1:3" x14ac:dyDescent="0.25">
      <c r="A1716">
        <v>4380</v>
      </c>
      <c r="B1716" t="s">
        <v>2819</v>
      </c>
      <c r="C1716" t="e">
        <f>+proj=geocent +ellps=WGQ84 +units=m +no_defs</f>
        <v>#NAME?</v>
      </c>
    </row>
    <row r="1717" spans="1:3" x14ac:dyDescent="0.25">
      <c r="A1717">
        <v>3207</v>
      </c>
      <c r="B1717" t="s">
        <v>2820</v>
      </c>
      <c r="C1717" t="e">
        <f>+proj=lcc +lat_1=-64.6666666666666 +lat_2=-67.3333333333333 +lat_0=-90 +lon_0=-174 +x_0=0 +y_0=0 +datum=WGQ84 +units=m +no_defs</f>
        <v>#NAME?</v>
      </c>
    </row>
    <row r="1718" spans="1:3" x14ac:dyDescent="0.25">
      <c r="A1718">
        <v>3208</v>
      </c>
      <c r="B1718" t="s">
        <v>2821</v>
      </c>
      <c r="C1718" t="e">
        <f>+proj=lcc +lat_1=-64.6666666666666 +lat_2=-67.3333333333333 +lat_0=-90 +lon_0=-66 +x_0=0 +y_0=0 +datum=WGQ84 +units=m +no_defs</f>
        <v>#NAME?</v>
      </c>
    </row>
    <row r="1719" spans="1:3" x14ac:dyDescent="0.25">
      <c r="A1719">
        <v>3209</v>
      </c>
      <c r="B1719" t="s">
        <v>2822</v>
      </c>
      <c r="C1719" t="e">
        <f>+proj=lcc +lat_1=-64.6666666666666 +lat_2=-67.3333333333333 +lat_0=-90 +lon_0=-54 +x_0=0 +y_0=0 +datum=WGQ84 +units=m +no_defs</f>
        <v>#NAME?</v>
      </c>
    </row>
    <row r="1720" spans="1:3" x14ac:dyDescent="0.25">
      <c r="A1720">
        <v>3210</v>
      </c>
      <c r="B1720" t="s">
        <v>2823</v>
      </c>
      <c r="C1720" t="e">
        <f>+proj=lcc +lat_1=-64.6666666666666 +lat_2=-67.3333333333333 +lat_0=-90 +lon_0=42 +x_0=0 +y_0=0 +datum=WGQ84 +units=m +no_defs</f>
        <v>#NAME?</v>
      </c>
    </row>
    <row r="1721" spans="1:3" x14ac:dyDescent="0.25">
      <c r="A1721">
        <v>3211</v>
      </c>
      <c r="B1721" t="s">
        <v>2824</v>
      </c>
      <c r="C1721" t="e">
        <f>+proj=lcc +lat_1=-64.6666666666666 +lat_2=-67.3333333333333 +lat_0=-90 +lon_0=54 +x_0=0 +y_0=0 +datum=WGQ84 +units=m +no_defs</f>
        <v>#NAME?</v>
      </c>
    </row>
    <row r="1722" spans="1:3" x14ac:dyDescent="0.25">
      <c r="A1722">
        <v>3212</v>
      </c>
      <c r="B1722" t="s">
        <v>2825</v>
      </c>
      <c r="C1722" t="e">
        <f>+proj=lcc +lat_1=-64.6666666666666 +lat_2=-67.3333333333333 +lat_0=-90 +lon_0=66 +x_0=0 +y_0=0 +datum=WGQ84 +units=m +no_defs</f>
        <v>#NAME?</v>
      </c>
    </row>
    <row r="1723" spans="1:3" x14ac:dyDescent="0.25">
      <c r="A1723">
        <v>3213</v>
      </c>
      <c r="B1723" t="s">
        <v>2826</v>
      </c>
      <c r="C1723" t="e">
        <f>+proj=lcc +lat_1=-64.6666666666666 +lat_2=-67.3333333333333 +lat_0=-90 +lon_0=78 +x_0=0 +y_0=0 +datum=WGQ84 +units=m +no_defs</f>
        <v>#NAME?</v>
      </c>
    </row>
    <row r="1724" spans="1:3" x14ac:dyDescent="0.25">
      <c r="A1724">
        <v>3214</v>
      </c>
      <c r="B1724" t="s">
        <v>2827</v>
      </c>
      <c r="C1724" t="e">
        <f>+proj=lcc +lat_1=-64.6666666666666 +lat_2=-67.3333333333333 +lat_0=-90 +lon_0=90 +x_0=0 +y_0=0 +datum=WGQ84 +units=m +no_defs</f>
        <v>#NAME?</v>
      </c>
    </row>
    <row r="1725" spans="1:3" x14ac:dyDescent="0.25">
      <c r="A1725">
        <v>3215</v>
      </c>
      <c r="B1725" t="s">
        <v>2828</v>
      </c>
      <c r="C1725" t="e">
        <f>+proj=lcc +lat_1=-64.6666666666666 +lat_2=-67.3333333333333 +lat_0=-90 +lon_0=102 +x_0=0 +y_0=0 +datum=WGQ84 +units=m +no_defs</f>
        <v>#NAME?</v>
      </c>
    </row>
    <row r="1726" spans="1:3" x14ac:dyDescent="0.25">
      <c r="A1726">
        <v>3216</v>
      </c>
      <c r="B1726" t="s">
        <v>2829</v>
      </c>
      <c r="C1726" t="e">
        <f>+proj=lcc +lat_1=-64.6666666666666 +lat_2=-67.3333333333333 +lat_0=-90 +lon_0=114 +x_0=0 +y_0=0 +datum=WGQ84 +units=m +no_defs</f>
        <v>#NAME?</v>
      </c>
    </row>
    <row r="1727" spans="1:3" x14ac:dyDescent="0.25">
      <c r="A1727">
        <v>3217</v>
      </c>
      <c r="B1727" t="s">
        <v>2830</v>
      </c>
      <c r="C1727" t="e">
        <f>+proj=lcc +lat_1=-64.6666666666666 +lat_2=-67.3333333333333 +lat_0=-90 +lon_0=126 +x_0=0 +y_0=0 +datum=WGQ84 +units=m +no_defs</f>
        <v>#NAME?</v>
      </c>
    </row>
    <row r="1728" spans="1:3" x14ac:dyDescent="0.25">
      <c r="A1728">
        <v>3218</v>
      </c>
      <c r="B1728" t="s">
        <v>2831</v>
      </c>
      <c r="C1728" t="e">
        <f>+proj=lcc +lat_1=-64.6666666666666 +lat_2=-67.3333333333333 +lat_0=-90 +lon_0=138 +x_0=0 +y_0=0 +datum=WGQ84 +units=m +no_defs</f>
        <v>#NAME?</v>
      </c>
    </row>
    <row r="1729" spans="1:3" x14ac:dyDescent="0.25">
      <c r="A1729">
        <v>3219</v>
      </c>
      <c r="B1729" t="s">
        <v>2832</v>
      </c>
      <c r="C1729" t="e">
        <f>+proj=lcc +lat_1=-64.6666666666666 +lat_2=-67.3333333333333 +lat_0=-90 +lon_0=150 +x_0=0 +y_0=0 +datum=WGQ84 +units=m +no_defs</f>
        <v>#NAME?</v>
      </c>
    </row>
    <row r="1730" spans="1:3" x14ac:dyDescent="0.25">
      <c r="A1730">
        <v>3220</v>
      </c>
      <c r="B1730" t="s">
        <v>2833</v>
      </c>
      <c r="C1730" t="e">
        <f>+proj=lcc +lat_1=-64.6666666666666 +lat_2=-67.3333333333333 +lat_0=-90 +lon_0=162 +x_0=0 +y_0=0 +datum=WGQ84 +units=m +no_defs</f>
        <v>#NAME?</v>
      </c>
    </row>
    <row r="1731" spans="1:3" x14ac:dyDescent="0.25">
      <c r="A1731">
        <v>3221</v>
      </c>
      <c r="B1731" t="s">
        <v>2834</v>
      </c>
      <c r="C1731" t="e">
        <f>+proj=lcc +lat_1=-68.6666666666666 +lat_2=-71.3333333333333 +lat_0=-90 +lon_0=-102 +x_0=0 +y_0=0 +datum=WGQ84 +units=m +no_defs</f>
        <v>#NAME?</v>
      </c>
    </row>
    <row r="1732" spans="1:3" x14ac:dyDescent="0.25">
      <c r="A1732">
        <v>3222</v>
      </c>
      <c r="B1732" t="s">
        <v>2835</v>
      </c>
      <c r="C1732" t="e">
        <f>+proj=lcc +lat_1=-68.6666666666666 +lat_2=-71.3333333333333 +lat_0=-90 +lon_0=-90 +x_0=0 +y_0=0 +datum=WGQ84 +units=m +no_defs</f>
        <v>#NAME?</v>
      </c>
    </row>
    <row r="1733" spans="1:3" x14ac:dyDescent="0.25">
      <c r="A1733">
        <v>3223</v>
      </c>
      <c r="B1733" t="s">
        <v>2836</v>
      </c>
      <c r="C1733" t="e">
        <f>+proj=lcc +lat_1=-68.6666666666666 +lat_2=-71.3333333333333 +lat_0=-90 +lon_0=-78 +x_0=0 +y_0=0 +datum=WGQ84 +units=m +no_defs</f>
        <v>#NAME?</v>
      </c>
    </row>
    <row r="1734" spans="1:3" x14ac:dyDescent="0.25">
      <c r="A1734">
        <v>3224</v>
      </c>
      <c r="B1734" t="s">
        <v>2837</v>
      </c>
      <c r="C1734" t="e">
        <f>+proj=lcc +lat_1=-68.6666666666666 +lat_2=-71.3333333333333 +lat_0=-90 +lon_0=-66 +x_0=0 +y_0=0 +datum=WGQ84 +units=m +no_defs</f>
        <v>#NAME?</v>
      </c>
    </row>
    <row r="1735" spans="1:3" x14ac:dyDescent="0.25">
      <c r="A1735">
        <v>3225</v>
      </c>
      <c r="B1735" t="s">
        <v>2838</v>
      </c>
      <c r="C1735" t="e">
        <f>+proj=lcc +lat_1=-68.6666666666666 +lat_2=-71.3333333333333 +lat_0=-90 +lon_0=-18 +x_0=0 +y_0=0 +datum=WGQ84 +units=m +no_defs</f>
        <v>#NAME?</v>
      </c>
    </row>
    <row r="1736" spans="1:3" x14ac:dyDescent="0.25">
      <c r="A1736">
        <v>3226</v>
      </c>
      <c r="B1736" t="s">
        <v>2839</v>
      </c>
      <c r="C1736" t="e">
        <f>+proj=lcc +lat_1=-68.6666666666666 +lat_2=-71.3333333333333 +lat_0=-90 +lon_0=-6 +x_0=0 +y_0=0 +datum=WGQ84 +units=m +no_defs</f>
        <v>#NAME?</v>
      </c>
    </row>
    <row r="1737" spans="1:3" x14ac:dyDescent="0.25">
      <c r="A1737">
        <v>3227</v>
      </c>
      <c r="B1737" t="s">
        <v>2840</v>
      </c>
      <c r="C1737" t="e">
        <f>+proj=lcc +lat_1=-68.6666666666666 +lat_2=-71.3333333333333 +lat_0=-90 +lon_0=6 +x_0=0 +y_0=0 +datum=WGQ84 +units=m +no_defs</f>
        <v>#NAME?</v>
      </c>
    </row>
    <row r="1738" spans="1:3" x14ac:dyDescent="0.25">
      <c r="A1738">
        <v>3228</v>
      </c>
      <c r="B1738" t="s">
        <v>2841</v>
      </c>
      <c r="C1738" t="e">
        <f>+proj=lcc +lat_1=-68.6666666666666 +lat_2=-71.3333333333333 +lat_0=-90 +lon_0=18 +x_0=0 +y_0=0 +datum=WGQ84 +units=m +no_defs</f>
        <v>#NAME?</v>
      </c>
    </row>
    <row r="1739" spans="1:3" x14ac:dyDescent="0.25">
      <c r="A1739">
        <v>3229</v>
      </c>
      <c r="B1739" t="s">
        <v>2842</v>
      </c>
      <c r="C1739" t="e">
        <f>+proj=lcc +lat_1=-68.6666666666666 +lat_2=-71.3333333333333 +lat_0=-90 +lon_0=30 +x_0=0 +y_0=0 +datum=WGQ84 +units=m +no_defs</f>
        <v>#NAME?</v>
      </c>
    </row>
    <row r="1740" spans="1:3" x14ac:dyDescent="0.25">
      <c r="A1740">
        <v>3230</v>
      </c>
      <c r="B1740" t="s">
        <v>2843</v>
      </c>
      <c r="C1740" t="e">
        <f>+proj=lcc +lat_1=-68.6666666666666 +lat_2=-71.3333333333333 +lat_0=-90 +lon_0=42 +x_0=0 +y_0=0 +datum=WGQ84 +units=m +no_defs</f>
        <v>#NAME?</v>
      </c>
    </row>
    <row r="1741" spans="1:3" x14ac:dyDescent="0.25">
      <c r="A1741">
        <v>3231</v>
      </c>
      <c r="B1741" t="s">
        <v>2844</v>
      </c>
      <c r="C1741" t="e">
        <f>+proj=lcc +lat_1=-68.6666666666666 +lat_2=-71.3333333333333 +lat_0=-90 +lon_0=54 +x_0=0 +y_0=0 +datum=WGQ84 +units=m +no_defs</f>
        <v>#NAME?</v>
      </c>
    </row>
    <row r="1742" spans="1:3" x14ac:dyDescent="0.25">
      <c r="A1742">
        <v>3232</v>
      </c>
      <c r="B1742" t="s">
        <v>2845</v>
      </c>
      <c r="C1742" t="e">
        <f>+proj=lcc +lat_1=-68.6666666666666 +lat_2=-71.3333333333333 +lat_0=-90 +lon_0=66 +x_0=0 +y_0=0 +datum=WGQ84 +units=m +no_defs</f>
        <v>#NAME?</v>
      </c>
    </row>
    <row r="1743" spans="1:3" x14ac:dyDescent="0.25">
      <c r="A1743">
        <v>3233</v>
      </c>
      <c r="B1743" t="s">
        <v>2846</v>
      </c>
      <c r="C1743" t="e">
        <f>+proj=lcc +lat_1=-68.6666666666666 +lat_2=-71.3333333333333 +lat_0=-90 +lon_0=78 +x_0=0 +y_0=0 +datum=WGQ84 +units=m +no_defs</f>
        <v>#NAME?</v>
      </c>
    </row>
    <row r="1744" spans="1:3" x14ac:dyDescent="0.25">
      <c r="A1744">
        <v>3234</v>
      </c>
      <c r="B1744" t="s">
        <v>2847</v>
      </c>
      <c r="C1744" t="e">
        <f>+proj=lcc +lat_1=-68.6666666666666 +lat_2=-71.3333333333333 +lat_0=-90 +lon_0=90 +x_0=0 +y_0=0 +datum=WGQ84 +units=m +no_defs</f>
        <v>#NAME?</v>
      </c>
    </row>
    <row r="1745" spans="1:3" x14ac:dyDescent="0.25">
      <c r="A1745">
        <v>3235</v>
      </c>
      <c r="B1745" t="s">
        <v>2848</v>
      </c>
      <c r="C1745" t="e">
        <f>+proj=lcc +lat_1=-68.6666666666666 +lat_2=-71.3333333333333 +lat_0=-90 +lon_0=102 +x_0=0 +y_0=0 +datum=WGQ84 +units=m +no_defs</f>
        <v>#NAME?</v>
      </c>
    </row>
    <row r="1746" spans="1:3" x14ac:dyDescent="0.25">
      <c r="A1746">
        <v>3236</v>
      </c>
      <c r="B1746" t="s">
        <v>2849</v>
      </c>
      <c r="C1746" t="e">
        <f>+proj=lcc +lat_1=-68.6666666666666 +lat_2=-71.3333333333333 +lat_0=-90 +lon_0=114 +x_0=0 +y_0=0 +datum=WGQ84 +units=m +no_defs</f>
        <v>#NAME?</v>
      </c>
    </row>
    <row r="1747" spans="1:3" x14ac:dyDescent="0.25">
      <c r="A1747">
        <v>3237</v>
      </c>
      <c r="B1747" t="s">
        <v>2850</v>
      </c>
      <c r="C1747" t="e">
        <f>+proj=lcc +lat_1=-68.6666666666666 +lat_2=-71.3333333333333 +lat_0=-90 +lon_0=126 +x_0=0 +y_0=0 +datum=WGQ84 +units=m +no_defs</f>
        <v>#NAME?</v>
      </c>
    </row>
    <row r="1748" spans="1:3" x14ac:dyDescent="0.25">
      <c r="A1748">
        <v>3238</v>
      </c>
      <c r="B1748" t="s">
        <v>2851</v>
      </c>
      <c r="C1748" t="e">
        <f>+proj=lcc +lat_1=-68.6666666666666 +lat_2=-71.3333333333333 +lat_0=-90 +lon_0=138 +x_0=0 +y_0=0 +datum=WGQ84 +units=m +no_defs</f>
        <v>#NAME?</v>
      </c>
    </row>
    <row r="1749" spans="1:3" x14ac:dyDescent="0.25">
      <c r="A1749">
        <v>3239</v>
      </c>
      <c r="B1749" t="s">
        <v>2852</v>
      </c>
      <c r="C1749" t="e">
        <f>+proj=lcc +lat_1=-68.6666666666666 +lat_2=-71.3333333333333 +lat_0=-90 +lon_0=150 +x_0=0 +y_0=0 +datum=WGQ84 +units=m +no_defs</f>
        <v>#NAME?</v>
      </c>
    </row>
    <row r="1750" spans="1:3" x14ac:dyDescent="0.25">
      <c r="A1750">
        <v>3240</v>
      </c>
      <c r="B1750" t="s">
        <v>2853</v>
      </c>
      <c r="C1750" t="e">
        <f>+proj=lcc +lat_1=-68.6666666666666 +lat_2=-71.3333333333333 +lat_0=-90 +lon_0=162 +x_0=0 +y_0=0 +datum=WGQ84 +units=m +no_defs</f>
        <v>#NAME?</v>
      </c>
    </row>
    <row r="1751" spans="1:3" x14ac:dyDescent="0.25">
      <c r="A1751">
        <v>3241</v>
      </c>
      <c r="B1751" t="s">
        <v>2854</v>
      </c>
      <c r="C1751" t="e">
        <f>+proj=lcc +lat_1=-68.6666666666666 +lat_2=-71.3333333333333 +lat_0=-90 +lon_0=174 +x_0=0 +y_0=0 +datum=WGQ84 +units=m +no_defs</f>
        <v>#NAME?</v>
      </c>
    </row>
    <row r="1752" spans="1:3" x14ac:dyDescent="0.25">
      <c r="A1752">
        <v>3242</v>
      </c>
      <c r="B1752" t="s">
        <v>2855</v>
      </c>
      <c r="C1752" t="e">
        <f>+proj=lcc +lat_1=-72.6666666666666 +lat_2=-75.3333333333333 +lat_0=-90 +lon_0=-153 +x_0=0 +y_0=0 +datum=WGQ84 +units=m +no_defs</f>
        <v>#NAME?</v>
      </c>
    </row>
    <row r="1753" spans="1:3" x14ac:dyDescent="0.25">
      <c r="A1753">
        <v>3243</v>
      </c>
      <c r="B1753" t="s">
        <v>2856</v>
      </c>
      <c r="C1753" t="e">
        <f>+proj=lcc +lat_1=-72.6666666666666 +lat_2=-75.3333333333333 +lat_0=-90 +lon_0=-135 +x_0=0 +y_0=0 +datum=WGQ84 +units=m +no_defs</f>
        <v>#NAME?</v>
      </c>
    </row>
    <row r="1754" spans="1:3" x14ac:dyDescent="0.25">
      <c r="A1754">
        <v>3244</v>
      </c>
      <c r="B1754" t="s">
        <v>2857</v>
      </c>
      <c r="C1754" t="e">
        <f>+proj=lcc +lat_1=-72.6666666666666 +lat_2=-75.3333333333333 +lat_0=-90 +lon_0=-117 +x_0=0 +y_0=0 +datum=WGQ84 +units=m +no_defs</f>
        <v>#NAME?</v>
      </c>
    </row>
    <row r="1755" spans="1:3" x14ac:dyDescent="0.25">
      <c r="A1755">
        <v>3245</v>
      </c>
      <c r="B1755" t="s">
        <v>2858</v>
      </c>
      <c r="C1755" t="e">
        <f>+proj=lcc +lat_1=-72.6666666666666 +lat_2=-75.3333333333333 +lat_0=-90 +lon_0=-99 +x_0=0 +y_0=0 +datum=WGQ84 +units=m +no_defs</f>
        <v>#NAME?</v>
      </c>
    </row>
    <row r="1756" spans="1:3" x14ac:dyDescent="0.25">
      <c r="A1756">
        <v>3246</v>
      </c>
      <c r="B1756" t="s">
        <v>2859</v>
      </c>
      <c r="C1756" t="e">
        <f>+proj=lcc +lat_1=-72.6666666666666 +lat_2=-75.3333333333333 +lat_0=-90 +lon_0=-81 +x_0=0 +y_0=0 +datum=WGQ84 +units=m +no_defs</f>
        <v>#NAME?</v>
      </c>
    </row>
    <row r="1757" spans="1:3" x14ac:dyDescent="0.25">
      <c r="A1757">
        <v>3247</v>
      </c>
      <c r="B1757" t="s">
        <v>2860</v>
      </c>
      <c r="C1757" t="e">
        <f>+proj=lcc +lat_1=-72.6666666666666 +lat_2=-75.3333333333333 +lat_0=-90 +lon_0=-63 +x_0=0 +y_0=0 +datum=WGQ84 +units=m +no_defs</f>
        <v>#NAME?</v>
      </c>
    </row>
    <row r="1758" spans="1:3" x14ac:dyDescent="0.25">
      <c r="A1758">
        <v>3248</v>
      </c>
      <c r="B1758" t="s">
        <v>2861</v>
      </c>
      <c r="C1758" t="e">
        <f>+proj=lcc +lat_1=-72.6666666666666 +lat_2=-75.3333333333333 +lat_0=-90 +lon_0=-27 +x_0=0 +y_0=0 +datum=WGQ84 +units=m +no_defs</f>
        <v>#NAME?</v>
      </c>
    </row>
    <row r="1759" spans="1:3" x14ac:dyDescent="0.25">
      <c r="A1759">
        <v>3249</v>
      </c>
      <c r="B1759" t="s">
        <v>2862</v>
      </c>
      <c r="C1759" t="e">
        <f>+proj=lcc +lat_1=-72.6666666666666 +lat_2=-75.3333333333333 +lat_0=-90 +lon_0=-9 +x_0=0 +y_0=0 +datum=WGQ84 +units=m +no_defs</f>
        <v>#NAME?</v>
      </c>
    </row>
    <row r="1760" spans="1:3" x14ac:dyDescent="0.25">
      <c r="A1760">
        <v>3250</v>
      </c>
      <c r="B1760" t="s">
        <v>2863</v>
      </c>
      <c r="C1760" t="e">
        <f>+proj=lcc +lat_1=-72.6666666666666 +lat_2=-75.3333333333333 +lat_0=-90 +lon_0=9 +x_0=0 +y_0=0 +datum=WGQ84 +units=m +no_defs</f>
        <v>#NAME?</v>
      </c>
    </row>
    <row r="1761" spans="1:3" x14ac:dyDescent="0.25">
      <c r="A1761">
        <v>3251</v>
      </c>
      <c r="B1761" t="s">
        <v>2864</v>
      </c>
      <c r="C1761" t="e">
        <f>+proj=lcc +lat_1=-72.6666666666666 +lat_2=-75.3333333333333 +lat_0=-90 +lon_0=27 +x_0=0 +y_0=0 +datum=WGQ84 +units=m +no_defs</f>
        <v>#NAME?</v>
      </c>
    </row>
    <row r="1762" spans="1:3" x14ac:dyDescent="0.25">
      <c r="A1762">
        <v>3252</v>
      </c>
      <c r="B1762" t="s">
        <v>2865</v>
      </c>
      <c r="C1762" t="e">
        <f>+proj=lcc +lat_1=-72.6666666666666 +lat_2=-75.3333333333333 +lat_0=-90 +lon_0=45 +x_0=0 +y_0=0 +datum=WGQ84 +units=m +no_defs</f>
        <v>#NAME?</v>
      </c>
    </row>
    <row r="1763" spans="1:3" x14ac:dyDescent="0.25">
      <c r="A1763">
        <v>3253</v>
      </c>
      <c r="B1763" t="s">
        <v>2866</v>
      </c>
      <c r="C1763" t="e">
        <f>+proj=lcc +lat_1=-72.6666666666666 +lat_2=-75.3333333333333 +lat_0=-90 +lon_0=63 +x_0=0 +y_0=0 +datum=WGQ84 +units=m +no_defs</f>
        <v>#NAME?</v>
      </c>
    </row>
    <row r="1764" spans="1:3" x14ac:dyDescent="0.25">
      <c r="A1764">
        <v>3254</v>
      </c>
      <c r="B1764" t="s">
        <v>2867</v>
      </c>
      <c r="C1764" t="e">
        <f>+proj=lcc +lat_1=-72.6666666666666 +lat_2=-75.3333333333333 +lat_0=-90 +lon_0=81 +x_0=0 +y_0=0 +datum=WGQ84 +units=m +no_defs</f>
        <v>#NAME?</v>
      </c>
    </row>
    <row r="1765" spans="1:3" x14ac:dyDescent="0.25">
      <c r="A1765">
        <v>3255</v>
      </c>
      <c r="B1765" t="s">
        <v>2868</v>
      </c>
      <c r="C1765" t="e">
        <f>+proj=lcc +lat_1=-72.6666666666666 +lat_2=-75.3333333333333 +lat_0=-90 +lon_0=99 +x_0=0 +y_0=0 +datum=WGQ84 +units=m +no_defs</f>
        <v>#NAME?</v>
      </c>
    </row>
    <row r="1766" spans="1:3" x14ac:dyDescent="0.25">
      <c r="A1766">
        <v>3256</v>
      </c>
      <c r="B1766" t="s">
        <v>2869</v>
      </c>
      <c r="C1766" t="e">
        <f>+proj=lcc +lat_1=-72.6666666666666 +lat_2=-75.3333333333333 +lat_0=-90 +lon_0=117 +x_0=0 +y_0=0 +datum=WGQ84 +units=m +no_defs</f>
        <v>#NAME?</v>
      </c>
    </row>
    <row r="1767" spans="1:3" x14ac:dyDescent="0.25">
      <c r="A1767">
        <v>3257</v>
      </c>
      <c r="B1767" t="s">
        <v>2870</v>
      </c>
      <c r="C1767" t="e">
        <f>+proj=lcc +lat_1=-72.6666666666666 +lat_2=-75.3333333333333 +lat_0=-90 +lon_0=135 +x_0=0 +y_0=0 +datum=WGQ84 +units=m +no_defs</f>
        <v>#NAME?</v>
      </c>
    </row>
    <row r="1768" spans="1:3" x14ac:dyDescent="0.25">
      <c r="A1768">
        <v>3258</v>
      </c>
      <c r="B1768" t="s">
        <v>2871</v>
      </c>
      <c r="C1768" t="e">
        <f>+proj=lcc +lat_1=-72.6666666666666 +lat_2=-75.3333333333333 +lat_0=-90 +lon_0=153 +x_0=0 +y_0=0 +datum=WGQ84 +units=m +no_defs</f>
        <v>#NAME?</v>
      </c>
    </row>
    <row r="1769" spans="1:3" x14ac:dyDescent="0.25">
      <c r="A1769">
        <v>3259</v>
      </c>
      <c r="B1769" t="s">
        <v>2872</v>
      </c>
      <c r="C1769" t="e">
        <f>+proj=lcc +lat_1=-72.6666666666666 +lat_2=-75.3333333333333 +lat_0=-90 +lon_0=171 +x_0=0 +y_0=0 +datum=WGQ84 +units=m +no_defs</f>
        <v>#NAME?</v>
      </c>
    </row>
    <row r="1770" spans="1:3" x14ac:dyDescent="0.25">
      <c r="A1770">
        <v>3260</v>
      </c>
      <c r="B1770" t="s">
        <v>2873</v>
      </c>
      <c r="C1770" t="e">
        <f>+proj=lcc +lat_1=-76.6666666666666 +lat_2=-79.3333333333333 +lat_0=-90 +lon_0=-168 +x_0=0 +y_0=0 +datum=WGQ84 +units=m +no_defs</f>
        <v>#NAME?</v>
      </c>
    </row>
    <row r="1771" spans="1:3" x14ac:dyDescent="0.25">
      <c r="A1771">
        <v>3261</v>
      </c>
      <c r="B1771" t="s">
        <v>2874</v>
      </c>
      <c r="C1771" t="e">
        <f>+proj=lcc +lat_1=-76.6666666666666 +lat_2=-79.3333333333333 +lat_0=-90 +lon_0=-144 +x_0=0 +y_0=0 +datum=WGQ84 +units=m +no_defs</f>
        <v>#NAME?</v>
      </c>
    </row>
    <row r="1772" spans="1:3" x14ac:dyDescent="0.25">
      <c r="A1772">
        <v>3262</v>
      </c>
      <c r="B1772" t="s">
        <v>2875</v>
      </c>
      <c r="C1772" t="e">
        <f>+proj=lcc +lat_1=-76.6666666666666 +lat_2=-79.3333333333333 +lat_0=-90 +lon_0=-120 +x_0=0 +y_0=0 +datum=WGQ84 +units=m +no_defs</f>
        <v>#NAME?</v>
      </c>
    </row>
    <row r="1773" spans="1:3" x14ac:dyDescent="0.25">
      <c r="A1773">
        <v>3263</v>
      </c>
      <c r="B1773" t="s">
        <v>2876</v>
      </c>
      <c r="C1773" t="e">
        <f>+proj=lcc +lat_1=-76.6666666666666 +lat_2=-79.3333333333333 +lat_0=-90 +lon_0=-96 +x_0=0 +y_0=0 +datum=WGQ84 +units=m +no_defs</f>
        <v>#NAME?</v>
      </c>
    </row>
    <row r="1774" spans="1:3" x14ac:dyDescent="0.25">
      <c r="A1774">
        <v>3264</v>
      </c>
      <c r="B1774" t="s">
        <v>2877</v>
      </c>
      <c r="C1774" t="e">
        <f>+proj=lcc +lat_1=-76.6666666666666 +lat_2=-79.3333333333333 +lat_0=-90 +lon_0=-72 +x_0=0 +y_0=0 +datum=WGQ84 +units=m +no_defs</f>
        <v>#NAME?</v>
      </c>
    </row>
    <row r="1775" spans="1:3" x14ac:dyDescent="0.25">
      <c r="A1775">
        <v>3265</v>
      </c>
      <c r="B1775" t="s">
        <v>2878</v>
      </c>
      <c r="C1775" t="e">
        <f>+proj=lcc +lat_1=-76.6666666666666 +lat_2=-79.3333333333333 +lat_0=-90 +lon_0=-48 +x_0=0 +y_0=0 +datum=WGQ84 +units=m +no_defs</f>
        <v>#NAME?</v>
      </c>
    </row>
    <row r="1776" spans="1:3" x14ac:dyDescent="0.25">
      <c r="A1776">
        <v>3266</v>
      </c>
      <c r="B1776" t="s">
        <v>2879</v>
      </c>
      <c r="C1776" t="e">
        <f>+proj=lcc +lat_1=-76.6666666666666 +lat_2=-79.3333333333333 +lat_0=-90 +lon_0=-24 +x_0=0 +y_0=0 +datum=WGQ84 +units=m +no_defs</f>
        <v>#NAME?</v>
      </c>
    </row>
    <row r="1777" spans="1:3" x14ac:dyDescent="0.25">
      <c r="A1777">
        <v>3267</v>
      </c>
      <c r="B1777" t="s">
        <v>2880</v>
      </c>
      <c r="C1777" t="e">
        <f>+proj=lcc +lat_1=-76.6666666666666 +lat_2=-79.3333333333333 +lat_0=-90 +lon_0=0 +x_0=0 +y_0=0 +datum=WGQ84 +units=m +no_defs</f>
        <v>#NAME?</v>
      </c>
    </row>
    <row r="1778" spans="1:3" x14ac:dyDescent="0.25">
      <c r="A1778">
        <v>3268</v>
      </c>
      <c r="B1778" t="s">
        <v>2881</v>
      </c>
      <c r="C1778" t="e">
        <f>+proj=lcc +lat_1=-76.6666666666666 +lat_2=-79.3333333333333 +lat_0=-90 +lon_0=24 +x_0=0 +y_0=0 +datum=WGQ84 +units=m +no_defs</f>
        <v>#NAME?</v>
      </c>
    </row>
    <row r="1779" spans="1:3" x14ac:dyDescent="0.25">
      <c r="A1779">
        <v>3269</v>
      </c>
      <c r="B1779" t="s">
        <v>2882</v>
      </c>
      <c r="C1779" t="e">
        <f>+proj=lcc +lat_1=-76.6666666666666 +lat_2=-79.3333333333333 +lat_0=-90 +lon_0=48 +x_0=0 +y_0=0 +datum=WGQ84 +units=m +no_defs</f>
        <v>#NAME?</v>
      </c>
    </row>
    <row r="1780" spans="1:3" x14ac:dyDescent="0.25">
      <c r="A1780">
        <v>3270</v>
      </c>
      <c r="B1780" t="s">
        <v>2883</v>
      </c>
      <c r="C1780" t="e">
        <f>+proj=lcc +lat_1=-76.6666666666666 +lat_2=-79.3333333333333 +lat_0=-90 +lon_0=72 +x_0=0 +y_0=0 +datum=WGQ84 +units=m +no_defs</f>
        <v>#NAME?</v>
      </c>
    </row>
    <row r="1781" spans="1:3" x14ac:dyDescent="0.25">
      <c r="A1781">
        <v>3271</v>
      </c>
      <c r="B1781" t="s">
        <v>2884</v>
      </c>
      <c r="C1781" t="e">
        <f>+proj=lcc +lat_1=-76.6666666666666 +lat_2=-79.3333333333333 +lat_0=-90 +lon_0=96 +x_0=0 +y_0=0 +datum=WGQ84 +units=m +no_defs</f>
        <v>#NAME?</v>
      </c>
    </row>
    <row r="1782" spans="1:3" x14ac:dyDescent="0.25">
      <c r="A1782">
        <v>3272</v>
      </c>
      <c r="B1782" t="s">
        <v>2885</v>
      </c>
      <c r="C1782" t="e">
        <f>+proj=lcc +lat_1=-76.6666666666666 +lat_2=-79.3333333333333 +lat_0=-90 +lon_0=120 +x_0=0 +y_0=0 +datum=WGQ84 +units=m +no_defs</f>
        <v>#NAME?</v>
      </c>
    </row>
    <row r="1783" spans="1:3" x14ac:dyDescent="0.25">
      <c r="A1783">
        <v>3273</v>
      </c>
      <c r="B1783" t="s">
        <v>2886</v>
      </c>
      <c r="C1783" t="e">
        <f>+proj=lcc +lat_1=-76.6666666666666 +lat_2=-79.3333333333333 +lat_0=-90 +lon_0=144 +x_0=0 +y_0=0 +datum=WGQ84 +units=m +no_defs</f>
        <v>#NAME?</v>
      </c>
    </row>
    <row r="1784" spans="1:3" x14ac:dyDescent="0.25">
      <c r="A1784">
        <v>3274</v>
      </c>
      <c r="B1784" t="s">
        <v>2887</v>
      </c>
      <c r="C1784" t="e">
        <f>+proj=lcc +lat_1=-76.6666666666666 +lat_2=-79.3333333333333 +lat_0=-90 +lon_0=168 +x_0=0 +y_0=0 +datum=WGQ84 +units=m +no_defs</f>
        <v>#NAME?</v>
      </c>
    </row>
    <row r="1785" spans="1:3" x14ac:dyDescent="0.25">
      <c r="A1785">
        <v>3275</v>
      </c>
      <c r="B1785" t="s">
        <v>2888</v>
      </c>
      <c r="C1785" t="e">
        <f>+proj=stere +lat_0=-90 +lat_ts=-80.2386111111111 +lon_0=-165 +k=1 +x_0=0 +y_0=0 +datum=WGQ84 +units=m +no_defs</f>
        <v>#NAME?</v>
      </c>
    </row>
    <row r="1786" spans="1:3" x14ac:dyDescent="0.25">
      <c r="A1786">
        <v>3276</v>
      </c>
      <c r="B1786" t="s">
        <v>2889</v>
      </c>
      <c r="C1786" t="e">
        <f>+proj=stere +lat_0=-90 +lat_ts=-80.2386111111111 +lon_0=-135 +k=1 +x_0=0 +y_0=0 +datum=WGQ84 +units=m +no_defs</f>
        <v>#NAME?</v>
      </c>
    </row>
    <row r="1787" spans="1:3" x14ac:dyDescent="0.25">
      <c r="A1787">
        <v>3277</v>
      </c>
      <c r="B1787" t="s">
        <v>2890</v>
      </c>
      <c r="C1787" t="e">
        <f>+proj=stere +lat_0=-90 +lat_ts=-80.2386111111111 +lon_0=-105 +k=1 +x_0=0 +y_0=0 +datum=WGQ84 +units=m +no_defs</f>
        <v>#NAME?</v>
      </c>
    </row>
    <row r="1788" spans="1:3" x14ac:dyDescent="0.25">
      <c r="A1788">
        <v>3278</v>
      </c>
      <c r="B1788" t="s">
        <v>2891</v>
      </c>
      <c r="C1788" t="e">
        <f>+proj=stere +lat_0=-90 +lat_ts=-80.2386111111111 +lon_0=-75 +k=1 +x_0=0 +y_0=0 +datum=WGQ84 +units=m +no_defs</f>
        <v>#NAME?</v>
      </c>
    </row>
    <row r="1789" spans="1:3" x14ac:dyDescent="0.25">
      <c r="A1789">
        <v>3576</v>
      </c>
      <c r="B1789" t="s">
        <v>2892</v>
      </c>
      <c r="C1789" t="e">
        <f>+proj=laea +lat_0=90 +lon_0=90 +x_0=0 +y_0=0 +datum=WGQ84 +units=m +no_defs</f>
        <v>#NAME?</v>
      </c>
    </row>
    <row r="1790" spans="1:3" x14ac:dyDescent="0.25">
      <c r="A1790">
        <v>3279</v>
      </c>
      <c r="B1790" t="s">
        <v>2893</v>
      </c>
      <c r="C1790" t="e">
        <f>+proj=stere +lat_0=-90 +lat_ts=-80.2386111111111 +lon_0=-45 +k=1 +x_0=0 +y_0=0 +datum=WGQ84 +units=m +no_defs</f>
        <v>#NAME?</v>
      </c>
    </row>
    <row r="1791" spans="1:3" x14ac:dyDescent="0.25">
      <c r="A1791">
        <v>3280</v>
      </c>
      <c r="B1791" t="s">
        <v>2894</v>
      </c>
      <c r="C1791" t="e">
        <f>+proj=stere +lat_0=-90 +lat_ts=-80.2386111111111 +lon_0=-15 +k=1 +x_0=0 +y_0=0 +datum=WGQ84 +units=m +no_defs</f>
        <v>#NAME?</v>
      </c>
    </row>
    <row r="1792" spans="1:3" x14ac:dyDescent="0.25">
      <c r="A1792">
        <v>3281</v>
      </c>
      <c r="B1792" t="s">
        <v>2895</v>
      </c>
      <c r="C1792" t="e">
        <f>+proj=stere +lat_0=-90 +lat_ts=-80.2386111111111 +lon_0=15 +k=1 +x_0=0 +y_0=0 +datum=WGQ84 +units=m +no_defs</f>
        <v>#NAME?</v>
      </c>
    </row>
    <row r="1793" spans="1:3" x14ac:dyDescent="0.25">
      <c r="A1793">
        <v>3282</v>
      </c>
      <c r="B1793" t="s">
        <v>2896</v>
      </c>
      <c r="C1793" t="e">
        <f>+proj=stere +lat_0=-90 +lat_ts=-80.2386111111111 +lon_0=45 +k=1 +x_0=0 +y_0=0 +datum=WGQ84 +units=m +no_defs</f>
        <v>#NAME?</v>
      </c>
    </row>
    <row r="1794" spans="1:3" x14ac:dyDescent="0.25">
      <c r="A1794">
        <v>3283</v>
      </c>
      <c r="B1794" t="s">
        <v>2897</v>
      </c>
      <c r="C1794" t="e">
        <f>+proj=stere +lat_0=-90 +lat_ts=-80.2386111111111 +lon_0=75 +k=1 +x_0=0 +y_0=0 +datum=WGQ84 +units=m +no_defs</f>
        <v>#NAME?</v>
      </c>
    </row>
    <row r="1795" spans="1:3" x14ac:dyDescent="0.25">
      <c r="A1795">
        <v>3284</v>
      </c>
      <c r="B1795" t="s">
        <v>2898</v>
      </c>
      <c r="C1795" t="e">
        <f>+proj=stere +lat_0=-90 +lat_ts=-80.2386111111111 +lon_0=105 +k=1 +x_0=0 +y_0=0 +datum=WGQ84 +units=m +no_defs</f>
        <v>#NAME?</v>
      </c>
    </row>
    <row r="1796" spans="1:3" x14ac:dyDescent="0.25">
      <c r="A1796">
        <v>3285</v>
      </c>
      <c r="B1796" t="s">
        <v>2899</v>
      </c>
      <c r="C1796" t="e">
        <f>+proj=stere +lat_0=-90 +lat_ts=-80.2386111111111 +lon_0=135 +k=1 +x_0=0 +y_0=0 +datum=WGQ84 +units=m +no_defs</f>
        <v>#NAME?</v>
      </c>
    </row>
    <row r="1797" spans="1:3" x14ac:dyDescent="0.25">
      <c r="A1797">
        <v>3286</v>
      </c>
      <c r="B1797" t="s">
        <v>2900</v>
      </c>
      <c r="C1797" t="e">
        <f>+proj=stere +lat_0=-90 +lat_ts=-80.2386111111111 +lon_0=165 +k=1 +x_0=0 +y_0=0 +datum=WGQ84 +units=m +no_defs</f>
        <v>#NAME?</v>
      </c>
    </row>
    <row r="1798" spans="1:3" x14ac:dyDescent="0.25">
      <c r="A1798">
        <v>3287</v>
      </c>
      <c r="B1798" t="s">
        <v>2901</v>
      </c>
      <c r="C1798" t="e">
        <f>+proj=stere +lat_0=-90 +lat_ts=-80.2386111111111 +lon_0=-150 +k=1 +x_0=0 +y_0=0 +datum=WGQ84 +units=m +no_defs</f>
        <v>#NAME?</v>
      </c>
    </row>
    <row r="1799" spans="1:3" x14ac:dyDescent="0.25">
      <c r="A1799">
        <v>3288</v>
      </c>
      <c r="B1799" t="s">
        <v>2902</v>
      </c>
      <c r="C1799" t="e">
        <f>+proj=stere +lat_0=-90 +lat_ts=-80.2386111111111 +lon_0=-90 +k=1 +x_0=0 +y_0=0 +datum=WGQ84 +units=m +no_defs</f>
        <v>#NAME?</v>
      </c>
    </row>
    <row r="1800" spans="1:3" x14ac:dyDescent="0.25">
      <c r="A1800">
        <v>3289</v>
      </c>
      <c r="B1800" t="s">
        <v>2903</v>
      </c>
      <c r="C1800" t="e">
        <f>+proj=stere +lat_0=-90 +lat_ts=-80.2386111111111 +lon_0=-30 +k=1 +x_0=0 +y_0=0 +datum=WGQ84 +units=m +no_defs</f>
        <v>#NAME?</v>
      </c>
    </row>
    <row r="1801" spans="1:3" x14ac:dyDescent="0.25">
      <c r="A1801">
        <v>3290</v>
      </c>
      <c r="B1801" t="s">
        <v>2904</v>
      </c>
      <c r="C1801" t="e">
        <f>+proj=stere +lat_0=-90 +lat_ts=-80.2386111111111 +lon_0=30 +k=1 +x_0=0 +y_0=0 +datum=WGQ84 +units=m +no_defs</f>
        <v>#NAME?</v>
      </c>
    </row>
    <row r="1802" spans="1:3" x14ac:dyDescent="0.25">
      <c r="A1802">
        <v>3291</v>
      </c>
      <c r="B1802" t="s">
        <v>2905</v>
      </c>
      <c r="C1802" t="e">
        <f>+proj=stere +lat_0=-90 +lat_ts=-80.2386111111111 +lon_0=90 +k=1 +x_0=0 +y_0=0 +datum=WGQ84 +units=m +no_defs</f>
        <v>#NAME?</v>
      </c>
    </row>
    <row r="1803" spans="1:3" x14ac:dyDescent="0.25">
      <c r="A1803">
        <v>3292</v>
      </c>
      <c r="B1803" t="s">
        <v>2906</v>
      </c>
      <c r="C1803" t="e">
        <f>+proj=stere +lat_0=-90 +lat_ts=-80.2386111111111 +lon_0=150 +k=1 +x_0=0 +y_0=0 +datum=WGQ84 +units=m +no_defs</f>
        <v>#NAME?</v>
      </c>
    </row>
    <row r="1804" spans="1:3" x14ac:dyDescent="0.25">
      <c r="A1804">
        <v>3293</v>
      </c>
      <c r="B1804" t="s">
        <v>2907</v>
      </c>
      <c r="C1804" t="e">
        <f>+proj=stere +lat_0=-90 +lat_ts=-80.2386111111111 +lon_0=0 +k=1 +x_0=0 +y_0=0 +datum=WGQ84 +units=m +no_defs</f>
        <v>#NAME?</v>
      </c>
    </row>
    <row r="1805" spans="1:3" x14ac:dyDescent="0.25">
      <c r="A1805">
        <v>3294</v>
      </c>
      <c r="B1805" t="s">
        <v>2908</v>
      </c>
      <c r="C1805" t="e">
        <f>+proj=lcc +lat_1=-76.6666666666666 +lat_2=-79.3333333333333 +lat_0=-78 +lon_0=162 +x_0=0 +y_0=0 +datum=WGQ84 +units=m +no_defs</f>
        <v>#NAME?</v>
      </c>
    </row>
    <row r="1806" spans="1:3" x14ac:dyDescent="0.25">
      <c r="A1806">
        <v>3296</v>
      </c>
      <c r="B1806" t="s">
        <v>2909</v>
      </c>
      <c r="C1806" t="s">
        <v>2910</v>
      </c>
    </row>
    <row r="1807" spans="1:3" x14ac:dyDescent="0.25">
      <c r="A1807">
        <v>3297</v>
      </c>
      <c r="B1807" t="s">
        <v>2911</v>
      </c>
      <c r="C1807" t="s">
        <v>2912</v>
      </c>
    </row>
    <row r="1808" spans="1:3" x14ac:dyDescent="0.25">
      <c r="A1808">
        <v>3298</v>
      </c>
      <c r="B1808" t="s">
        <v>2913</v>
      </c>
      <c r="C1808" t="s">
        <v>2914</v>
      </c>
    </row>
    <row r="1809" spans="1:3" x14ac:dyDescent="0.25">
      <c r="A1809">
        <v>3299</v>
      </c>
      <c r="B1809" t="s">
        <v>2915</v>
      </c>
      <c r="C1809" t="s">
        <v>2916</v>
      </c>
    </row>
    <row r="1810" spans="1:3" x14ac:dyDescent="0.25">
      <c r="A1810">
        <v>3300</v>
      </c>
      <c r="B1810" t="s">
        <v>2917</v>
      </c>
      <c r="C1810" t="s">
        <v>2918</v>
      </c>
    </row>
    <row r="1811" spans="1:3" x14ac:dyDescent="0.25">
      <c r="A1811">
        <v>3301</v>
      </c>
      <c r="B1811" t="s">
        <v>2919</v>
      </c>
      <c r="C1811" t="s">
        <v>2920</v>
      </c>
    </row>
    <row r="1812" spans="1:3" x14ac:dyDescent="0.25">
      <c r="A1812">
        <v>3302</v>
      </c>
      <c r="B1812" t="s">
        <v>2921</v>
      </c>
      <c r="C1812" t="s">
        <v>2922</v>
      </c>
    </row>
    <row r="1813" spans="1:3" x14ac:dyDescent="0.25">
      <c r="A1813">
        <v>3303</v>
      </c>
      <c r="B1813" t="s">
        <v>2923</v>
      </c>
      <c r="C1813" t="s">
        <v>2924</v>
      </c>
    </row>
    <row r="1814" spans="1:3" x14ac:dyDescent="0.25">
      <c r="A1814">
        <v>3304</v>
      </c>
      <c r="B1814" t="s">
        <v>2925</v>
      </c>
      <c r="C1814" t="s">
        <v>2926</v>
      </c>
    </row>
    <row r="1815" spans="1:3" x14ac:dyDescent="0.25">
      <c r="A1815">
        <v>3305</v>
      </c>
      <c r="B1815" t="s">
        <v>2927</v>
      </c>
      <c r="C1815" t="s">
        <v>2928</v>
      </c>
    </row>
    <row r="1816" spans="1:3" x14ac:dyDescent="0.25">
      <c r="A1816">
        <v>3306</v>
      </c>
      <c r="B1816" t="s">
        <v>2929</v>
      </c>
      <c r="C1816" t="s">
        <v>2930</v>
      </c>
    </row>
    <row r="1817" spans="1:3" x14ac:dyDescent="0.25">
      <c r="A1817">
        <v>3307</v>
      </c>
      <c r="B1817" t="s">
        <v>2931</v>
      </c>
      <c r="C1817" t="s">
        <v>2932</v>
      </c>
    </row>
    <row r="1818" spans="1:3" x14ac:dyDescent="0.25">
      <c r="A1818">
        <v>3308</v>
      </c>
      <c r="B1818" t="s">
        <v>2933</v>
      </c>
      <c r="C1818" t="s">
        <v>2934</v>
      </c>
    </row>
    <row r="1819" spans="1:3" x14ac:dyDescent="0.25">
      <c r="A1819">
        <v>3309</v>
      </c>
      <c r="B1819" t="s">
        <v>2935</v>
      </c>
      <c r="C1819" t="e">
        <f>+proj=aea +lat_1=34 +lat_2=40.5 +lat_0=0 +lon_0=-120 +x_0=0 +y_0=-4000000 +datum=NAB27 +units=m +no_defs</f>
        <v>#NAME?</v>
      </c>
    </row>
    <row r="1820" spans="1:3" x14ac:dyDescent="0.25">
      <c r="A1820">
        <v>3310</v>
      </c>
      <c r="B1820" t="s">
        <v>2936</v>
      </c>
      <c r="C1820" t="e">
        <f>+proj=aea +lat_1=34 +lat_2=40.5 +lat_0=0 +lon_0=-120 +x_0=0 +y_0=-4000000 +datum=NAB83 +units=m +no_defs</f>
        <v>#NAME?</v>
      </c>
    </row>
    <row r="1821" spans="1:3" x14ac:dyDescent="0.25">
      <c r="A1821">
        <v>3311</v>
      </c>
      <c r="B1821" t="s">
        <v>2937</v>
      </c>
      <c r="C1821" t="s">
        <v>2938</v>
      </c>
    </row>
    <row r="1822" spans="1:3" x14ac:dyDescent="0.25">
      <c r="A1822">
        <v>3312</v>
      </c>
      <c r="B1822" t="s">
        <v>2939</v>
      </c>
      <c r="C1822" t="s">
        <v>2940</v>
      </c>
    </row>
    <row r="1823" spans="1:3" x14ac:dyDescent="0.25">
      <c r="A1823">
        <v>3313</v>
      </c>
      <c r="B1823" t="s">
        <v>2941</v>
      </c>
      <c r="C1823" t="s">
        <v>1039</v>
      </c>
    </row>
    <row r="1824" spans="1:3" x14ac:dyDescent="0.25">
      <c r="A1824">
        <v>3314</v>
      </c>
      <c r="B1824" t="s">
        <v>2942</v>
      </c>
      <c r="C1824" t="s">
        <v>2943</v>
      </c>
    </row>
    <row r="1825" spans="1:3" x14ac:dyDescent="0.25">
      <c r="A1825">
        <v>3315</v>
      </c>
      <c r="B1825" t="s">
        <v>2944</v>
      </c>
      <c r="C1825" t="s">
        <v>2945</v>
      </c>
    </row>
    <row r="1826" spans="1:3" x14ac:dyDescent="0.25">
      <c r="A1826">
        <v>3316</v>
      </c>
      <c r="B1826" t="s">
        <v>2946</v>
      </c>
      <c r="C1826" t="e">
        <f>+proj=tmerc +lat_0=0 +lon_0=22 +k=0.9999 +x_0=500000 +y_0=10000000 +ellps=clrk80 +units=m +no_defs</f>
        <v>#NAME?</v>
      </c>
    </row>
    <row r="1827" spans="1:3" x14ac:dyDescent="0.25">
      <c r="A1827">
        <v>3317</v>
      </c>
      <c r="B1827" t="s">
        <v>2947</v>
      </c>
      <c r="C1827" t="e">
        <f>+proj=tmerc +lat_0=0 +lon_0=24 +k=0.9999 +x_0=500000 +y_0=10000000 +ellps=clrk80 +units=m +no_defs</f>
        <v>#NAME?</v>
      </c>
    </row>
    <row r="1828" spans="1:3" x14ac:dyDescent="0.25">
      <c r="A1828">
        <v>4579</v>
      </c>
      <c r="B1828" t="s">
        <v>2948</v>
      </c>
      <c r="C1828" t="e">
        <f>+proj=tmerc +lat_0=0 +lon_0=75 +k=1 +x_0=500000 +y_0=0 +ellps=krass +units=m +no_defs</f>
        <v>#NAME?</v>
      </c>
    </row>
    <row r="1829" spans="1:3" x14ac:dyDescent="0.25">
      <c r="A1829">
        <v>3318</v>
      </c>
      <c r="B1829" t="s">
        <v>2949</v>
      </c>
      <c r="C1829" t="e">
        <f>+proj=tmerc +lat_0=0 +lon_0=12 +k=0.9999 +x_0=500000 +y_0=10000000 +ellps=clrk80 +units=m +no_defs</f>
        <v>#NAME?</v>
      </c>
    </row>
    <row r="1830" spans="1:3" x14ac:dyDescent="0.25">
      <c r="A1830">
        <v>3319</v>
      </c>
      <c r="B1830" t="s">
        <v>2950</v>
      </c>
      <c r="C1830" t="e">
        <f>+proj=tmerc +lat_0=0 +lon_0=14 +k=0.9999 +x_0=500000 +y_0=10000000 +ellps=clrk80 +units=m +no_defs</f>
        <v>#NAME?</v>
      </c>
    </row>
    <row r="1831" spans="1:3" x14ac:dyDescent="0.25">
      <c r="A1831">
        <v>3320</v>
      </c>
      <c r="B1831" t="s">
        <v>2951</v>
      </c>
      <c r="C1831" t="e">
        <f>+proj=tmerc +lat_0=0 +lon_0=16 +k=0.9999 +x_0=500000 +y_0=10000000 +ellps=clrk80 +units=m +no_defs</f>
        <v>#NAME?</v>
      </c>
    </row>
    <row r="1832" spans="1:3" x14ac:dyDescent="0.25">
      <c r="A1832">
        <v>3321</v>
      </c>
      <c r="B1832" t="s">
        <v>2952</v>
      </c>
      <c r="C1832" t="e">
        <f>+proj=tmerc +lat_0=0 +lon_0=18 +k=0.9999 +x_0=500000 +y_0=10000000 +ellps=clrk80 +units=m +no_defs</f>
        <v>#NAME?</v>
      </c>
    </row>
    <row r="1833" spans="1:3" x14ac:dyDescent="0.25">
      <c r="A1833">
        <v>3322</v>
      </c>
      <c r="B1833" t="s">
        <v>2953</v>
      </c>
      <c r="C1833" t="e">
        <f>+proj=tmerc +lat_0=0 +lon_0=20 +k=0.9999 +x_0=500000 +y_0=10000000 +ellps=clrk80 +units=m +no_defs</f>
        <v>#NAME?</v>
      </c>
    </row>
    <row r="1834" spans="1:3" x14ac:dyDescent="0.25">
      <c r="A1834">
        <v>3323</v>
      </c>
      <c r="B1834" t="s">
        <v>2954</v>
      </c>
      <c r="C1834" t="e">
        <f>+proj=tmerc +lat_0=0 +lon_0=22 +k=0.9999 +x_0=500000 +y_0=10000000 +ellps=clrk80 +units=m +no_defs</f>
        <v>#NAME?</v>
      </c>
    </row>
    <row r="1835" spans="1:3" x14ac:dyDescent="0.25">
      <c r="A1835">
        <v>3324</v>
      </c>
      <c r="B1835" t="s">
        <v>2955</v>
      </c>
      <c r="C1835" t="e">
        <f>+proj=tmerc +lat_0=0 +lon_0=24 +k=0.9999 +x_0=500000 +y_0=10000000 +ellps=clrk80 +units=m +no_defs</f>
        <v>#NAME?</v>
      </c>
    </row>
    <row r="1836" spans="1:3" x14ac:dyDescent="0.25">
      <c r="A1836">
        <v>3325</v>
      </c>
      <c r="B1836" t="s">
        <v>2956</v>
      </c>
      <c r="C1836" t="e">
        <f>+proj=tmerc +lat_0=0 +lon_0=26 +k=0.9999 +x_0=500000 +y_0=10000000 +ellps=clrk80 +units=m +no_defs</f>
        <v>#NAME?</v>
      </c>
    </row>
    <row r="1837" spans="1:3" x14ac:dyDescent="0.25">
      <c r="A1837">
        <v>3326</v>
      </c>
      <c r="B1837" t="s">
        <v>2957</v>
      </c>
      <c r="C1837" t="e">
        <f>+proj=tmerc +lat_0=0 +lon_0=28 +k=0.9999 +x_0=500000 +y_0=10000000 +ellps=clrk80 +units=m +no_defs</f>
        <v>#NAME?</v>
      </c>
    </row>
    <row r="1838" spans="1:3" x14ac:dyDescent="0.25">
      <c r="A1838">
        <v>3345</v>
      </c>
      <c r="B1838" t="s">
        <v>2958</v>
      </c>
      <c r="C1838" t="s">
        <v>1788</v>
      </c>
    </row>
    <row r="1839" spans="1:3" x14ac:dyDescent="0.25">
      <c r="A1839">
        <v>3327</v>
      </c>
      <c r="B1839" t="s">
        <v>2959</v>
      </c>
      <c r="C1839" t="e">
        <f>+proj=tmerc +lat_0=0 +lon_0=30 +k=0.9999 +x_0=500000 +y_0=10000000 +ellps=clrk80 +units=m +no_defs</f>
        <v>#NAME?</v>
      </c>
    </row>
    <row r="1840" spans="1:3" x14ac:dyDescent="0.25">
      <c r="A1840">
        <v>3328</v>
      </c>
      <c r="B1840" t="s">
        <v>2960</v>
      </c>
      <c r="C1840" t="s">
        <v>2961</v>
      </c>
    </row>
    <row r="1841" spans="1:3" x14ac:dyDescent="0.25">
      <c r="A1841">
        <v>3329</v>
      </c>
      <c r="B1841" t="s">
        <v>2962</v>
      </c>
      <c r="C1841" t="s">
        <v>2963</v>
      </c>
    </row>
    <row r="1842" spans="1:3" x14ac:dyDescent="0.25">
      <c r="A1842">
        <v>3330</v>
      </c>
      <c r="B1842" t="s">
        <v>2964</v>
      </c>
      <c r="C1842" t="s">
        <v>2965</v>
      </c>
    </row>
    <row r="1843" spans="1:3" x14ac:dyDescent="0.25">
      <c r="A1843">
        <v>3331</v>
      </c>
      <c r="B1843" t="s">
        <v>2966</v>
      </c>
      <c r="C1843" t="s">
        <v>2967</v>
      </c>
    </row>
    <row r="1844" spans="1:3" x14ac:dyDescent="0.25">
      <c r="A1844">
        <v>3332</v>
      </c>
      <c r="B1844" t="s">
        <v>2968</v>
      </c>
      <c r="C1844" t="s">
        <v>2969</v>
      </c>
    </row>
    <row r="1845" spans="1:3" x14ac:dyDescent="0.25">
      <c r="A1845">
        <v>3333</v>
      </c>
      <c r="B1845" t="s">
        <v>2970</v>
      </c>
      <c r="C1845" t="s">
        <v>2971</v>
      </c>
    </row>
    <row r="1846" spans="1:3" x14ac:dyDescent="0.25">
      <c r="A1846">
        <v>3334</v>
      </c>
      <c r="B1846" t="s">
        <v>2972</v>
      </c>
      <c r="C1846" t="s">
        <v>2973</v>
      </c>
    </row>
    <row r="1847" spans="1:3" x14ac:dyDescent="0.25">
      <c r="A1847">
        <v>3335</v>
      </c>
      <c r="B1847" t="s">
        <v>2974</v>
      </c>
      <c r="C1847" t="s">
        <v>2975</v>
      </c>
    </row>
    <row r="1848" spans="1:3" x14ac:dyDescent="0.25">
      <c r="A1848">
        <v>4382</v>
      </c>
      <c r="B1848" t="s">
        <v>2976</v>
      </c>
      <c r="C1848" t="e">
        <f>+proj=geocent +ellps=intl +units=m +no_defs</f>
        <v>#NAME?</v>
      </c>
    </row>
    <row r="1849" spans="1:3" x14ac:dyDescent="0.25">
      <c r="A1849">
        <v>3336</v>
      </c>
      <c r="B1849" t="s">
        <v>2977</v>
      </c>
      <c r="C1849" t="s">
        <v>2459</v>
      </c>
    </row>
    <row r="1850" spans="1:3" x14ac:dyDescent="0.25">
      <c r="A1850">
        <v>3337</v>
      </c>
      <c r="B1850" t="s">
        <v>2978</v>
      </c>
      <c r="C1850" t="s">
        <v>2979</v>
      </c>
    </row>
    <row r="1851" spans="1:3" x14ac:dyDescent="0.25">
      <c r="A1851">
        <v>3338</v>
      </c>
      <c r="B1851" t="s">
        <v>2980</v>
      </c>
      <c r="C1851" t="e">
        <f>+proj=aea +lat_1=55 +lat_2=65 +lat_0=50 +lon_0=-154 +x_0=0 +y_0=0 +datum=NAB83 +units=m +no_defs</f>
        <v>#NAME?</v>
      </c>
    </row>
    <row r="1852" spans="1:3" x14ac:dyDescent="0.25">
      <c r="A1852">
        <v>3339</v>
      </c>
      <c r="B1852" t="s">
        <v>2981</v>
      </c>
      <c r="C1852" t="s">
        <v>2982</v>
      </c>
    </row>
    <row r="1853" spans="1:3" x14ac:dyDescent="0.25">
      <c r="A1853">
        <v>3340</v>
      </c>
      <c r="B1853" t="s">
        <v>2983</v>
      </c>
      <c r="C1853" t="s">
        <v>2984</v>
      </c>
    </row>
    <row r="1854" spans="1:3" x14ac:dyDescent="0.25">
      <c r="A1854">
        <v>3341</v>
      </c>
      <c r="B1854" t="s">
        <v>2985</v>
      </c>
      <c r="C1854" t="s">
        <v>2986</v>
      </c>
    </row>
    <row r="1855" spans="1:3" x14ac:dyDescent="0.25">
      <c r="A1855">
        <v>3342</v>
      </c>
      <c r="B1855" t="s">
        <v>2987</v>
      </c>
      <c r="C1855" t="s">
        <v>2988</v>
      </c>
    </row>
    <row r="1856" spans="1:3" x14ac:dyDescent="0.25">
      <c r="A1856">
        <v>3343</v>
      </c>
      <c r="B1856" t="s">
        <v>2989</v>
      </c>
      <c r="C1856" t="s">
        <v>2549</v>
      </c>
    </row>
    <row r="1857" spans="1:3" x14ac:dyDescent="0.25">
      <c r="A1857">
        <v>3344</v>
      </c>
      <c r="B1857" t="s">
        <v>2990</v>
      </c>
      <c r="C1857" t="s">
        <v>1059</v>
      </c>
    </row>
    <row r="1858" spans="1:3" x14ac:dyDescent="0.25">
      <c r="A1858">
        <v>4384</v>
      </c>
      <c r="B1858" t="s">
        <v>2991</v>
      </c>
      <c r="C1858" t="e">
        <f>+proj=geocent +ellps=WGQ84 +units=m +no_defs</f>
        <v>#NAME?</v>
      </c>
    </row>
    <row r="1859" spans="1:3" x14ac:dyDescent="0.25">
      <c r="A1859">
        <v>3346</v>
      </c>
      <c r="B1859" t="s">
        <v>2992</v>
      </c>
      <c r="C1859" t="s">
        <v>1751</v>
      </c>
    </row>
    <row r="1860" spans="1:3" x14ac:dyDescent="0.25">
      <c r="A1860">
        <v>3347</v>
      </c>
      <c r="B1860" t="s">
        <v>2993</v>
      </c>
      <c r="C1860" t="e">
        <f>+proj=lcc +lat_1=49 +lat_2=77 +lat_0=63.390675 +lon_0=-91.8666666666666 +x_0=6200000 +y_0=3000000 +datum=NAB83 +units=m +no_defs</f>
        <v>#NAME?</v>
      </c>
    </row>
    <row r="1861" spans="1:3" x14ac:dyDescent="0.25">
      <c r="A1861">
        <v>3348</v>
      </c>
      <c r="B1861" t="s">
        <v>2994</v>
      </c>
      <c r="C1861" t="s">
        <v>2995</v>
      </c>
    </row>
    <row r="1862" spans="1:3" x14ac:dyDescent="0.25">
      <c r="A1862">
        <v>3349</v>
      </c>
      <c r="B1862" t="s">
        <v>2996</v>
      </c>
      <c r="C1862" t="e">
        <f>+proj=merc +lon_0=-150 +k=1 +x_0=0 +y_0=0 +datum=WGQ84 +units=m +no_defs</f>
        <v>#NAME?</v>
      </c>
    </row>
    <row r="1863" spans="1:3" x14ac:dyDescent="0.25">
      <c r="A1863">
        <v>3350</v>
      </c>
      <c r="B1863" t="s">
        <v>2997</v>
      </c>
      <c r="C1863" t="s">
        <v>2998</v>
      </c>
    </row>
    <row r="1864" spans="1:3" x14ac:dyDescent="0.25">
      <c r="A1864">
        <v>3351</v>
      </c>
      <c r="B1864" t="s">
        <v>2999</v>
      </c>
      <c r="C1864" t="s">
        <v>3000</v>
      </c>
    </row>
    <row r="1865" spans="1:3" x14ac:dyDescent="0.25">
      <c r="A1865">
        <v>3352</v>
      </c>
      <c r="B1865" t="s">
        <v>3001</v>
      </c>
      <c r="C1865" t="s">
        <v>3002</v>
      </c>
    </row>
    <row r="1866" spans="1:3" x14ac:dyDescent="0.25">
      <c r="A1866">
        <v>3353</v>
      </c>
      <c r="B1866" t="s">
        <v>3003</v>
      </c>
      <c r="C1866" t="e">
        <f>+proj=utm +zone=32 +south +ellps=intl +units=m +no_defs</f>
        <v>#NAME?</v>
      </c>
    </row>
    <row r="1867" spans="1:3" x14ac:dyDescent="0.25">
      <c r="A1867">
        <v>3354</v>
      </c>
      <c r="B1867" t="s">
        <v>3004</v>
      </c>
      <c r="C1867" t="e">
        <f>+proj=utm +zone=32 +south +ellps=intl +units=m +no_defs</f>
        <v>#NAME?</v>
      </c>
    </row>
    <row r="1868" spans="1:3" x14ac:dyDescent="0.25">
      <c r="A1868">
        <v>3355</v>
      </c>
      <c r="B1868" t="s">
        <v>3005</v>
      </c>
      <c r="C1868" t="s">
        <v>3006</v>
      </c>
    </row>
    <row r="1869" spans="1:3" x14ac:dyDescent="0.25">
      <c r="A1869">
        <v>3356</v>
      </c>
      <c r="B1869" t="s">
        <v>3007</v>
      </c>
      <c r="C1869" t="s">
        <v>3008</v>
      </c>
    </row>
    <row r="1870" spans="1:3" x14ac:dyDescent="0.25">
      <c r="A1870">
        <v>3357</v>
      </c>
      <c r="B1870" t="s">
        <v>3009</v>
      </c>
      <c r="C1870" t="s">
        <v>3010</v>
      </c>
    </row>
    <row r="1871" spans="1:3" x14ac:dyDescent="0.25">
      <c r="A1871">
        <v>3358</v>
      </c>
      <c r="B1871" t="s">
        <v>3011</v>
      </c>
      <c r="C1871" t="s">
        <v>3012</v>
      </c>
    </row>
    <row r="1872" spans="1:3" x14ac:dyDescent="0.25">
      <c r="A1872">
        <v>3359</v>
      </c>
      <c r="B1872" t="s">
        <v>3013</v>
      </c>
      <c r="C1872" t="s">
        <v>3014</v>
      </c>
    </row>
    <row r="1873" spans="1:3" x14ac:dyDescent="0.25">
      <c r="A1873">
        <v>3360</v>
      </c>
      <c r="B1873" t="s">
        <v>3015</v>
      </c>
      <c r="C1873" t="s">
        <v>3016</v>
      </c>
    </row>
    <row r="1874" spans="1:3" x14ac:dyDescent="0.25">
      <c r="A1874">
        <v>3361</v>
      </c>
      <c r="B1874" t="s">
        <v>3017</v>
      </c>
      <c r="C1874" t="s">
        <v>3018</v>
      </c>
    </row>
    <row r="1875" spans="1:3" x14ac:dyDescent="0.25">
      <c r="A1875">
        <v>3362</v>
      </c>
      <c r="B1875" t="s">
        <v>3019</v>
      </c>
      <c r="C1875" t="s">
        <v>3020</v>
      </c>
    </row>
    <row r="1876" spans="1:3" x14ac:dyDescent="0.25">
      <c r="A1876">
        <v>3363</v>
      </c>
      <c r="B1876" t="s">
        <v>3021</v>
      </c>
      <c r="C1876" t="s">
        <v>3022</v>
      </c>
    </row>
    <row r="1877" spans="1:3" x14ac:dyDescent="0.25">
      <c r="A1877">
        <v>4385</v>
      </c>
      <c r="B1877" t="s">
        <v>3023</v>
      </c>
      <c r="C1877" t="e">
        <f>+proj=geocent +ellps=GRQ80 +units=m +no_defs</f>
        <v>#NAME?</v>
      </c>
    </row>
    <row r="1878" spans="1:3" x14ac:dyDescent="0.25">
      <c r="A1878">
        <v>3364</v>
      </c>
      <c r="B1878" t="s">
        <v>3024</v>
      </c>
      <c r="C1878" t="s">
        <v>3025</v>
      </c>
    </row>
    <row r="1879" spans="1:3" x14ac:dyDescent="0.25">
      <c r="A1879">
        <v>3365</v>
      </c>
      <c r="B1879" t="s">
        <v>3026</v>
      </c>
      <c r="C1879" t="s">
        <v>3027</v>
      </c>
    </row>
    <row r="1880" spans="1:3" x14ac:dyDescent="0.25">
      <c r="A1880">
        <v>3366</v>
      </c>
      <c r="B1880" t="s">
        <v>3028</v>
      </c>
      <c r="C1880" t="e">
        <f>+proj=cass +lat_0=22.3121333333333 +lon_0=114.178555555555 +x_0=40243.5777560423 +y_0=19069.9335151257 +a=6378293.64520875 +b=6356617.98767983 +units=m +no_defs</f>
        <v>#NAME?</v>
      </c>
    </row>
    <row r="1881" spans="1:3" x14ac:dyDescent="0.25">
      <c r="A1881">
        <v>3367</v>
      </c>
      <c r="B1881" t="s">
        <v>3029</v>
      </c>
      <c r="C1881" t="e">
        <f>+proj=utm +zone=28 +ellps=clrk80 +units=m +no_defs</f>
        <v>#NAME?</v>
      </c>
    </row>
    <row r="1882" spans="1:3" x14ac:dyDescent="0.25">
      <c r="A1882">
        <v>3368</v>
      </c>
      <c r="B1882" t="s">
        <v>3030</v>
      </c>
      <c r="C1882" t="e">
        <f>+proj=utm +zone=29 +ellps=clrk80 +units=m +no_defs</f>
        <v>#NAME?</v>
      </c>
    </row>
    <row r="1883" spans="1:3" x14ac:dyDescent="0.25">
      <c r="A1883">
        <v>3369</v>
      </c>
      <c r="B1883" t="s">
        <v>3031</v>
      </c>
      <c r="C1883" t="e">
        <f>+proj=utm +zone=30 +ellps=clrk80 +units=m +no_defs</f>
        <v>#NAME?</v>
      </c>
    </row>
    <row r="1884" spans="1:3" x14ac:dyDescent="0.25">
      <c r="A1884">
        <v>3370</v>
      </c>
      <c r="B1884" t="s">
        <v>3032</v>
      </c>
      <c r="C1884" t="e">
        <f>+proj=utm +zone=59 +datum=NAB27 +units=m +no_defs</f>
        <v>#NAME?</v>
      </c>
    </row>
    <row r="1885" spans="1:3" x14ac:dyDescent="0.25">
      <c r="A1885">
        <v>3371</v>
      </c>
      <c r="B1885" t="s">
        <v>3033</v>
      </c>
      <c r="C1885" t="e">
        <f>+proj=utm +zone=60 +datum=NAB27 +units=m +no_defs</f>
        <v>#NAME?</v>
      </c>
    </row>
    <row r="1886" spans="1:3" x14ac:dyDescent="0.25">
      <c r="A1886">
        <v>3372</v>
      </c>
      <c r="B1886" t="s">
        <v>3034</v>
      </c>
      <c r="C1886" t="e">
        <f>+proj=utm +zone=59 +datum=NAB83 +units=m +no_defs</f>
        <v>#NAME?</v>
      </c>
    </row>
    <row r="1887" spans="1:3" x14ac:dyDescent="0.25">
      <c r="A1887">
        <v>3373</v>
      </c>
      <c r="B1887" t="s">
        <v>3035</v>
      </c>
      <c r="C1887" t="e">
        <f>+proj=utm +zone=60 +datum=NAB83 +units=m +no_defs</f>
        <v>#NAME?</v>
      </c>
    </row>
    <row r="1888" spans="1:3" x14ac:dyDescent="0.25">
      <c r="A1888">
        <v>3375</v>
      </c>
      <c r="B1888" t="s">
        <v>3036</v>
      </c>
      <c r="C1888" t="e">
        <f>+proj=omerc +lat_0=4 +lonc=102.25 +alpha=323.025796466666 +k=0.99984 +x_0=804671 +y_0=0 +no_uoff +gamma=323.130102361111 +ellps=GRQ80 +units=m +no_defs</f>
        <v>#NAME?</v>
      </c>
    </row>
    <row r="1889" spans="1:3" x14ac:dyDescent="0.25">
      <c r="A1889">
        <v>3376</v>
      </c>
      <c r="B1889" t="s">
        <v>3037</v>
      </c>
      <c r="C1889" t="e">
        <f>+proj=omerc +lat_0=4 +lonc=115 +alpha=53.31580995 +k=0.99984 +x_0=0 +y_0=0 +no_uoff +gamma=53.1301023611111 +ellps=GRQ80 +units=m +no_defs</f>
        <v>#NAME?</v>
      </c>
    </row>
    <row r="1890" spans="1:3" x14ac:dyDescent="0.25">
      <c r="A1890">
        <v>3377</v>
      </c>
      <c r="B1890" t="s">
        <v>3038</v>
      </c>
      <c r="C1890" t="e">
        <f>+proj=cass +lat_0=2.12167974444444 +lon_0=103.427936236111 +x_0=-14810.562 +y_0=8758.32 +ellps=GRQ80 +units=m +no_defs</f>
        <v>#NAME?</v>
      </c>
    </row>
    <row r="1891" spans="1:3" x14ac:dyDescent="0.25">
      <c r="A1891">
        <v>3378</v>
      </c>
      <c r="B1891" t="s">
        <v>3039</v>
      </c>
      <c r="C1891" t="e">
        <f>+proj=cass +lat_0=2.68234763611111 +lon_0=101.974905041666 +x_0=3673.785 +y_0=-4240.573 +ellps=GRQ80 +units=m +no_defs</f>
        <v>#NAME?</v>
      </c>
    </row>
    <row r="1892" spans="1:3" x14ac:dyDescent="0.25">
      <c r="A1892">
        <v>3379</v>
      </c>
      <c r="B1892" t="s">
        <v>3040</v>
      </c>
      <c r="C1892" t="e">
        <f>+proj=cass +lat_0=3.76938808888888 +lon_0=102.368298983333 +x_0=-7368.228 +y_0=6485.858 +ellps=GRQ80 +units=m +no_defs</f>
        <v>#NAME?</v>
      </c>
    </row>
    <row r="1893" spans="1:3" x14ac:dyDescent="0.25">
      <c r="A1893">
        <v>3380</v>
      </c>
      <c r="B1893" t="s">
        <v>3041</v>
      </c>
      <c r="C1893" t="e">
        <f>+proj=cass +lat_0=3.68464905 +lon_0=101.389107913888 +x_0=-34836.161 +y_0=56464.049 +ellps=GRQ80 +units=m +no_defs</f>
        <v>#NAME?</v>
      </c>
    </row>
    <row r="1894" spans="1:3" x14ac:dyDescent="0.25">
      <c r="A1894">
        <v>3381</v>
      </c>
      <c r="B1894" t="s">
        <v>3042</v>
      </c>
      <c r="C1894" t="e">
        <f>+proj=cass +lat_0=4.9762852 +lon_0=103.070275625 +x_0=19594.245 +y_0=3371.895 +ellps=GRQ80 +units=m +no_defs</f>
        <v>#NAME?</v>
      </c>
    </row>
    <row r="1895" spans="1:3" x14ac:dyDescent="0.25">
      <c r="A1895">
        <v>3382</v>
      </c>
      <c r="B1895" t="s">
        <v>3043</v>
      </c>
      <c r="C1895" t="e">
        <f>+proj=cass +lat_0=5.42151754166666 +lon_0=100.344376963888 +x_0=-23.414 +y_0=62.283 +ellps=GRQ80 +units=m +no_defs</f>
        <v>#NAME?</v>
      </c>
    </row>
    <row r="1896" spans="1:3" x14ac:dyDescent="0.25">
      <c r="A1896">
        <v>3383</v>
      </c>
      <c r="B1896" t="s">
        <v>3044</v>
      </c>
      <c r="C1896" t="e">
        <f>+proj=cass +lat_0=5.96467271388888 +lon_0=100.636371111111 +x_0=0 +y_0=0 +ellps=GRQ80 +units=m +no_defs</f>
        <v>#NAME?</v>
      </c>
    </row>
    <row r="1897" spans="1:3" x14ac:dyDescent="0.25">
      <c r="A1897">
        <v>3413</v>
      </c>
      <c r="B1897" t="s">
        <v>3045</v>
      </c>
      <c r="C1897" t="e">
        <f>+proj=stere +lat_0=90 +lat_ts=70 +lon_0=-45 +k=1 +x_0=0 +y_0=0 +datum=WGQ84 +units=m +no_defs</f>
        <v>#NAME?</v>
      </c>
    </row>
    <row r="1898" spans="1:3" x14ac:dyDescent="0.25">
      <c r="A1898">
        <v>3384</v>
      </c>
      <c r="B1898" t="s">
        <v>3046</v>
      </c>
      <c r="C1898" t="e">
        <f>+proj=cass +lat_0=4.85906302222222 +lon_0=100.815410586111 +x_0=-1.769 +y_0=133454.779 +ellps=GRQ80 +units=m +no_defs</f>
        <v>#NAME?</v>
      </c>
    </row>
    <row r="1899" spans="1:3" x14ac:dyDescent="0.25">
      <c r="A1899">
        <v>3385</v>
      </c>
      <c r="B1899" t="s">
        <v>3047</v>
      </c>
      <c r="C1899" t="e">
        <f>+proj=cass +lat_0=5.97254365833333 +lon_0=102.295241669444 +x_0=13227.851 +y_0=8739.894 +ellps=GRQ80 +units=m +no_defs</f>
        <v>#NAME?</v>
      </c>
    </row>
    <row r="1900" spans="1:3" x14ac:dyDescent="0.25">
      <c r="A1900">
        <v>3386</v>
      </c>
      <c r="B1900" t="s">
        <v>3048</v>
      </c>
      <c r="C1900" t="s">
        <v>3049</v>
      </c>
    </row>
    <row r="1901" spans="1:3" x14ac:dyDescent="0.25">
      <c r="A1901">
        <v>3387</v>
      </c>
      <c r="B1901" t="s">
        <v>3050</v>
      </c>
      <c r="C1901" t="s">
        <v>3051</v>
      </c>
    </row>
    <row r="1902" spans="1:3" x14ac:dyDescent="0.25">
      <c r="A1902">
        <v>3388</v>
      </c>
      <c r="B1902" t="s">
        <v>3052</v>
      </c>
      <c r="C1902" t="s">
        <v>3053</v>
      </c>
    </row>
    <row r="1903" spans="1:3" x14ac:dyDescent="0.25">
      <c r="A1903">
        <v>3389</v>
      </c>
      <c r="B1903" t="s">
        <v>3054</v>
      </c>
      <c r="C1903" t="s">
        <v>3055</v>
      </c>
    </row>
    <row r="1904" spans="1:3" x14ac:dyDescent="0.25">
      <c r="A1904">
        <v>3390</v>
      </c>
      <c r="B1904" t="s">
        <v>3056</v>
      </c>
      <c r="C1904" t="s">
        <v>3057</v>
      </c>
    </row>
    <row r="1905" spans="1:3" x14ac:dyDescent="0.25">
      <c r="A1905">
        <v>3391</v>
      </c>
      <c r="B1905" t="s">
        <v>3058</v>
      </c>
      <c r="C1905" t="s">
        <v>3059</v>
      </c>
    </row>
    <row r="1906" spans="1:3" x14ac:dyDescent="0.25">
      <c r="A1906">
        <v>3392</v>
      </c>
      <c r="B1906" t="s">
        <v>3060</v>
      </c>
      <c r="C1906" t="s">
        <v>3061</v>
      </c>
    </row>
    <row r="1907" spans="1:3" x14ac:dyDescent="0.25">
      <c r="A1907">
        <v>3393</v>
      </c>
      <c r="B1907" t="s">
        <v>3062</v>
      </c>
      <c r="C1907" t="s">
        <v>3063</v>
      </c>
    </row>
    <row r="1908" spans="1:3" x14ac:dyDescent="0.25">
      <c r="A1908">
        <v>3394</v>
      </c>
      <c r="B1908" t="s">
        <v>3064</v>
      </c>
      <c r="C1908" t="s">
        <v>3065</v>
      </c>
    </row>
    <row r="1909" spans="1:3" x14ac:dyDescent="0.25">
      <c r="A1909">
        <v>3395</v>
      </c>
      <c r="B1909" t="s">
        <v>3066</v>
      </c>
      <c r="C1909" t="e">
        <f>+proj=merc +lon_0=0 +k=1 +x_0=0 +y_0=0 +datum=WGQ84 +units=m +no_defs</f>
        <v>#NAME?</v>
      </c>
    </row>
    <row r="1910" spans="1:3" x14ac:dyDescent="0.25">
      <c r="A1910">
        <v>3396</v>
      </c>
      <c r="B1910" t="s">
        <v>3067</v>
      </c>
      <c r="C1910" t="e">
        <f>+proj=tmerc +lat_0=0 +lon_0=9 +k=1 +x_0=3500000 +y_0=0 +ellps=bessel +units=m +no_defs</f>
        <v>#NAME?</v>
      </c>
    </row>
    <row r="1911" spans="1:3" x14ac:dyDescent="0.25">
      <c r="A1911">
        <v>3397</v>
      </c>
      <c r="B1911" t="s">
        <v>3068</v>
      </c>
      <c r="C1911" t="e">
        <f>+proj=tmerc +lat_0=0 +lon_0=12 +k=1 +x_0=4500000 +y_0=0 +ellps=bessel +units=m +no_defs</f>
        <v>#NAME?</v>
      </c>
    </row>
    <row r="1912" spans="1:3" x14ac:dyDescent="0.25">
      <c r="A1912">
        <v>3398</v>
      </c>
      <c r="B1912" t="s">
        <v>3069</v>
      </c>
      <c r="C1912" t="e">
        <f>+proj=tmerc +lat_0=0 +lon_0=12 +k=1 +x_0=4500000 +y_0=0 +ellps=bessel +units=m +no_defs</f>
        <v>#NAME?</v>
      </c>
    </row>
    <row r="1913" spans="1:3" x14ac:dyDescent="0.25">
      <c r="A1913">
        <v>3399</v>
      </c>
      <c r="B1913" t="s">
        <v>3070</v>
      </c>
      <c r="C1913" t="e">
        <f>+proj=tmerc +lat_0=0 +lon_0=15 +k=1 +x_0=5500000 +y_0=0 +ellps=bessel +units=m +no_defs</f>
        <v>#NAME?</v>
      </c>
    </row>
    <row r="1914" spans="1:3" x14ac:dyDescent="0.25">
      <c r="A1914">
        <v>3400</v>
      </c>
      <c r="B1914" t="s">
        <v>3071</v>
      </c>
      <c r="C1914" t="e">
        <f>+proj=tmerc +lat_0=0 +lon_0=-115 +k=0.9992 +x_0=500000 +y_0=0 +datum=NAB83 +units=m +no_defs</f>
        <v>#NAME?</v>
      </c>
    </row>
    <row r="1915" spans="1:3" x14ac:dyDescent="0.25">
      <c r="A1915">
        <v>3401</v>
      </c>
      <c r="B1915" t="s">
        <v>3072</v>
      </c>
      <c r="C1915" t="e">
        <f>+proj=tmerc +lat_0=0 +lon_0=-115 +k=0.9992 +x_0=0 +y_0=0 +datum=NAB83 +units=m +no_defs</f>
        <v>#NAME?</v>
      </c>
    </row>
    <row r="1916" spans="1:3" x14ac:dyDescent="0.25">
      <c r="A1916">
        <v>3402</v>
      </c>
      <c r="B1916" t="s">
        <v>3073</v>
      </c>
      <c r="C1916" t="s">
        <v>3074</v>
      </c>
    </row>
    <row r="1917" spans="1:3" x14ac:dyDescent="0.25">
      <c r="A1917">
        <v>3403</v>
      </c>
      <c r="B1917" t="s">
        <v>3075</v>
      </c>
      <c r="C1917" t="s">
        <v>3076</v>
      </c>
    </row>
    <row r="1918" spans="1:3" x14ac:dyDescent="0.25">
      <c r="A1918">
        <v>4387</v>
      </c>
      <c r="B1918" t="s">
        <v>3077</v>
      </c>
      <c r="C1918" t="e">
        <f>+proj=geocent +ellps=GRQ80 +units=m +no_defs</f>
        <v>#NAME?</v>
      </c>
    </row>
    <row r="1919" spans="1:3" x14ac:dyDescent="0.25">
      <c r="A1919">
        <v>3404</v>
      </c>
      <c r="B1919" t="s">
        <v>3078</v>
      </c>
      <c r="C1919" t="s">
        <v>3079</v>
      </c>
    </row>
    <row r="1920" spans="1:3" x14ac:dyDescent="0.25">
      <c r="A1920">
        <v>3405</v>
      </c>
      <c r="B1920" t="s">
        <v>3080</v>
      </c>
      <c r="C1920" t="s">
        <v>3081</v>
      </c>
    </row>
    <row r="1921" spans="1:3" x14ac:dyDescent="0.25">
      <c r="A1921">
        <v>3406</v>
      </c>
      <c r="B1921" t="s">
        <v>3082</v>
      </c>
      <c r="C1921" t="s">
        <v>3083</v>
      </c>
    </row>
    <row r="1922" spans="1:3" x14ac:dyDescent="0.25">
      <c r="A1922">
        <v>3407</v>
      </c>
      <c r="B1922" t="s">
        <v>3084</v>
      </c>
      <c r="C1922" t="e">
        <f>+proj=cass +lat_0=22.3121333333333 +lon_0=114.178555555555 +x_0=40243.5777560423 +y_0=19069.9335151257 +a=6378293.64520875 +b=6356617.98767983 +to_meter=0.3047972654 +no_defs</f>
        <v>#NAME?</v>
      </c>
    </row>
    <row r="1923" spans="1:3" x14ac:dyDescent="0.25">
      <c r="A1923">
        <v>3408</v>
      </c>
      <c r="B1923" t="s">
        <v>3085</v>
      </c>
      <c r="C1923" t="e">
        <f>+proj=laea +lat_0=90 +lon_0=0 +x_0=0 +y_0=0 +a=6371228 +b=6371228 +units=m +no_defs</f>
        <v>#NAME?</v>
      </c>
    </row>
    <row r="1924" spans="1:3" x14ac:dyDescent="0.25">
      <c r="A1924">
        <v>3409</v>
      </c>
      <c r="B1924" t="s">
        <v>3086</v>
      </c>
      <c r="C1924" t="e">
        <f>+proj=laea +lat_0=-90 +lon_0=0 +x_0=0 +y_0=0 +a=6371228 +b=6371228 +units=m +no_defs</f>
        <v>#NAME?</v>
      </c>
    </row>
    <row r="1925" spans="1:3" x14ac:dyDescent="0.25">
      <c r="A1925">
        <v>3410</v>
      </c>
      <c r="B1925" t="s">
        <v>3087</v>
      </c>
      <c r="C1925" t="e">
        <f>+proj=cea +lon_0=0 +lat_ts=30 +x_0=0 +y_0=0 +a=6371228 +b=6371228 +units=m +no_defs</f>
        <v>#NAME?</v>
      </c>
    </row>
    <row r="1926" spans="1:3" x14ac:dyDescent="0.25">
      <c r="A1926">
        <v>3411</v>
      </c>
      <c r="B1926" t="s">
        <v>3088</v>
      </c>
      <c r="C1926" t="e">
        <f>+proj=stere +lat_0=90 +lat_ts=70 +lon_0=-45 +k=1 +x_0=0 +y_0=0 +a=6378273 +b=6356889.449 +units=m +no_defs</f>
        <v>#NAME?</v>
      </c>
    </row>
    <row r="1927" spans="1:3" x14ac:dyDescent="0.25">
      <c r="A1927">
        <v>3412</v>
      </c>
      <c r="B1927" t="s">
        <v>3089</v>
      </c>
      <c r="C1927" t="e">
        <f>+proj=stere +lat_0=-90 +lat_ts=-70 +lon_0=0 +k=1 +x_0=0 +y_0=0 +a=6378273 +b=6356889.449 +units=m +no_defs</f>
        <v>#NAME?</v>
      </c>
    </row>
    <row r="1928" spans="1:3" x14ac:dyDescent="0.25">
      <c r="A1928">
        <v>3414</v>
      </c>
      <c r="B1928" t="s">
        <v>3090</v>
      </c>
      <c r="C1928" t="e">
        <f>+proj=tmerc +lat_0=1.36666666666666 +lon_0=103.833333333333 +k=1 +x_0=28001.642 +y_0=38744.572 +ellps=WGQ84 +units=m +no_defs</f>
        <v>#NAME?</v>
      </c>
    </row>
    <row r="1929" spans="1:3" x14ac:dyDescent="0.25">
      <c r="A1929">
        <v>3415</v>
      </c>
      <c r="B1929" t="s">
        <v>3091</v>
      </c>
      <c r="C1929" t="s">
        <v>3092</v>
      </c>
    </row>
    <row r="1930" spans="1:3" x14ac:dyDescent="0.25">
      <c r="A1930">
        <v>3416</v>
      </c>
      <c r="B1930" t="s">
        <v>3093</v>
      </c>
      <c r="C1930" t="s">
        <v>3094</v>
      </c>
    </row>
    <row r="1931" spans="1:3" x14ac:dyDescent="0.25">
      <c r="A1931">
        <v>3417</v>
      </c>
      <c r="B1931" t="s">
        <v>3095</v>
      </c>
      <c r="C1931" t="e">
        <f>+proj=lcc +lat_1=43.2666666666666 +lat_2=42.0666666666666 +lat_0=41.5 +lon_0=-93.5 +x_0=1500000 +y_0=999999.99998984 +datum=NAB83 +units=us-ft +no_defs</f>
        <v>#NAME?</v>
      </c>
    </row>
    <row r="1932" spans="1:3" x14ac:dyDescent="0.25">
      <c r="A1932">
        <v>3418</v>
      </c>
      <c r="B1932" t="s">
        <v>3096</v>
      </c>
      <c r="C1932" t="e">
        <f>+proj=lcc +lat_1=41.7833333333333 +lat_2=40.6166666666666 +lat_0=40 +lon_0=-93.5 +x_0=500000.00001016 +y_0=0 +datum=NAB83 +units=us-ft +no_defs</f>
        <v>#NAME?</v>
      </c>
    </row>
    <row r="1933" spans="1:3" x14ac:dyDescent="0.25">
      <c r="A1933">
        <v>3419</v>
      </c>
      <c r="B1933" t="s">
        <v>3097</v>
      </c>
      <c r="C1933" t="e">
        <f>+proj=lcc +lat_1=39.7833333333333 +lat_2=38.7166666666666 +lat_0=38.3333333333333 +lon_0=-98 +x_0=399999.99998984 +y_0=0 +datum=NAB83 +units=us-ft +no_defs</f>
        <v>#NAME?</v>
      </c>
    </row>
    <row r="1934" spans="1:3" x14ac:dyDescent="0.25">
      <c r="A1934">
        <v>3420</v>
      </c>
      <c r="B1934" t="s">
        <v>3098</v>
      </c>
      <c r="C1934" t="e">
        <f>+proj=lcc +lat_1=38.5666666666666 +lat_2=37.2666666666666 +lat_0=36.6666666666666 +lon_0=-98.5 +x_0=399999.99998984 +y_0=399999.99998984 +datum=NAB83 +units=us-ft +no_defs</f>
        <v>#NAME?</v>
      </c>
    </row>
    <row r="1935" spans="1:3" x14ac:dyDescent="0.25">
      <c r="A1935">
        <v>3421</v>
      </c>
      <c r="B1935" t="s">
        <v>3099</v>
      </c>
      <c r="C1935" t="e">
        <f>+proj=tmerc +lat_0=34.75 +lon_0=-115.583333333333 +k=0.9999 +x_0=200000.00001016 +y_0=8000000.00001016 +datum=NAB83 +units=us-ft +no_defs</f>
        <v>#NAME?</v>
      </c>
    </row>
    <row r="1936" spans="1:3" x14ac:dyDescent="0.25">
      <c r="A1936">
        <v>3463</v>
      </c>
      <c r="B1936" t="s">
        <v>3100</v>
      </c>
      <c r="C1936" t="e">
        <f>+proj=tmerc +lat_0=43.5 +lon_0=-69.125 +k=0.99998 +x_0=500000 +y_0=0 +datum=NAB83 +units=m +no_defs</f>
        <v>#NAME?</v>
      </c>
    </row>
    <row r="1937" spans="1:3" x14ac:dyDescent="0.25">
      <c r="A1937">
        <v>3422</v>
      </c>
      <c r="B1937" t="s">
        <v>3101</v>
      </c>
      <c r="C1937" t="e">
        <f>+proj=tmerc +lat_0=34.75 +lon_0=-116.666666666666 +k=0.9999 +x_0=500000.00001016 +y_0=6000000 +datum=NAB83 +units=us-ft +no_defs</f>
        <v>#NAME?</v>
      </c>
    </row>
    <row r="1938" spans="1:3" x14ac:dyDescent="0.25">
      <c r="A1938">
        <v>3423</v>
      </c>
      <c r="B1938" t="s">
        <v>3102</v>
      </c>
      <c r="C1938" t="e">
        <f>+proj=tmerc +lat_0=34.75 +lon_0=-118.583333333333 +k=0.9999 +x_0=800000.000010159 +y_0=3999999.99998984 +datum=NAB83 +units=us-ft +no_defs</f>
        <v>#NAME?</v>
      </c>
    </row>
    <row r="1939" spans="1:3" x14ac:dyDescent="0.25">
      <c r="A1939">
        <v>3424</v>
      </c>
      <c r="B1939" t="s">
        <v>3103</v>
      </c>
      <c r="C1939" t="e">
        <f>+proj=tmerc +lat_0=38.8333333333333 +lon_0=-74.5 +k=0.9999 +x_0=150000 +y_0=0 +datum=NAB83 +units=us-ft +no_defs</f>
        <v>#NAME?</v>
      </c>
    </row>
    <row r="1940" spans="1:3" x14ac:dyDescent="0.25">
      <c r="A1940">
        <v>3425</v>
      </c>
      <c r="B1940" t="s">
        <v>3104</v>
      </c>
      <c r="C1940" t="s">
        <v>3105</v>
      </c>
    </row>
    <row r="1941" spans="1:3" x14ac:dyDescent="0.25">
      <c r="A1941">
        <v>3426</v>
      </c>
      <c r="B1941" t="s">
        <v>3106</v>
      </c>
      <c r="C1941" t="s">
        <v>3107</v>
      </c>
    </row>
    <row r="1942" spans="1:3" x14ac:dyDescent="0.25">
      <c r="A1942">
        <v>3427</v>
      </c>
      <c r="B1942" t="s">
        <v>3108</v>
      </c>
      <c r="C1942" t="s">
        <v>3109</v>
      </c>
    </row>
    <row r="1943" spans="1:3" x14ac:dyDescent="0.25">
      <c r="A1943">
        <v>3428</v>
      </c>
      <c r="B1943" t="s">
        <v>3110</v>
      </c>
      <c r="C1943" t="s">
        <v>3111</v>
      </c>
    </row>
    <row r="1944" spans="1:3" x14ac:dyDescent="0.25">
      <c r="A1944">
        <v>3429</v>
      </c>
      <c r="B1944" t="s">
        <v>3112</v>
      </c>
      <c r="C1944" t="s">
        <v>3113</v>
      </c>
    </row>
    <row r="1945" spans="1:3" x14ac:dyDescent="0.25">
      <c r="A1945">
        <v>4389</v>
      </c>
      <c r="B1945" t="s">
        <v>3114</v>
      </c>
      <c r="C1945" t="e">
        <f>+proj=geocent +ellps=GRQ80 +units=m +no_defs</f>
        <v>#NAME?</v>
      </c>
    </row>
    <row r="1946" spans="1:3" x14ac:dyDescent="0.25">
      <c r="A1946">
        <v>3430</v>
      </c>
      <c r="B1946" t="s">
        <v>3115</v>
      </c>
      <c r="C1946" t="s">
        <v>3116</v>
      </c>
    </row>
    <row r="1947" spans="1:3" x14ac:dyDescent="0.25">
      <c r="A1947">
        <v>3431</v>
      </c>
      <c r="B1947" t="s">
        <v>3117</v>
      </c>
      <c r="C1947" t="s">
        <v>3118</v>
      </c>
    </row>
    <row r="1948" spans="1:3" x14ac:dyDescent="0.25">
      <c r="A1948">
        <v>3432</v>
      </c>
      <c r="B1948" t="s">
        <v>3119</v>
      </c>
      <c r="C1948" t="s">
        <v>2338</v>
      </c>
    </row>
    <row r="1949" spans="1:3" x14ac:dyDescent="0.25">
      <c r="A1949">
        <v>3433</v>
      </c>
      <c r="B1949" t="s">
        <v>3120</v>
      </c>
      <c r="C1949" t="e">
        <f>+proj=lcc +lat_1=36.2333333333333 +lat_2=34.9333333333333 +lat_0=34.3333333333333 +lon_0=-92 +x_0=399999.99998984 +y_0=0 +datum=NAB83 +units=us-ft +no_defs</f>
        <v>#NAME?</v>
      </c>
    </row>
    <row r="1950" spans="1:3" x14ac:dyDescent="0.25">
      <c r="A1950">
        <v>3434</v>
      </c>
      <c r="B1950" t="s">
        <v>3121</v>
      </c>
      <c r="C1950" t="e">
        <f>+proj=lcc +lat_1=34.7666666666666 +lat_2=33.3 +lat_0=32.6666666666666 +lon_0=-92 +x_0=399999.99998984 +y_0=399999.99998984 +datum=NAB83 +units=us-ft +no_defs</f>
        <v>#NAME?</v>
      </c>
    </row>
    <row r="1951" spans="1:3" x14ac:dyDescent="0.25">
      <c r="A1951">
        <v>3435</v>
      </c>
      <c r="B1951" t="s">
        <v>3122</v>
      </c>
      <c r="C1951" t="e">
        <f>+proj=tmerc +lat_0=36.6666666666666 +lon_0=-88.3333333333333 +k=0.999974999999999 +x_0=300000 +y_0=0 +datum=NAB83 +units=us-ft +no_defs</f>
        <v>#NAME?</v>
      </c>
    </row>
    <row r="1952" spans="1:3" x14ac:dyDescent="0.25">
      <c r="A1952">
        <v>3436</v>
      </c>
      <c r="B1952" t="s">
        <v>3123</v>
      </c>
      <c r="C1952" t="e">
        <f>+proj=tmerc +lat_0=36.6666666666666 +lon_0=-90.1666666666666 +k=0.999941177 +x_0=699999.99998984 +y_0=0 +datum=NAB83 +units=us-ft +no_defs</f>
        <v>#NAME?</v>
      </c>
    </row>
    <row r="1953" spans="1:3" x14ac:dyDescent="0.25">
      <c r="A1953">
        <v>3437</v>
      </c>
      <c r="B1953" t="s">
        <v>3124</v>
      </c>
      <c r="C1953" t="e">
        <f>+proj=tmerc +lat_0=42.5 +lon_0=-71.6666666666666 +k=0.999966667 +x_0=300000 +y_0=0 +datum=NAB83 +units=us-ft +no_defs</f>
        <v>#NAME?</v>
      </c>
    </row>
    <row r="1954" spans="1:3" x14ac:dyDescent="0.25">
      <c r="A1954">
        <v>3881</v>
      </c>
      <c r="B1954" t="s">
        <v>3125</v>
      </c>
      <c r="C1954" t="s">
        <v>3126</v>
      </c>
    </row>
    <row r="1955" spans="1:3" x14ac:dyDescent="0.25">
      <c r="A1955">
        <v>3438</v>
      </c>
      <c r="B1955" t="s">
        <v>3127</v>
      </c>
      <c r="C1955" t="e">
        <f>+proj=tmerc +lat_0=41.0833333333333 +lon_0=-71.5 +k=0.99999375 +x_0=99999.9999898399 +y_0=0 +datum=NAB83 +units=us-ft +no_defs</f>
        <v>#NAME?</v>
      </c>
    </row>
    <row r="1956" spans="1:3" x14ac:dyDescent="0.25">
      <c r="A1956">
        <v>3439</v>
      </c>
      <c r="B1956" t="s">
        <v>3128</v>
      </c>
      <c r="C1956" t="s">
        <v>3129</v>
      </c>
    </row>
    <row r="1957" spans="1:3" x14ac:dyDescent="0.25">
      <c r="A1957">
        <v>3440</v>
      </c>
      <c r="B1957" t="s">
        <v>3130</v>
      </c>
      <c r="C1957" t="s">
        <v>3131</v>
      </c>
    </row>
    <row r="1958" spans="1:3" x14ac:dyDescent="0.25">
      <c r="A1958">
        <v>3441</v>
      </c>
      <c r="B1958" t="s">
        <v>3132</v>
      </c>
      <c r="C1958" t="s">
        <v>3133</v>
      </c>
    </row>
    <row r="1959" spans="1:3" x14ac:dyDescent="0.25">
      <c r="A1959">
        <v>3442</v>
      </c>
      <c r="B1959" t="s">
        <v>3134</v>
      </c>
      <c r="C1959" t="s">
        <v>3135</v>
      </c>
    </row>
    <row r="1960" spans="1:3" x14ac:dyDescent="0.25">
      <c r="A1960">
        <v>3443</v>
      </c>
      <c r="B1960" t="s">
        <v>3136</v>
      </c>
      <c r="C1960" t="s">
        <v>3137</v>
      </c>
    </row>
    <row r="1961" spans="1:3" x14ac:dyDescent="0.25">
      <c r="A1961">
        <v>3444</v>
      </c>
      <c r="B1961" t="s">
        <v>3138</v>
      </c>
      <c r="C1961" t="s">
        <v>3139</v>
      </c>
    </row>
    <row r="1962" spans="1:3" x14ac:dyDescent="0.25">
      <c r="A1962">
        <v>3445</v>
      </c>
      <c r="B1962" t="s">
        <v>3140</v>
      </c>
      <c r="C1962" t="s">
        <v>3141</v>
      </c>
    </row>
    <row r="1963" spans="1:3" x14ac:dyDescent="0.25">
      <c r="A1963">
        <v>3974</v>
      </c>
      <c r="B1963" t="s">
        <v>3142</v>
      </c>
      <c r="C1963" t="e">
        <f>+proj=laea +lat_0=-90 +lon_0=0 +x_0=0 +y_0=0 +datum=WGQ84 +units=m +no_defs</f>
        <v>#NAME?</v>
      </c>
    </row>
    <row r="1964" spans="1:3" x14ac:dyDescent="0.25">
      <c r="A1964">
        <v>3446</v>
      </c>
      <c r="B1964" t="s">
        <v>3143</v>
      </c>
      <c r="C1964" t="s">
        <v>3144</v>
      </c>
    </row>
    <row r="1965" spans="1:3" x14ac:dyDescent="0.25">
      <c r="A1965">
        <v>3447</v>
      </c>
      <c r="B1965" t="s">
        <v>3145</v>
      </c>
      <c r="C1965" t="s">
        <v>3146</v>
      </c>
    </row>
    <row r="1966" spans="1:3" x14ac:dyDescent="0.25">
      <c r="A1966">
        <v>3448</v>
      </c>
      <c r="B1966" t="s">
        <v>3147</v>
      </c>
      <c r="C1966" t="s">
        <v>3148</v>
      </c>
    </row>
    <row r="1967" spans="1:3" x14ac:dyDescent="0.25">
      <c r="A1967">
        <v>3449</v>
      </c>
      <c r="B1967" t="s">
        <v>3149</v>
      </c>
      <c r="C1967" t="s">
        <v>3150</v>
      </c>
    </row>
    <row r="1968" spans="1:3" x14ac:dyDescent="0.25">
      <c r="A1968">
        <v>3450</v>
      </c>
      <c r="B1968" t="s">
        <v>3151</v>
      </c>
      <c r="C1968" t="s">
        <v>3152</v>
      </c>
    </row>
    <row r="1969" spans="1:3" x14ac:dyDescent="0.25">
      <c r="A1969">
        <v>3451</v>
      </c>
      <c r="B1969" t="s">
        <v>3153</v>
      </c>
      <c r="C1969" t="e">
        <f>+proj=lcc +lat_1=32.6666666666666 +lat_2=31.1666666666666 +lat_0=30.5 +lon_0=-92.5 +x_0=999999.99998984 +y_0=0 +datum=NAB83 +units=us-ft +no_defs</f>
        <v>#NAME?</v>
      </c>
    </row>
    <row r="1970" spans="1:3" x14ac:dyDescent="0.25">
      <c r="A1970">
        <v>3452</v>
      </c>
      <c r="B1970" t="s">
        <v>3154</v>
      </c>
      <c r="C1970" t="e">
        <f>+proj=lcc +lat_1=30.7 +lat_2=29.3 +lat_0=28.5 +lon_0=-91.3333333333333 +x_0=999999.99998984 +y_0=0 +datum=NAB83 +units=us-ft +no_defs</f>
        <v>#NAME?</v>
      </c>
    </row>
    <row r="1971" spans="1:3" x14ac:dyDescent="0.25">
      <c r="A1971">
        <v>3453</v>
      </c>
      <c r="B1971" t="s">
        <v>3155</v>
      </c>
      <c r="C1971" t="e">
        <f>+proj=lcc +lat_1=27.8333333333333 +lat_2=26.1666666666666 +lat_0=25.5 +lon_0=-91.3333333333333 +x_0=999999.99998984 +y_0=0 +datum=NAB83 +units=us-ft +no_defs</f>
        <v>#NAME?</v>
      </c>
    </row>
    <row r="1972" spans="1:3" x14ac:dyDescent="0.25">
      <c r="A1972">
        <v>3454</v>
      </c>
      <c r="B1972" t="s">
        <v>3156</v>
      </c>
      <c r="C1972" t="e">
        <f>+proj=lcc +lat_1=44.4 +lat_2=42.8333333333333 +lat_0=42.3333333333333 +lon_0=-100.333333333333 +x_0=600000 +y_0=0 +datum=NAB83 +units=us-ft +no_defs</f>
        <v>#NAME?</v>
      </c>
    </row>
    <row r="1973" spans="1:3" x14ac:dyDescent="0.25">
      <c r="A1973">
        <v>3455</v>
      </c>
      <c r="B1973" t="s">
        <v>3157</v>
      </c>
      <c r="C1973" t="e">
        <f>+proj=lcc +lat_1=44.4 +lat_2=42.8333333333333 +lat_0=42.3333333333333 +lon_0=-100.333333333333 +x_0=600000 +y_0=0 +datum=NAB83 +units=us-ft +no_defs</f>
        <v>#NAME?</v>
      </c>
    </row>
    <row r="1974" spans="1:3" x14ac:dyDescent="0.25">
      <c r="A1974">
        <v>3456</v>
      </c>
      <c r="B1974" t="s">
        <v>3158</v>
      </c>
      <c r="C1974" t="s">
        <v>3159</v>
      </c>
    </row>
    <row r="1975" spans="1:3" x14ac:dyDescent="0.25">
      <c r="A1975">
        <v>3457</v>
      </c>
      <c r="B1975" t="s">
        <v>3160</v>
      </c>
      <c r="C1975" t="s">
        <v>3161</v>
      </c>
    </row>
    <row r="1976" spans="1:3" x14ac:dyDescent="0.25">
      <c r="A1976">
        <v>3458</v>
      </c>
      <c r="B1976" t="s">
        <v>3162</v>
      </c>
      <c r="C1976" t="s">
        <v>3163</v>
      </c>
    </row>
    <row r="1977" spans="1:3" x14ac:dyDescent="0.25">
      <c r="A1977">
        <v>3459</v>
      </c>
      <c r="B1977" t="s">
        <v>3164</v>
      </c>
      <c r="C1977" t="s">
        <v>3165</v>
      </c>
    </row>
    <row r="1978" spans="1:3" x14ac:dyDescent="0.25">
      <c r="A1978">
        <v>3460</v>
      </c>
      <c r="B1978" t="s">
        <v>3166</v>
      </c>
      <c r="C1978" t="s">
        <v>2714</v>
      </c>
    </row>
    <row r="1979" spans="1:3" x14ac:dyDescent="0.25">
      <c r="A1979">
        <v>3461</v>
      </c>
      <c r="B1979" t="s">
        <v>3167</v>
      </c>
      <c r="C1979" t="s">
        <v>3168</v>
      </c>
    </row>
    <row r="1980" spans="1:3" x14ac:dyDescent="0.25">
      <c r="A1980">
        <v>3462</v>
      </c>
      <c r="B1980" t="s">
        <v>3169</v>
      </c>
      <c r="C1980" t="s">
        <v>3170</v>
      </c>
    </row>
    <row r="1981" spans="1:3" x14ac:dyDescent="0.25">
      <c r="A1981">
        <v>3975</v>
      </c>
      <c r="B1981" t="s">
        <v>3171</v>
      </c>
      <c r="C1981" t="e">
        <f>+proj=cea +lon_0=0 +lat_ts=30 +x_0=0 +y_0=0 +datum=WGQ84 +units=m +no_defs</f>
        <v>#NAME?</v>
      </c>
    </row>
    <row r="1982" spans="1:3" x14ac:dyDescent="0.25">
      <c r="A1982">
        <v>3464</v>
      </c>
      <c r="B1982" t="s">
        <v>3172</v>
      </c>
      <c r="C1982" t="s">
        <v>3173</v>
      </c>
    </row>
    <row r="1983" spans="1:3" x14ac:dyDescent="0.25">
      <c r="A1983">
        <v>3465</v>
      </c>
      <c r="B1983" t="s">
        <v>3174</v>
      </c>
      <c r="C1983" t="s">
        <v>2037</v>
      </c>
    </row>
    <row r="1984" spans="1:3" x14ac:dyDescent="0.25">
      <c r="A1984">
        <v>3466</v>
      </c>
      <c r="B1984" t="s">
        <v>3175</v>
      </c>
      <c r="C1984" t="s">
        <v>2039</v>
      </c>
    </row>
    <row r="1985" spans="1:3" x14ac:dyDescent="0.25">
      <c r="A1985">
        <v>3467</v>
      </c>
      <c r="B1985" t="s">
        <v>3176</v>
      </c>
      <c r="C1985" t="s">
        <v>3177</v>
      </c>
    </row>
    <row r="1986" spans="1:3" x14ac:dyDescent="0.25">
      <c r="A1986">
        <v>3468</v>
      </c>
      <c r="B1986" t="s">
        <v>3178</v>
      </c>
      <c r="C1986" t="s">
        <v>3179</v>
      </c>
    </row>
    <row r="1987" spans="1:3" x14ac:dyDescent="0.25">
      <c r="A1987">
        <v>3469</v>
      </c>
      <c r="B1987" t="s">
        <v>3180</v>
      </c>
      <c r="C1987" t="s">
        <v>3181</v>
      </c>
    </row>
    <row r="1988" spans="1:3" x14ac:dyDescent="0.25">
      <c r="A1988">
        <v>3470</v>
      </c>
      <c r="B1988" t="s">
        <v>3182</v>
      </c>
      <c r="C1988" t="s">
        <v>3183</v>
      </c>
    </row>
    <row r="1989" spans="1:3" x14ac:dyDescent="0.25">
      <c r="A1989">
        <v>3471</v>
      </c>
      <c r="B1989" t="s">
        <v>3184</v>
      </c>
      <c r="C1989" t="s">
        <v>3185</v>
      </c>
    </row>
    <row r="1990" spans="1:3" x14ac:dyDescent="0.25">
      <c r="A1990">
        <v>3472</v>
      </c>
      <c r="B1990" t="s">
        <v>3186</v>
      </c>
      <c r="C1990" t="s">
        <v>3187</v>
      </c>
    </row>
    <row r="1991" spans="1:3" x14ac:dyDescent="0.25">
      <c r="A1991">
        <v>3473</v>
      </c>
      <c r="B1991" t="s">
        <v>3188</v>
      </c>
      <c r="C1991" t="s">
        <v>3189</v>
      </c>
    </row>
    <row r="1992" spans="1:3" x14ac:dyDescent="0.25">
      <c r="A1992">
        <v>3474</v>
      </c>
      <c r="B1992" t="s">
        <v>3190</v>
      </c>
      <c r="C1992" t="s">
        <v>3191</v>
      </c>
    </row>
    <row r="1993" spans="1:3" x14ac:dyDescent="0.25">
      <c r="A1993">
        <v>3475</v>
      </c>
      <c r="B1993" t="s">
        <v>3192</v>
      </c>
      <c r="C1993" t="s">
        <v>3193</v>
      </c>
    </row>
    <row r="1994" spans="1:3" x14ac:dyDescent="0.25">
      <c r="A1994">
        <v>3476</v>
      </c>
      <c r="B1994" t="s">
        <v>3194</v>
      </c>
      <c r="C1994" t="s">
        <v>3195</v>
      </c>
    </row>
    <row r="1995" spans="1:3" x14ac:dyDescent="0.25">
      <c r="A1995">
        <v>3477</v>
      </c>
      <c r="B1995" t="s">
        <v>3196</v>
      </c>
      <c r="C1995" t="s">
        <v>3197</v>
      </c>
    </row>
    <row r="1996" spans="1:3" x14ac:dyDescent="0.25">
      <c r="A1996">
        <v>3478</v>
      </c>
      <c r="B1996" t="s">
        <v>3198</v>
      </c>
      <c r="C1996" t="s">
        <v>2043</v>
      </c>
    </row>
    <row r="1997" spans="1:3" x14ac:dyDescent="0.25">
      <c r="A1997">
        <v>3479</v>
      </c>
      <c r="B1997" t="s">
        <v>3199</v>
      </c>
      <c r="C1997" t="s">
        <v>2262</v>
      </c>
    </row>
    <row r="1998" spans="1:3" x14ac:dyDescent="0.25">
      <c r="A1998">
        <v>3480</v>
      </c>
      <c r="B1998" t="s">
        <v>3200</v>
      </c>
      <c r="C1998" t="s">
        <v>2041</v>
      </c>
    </row>
    <row r="1999" spans="1:3" x14ac:dyDescent="0.25">
      <c r="A1999">
        <v>3481</v>
      </c>
      <c r="B1999" t="s">
        <v>3201</v>
      </c>
      <c r="C1999" t="s">
        <v>2260</v>
      </c>
    </row>
    <row r="2000" spans="1:3" x14ac:dyDescent="0.25">
      <c r="A2000">
        <v>3482</v>
      </c>
      <c r="B2000" t="s">
        <v>3202</v>
      </c>
      <c r="C2000" t="s">
        <v>2045</v>
      </c>
    </row>
    <row r="2001" spans="1:3" x14ac:dyDescent="0.25">
      <c r="A2001">
        <v>3483</v>
      </c>
      <c r="B2001" t="s">
        <v>3203</v>
      </c>
      <c r="C2001" t="s">
        <v>2264</v>
      </c>
    </row>
    <row r="2002" spans="1:3" x14ac:dyDescent="0.25">
      <c r="A2002">
        <v>3484</v>
      </c>
      <c r="B2002" t="s">
        <v>3204</v>
      </c>
      <c r="C2002" t="s">
        <v>2047</v>
      </c>
    </row>
    <row r="2003" spans="1:3" x14ac:dyDescent="0.25">
      <c r="A2003">
        <v>3485</v>
      </c>
      <c r="B2003" t="s">
        <v>3205</v>
      </c>
      <c r="C2003" t="s">
        <v>3133</v>
      </c>
    </row>
    <row r="2004" spans="1:3" x14ac:dyDescent="0.25">
      <c r="A2004">
        <v>3486</v>
      </c>
      <c r="B2004" t="s">
        <v>3206</v>
      </c>
      <c r="C2004" t="s">
        <v>2049</v>
      </c>
    </row>
    <row r="2005" spans="1:3" x14ac:dyDescent="0.25">
      <c r="A2005">
        <v>3487</v>
      </c>
      <c r="B2005" t="s">
        <v>3207</v>
      </c>
      <c r="C2005" t="s">
        <v>3135</v>
      </c>
    </row>
    <row r="2006" spans="1:3" x14ac:dyDescent="0.25">
      <c r="A2006">
        <v>3488</v>
      </c>
      <c r="B2006" t="s">
        <v>3208</v>
      </c>
      <c r="C2006" t="s">
        <v>2938</v>
      </c>
    </row>
    <row r="2007" spans="1:3" x14ac:dyDescent="0.25">
      <c r="A2007">
        <v>3489</v>
      </c>
      <c r="B2007" t="s">
        <v>3209</v>
      </c>
      <c r="C2007" t="s">
        <v>2051</v>
      </c>
    </row>
    <row r="2008" spans="1:3" x14ac:dyDescent="0.25">
      <c r="A2008">
        <v>4465</v>
      </c>
      <c r="B2008" t="s">
        <v>3210</v>
      </c>
      <c r="C2008" t="e">
        <f>+proj=geocent +ellps=GRQ80 +units=m +no_defs</f>
        <v>#NAME?</v>
      </c>
    </row>
    <row r="2009" spans="1:3" x14ac:dyDescent="0.25">
      <c r="A2009">
        <v>3490</v>
      </c>
      <c r="B2009" t="s">
        <v>3211</v>
      </c>
      <c r="C2009" t="s">
        <v>2266</v>
      </c>
    </row>
    <row r="2010" spans="1:3" x14ac:dyDescent="0.25">
      <c r="A2010">
        <v>3491</v>
      </c>
      <c r="B2010" t="s">
        <v>3212</v>
      </c>
      <c r="C2010" t="s">
        <v>2053</v>
      </c>
    </row>
    <row r="2011" spans="1:3" x14ac:dyDescent="0.25">
      <c r="A2011">
        <v>3492</v>
      </c>
      <c r="B2011" t="s">
        <v>3213</v>
      </c>
      <c r="C2011" t="s">
        <v>2268</v>
      </c>
    </row>
    <row r="2012" spans="1:3" x14ac:dyDescent="0.25">
      <c r="A2012">
        <v>3493</v>
      </c>
      <c r="B2012" t="s">
        <v>3214</v>
      </c>
      <c r="C2012" t="s">
        <v>2055</v>
      </c>
    </row>
    <row r="2013" spans="1:3" x14ac:dyDescent="0.25">
      <c r="A2013">
        <v>3494</v>
      </c>
      <c r="B2013" t="s">
        <v>3215</v>
      </c>
      <c r="C2013" t="s">
        <v>2270</v>
      </c>
    </row>
    <row r="2014" spans="1:3" x14ac:dyDescent="0.25">
      <c r="A2014">
        <v>3495</v>
      </c>
      <c r="B2014" t="s">
        <v>3216</v>
      </c>
      <c r="C2014" t="s">
        <v>2057</v>
      </c>
    </row>
    <row r="2015" spans="1:3" x14ac:dyDescent="0.25">
      <c r="A2015">
        <v>3496</v>
      </c>
      <c r="B2015" t="s">
        <v>3217</v>
      </c>
      <c r="C2015" t="s">
        <v>2272</v>
      </c>
    </row>
    <row r="2016" spans="1:3" x14ac:dyDescent="0.25">
      <c r="A2016">
        <v>3497</v>
      </c>
      <c r="B2016" t="s">
        <v>3218</v>
      </c>
      <c r="C2016" t="s">
        <v>2059</v>
      </c>
    </row>
    <row r="2017" spans="1:3" x14ac:dyDescent="0.25">
      <c r="A2017">
        <v>3498</v>
      </c>
      <c r="B2017" t="s">
        <v>3219</v>
      </c>
      <c r="C2017" t="s">
        <v>2275</v>
      </c>
    </row>
    <row r="2018" spans="1:3" x14ac:dyDescent="0.25">
      <c r="A2018">
        <v>3499</v>
      </c>
      <c r="B2018" t="s">
        <v>3220</v>
      </c>
      <c r="C2018" t="s">
        <v>2061</v>
      </c>
    </row>
    <row r="2019" spans="1:3" x14ac:dyDescent="0.25">
      <c r="A2019">
        <v>3500</v>
      </c>
      <c r="B2019" t="s">
        <v>3221</v>
      </c>
      <c r="C2019" t="s">
        <v>2277</v>
      </c>
    </row>
    <row r="2020" spans="1:3" x14ac:dyDescent="0.25">
      <c r="A2020">
        <v>3501</v>
      </c>
      <c r="B2020" t="s">
        <v>3222</v>
      </c>
      <c r="C2020" t="s">
        <v>2065</v>
      </c>
    </row>
    <row r="2021" spans="1:3" x14ac:dyDescent="0.25">
      <c r="A2021">
        <v>3502</v>
      </c>
      <c r="B2021" t="s">
        <v>3223</v>
      </c>
      <c r="C2021" t="s">
        <v>2281</v>
      </c>
    </row>
    <row r="2022" spans="1:3" x14ac:dyDescent="0.25">
      <c r="A2022">
        <v>3503</v>
      </c>
      <c r="B2022" t="s">
        <v>3224</v>
      </c>
      <c r="C2022" t="s">
        <v>2063</v>
      </c>
    </row>
    <row r="2023" spans="1:3" x14ac:dyDescent="0.25">
      <c r="A2023">
        <v>3504</v>
      </c>
      <c r="B2023" t="s">
        <v>3225</v>
      </c>
      <c r="C2023" t="s">
        <v>2279</v>
      </c>
    </row>
    <row r="2024" spans="1:3" x14ac:dyDescent="0.25">
      <c r="A2024">
        <v>3513</v>
      </c>
      <c r="B2024" t="s">
        <v>3226</v>
      </c>
      <c r="C2024" t="s">
        <v>2607</v>
      </c>
    </row>
    <row r="2025" spans="1:3" x14ac:dyDescent="0.25">
      <c r="A2025">
        <v>3505</v>
      </c>
      <c r="B2025" t="s">
        <v>3227</v>
      </c>
      <c r="C2025" t="s">
        <v>2067</v>
      </c>
    </row>
    <row r="2026" spans="1:3" x14ac:dyDescent="0.25">
      <c r="A2026">
        <v>3506</v>
      </c>
      <c r="B2026" t="s">
        <v>3228</v>
      </c>
      <c r="C2026" t="s">
        <v>2283</v>
      </c>
    </row>
    <row r="2027" spans="1:3" x14ac:dyDescent="0.25">
      <c r="A2027">
        <v>3507</v>
      </c>
      <c r="B2027" t="s">
        <v>3229</v>
      </c>
      <c r="C2027" t="s">
        <v>2069</v>
      </c>
    </row>
    <row r="2028" spans="1:3" x14ac:dyDescent="0.25">
      <c r="A2028">
        <v>3508</v>
      </c>
      <c r="B2028" t="s">
        <v>3230</v>
      </c>
      <c r="C2028" t="s">
        <v>2285</v>
      </c>
    </row>
    <row r="2029" spans="1:3" x14ac:dyDescent="0.25">
      <c r="A2029">
        <v>3509</v>
      </c>
      <c r="B2029" t="s">
        <v>3231</v>
      </c>
      <c r="C2029" t="s">
        <v>2071</v>
      </c>
    </row>
    <row r="2030" spans="1:3" x14ac:dyDescent="0.25">
      <c r="A2030">
        <v>3510</v>
      </c>
      <c r="B2030" t="s">
        <v>3232</v>
      </c>
      <c r="C2030" t="s">
        <v>2287</v>
      </c>
    </row>
    <row r="2031" spans="1:3" x14ac:dyDescent="0.25">
      <c r="A2031">
        <v>3511</v>
      </c>
      <c r="B2031" t="s">
        <v>3233</v>
      </c>
      <c r="C2031" t="s">
        <v>2073</v>
      </c>
    </row>
    <row r="2032" spans="1:3" x14ac:dyDescent="0.25">
      <c r="A2032">
        <v>3512</v>
      </c>
      <c r="B2032" t="s">
        <v>3234</v>
      </c>
      <c r="C2032" t="s">
        <v>2289</v>
      </c>
    </row>
    <row r="2033" spans="1:3" x14ac:dyDescent="0.25">
      <c r="A2033">
        <v>4468</v>
      </c>
      <c r="B2033" t="s">
        <v>3235</v>
      </c>
      <c r="C2033" t="e">
        <f>+proj=geocent +ellps=GRQ80 +units=m +no_defs</f>
        <v>#NAME?</v>
      </c>
    </row>
    <row r="2034" spans="1:3" x14ac:dyDescent="0.25">
      <c r="A2034">
        <v>3514</v>
      </c>
      <c r="B2034" t="s">
        <v>3236</v>
      </c>
      <c r="C2034" t="s">
        <v>2077</v>
      </c>
    </row>
    <row r="2035" spans="1:3" x14ac:dyDescent="0.25">
      <c r="A2035">
        <v>3515</v>
      </c>
      <c r="B2035" t="s">
        <v>3237</v>
      </c>
      <c r="C2035" t="s">
        <v>2293</v>
      </c>
    </row>
    <row r="2036" spans="1:3" x14ac:dyDescent="0.25">
      <c r="A2036">
        <v>3516</v>
      </c>
      <c r="B2036" t="s">
        <v>3238</v>
      </c>
      <c r="C2036" t="s">
        <v>2075</v>
      </c>
    </row>
    <row r="2037" spans="1:3" x14ac:dyDescent="0.25">
      <c r="A2037">
        <v>3517</v>
      </c>
      <c r="B2037" t="s">
        <v>3239</v>
      </c>
      <c r="C2037" t="s">
        <v>2291</v>
      </c>
    </row>
    <row r="2038" spans="1:3" x14ac:dyDescent="0.25">
      <c r="A2038">
        <v>3518</v>
      </c>
      <c r="B2038" t="s">
        <v>3240</v>
      </c>
      <c r="C2038" t="s">
        <v>2079</v>
      </c>
    </row>
    <row r="2039" spans="1:3" x14ac:dyDescent="0.25">
      <c r="A2039">
        <v>3519</v>
      </c>
      <c r="B2039" t="s">
        <v>3241</v>
      </c>
      <c r="C2039" t="s">
        <v>2295</v>
      </c>
    </row>
    <row r="2040" spans="1:3" x14ac:dyDescent="0.25">
      <c r="A2040">
        <v>3520</v>
      </c>
      <c r="B2040" t="s">
        <v>3242</v>
      </c>
      <c r="C2040" t="s">
        <v>2081</v>
      </c>
    </row>
    <row r="2041" spans="1:3" x14ac:dyDescent="0.25">
      <c r="A2041">
        <v>3521</v>
      </c>
      <c r="B2041" t="s">
        <v>3243</v>
      </c>
      <c r="C2041" t="s">
        <v>2297</v>
      </c>
    </row>
    <row r="2042" spans="1:3" x14ac:dyDescent="0.25">
      <c r="A2042">
        <v>3554</v>
      </c>
      <c r="B2042" t="s">
        <v>3244</v>
      </c>
      <c r="C2042" t="s">
        <v>3173</v>
      </c>
    </row>
    <row r="2043" spans="1:3" x14ac:dyDescent="0.25">
      <c r="A2043">
        <v>3522</v>
      </c>
      <c r="B2043" t="s">
        <v>3245</v>
      </c>
      <c r="C2043" t="s">
        <v>2095</v>
      </c>
    </row>
    <row r="2044" spans="1:3" x14ac:dyDescent="0.25">
      <c r="A2044">
        <v>3523</v>
      </c>
      <c r="B2044" t="s">
        <v>3246</v>
      </c>
      <c r="C2044" t="s">
        <v>2301</v>
      </c>
    </row>
    <row r="2045" spans="1:3" x14ac:dyDescent="0.25">
      <c r="A2045">
        <v>3524</v>
      </c>
      <c r="B2045" t="s">
        <v>3247</v>
      </c>
      <c r="C2045" t="s">
        <v>2093</v>
      </c>
    </row>
    <row r="2046" spans="1:3" x14ac:dyDescent="0.25">
      <c r="A2046">
        <v>3525</v>
      </c>
      <c r="B2046" t="s">
        <v>3248</v>
      </c>
      <c r="C2046" t="s">
        <v>2299</v>
      </c>
    </row>
    <row r="2047" spans="1:3" x14ac:dyDescent="0.25">
      <c r="A2047">
        <v>3526</v>
      </c>
      <c r="B2047" t="s">
        <v>3249</v>
      </c>
      <c r="C2047" t="s">
        <v>2097</v>
      </c>
    </row>
    <row r="2048" spans="1:3" x14ac:dyDescent="0.25">
      <c r="A2048">
        <v>3527</v>
      </c>
      <c r="B2048" t="s">
        <v>3250</v>
      </c>
      <c r="C2048" t="s">
        <v>2303</v>
      </c>
    </row>
    <row r="2049" spans="1:3" x14ac:dyDescent="0.25">
      <c r="A2049">
        <v>3528</v>
      </c>
      <c r="B2049" t="s">
        <v>3251</v>
      </c>
      <c r="C2049" t="s">
        <v>2099</v>
      </c>
    </row>
    <row r="2050" spans="1:3" x14ac:dyDescent="0.25">
      <c r="A2050">
        <v>3529</v>
      </c>
      <c r="B2050" t="s">
        <v>3252</v>
      </c>
      <c r="C2050" t="s">
        <v>3137</v>
      </c>
    </row>
    <row r="2051" spans="1:3" x14ac:dyDescent="0.25">
      <c r="A2051">
        <v>3571</v>
      </c>
      <c r="B2051" t="s">
        <v>3253</v>
      </c>
      <c r="C2051" t="e">
        <f>+proj=laea +lat_0=90 +lon_0=180 +x_0=0 +y_0=0 +datum=WGQ84 +units=m +no_defs</f>
        <v>#NAME?</v>
      </c>
    </row>
    <row r="2052" spans="1:3" x14ac:dyDescent="0.25">
      <c r="A2052">
        <v>3530</v>
      </c>
      <c r="B2052" t="s">
        <v>3254</v>
      </c>
      <c r="C2052" t="s">
        <v>2101</v>
      </c>
    </row>
    <row r="2053" spans="1:3" x14ac:dyDescent="0.25">
      <c r="A2053">
        <v>3531</v>
      </c>
      <c r="B2053" t="s">
        <v>3255</v>
      </c>
      <c r="C2053" t="s">
        <v>3139</v>
      </c>
    </row>
    <row r="2054" spans="1:3" x14ac:dyDescent="0.25">
      <c r="A2054">
        <v>3532</v>
      </c>
      <c r="B2054" t="s">
        <v>3256</v>
      </c>
      <c r="C2054" t="s">
        <v>2103</v>
      </c>
    </row>
    <row r="2055" spans="1:3" x14ac:dyDescent="0.25">
      <c r="A2055">
        <v>3533</v>
      </c>
      <c r="B2055" t="s">
        <v>3257</v>
      </c>
      <c r="C2055" t="s">
        <v>2436</v>
      </c>
    </row>
    <row r="2056" spans="1:3" x14ac:dyDescent="0.25">
      <c r="A2056">
        <v>3534</v>
      </c>
      <c r="B2056" t="s">
        <v>3258</v>
      </c>
      <c r="C2056" t="s">
        <v>2105</v>
      </c>
    </row>
    <row r="2057" spans="1:3" x14ac:dyDescent="0.25">
      <c r="A2057">
        <v>3535</v>
      </c>
      <c r="B2057" t="s">
        <v>3259</v>
      </c>
      <c r="C2057" t="s">
        <v>2438</v>
      </c>
    </row>
    <row r="2058" spans="1:3" x14ac:dyDescent="0.25">
      <c r="A2058">
        <v>3536</v>
      </c>
      <c r="B2058" t="s">
        <v>3260</v>
      </c>
      <c r="C2058" t="s">
        <v>2107</v>
      </c>
    </row>
    <row r="2059" spans="1:3" x14ac:dyDescent="0.25">
      <c r="A2059">
        <v>3537</v>
      </c>
      <c r="B2059" t="s">
        <v>3261</v>
      </c>
      <c r="C2059" t="s">
        <v>3105</v>
      </c>
    </row>
    <row r="2060" spans="1:3" x14ac:dyDescent="0.25">
      <c r="A2060">
        <v>4473</v>
      </c>
      <c r="B2060" t="s">
        <v>3262</v>
      </c>
      <c r="C2060" t="e">
        <f>+proj=geocent +ellps=intl +units=m +no_defs</f>
        <v>#NAME?</v>
      </c>
    </row>
    <row r="2061" spans="1:3" x14ac:dyDescent="0.25">
      <c r="A2061">
        <v>3538</v>
      </c>
      <c r="B2061" t="s">
        <v>3263</v>
      </c>
      <c r="C2061" t="s">
        <v>2109</v>
      </c>
    </row>
    <row r="2062" spans="1:3" x14ac:dyDescent="0.25">
      <c r="A2062">
        <v>3539</v>
      </c>
      <c r="B2062" t="s">
        <v>3264</v>
      </c>
      <c r="C2062" t="s">
        <v>3107</v>
      </c>
    </row>
    <row r="2063" spans="1:3" x14ac:dyDescent="0.25">
      <c r="A2063">
        <v>3540</v>
      </c>
      <c r="B2063" t="s">
        <v>3265</v>
      </c>
      <c r="C2063" t="s">
        <v>2111</v>
      </c>
    </row>
    <row r="2064" spans="1:3" x14ac:dyDescent="0.25">
      <c r="A2064">
        <v>3541</v>
      </c>
      <c r="B2064" t="s">
        <v>3266</v>
      </c>
      <c r="C2064" t="s">
        <v>3109</v>
      </c>
    </row>
    <row r="2065" spans="1:3" x14ac:dyDescent="0.25">
      <c r="A2065">
        <v>3542</v>
      </c>
      <c r="B2065" t="s">
        <v>3267</v>
      </c>
      <c r="C2065" t="s">
        <v>2113</v>
      </c>
    </row>
    <row r="2066" spans="1:3" x14ac:dyDescent="0.25">
      <c r="A2066">
        <v>3543</v>
      </c>
      <c r="B2066" t="s">
        <v>3268</v>
      </c>
      <c r="C2066" t="s">
        <v>3111</v>
      </c>
    </row>
    <row r="2067" spans="1:3" x14ac:dyDescent="0.25">
      <c r="A2067">
        <v>3544</v>
      </c>
      <c r="B2067" t="s">
        <v>3269</v>
      </c>
      <c r="C2067" t="s">
        <v>2115</v>
      </c>
    </row>
    <row r="2068" spans="1:3" x14ac:dyDescent="0.25">
      <c r="A2068">
        <v>3545</v>
      </c>
      <c r="B2068" t="s">
        <v>3270</v>
      </c>
      <c r="C2068" t="s">
        <v>2310</v>
      </c>
    </row>
    <row r="2069" spans="1:3" x14ac:dyDescent="0.25">
      <c r="A2069">
        <v>3546</v>
      </c>
      <c r="B2069" t="s">
        <v>3271</v>
      </c>
      <c r="C2069" t="s">
        <v>2613</v>
      </c>
    </row>
    <row r="2070" spans="1:3" x14ac:dyDescent="0.25">
      <c r="A2070">
        <v>3547</v>
      </c>
      <c r="B2070" t="s">
        <v>3272</v>
      </c>
      <c r="C2070" t="s">
        <v>2615</v>
      </c>
    </row>
    <row r="2071" spans="1:3" x14ac:dyDescent="0.25">
      <c r="A2071">
        <v>3548</v>
      </c>
      <c r="B2071" t="s">
        <v>3273</v>
      </c>
      <c r="C2071" t="s">
        <v>2117</v>
      </c>
    </row>
    <row r="2072" spans="1:3" x14ac:dyDescent="0.25">
      <c r="A2072">
        <v>3549</v>
      </c>
      <c r="B2072" t="s">
        <v>3274</v>
      </c>
      <c r="C2072" t="s">
        <v>2312</v>
      </c>
    </row>
    <row r="2073" spans="1:3" x14ac:dyDescent="0.25">
      <c r="A2073">
        <v>3550</v>
      </c>
      <c r="B2073" t="s">
        <v>3275</v>
      </c>
      <c r="C2073" t="s">
        <v>2120</v>
      </c>
    </row>
    <row r="2074" spans="1:3" x14ac:dyDescent="0.25">
      <c r="A2074">
        <v>3551</v>
      </c>
      <c r="B2074" t="s">
        <v>3276</v>
      </c>
      <c r="C2074" t="s">
        <v>3159</v>
      </c>
    </row>
    <row r="2075" spans="1:3" x14ac:dyDescent="0.25">
      <c r="A2075">
        <v>3552</v>
      </c>
      <c r="B2075" t="s">
        <v>3277</v>
      </c>
      <c r="C2075" t="s">
        <v>2122</v>
      </c>
    </row>
    <row r="2076" spans="1:3" x14ac:dyDescent="0.25">
      <c r="A2076">
        <v>3553</v>
      </c>
      <c r="B2076" t="s">
        <v>3278</v>
      </c>
      <c r="C2076" t="s">
        <v>3161</v>
      </c>
    </row>
    <row r="2077" spans="1:3" x14ac:dyDescent="0.25">
      <c r="A2077">
        <v>3555</v>
      </c>
      <c r="B2077" t="s">
        <v>3279</v>
      </c>
      <c r="C2077" t="s">
        <v>2589</v>
      </c>
    </row>
    <row r="2078" spans="1:3" x14ac:dyDescent="0.25">
      <c r="A2078">
        <v>3556</v>
      </c>
      <c r="B2078" t="s">
        <v>3280</v>
      </c>
      <c r="C2078" t="s">
        <v>2593</v>
      </c>
    </row>
    <row r="2079" spans="1:3" x14ac:dyDescent="0.25">
      <c r="A2079">
        <v>3557</v>
      </c>
      <c r="B2079" t="s">
        <v>3281</v>
      </c>
      <c r="C2079" t="s">
        <v>2124</v>
      </c>
    </row>
    <row r="2080" spans="1:3" x14ac:dyDescent="0.25">
      <c r="A2080">
        <v>3558</v>
      </c>
      <c r="B2080" t="s">
        <v>3282</v>
      </c>
      <c r="C2080" t="s">
        <v>2126</v>
      </c>
    </row>
    <row r="2081" spans="1:3" x14ac:dyDescent="0.25">
      <c r="A2081">
        <v>3559</v>
      </c>
      <c r="B2081" t="s">
        <v>3283</v>
      </c>
      <c r="C2081" t="s">
        <v>2128</v>
      </c>
    </row>
    <row r="2082" spans="1:3" x14ac:dyDescent="0.25">
      <c r="A2082">
        <v>3560</v>
      </c>
      <c r="B2082" t="s">
        <v>3284</v>
      </c>
      <c r="C2082" t="e">
        <f>+proj=lcc +lat_1=41.7833333333333 +lat_2=40.7166666666666 +lat_0=40.3333333333333 +lon_0=-111.5 +x_0=500000.00001016 +y_0=999999.99998984 +datum=NAB83 +units=us-ft +no_defs</f>
        <v>#NAME?</v>
      </c>
    </row>
    <row r="2083" spans="1:3" x14ac:dyDescent="0.25">
      <c r="A2083">
        <v>3561</v>
      </c>
      <c r="B2083" t="s">
        <v>3285</v>
      </c>
      <c r="C2083" t="s">
        <v>3286</v>
      </c>
    </row>
    <row r="2084" spans="1:3" x14ac:dyDescent="0.25">
      <c r="A2084">
        <v>3562</v>
      </c>
      <c r="B2084" t="s">
        <v>3287</v>
      </c>
      <c r="C2084" t="s">
        <v>3288</v>
      </c>
    </row>
    <row r="2085" spans="1:3" x14ac:dyDescent="0.25">
      <c r="A2085">
        <v>3572</v>
      </c>
      <c r="B2085" t="s">
        <v>3289</v>
      </c>
      <c r="C2085" t="e">
        <f>+proj=laea +lat_0=90 +lon_0=-150 +x_0=0 +y_0=0 +datum=WGQ84 +units=m +no_defs</f>
        <v>#NAME?</v>
      </c>
    </row>
    <row r="2086" spans="1:3" x14ac:dyDescent="0.25">
      <c r="A2086">
        <v>3563</v>
      </c>
      <c r="B2086" t="s">
        <v>3290</v>
      </c>
      <c r="C2086" t="s">
        <v>3291</v>
      </c>
    </row>
    <row r="2087" spans="1:3" x14ac:dyDescent="0.25">
      <c r="A2087">
        <v>3564</v>
      </c>
      <c r="B2087" t="s">
        <v>3292</v>
      </c>
      <c r="C2087" t="s">
        <v>3293</v>
      </c>
    </row>
    <row r="2088" spans="1:3" x14ac:dyDescent="0.25">
      <c r="A2088">
        <v>3565</v>
      </c>
      <c r="B2088" t="s">
        <v>3294</v>
      </c>
      <c r="C2088" t="s">
        <v>3295</v>
      </c>
    </row>
    <row r="2089" spans="1:3" x14ac:dyDescent="0.25">
      <c r="A2089">
        <v>3566</v>
      </c>
      <c r="B2089" t="s">
        <v>3296</v>
      </c>
      <c r="C2089" t="e">
        <f>+proj=lcc +lat_1=40.65 +lat_2=39.0166666666666 +lat_0=38.3333333333333 +lon_0=-111.5 +x_0=500000.00001016 +y_0=2000000.00001016 +datum=NAB83 +units=us-ft +no_defs</f>
        <v>#NAME?</v>
      </c>
    </row>
    <row r="2090" spans="1:3" x14ac:dyDescent="0.25">
      <c r="A2090">
        <v>3567</v>
      </c>
      <c r="B2090" t="s">
        <v>3297</v>
      </c>
      <c r="C2090" t="e">
        <f>+proj=lcc +lat_1=38.35 +lat_2=37.2166666666666 +lat_0=36.6666666666666 +lon_0=-111.5 +x_0=500000.00001016 +y_0=3000000 +datum=NAB83 +units=us-ft +no_defs</f>
        <v>#NAME?</v>
      </c>
    </row>
    <row r="2091" spans="1:3" x14ac:dyDescent="0.25">
      <c r="A2091">
        <v>3568</v>
      </c>
      <c r="B2091" t="s">
        <v>3298</v>
      </c>
      <c r="C2091" t="s">
        <v>3299</v>
      </c>
    </row>
    <row r="2092" spans="1:3" x14ac:dyDescent="0.25">
      <c r="A2092">
        <v>3569</v>
      </c>
      <c r="B2092" t="s">
        <v>3300</v>
      </c>
      <c r="C2092" t="s">
        <v>3301</v>
      </c>
    </row>
    <row r="2093" spans="1:3" x14ac:dyDescent="0.25">
      <c r="A2093">
        <v>3570</v>
      </c>
      <c r="B2093" t="s">
        <v>3302</v>
      </c>
      <c r="C2093" t="s">
        <v>3303</v>
      </c>
    </row>
    <row r="2094" spans="1:3" x14ac:dyDescent="0.25">
      <c r="A2094">
        <v>3577</v>
      </c>
      <c r="B2094" t="s">
        <v>3304</v>
      </c>
      <c r="C2094" t="s">
        <v>3305</v>
      </c>
    </row>
    <row r="2095" spans="1:3" x14ac:dyDescent="0.25">
      <c r="A2095">
        <v>3578</v>
      </c>
      <c r="B2095" t="s">
        <v>3306</v>
      </c>
      <c r="C2095" t="e">
        <f>+proj=aea +lat_1=61.6666666666666 +lat_2=68 +lat_0=59 +lon_0=-132.5 +x_0=500000 +y_0=500000 +datum=NAB83 +units=m +no_defs</f>
        <v>#NAME?</v>
      </c>
    </row>
    <row r="2096" spans="1:3" x14ac:dyDescent="0.25">
      <c r="A2096">
        <v>3579</v>
      </c>
      <c r="B2096" t="s">
        <v>3307</v>
      </c>
      <c r="C2096" t="s">
        <v>3308</v>
      </c>
    </row>
    <row r="2097" spans="1:3" x14ac:dyDescent="0.25">
      <c r="A2097">
        <v>3580</v>
      </c>
      <c r="B2097" t="s">
        <v>3309</v>
      </c>
      <c r="C2097" t="e">
        <f>+proj=lcc +lat_1=62 +lat_2=70 +lat_0=0 +lon_0=-112 +x_0=0 +y_0=0 +datum=NAB83 +units=m +no_defs</f>
        <v>#NAME?</v>
      </c>
    </row>
    <row r="2098" spans="1:3" x14ac:dyDescent="0.25">
      <c r="A2098">
        <v>3581</v>
      </c>
      <c r="B2098" t="s">
        <v>3310</v>
      </c>
      <c r="C2098" t="s">
        <v>3311</v>
      </c>
    </row>
    <row r="2099" spans="1:3" x14ac:dyDescent="0.25">
      <c r="A2099">
        <v>3582</v>
      </c>
      <c r="B2099" t="s">
        <v>3312</v>
      </c>
      <c r="C2099" t="s">
        <v>2314</v>
      </c>
    </row>
    <row r="2100" spans="1:3" x14ac:dyDescent="0.25">
      <c r="A2100">
        <v>3583</v>
      </c>
      <c r="B2100" t="s">
        <v>3313</v>
      </c>
      <c r="C2100" t="s">
        <v>2132</v>
      </c>
    </row>
    <row r="2101" spans="1:3" x14ac:dyDescent="0.25">
      <c r="A2101">
        <v>3584</v>
      </c>
      <c r="B2101" t="s">
        <v>3314</v>
      </c>
      <c r="C2101" t="s">
        <v>2318</v>
      </c>
    </row>
    <row r="2102" spans="1:3" x14ac:dyDescent="0.25">
      <c r="A2102">
        <v>3709</v>
      </c>
      <c r="B2102" t="s">
        <v>3315</v>
      </c>
      <c r="C2102" t="s">
        <v>3316</v>
      </c>
    </row>
    <row r="2103" spans="1:3" x14ac:dyDescent="0.25">
      <c r="A2103">
        <v>3585</v>
      </c>
      <c r="B2103" t="s">
        <v>3317</v>
      </c>
      <c r="C2103" t="s">
        <v>2130</v>
      </c>
    </row>
    <row r="2104" spans="1:3" x14ac:dyDescent="0.25">
      <c r="A2104">
        <v>3586</v>
      </c>
      <c r="B2104" t="s">
        <v>3318</v>
      </c>
      <c r="C2104" t="s">
        <v>2316</v>
      </c>
    </row>
    <row r="2105" spans="1:3" x14ac:dyDescent="0.25">
      <c r="A2105">
        <v>3587</v>
      </c>
      <c r="B2105" t="s">
        <v>3319</v>
      </c>
      <c r="C2105" t="s">
        <v>2138</v>
      </c>
    </row>
    <row r="2106" spans="1:3" x14ac:dyDescent="0.25">
      <c r="A2106">
        <v>3588</v>
      </c>
      <c r="B2106" t="s">
        <v>3320</v>
      </c>
      <c r="C2106" t="s">
        <v>2322</v>
      </c>
    </row>
    <row r="2107" spans="1:3" x14ac:dyDescent="0.25">
      <c r="A2107">
        <v>3589</v>
      </c>
      <c r="B2107" t="s">
        <v>3321</v>
      </c>
      <c r="C2107" t="s">
        <v>2134</v>
      </c>
    </row>
    <row r="2108" spans="1:3" x14ac:dyDescent="0.25">
      <c r="A2108">
        <v>3590</v>
      </c>
      <c r="B2108" t="s">
        <v>3322</v>
      </c>
      <c r="C2108" t="s">
        <v>2320</v>
      </c>
    </row>
    <row r="2109" spans="1:3" x14ac:dyDescent="0.25">
      <c r="A2109">
        <v>3591</v>
      </c>
      <c r="B2109" t="s">
        <v>3323</v>
      </c>
      <c r="C2109" t="s">
        <v>2596</v>
      </c>
    </row>
    <row r="2110" spans="1:3" x14ac:dyDescent="0.25">
      <c r="A2110">
        <v>3592</v>
      </c>
      <c r="B2110" t="s">
        <v>3324</v>
      </c>
      <c r="C2110" t="s">
        <v>2140</v>
      </c>
    </row>
    <row r="2111" spans="1:3" x14ac:dyDescent="0.25">
      <c r="A2111">
        <v>3593</v>
      </c>
      <c r="B2111" t="s">
        <v>3325</v>
      </c>
      <c r="C2111" t="s">
        <v>2324</v>
      </c>
    </row>
    <row r="2112" spans="1:3" x14ac:dyDescent="0.25">
      <c r="A2112">
        <v>3594</v>
      </c>
      <c r="B2112" t="s">
        <v>3326</v>
      </c>
      <c r="C2112" t="s">
        <v>2144</v>
      </c>
    </row>
    <row r="2113" spans="1:3" x14ac:dyDescent="0.25">
      <c r="A2113">
        <v>3595</v>
      </c>
      <c r="B2113" t="s">
        <v>3327</v>
      </c>
      <c r="C2113" t="s">
        <v>2142</v>
      </c>
    </row>
    <row r="2114" spans="1:3" x14ac:dyDescent="0.25">
      <c r="A2114">
        <v>3596</v>
      </c>
      <c r="B2114" t="s">
        <v>3328</v>
      </c>
      <c r="C2114" t="s">
        <v>2146</v>
      </c>
    </row>
    <row r="2115" spans="1:3" x14ac:dyDescent="0.25">
      <c r="A2115">
        <v>3597</v>
      </c>
      <c r="B2115" t="s">
        <v>3329</v>
      </c>
      <c r="C2115" t="s">
        <v>2148</v>
      </c>
    </row>
    <row r="2116" spans="1:3" x14ac:dyDescent="0.25">
      <c r="A2116">
        <v>3598</v>
      </c>
      <c r="B2116" t="s">
        <v>3330</v>
      </c>
      <c r="C2116" t="s">
        <v>2326</v>
      </c>
    </row>
    <row r="2117" spans="1:3" x14ac:dyDescent="0.25">
      <c r="A2117">
        <v>3599</v>
      </c>
      <c r="B2117" t="s">
        <v>3331</v>
      </c>
      <c r="C2117" t="s">
        <v>2150</v>
      </c>
    </row>
    <row r="2118" spans="1:3" x14ac:dyDescent="0.25">
      <c r="A2118">
        <v>3600</v>
      </c>
      <c r="B2118" t="s">
        <v>3332</v>
      </c>
      <c r="C2118" t="s">
        <v>2328</v>
      </c>
    </row>
    <row r="2119" spans="1:3" x14ac:dyDescent="0.25">
      <c r="A2119">
        <v>4479</v>
      </c>
      <c r="B2119" t="s">
        <v>3333</v>
      </c>
      <c r="C2119" t="e">
        <f>+proj=geocent +ellps=GRQ80 +units=m +no_defs</f>
        <v>#NAME?</v>
      </c>
    </row>
    <row r="2120" spans="1:3" x14ac:dyDescent="0.25">
      <c r="A2120">
        <v>3601</v>
      </c>
      <c r="B2120" t="s">
        <v>3334</v>
      </c>
      <c r="C2120" t="s">
        <v>2155</v>
      </c>
    </row>
    <row r="2121" spans="1:3" x14ac:dyDescent="0.25">
      <c r="A2121">
        <v>3602</v>
      </c>
      <c r="B2121" t="s">
        <v>3335</v>
      </c>
      <c r="C2121" t="s">
        <v>2152</v>
      </c>
    </row>
    <row r="2122" spans="1:3" x14ac:dyDescent="0.25">
      <c r="A2122">
        <v>3603</v>
      </c>
      <c r="B2122" t="s">
        <v>3336</v>
      </c>
      <c r="C2122" t="s">
        <v>2157</v>
      </c>
    </row>
    <row r="2123" spans="1:3" x14ac:dyDescent="0.25">
      <c r="A2123">
        <v>3604</v>
      </c>
      <c r="B2123" t="s">
        <v>3337</v>
      </c>
      <c r="C2123" t="s">
        <v>2159</v>
      </c>
    </row>
    <row r="2124" spans="1:3" x14ac:dyDescent="0.25">
      <c r="A2124">
        <v>3605</v>
      </c>
      <c r="B2124" t="s">
        <v>3338</v>
      </c>
      <c r="C2124" t="s">
        <v>2330</v>
      </c>
    </row>
    <row r="2125" spans="1:3" x14ac:dyDescent="0.25">
      <c r="A2125">
        <v>3606</v>
      </c>
      <c r="B2125" t="s">
        <v>3339</v>
      </c>
      <c r="C2125" t="s">
        <v>2161</v>
      </c>
    </row>
    <row r="2126" spans="1:3" x14ac:dyDescent="0.25">
      <c r="A2126">
        <v>3607</v>
      </c>
      <c r="B2126" t="s">
        <v>3340</v>
      </c>
      <c r="C2126" t="s">
        <v>2165</v>
      </c>
    </row>
    <row r="2127" spans="1:3" x14ac:dyDescent="0.25">
      <c r="A2127">
        <v>3608</v>
      </c>
      <c r="B2127" t="s">
        <v>3341</v>
      </c>
      <c r="C2127" t="s">
        <v>3116</v>
      </c>
    </row>
    <row r="2128" spans="1:3" x14ac:dyDescent="0.25">
      <c r="A2128">
        <v>3609</v>
      </c>
      <c r="B2128" t="s">
        <v>3342</v>
      </c>
      <c r="C2128" t="s">
        <v>2163</v>
      </c>
    </row>
    <row r="2129" spans="1:3" x14ac:dyDescent="0.25">
      <c r="A2129">
        <v>3610</v>
      </c>
      <c r="B2129" t="s">
        <v>3343</v>
      </c>
      <c r="C2129" t="s">
        <v>3113</v>
      </c>
    </row>
    <row r="2130" spans="1:3" x14ac:dyDescent="0.25">
      <c r="A2130">
        <v>3611</v>
      </c>
      <c r="B2130" t="s">
        <v>3344</v>
      </c>
      <c r="C2130" t="s">
        <v>2167</v>
      </c>
    </row>
    <row r="2131" spans="1:3" x14ac:dyDescent="0.25">
      <c r="A2131">
        <v>3612</v>
      </c>
      <c r="B2131" t="s">
        <v>3345</v>
      </c>
      <c r="C2131" t="s">
        <v>3118</v>
      </c>
    </row>
    <row r="2132" spans="1:3" x14ac:dyDescent="0.25">
      <c r="A2132">
        <v>3613</v>
      </c>
      <c r="B2132" t="s">
        <v>3346</v>
      </c>
      <c r="C2132" t="s">
        <v>2169</v>
      </c>
    </row>
    <row r="2133" spans="1:3" x14ac:dyDescent="0.25">
      <c r="A2133">
        <v>3614</v>
      </c>
      <c r="B2133" t="s">
        <v>3347</v>
      </c>
      <c r="C2133" t="s">
        <v>3141</v>
      </c>
    </row>
    <row r="2134" spans="1:3" x14ac:dyDescent="0.25">
      <c r="A2134">
        <v>3615</v>
      </c>
      <c r="B2134" t="s">
        <v>3348</v>
      </c>
      <c r="C2134" t="s">
        <v>2171</v>
      </c>
    </row>
    <row r="2135" spans="1:3" x14ac:dyDescent="0.25">
      <c r="A2135">
        <v>3616</v>
      </c>
      <c r="B2135" t="s">
        <v>3349</v>
      </c>
      <c r="C2135" t="s">
        <v>2338</v>
      </c>
    </row>
    <row r="2136" spans="1:3" x14ac:dyDescent="0.25">
      <c r="A2136">
        <v>3617</v>
      </c>
      <c r="B2136" t="s">
        <v>3350</v>
      </c>
      <c r="C2136" t="s">
        <v>2175</v>
      </c>
    </row>
    <row r="2137" spans="1:3" x14ac:dyDescent="0.25">
      <c r="A2137">
        <v>3618</v>
      </c>
      <c r="B2137" t="s">
        <v>3351</v>
      </c>
      <c r="C2137" t="s">
        <v>2334</v>
      </c>
    </row>
    <row r="2138" spans="1:3" x14ac:dyDescent="0.25">
      <c r="A2138">
        <v>3619</v>
      </c>
      <c r="B2138" t="s">
        <v>3352</v>
      </c>
      <c r="C2138" t="s">
        <v>2173</v>
      </c>
    </row>
    <row r="2139" spans="1:3" x14ac:dyDescent="0.25">
      <c r="A2139">
        <v>3620</v>
      </c>
      <c r="B2139" t="s">
        <v>3353</v>
      </c>
      <c r="C2139" t="s">
        <v>2332</v>
      </c>
    </row>
    <row r="2140" spans="1:3" x14ac:dyDescent="0.25">
      <c r="A2140">
        <v>3621</v>
      </c>
      <c r="B2140" t="s">
        <v>3354</v>
      </c>
      <c r="C2140" t="s">
        <v>2177</v>
      </c>
    </row>
    <row r="2141" spans="1:3" x14ac:dyDescent="0.25">
      <c r="A2141">
        <v>3622</v>
      </c>
      <c r="B2141" t="s">
        <v>3355</v>
      </c>
      <c r="C2141" t="s">
        <v>2336</v>
      </c>
    </row>
    <row r="2142" spans="1:3" x14ac:dyDescent="0.25">
      <c r="A2142">
        <v>3623</v>
      </c>
      <c r="B2142" t="s">
        <v>3356</v>
      </c>
      <c r="C2142" t="s">
        <v>2180</v>
      </c>
    </row>
    <row r="2143" spans="1:3" x14ac:dyDescent="0.25">
      <c r="A2143">
        <v>3624</v>
      </c>
      <c r="B2143" t="s">
        <v>3357</v>
      </c>
      <c r="C2143" t="s">
        <v>2341</v>
      </c>
    </row>
    <row r="2144" spans="1:3" x14ac:dyDescent="0.25">
      <c r="A2144">
        <v>3625</v>
      </c>
      <c r="B2144" t="s">
        <v>3358</v>
      </c>
      <c r="C2144" t="s">
        <v>2171</v>
      </c>
    </row>
    <row r="2145" spans="1:3" x14ac:dyDescent="0.25">
      <c r="A2145">
        <v>3626</v>
      </c>
      <c r="B2145" t="s">
        <v>3359</v>
      </c>
      <c r="C2145" t="s">
        <v>2338</v>
      </c>
    </row>
    <row r="2146" spans="1:3" x14ac:dyDescent="0.25">
      <c r="A2146">
        <v>3643</v>
      </c>
      <c r="B2146" t="s">
        <v>3360</v>
      </c>
      <c r="C2146" t="s">
        <v>2482</v>
      </c>
    </row>
    <row r="2147" spans="1:3" x14ac:dyDescent="0.25">
      <c r="A2147">
        <v>3627</v>
      </c>
      <c r="B2147" t="s">
        <v>3361</v>
      </c>
      <c r="C2147" t="s">
        <v>2184</v>
      </c>
    </row>
    <row r="2148" spans="1:3" x14ac:dyDescent="0.25">
      <c r="A2148">
        <v>3628</v>
      </c>
      <c r="B2148" t="s">
        <v>3362</v>
      </c>
      <c r="C2148" t="s">
        <v>2345</v>
      </c>
    </row>
    <row r="2149" spans="1:3" x14ac:dyDescent="0.25">
      <c r="A2149">
        <v>3629</v>
      </c>
      <c r="B2149" t="s">
        <v>3363</v>
      </c>
      <c r="C2149" t="s">
        <v>2182</v>
      </c>
    </row>
    <row r="2150" spans="1:3" x14ac:dyDescent="0.25">
      <c r="A2150">
        <v>3630</v>
      </c>
      <c r="B2150" t="s">
        <v>3364</v>
      </c>
      <c r="C2150" t="s">
        <v>2343</v>
      </c>
    </row>
    <row r="2151" spans="1:3" x14ac:dyDescent="0.25">
      <c r="A2151">
        <v>3631</v>
      </c>
      <c r="B2151" t="s">
        <v>3365</v>
      </c>
      <c r="C2151" t="s">
        <v>3012</v>
      </c>
    </row>
    <row r="2152" spans="1:3" x14ac:dyDescent="0.25">
      <c r="A2152">
        <v>3632</v>
      </c>
      <c r="B2152" t="s">
        <v>3366</v>
      </c>
      <c r="C2152" t="s">
        <v>3079</v>
      </c>
    </row>
    <row r="2153" spans="1:3" x14ac:dyDescent="0.25">
      <c r="A2153">
        <v>3633</v>
      </c>
      <c r="B2153" t="s">
        <v>3367</v>
      </c>
      <c r="C2153" t="s">
        <v>2186</v>
      </c>
    </row>
    <row r="2154" spans="1:3" x14ac:dyDescent="0.25">
      <c r="A2154">
        <v>3634</v>
      </c>
      <c r="B2154" t="s">
        <v>3368</v>
      </c>
      <c r="C2154" t="s">
        <v>2347</v>
      </c>
    </row>
    <row r="2155" spans="1:3" x14ac:dyDescent="0.25">
      <c r="A2155">
        <v>3635</v>
      </c>
      <c r="B2155" t="s">
        <v>3369</v>
      </c>
      <c r="C2155" t="s">
        <v>2188</v>
      </c>
    </row>
    <row r="2156" spans="1:3" x14ac:dyDescent="0.25">
      <c r="A2156">
        <v>3636</v>
      </c>
      <c r="B2156" t="s">
        <v>3370</v>
      </c>
      <c r="C2156" t="s">
        <v>2349</v>
      </c>
    </row>
    <row r="2157" spans="1:3" x14ac:dyDescent="0.25">
      <c r="A2157">
        <v>3637</v>
      </c>
      <c r="B2157" t="s">
        <v>3371</v>
      </c>
      <c r="C2157" t="s">
        <v>2190</v>
      </c>
    </row>
    <row r="2158" spans="1:3" x14ac:dyDescent="0.25">
      <c r="A2158">
        <v>3638</v>
      </c>
      <c r="B2158" t="s">
        <v>3372</v>
      </c>
      <c r="C2158" t="s">
        <v>2192</v>
      </c>
    </row>
    <row r="2159" spans="1:3" x14ac:dyDescent="0.25">
      <c r="A2159">
        <v>3639</v>
      </c>
      <c r="B2159" t="s">
        <v>3373</v>
      </c>
      <c r="C2159" t="s">
        <v>2194</v>
      </c>
    </row>
    <row r="2160" spans="1:3" x14ac:dyDescent="0.25">
      <c r="A2160">
        <v>3640</v>
      </c>
      <c r="B2160" t="s">
        <v>3374</v>
      </c>
      <c r="C2160" t="s">
        <v>2351</v>
      </c>
    </row>
    <row r="2161" spans="1:3" x14ac:dyDescent="0.25">
      <c r="A2161">
        <v>3641</v>
      </c>
      <c r="B2161" t="s">
        <v>3375</v>
      </c>
      <c r="C2161" t="s">
        <v>2196</v>
      </c>
    </row>
    <row r="2162" spans="1:3" x14ac:dyDescent="0.25">
      <c r="A2162">
        <v>3642</v>
      </c>
      <c r="B2162" t="s">
        <v>3376</v>
      </c>
      <c r="C2162" t="s">
        <v>2353</v>
      </c>
    </row>
    <row r="2163" spans="1:3" x14ac:dyDescent="0.25">
      <c r="A2163">
        <v>3644</v>
      </c>
      <c r="B2163" t="s">
        <v>3377</v>
      </c>
      <c r="C2163" t="s">
        <v>2484</v>
      </c>
    </row>
    <row r="2164" spans="1:3" x14ac:dyDescent="0.25">
      <c r="A2164">
        <v>3645</v>
      </c>
      <c r="B2164" t="s">
        <v>3378</v>
      </c>
      <c r="C2164" t="s">
        <v>2198</v>
      </c>
    </row>
    <row r="2165" spans="1:3" x14ac:dyDescent="0.25">
      <c r="A2165">
        <v>3646</v>
      </c>
      <c r="B2165" t="s">
        <v>3379</v>
      </c>
      <c r="C2165" t="s">
        <v>2355</v>
      </c>
    </row>
    <row r="2166" spans="1:3" x14ac:dyDescent="0.25">
      <c r="A2166">
        <v>3647</v>
      </c>
      <c r="B2166" t="s">
        <v>3380</v>
      </c>
      <c r="C2166" t="s">
        <v>2200</v>
      </c>
    </row>
    <row r="2167" spans="1:3" x14ac:dyDescent="0.25">
      <c r="A2167">
        <v>3648</v>
      </c>
      <c r="B2167" t="s">
        <v>3381</v>
      </c>
      <c r="C2167" t="s">
        <v>2357</v>
      </c>
    </row>
    <row r="2168" spans="1:3" x14ac:dyDescent="0.25">
      <c r="A2168">
        <v>3649</v>
      </c>
      <c r="B2168" t="s">
        <v>3382</v>
      </c>
      <c r="C2168" t="s">
        <v>3020</v>
      </c>
    </row>
    <row r="2169" spans="1:3" x14ac:dyDescent="0.25">
      <c r="A2169">
        <v>3650</v>
      </c>
      <c r="B2169" t="s">
        <v>3383</v>
      </c>
      <c r="C2169" t="s">
        <v>3022</v>
      </c>
    </row>
    <row r="2170" spans="1:3" x14ac:dyDescent="0.25">
      <c r="A2170">
        <v>3651</v>
      </c>
      <c r="B2170" t="s">
        <v>3384</v>
      </c>
      <c r="C2170" t="s">
        <v>3025</v>
      </c>
    </row>
    <row r="2171" spans="1:3" x14ac:dyDescent="0.25">
      <c r="A2171">
        <v>3652</v>
      </c>
      <c r="B2171" t="s">
        <v>3385</v>
      </c>
      <c r="C2171" t="s">
        <v>3027</v>
      </c>
    </row>
    <row r="2172" spans="1:3" x14ac:dyDescent="0.25">
      <c r="A2172">
        <v>3653</v>
      </c>
      <c r="B2172" t="s">
        <v>3386</v>
      </c>
      <c r="C2172" t="s">
        <v>2202</v>
      </c>
    </row>
    <row r="2173" spans="1:3" x14ac:dyDescent="0.25">
      <c r="A2173">
        <v>3654</v>
      </c>
      <c r="B2173" t="s">
        <v>3387</v>
      </c>
      <c r="C2173" t="s">
        <v>3144</v>
      </c>
    </row>
    <row r="2174" spans="1:3" x14ac:dyDescent="0.25">
      <c r="A2174">
        <v>3655</v>
      </c>
      <c r="B2174" t="s">
        <v>3388</v>
      </c>
      <c r="C2174" t="s">
        <v>3016</v>
      </c>
    </row>
    <row r="2175" spans="1:3" x14ac:dyDescent="0.25">
      <c r="A2175">
        <v>3656</v>
      </c>
      <c r="B2175" t="s">
        <v>3389</v>
      </c>
      <c r="C2175" t="s">
        <v>3018</v>
      </c>
    </row>
    <row r="2176" spans="1:3" x14ac:dyDescent="0.25">
      <c r="A2176">
        <v>3657</v>
      </c>
      <c r="B2176" t="s">
        <v>3390</v>
      </c>
      <c r="C2176" t="s">
        <v>2204</v>
      </c>
    </row>
    <row r="2177" spans="1:3" x14ac:dyDescent="0.25">
      <c r="A2177">
        <v>3658</v>
      </c>
      <c r="B2177" t="s">
        <v>3391</v>
      </c>
      <c r="C2177" t="s">
        <v>3163</v>
      </c>
    </row>
    <row r="2178" spans="1:3" x14ac:dyDescent="0.25">
      <c r="A2178">
        <v>3659</v>
      </c>
      <c r="B2178" t="s">
        <v>3392</v>
      </c>
      <c r="C2178" t="s">
        <v>2207</v>
      </c>
    </row>
    <row r="2179" spans="1:3" x14ac:dyDescent="0.25">
      <c r="A2179">
        <v>3660</v>
      </c>
      <c r="B2179" t="s">
        <v>3393</v>
      </c>
      <c r="C2179" t="s">
        <v>3165</v>
      </c>
    </row>
    <row r="2180" spans="1:3" x14ac:dyDescent="0.25">
      <c r="A2180">
        <v>3661</v>
      </c>
      <c r="B2180" t="s">
        <v>3394</v>
      </c>
      <c r="C2180" t="s">
        <v>2209</v>
      </c>
    </row>
    <row r="2181" spans="1:3" x14ac:dyDescent="0.25">
      <c r="A2181">
        <v>3662</v>
      </c>
      <c r="B2181" t="s">
        <v>3395</v>
      </c>
      <c r="C2181" t="s">
        <v>2359</v>
      </c>
    </row>
    <row r="2182" spans="1:3" x14ac:dyDescent="0.25">
      <c r="A2182">
        <v>3663</v>
      </c>
      <c r="B2182" t="s">
        <v>3396</v>
      </c>
      <c r="C2182" t="s">
        <v>2215</v>
      </c>
    </row>
    <row r="2183" spans="1:3" x14ac:dyDescent="0.25">
      <c r="A2183">
        <v>3664</v>
      </c>
      <c r="B2183" t="s">
        <v>3397</v>
      </c>
      <c r="C2183" t="s">
        <v>2365</v>
      </c>
    </row>
    <row r="2184" spans="1:3" x14ac:dyDescent="0.25">
      <c r="A2184">
        <v>3665</v>
      </c>
      <c r="B2184" t="s">
        <v>3398</v>
      </c>
      <c r="C2184" t="s">
        <v>2604</v>
      </c>
    </row>
    <row r="2185" spans="1:3" x14ac:dyDescent="0.25">
      <c r="A2185">
        <v>3666</v>
      </c>
      <c r="B2185" t="s">
        <v>3399</v>
      </c>
      <c r="C2185" t="s">
        <v>2602</v>
      </c>
    </row>
    <row r="2186" spans="1:3" x14ac:dyDescent="0.25">
      <c r="A2186">
        <v>3667</v>
      </c>
      <c r="B2186" t="s">
        <v>3400</v>
      </c>
      <c r="C2186" t="s">
        <v>2211</v>
      </c>
    </row>
    <row r="2187" spans="1:3" x14ac:dyDescent="0.25">
      <c r="A2187">
        <v>3668</v>
      </c>
      <c r="B2187" t="s">
        <v>3401</v>
      </c>
      <c r="C2187" t="s">
        <v>2361</v>
      </c>
    </row>
    <row r="2188" spans="1:3" x14ac:dyDescent="0.25">
      <c r="A2188">
        <v>3669</v>
      </c>
      <c r="B2188" t="s">
        <v>3402</v>
      </c>
      <c r="C2188" t="s">
        <v>2213</v>
      </c>
    </row>
    <row r="2189" spans="1:3" x14ac:dyDescent="0.25">
      <c r="A2189">
        <v>3670</v>
      </c>
      <c r="B2189" t="s">
        <v>3403</v>
      </c>
      <c r="C2189" t="s">
        <v>2363</v>
      </c>
    </row>
    <row r="2190" spans="1:3" x14ac:dyDescent="0.25">
      <c r="A2190">
        <v>3671</v>
      </c>
      <c r="B2190" t="s">
        <v>3404</v>
      </c>
      <c r="C2190" t="s">
        <v>2219</v>
      </c>
    </row>
    <row r="2191" spans="1:3" x14ac:dyDescent="0.25">
      <c r="A2191">
        <v>3672</v>
      </c>
      <c r="B2191" t="s">
        <v>3405</v>
      </c>
      <c r="C2191" t="s">
        <v>2369</v>
      </c>
    </row>
    <row r="2192" spans="1:3" x14ac:dyDescent="0.25">
      <c r="A2192">
        <v>3673</v>
      </c>
      <c r="B2192" t="s">
        <v>3406</v>
      </c>
      <c r="C2192" t="s">
        <v>2217</v>
      </c>
    </row>
    <row r="2193" spans="1:3" x14ac:dyDescent="0.25">
      <c r="A2193">
        <v>3674</v>
      </c>
      <c r="B2193" t="s">
        <v>3407</v>
      </c>
      <c r="C2193" t="s">
        <v>2367</v>
      </c>
    </row>
    <row r="2194" spans="1:3" x14ac:dyDescent="0.25">
      <c r="A2194">
        <v>3699</v>
      </c>
      <c r="B2194" t="s">
        <v>3408</v>
      </c>
      <c r="C2194" t="s">
        <v>2246</v>
      </c>
    </row>
    <row r="2195" spans="1:3" x14ac:dyDescent="0.25">
      <c r="A2195">
        <v>3675</v>
      </c>
      <c r="B2195" t="s">
        <v>3409</v>
      </c>
      <c r="C2195" t="s">
        <v>2223</v>
      </c>
    </row>
    <row r="2196" spans="1:3" x14ac:dyDescent="0.25">
      <c r="A2196">
        <v>3676</v>
      </c>
      <c r="B2196" t="s">
        <v>3410</v>
      </c>
      <c r="C2196" t="s">
        <v>2373</v>
      </c>
    </row>
    <row r="2197" spans="1:3" x14ac:dyDescent="0.25">
      <c r="A2197">
        <v>3677</v>
      </c>
      <c r="B2197" t="s">
        <v>3411</v>
      </c>
      <c r="C2197" t="s">
        <v>3301</v>
      </c>
    </row>
    <row r="2198" spans="1:3" x14ac:dyDescent="0.25">
      <c r="A2198">
        <v>3678</v>
      </c>
      <c r="B2198" t="s">
        <v>3412</v>
      </c>
      <c r="C2198" t="s">
        <v>2221</v>
      </c>
    </row>
    <row r="2199" spans="1:3" x14ac:dyDescent="0.25">
      <c r="A2199">
        <v>3679</v>
      </c>
      <c r="B2199" t="s">
        <v>3413</v>
      </c>
      <c r="C2199" t="s">
        <v>2371</v>
      </c>
    </row>
    <row r="2200" spans="1:3" x14ac:dyDescent="0.25">
      <c r="A2200">
        <v>3680</v>
      </c>
      <c r="B2200" t="s">
        <v>3414</v>
      </c>
      <c r="C2200" t="s">
        <v>3299</v>
      </c>
    </row>
    <row r="2201" spans="1:3" x14ac:dyDescent="0.25">
      <c r="A2201">
        <v>3681</v>
      </c>
      <c r="B2201" t="s">
        <v>3415</v>
      </c>
      <c r="C2201" t="s">
        <v>2225</v>
      </c>
    </row>
    <row r="2202" spans="1:3" x14ac:dyDescent="0.25">
      <c r="A2202">
        <v>3682</v>
      </c>
      <c r="B2202" t="s">
        <v>3416</v>
      </c>
      <c r="C2202" t="s">
        <v>2375</v>
      </c>
    </row>
    <row r="2203" spans="1:3" x14ac:dyDescent="0.25">
      <c r="A2203">
        <v>3683</v>
      </c>
      <c r="B2203" t="s">
        <v>3417</v>
      </c>
      <c r="C2203" t="s">
        <v>3303</v>
      </c>
    </row>
    <row r="2204" spans="1:3" x14ac:dyDescent="0.25">
      <c r="A2204">
        <v>3684</v>
      </c>
      <c r="B2204" t="s">
        <v>3418</v>
      </c>
      <c r="C2204" t="s">
        <v>2227</v>
      </c>
    </row>
    <row r="2205" spans="1:3" x14ac:dyDescent="0.25">
      <c r="A2205">
        <v>3685</v>
      </c>
      <c r="B2205" t="s">
        <v>3419</v>
      </c>
      <c r="C2205" t="s">
        <v>2229</v>
      </c>
    </row>
    <row r="2206" spans="1:3" x14ac:dyDescent="0.25">
      <c r="A2206">
        <v>3686</v>
      </c>
      <c r="B2206" t="s">
        <v>3420</v>
      </c>
      <c r="C2206" t="s">
        <v>2377</v>
      </c>
    </row>
    <row r="2207" spans="1:3" x14ac:dyDescent="0.25">
      <c r="A2207">
        <v>3687</v>
      </c>
      <c r="B2207" t="s">
        <v>3421</v>
      </c>
      <c r="C2207" t="s">
        <v>2231</v>
      </c>
    </row>
    <row r="2208" spans="1:3" x14ac:dyDescent="0.25">
      <c r="A2208">
        <v>3688</v>
      </c>
      <c r="B2208" t="s">
        <v>3422</v>
      </c>
      <c r="C2208" t="s">
        <v>2379</v>
      </c>
    </row>
    <row r="2209" spans="1:3" x14ac:dyDescent="0.25">
      <c r="A2209">
        <v>3689</v>
      </c>
      <c r="B2209" t="s">
        <v>3423</v>
      </c>
      <c r="C2209" t="s">
        <v>2233</v>
      </c>
    </row>
    <row r="2210" spans="1:3" x14ac:dyDescent="0.25">
      <c r="A2210">
        <v>3690</v>
      </c>
      <c r="B2210" t="s">
        <v>3424</v>
      </c>
      <c r="C2210" t="s">
        <v>2381</v>
      </c>
    </row>
    <row r="2211" spans="1:3" x14ac:dyDescent="0.25">
      <c r="A2211">
        <v>3691</v>
      </c>
      <c r="B2211" t="s">
        <v>3425</v>
      </c>
      <c r="C2211" t="s">
        <v>2235</v>
      </c>
    </row>
    <row r="2212" spans="1:3" x14ac:dyDescent="0.25">
      <c r="A2212">
        <v>3692</v>
      </c>
      <c r="B2212" t="s">
        <v>3426</v>
      </c>
      <c r="C2212" t="s">
        <v>2383</v>
      </c>
    </row>
    <row r="2213" spans="1:3" x14ac:dyDescent="0.25">
      <c r="A2213">
        <v>3693</v>
      </c>
      <c r="B2213" t="s">
        <v>3427</v>
      </c>
      <c r="C2213" t="s">
        <v>2237</v>
      </c>
    </row>
    <row r="2214" spans="1:3" x14ac:dyDescent="0.25">
      <c r="A2214">
        <v>3694</v>
      </c>
      <c r="B2214" t="s">
        <v>3428</v>
      </c>
      <c r="C2214" t="s">
        <v>2240</v>
      </c>
    </row>
    <row r="2215" spans="1:3" x14ac:dyDescent="0.25">
      <c r="A2215">
        <v>3695</v>
      </c>
      <c r="B2215" t="s">
        <v>3429</v>
      </c>
      <c r="C2215" t="s">
        <v>2244</v>
      </c>
    </row>
    <row r="2216" spans="1:3" x14ac:dyDescent="0.25">
      <c r="A2216">
        <v>3696</v>
      </c>
      <c r="B2216" t="s">
        <v>3430</v>
      </c>
      <c r="C2216" t="s">
        <v>2387</v>
      </c>
    </row>
    <row r="2217" spans="1:3" x14ac:dyDescent="0.25">
      <c r="A2217">
        <v>3697</v>
      </c>
      <c r="B2217" t="s">
        <v>3431</v>
      </c>
      <c r="C2217" t="s">
        <v>2242</v>
      </c>
    </row>
    <row r="2218" spans="1:3" x14ac:dyDescent="0.25">
      <c r="A2218">
        <v>3698</v>
      </c>
      <c r="B2218" t="s">
        <v>3432</v>
      </c>
      <c r="C2218" t="s">
        <v>2385</v>
      </c>
    </row>
    <row r="2219" spans="1:3" x14ac:dyDescent="0.25">
      <c r="A2219">
        <v>3700</v>
      </c>
      <c r="B2219" t="s">
        <v>3433</v>
      </c>
      <c r="C2219" t="s">
        <v>2389</v>
      </c>
    </row>
    <row r="2220" spans="1:3" x14ac:dyDescent="0.25">
      <c r="A2220">
        <v>3701</v>
      </c>
      <c r="B2220" t="s">
        <v>3434</v>
      </c>
      <c r="C2220" t="s">
        <v>2584</v>
      </c>
    </row>
    <row r="2221" spans="1:3" x14ac:dyDescent="0.25">
      <c r="A2221">
        <v>3702</v>
      </c>
      <c r="B2221" t="s">
        <v>3435</v>
      </c>
      <c r="C2221" t="s">
        <v>2248</v>
      </c>
    </row>
    <row r="2222" spans="1:3" x14ac:dyDescent="0.25">
      <c r="A2222">
        <v>3703</v>
      </c>
      <c r="B2222" t="s">
        <v>3436</v>
      </c>
      <c r="C2222" t="s">
        <v>2250</v>
      </c>
    </row>
    <row r="2223" spans="1:3" x14ac:dyDescent="0.25">
      <c r="A2223">
        <v>3704</v>
      </c>
      <c r="B2223" t="s">
        <v>3437</v>
      </c>
      <c r="C2223" t="s">
        <v>2252</v>
      </c>
    </row>
    <row r="2224" spans="1:3" x14ac:dyDescent="0.25">
      <c r="A2224">
        <v>3705</v>
      </c>
      <c r="B2224" t="s">
        <v>3438</v>
      </c>
      <c r="C2224" t="s">
        <v>2254</v>
      </c>
    </row>
    <row r="2225" spans="1:3" x14ac:dyDescent="0.25">
      <c r="A2225">
        <v>3706</v>
      </c>
      <c r="B2225" t="s">
        <v>3439</v>
      </c>
      <c r="C2225" t="s">
        <v>3440</v>
      </c>
    </row>
    <row r="2226" spans="1:3" x14ac:dyDescent="0.25">
      <c r="A2226">
        <v>3707</v>
      </c>
      <c r="B2226" t="s">
        <v>3441</v>
      </c>
      <c r="C2226" t="s">
        <v>3442</v>
      </c>
    </row>
    <row r="2227" spans="1:3" x14ac:dyDescent="0.25">
      <c r="A2227">
        <v>3708</v>
      </c>
      <c r="B2227" t="s">
        <v>3443</v>
      </c>
      <c r="C2227" t="s">
        <v>3444</v>
      </c>
    </row>
    <row r="2228" spans="1:3" x14ac:dyDescent="0.25">
      <c r="A2228">
        <v>3710</v>
      </c>
      <c r="B2228" t="s">
        <v>3445</v>
      </c>
      <c r="C2228" t="s">
        <v>3446</v>
      </c>
    </row>
    <row r="2229" spans="1:3" x14ac:dyDescent="0.25">
      <c r="A2229">
        <v>3711</v>
      </c>
      <c r="B2229" t="s">
        <v>3447</v>
      </c>
      <c r="C2229" t="s">
        <v>3448</v>
      </c>
    </row>
    <row r="2230" spans="1:3" x14ac:dyDescent="0.25">
      <c r="A2230">
        <v>3712</v>
      </c>
      <c r="B2230" t="s">
        <v>3449</v>
      </c>
      <c r="C2230" t="s">
        <v>3450</v>
      </c>
    </row>
    <row r="2231" spans="1:3" x14ac:dyDescent="0.25">
      <c r="A2231">
        <v>3713</v>
      </c>
      <c r="B2231" t="s">
        <v>3451</v>
      </c>
      <c r="C2231" t="s">
        <v>3452</v>
      </c>
    </row>
    <row r="2232" spans="1:3" x14ac:dyDescent="0.25">
      <c r="A2232">
        <v>3714</v>
      </c>
      <c r="B2232" t="s">
        <v>3453</v>
      </c>
      <c r="C2232" t="s">
        <v>2732</v>
      </c>
    </row>
    <row r="2233" spans="1:3" x14ac:dyDescent="0.25">
      <c r="A2233">
        <v>3715</v>
      </c>
      <c r="B2233" t="s">
        <v>3454</v>
      </c>
      <c r="C2233" t="s">
        <v>2734</v>
      </c>
    </row>
    <row r="2234" spans="1:3" x14ac:dyDescent="0.25">
      <c r="A2234">
        <v>3716</v>
      </c>
      <c r="B2234" t="s">
        <v>3455</v>
      </c>
      <c r="C2234" t="s">
        <v>2736</v>
      </c>
    </row>
    <row r="2235" spans="1:3" x14ac:dyDescent="0.25">
      <c r="A2235">
        <v>3717</v>
      </c>
      <c r="B2235" t="s">
        <v>3456</v>
      </c>
      <c r="C2235" t="s">
        <v>2738</v>
      </c>
    </row>
    <row r="2236" spans="1:3" x14ac:dyDescent="0.25">
      <c r="A2236">
        <v>3718</v>
      </c>
      <c r="B2236" t="s">
        <v>3457</v>
      </c>
      <c r="C2236" t="s">
        <v>1050</v>
      </c>
    </row>
    <row r="2237" spans="1:3" x14ac:dyDescent="0.25">
      <c r="A2237">
        <v>3719</v>
      </c>
      <c r="B2237" t="s">
        <v>3458</v>
      </c>
      <c r="C2237" t="s">
        <v>1048</v>
      </c>
    </row>
    <row r="2238" spans="1:3" x14ac:dyDescent="0.25">
      <c r="A2238">
        <v>3720</v>
      </c>
      <c r="B2238" t="s">
        <v>3459</v>
      </c>
      <c r="C2238" t="s">
        <v>1046</v>
      </c>
    </row>
    <row r="2239" spans="1:3" x14ac:dyDescent="0.25">
      <c r="A2239">
        <v>3721</v>
      </c>
      <c r="B2239" t="s">
        <v>3460</v>
      </c>
      <c r="C2239" t="s">
        <v>2740</v>
      </c>
    </row>
    <row r="2240" spans="1:3" x14ac:dyDescent="0.25">
      <c r="A2240">
        <v>3722</v>
      </c>
      <c r="B2240" t="s">
        <v>3461</v>
      </c>
      <c r="C2240" t="s">
        <v>2742</v>
      </c>
    </row>
    <row r="2241" spans="1:3" x14ac:dyDescent="0.25">
      <c r="A2241">
        <v>3723</v>
      </c>
      <c r="B2241" t="s">
        <v>3462</v>
      </c>
      <c r="C2241" t="s">
        <v>2744</v>
      </c>
    </row>
    <row r="2242" spans="1:3" x14ac:dyDescent="0.25">
      <c r="A2242">
        <v>3724</v>
      </c>
      <c r="B2242" t="s">
        <v>3463</v>
      </c>
      <c r="C2242" t="s">
        <v>1043</v>
      </c>
    </row>
    <row r="2243" spans="1:3" x14ac:dyDescent="0.25">
      <c r="A2243">
        <v>3725</v>
      </c>
      <c r="B2243" t="s">
        <v>3464</v>
      </c>
      <c r="C2243" t="s">
        <v>1041</v>
      </c>
    </row>
    <row r="2244" spans="1:3" x14ac:dyDescent="0.25">
      <c r="A2244">
        <v>3726</v>
      </c>
      <c r="B2244" t="s">
        <v>3465</v>
      </c>
      <c r="C2244" t="s">
        <v>827</v>
      </c>
    </row>
    <row r="2245" spans="1:3" x14ac:dyDescent="0.25">
      <c r="A2245">
        <v>3727</v>
      </c>
      <c r="B2245" t="s">
        <v>3466</v>
      </c>
      <c r="C2245" t="s">
        <v>3467</v>
      </c>
    </row>
    <row r="2246" spans="1:3" x14ac:dyDescent="0.25">
      <c r="A2246">
        <v>3728</v>
      </c>
      <c r="B2246" t="s">
        <v>3468</v>
      </c>
      <c r="C2246" t="s">
        <v>3469</v>
      </c>
    </row>
    <row r="2247" spans="1:3" x14ac:dyDescent="0.25">
      <c r="A2247">
        <v>4481</v>
      </c>
      <c r="B2247" t="s">
        <v>3470</v>
      </c>
      <c r="C2247" t="e">
        <f>+proj=geocent +ellps=GRQ80 +units=m +no_defs</f>
        <v>#NAME?</v>
      </c>
    </row>
    <row r="2248" spans="1:3" x14ac:dyDescent="0.25">
      <c r="A2248">
        <v>3729</v>
      </c>
      <c r="B2248" t="s">
        <v>3471</v>
      </c>
      <c r="C2248" t="s">
        <v>3472</v>
      </c>
    </row>
    <row r="2249" spans="1:3" x14ac:dyDescent="0.25">
      <c r="A2249">
        <v>3730</v>
      </c>
      <c r="B2249" t="s">
        <v>3473</v>
      </c>
      <c r="C2249" t="s">
        <v>3474</v>
      </c>
    </row>
    <row r="2250" spans="1:3" x14ac:dyDescent="0.25">
      <c r="A2250">
        <v>3731</v>
      </c>
      <c r="B2250" t="s">
        <v>3475</v>
      </c>
      <c r="C2250" t="s">
        <v>3476</v>
      </c>
    </row>
    <row r="2251" spans="1:3" x14ac:dyDescent="0.25">
      <c r="A2251">
        <v>3732</v>
      </c>
      <c r="B2251" t="s">
        <v>3477</v>
      </c>
      <c r="C2251" t="s">
        <v>3478</v>
      </c>
    </row>
    <row r="2252" spans="1:3" x14ac:dyDescent="0.25">
      <c r="A2252">
        <v>3733</v>
      </c>
      <c r="B2252" t="s">
        <v>3479</v>
      </c>
      <c r="C2252" t="s">
        <v>3480</v>
      </c>
    </row>
    <row r="2253" spans="1:3" x14ac:dyDescent="0.25">
      <c r="A2253">
        <v>3734</v>
      </c>
      <c r="B2253" t="s">
        <v>3481</v>
      </c>
      <c r="C2253" t="e">
        <f>+proj=lcc +lat_1=41.7 +lat_2=40.4333333333333 +lat_0=39.6666666666666 +lon_0=-82.5 +x_0=600000 +y_0=0 +datum=NAB83 +units=us-ft +no_defs</f>
        <v>#NAME?</v>
      </c>
    </row>
    <row r="2254" spans="1:3" x14ac:dyDescent="0.25">
      <c r="A2254">
        <v>3735</v>
      </c>
      <c r="B2254" t="s">
        <v>3482</v>
      </c>
      <c r="C2254" t="e">
        <f>+proj=lcc +lat_1=40.0333333333333 +lat_2=38.7333333333333 +lat_0=38 +lon_0=-82.5 +x_0=600000 +y_0=0 +datum=NAB83 +units=us-ft +no_defs</f>
        <v>#NAME?</v>
      </c>
    </row>
    <row r="2255" spans="1:3" x14ac:dyDescent="0.25">
      <c r="A2255">
        <v>3736</v>
      </c>
      <c r="B2255" t="s">
        <v>3483</v>
      </c>
      <c r="C2255" t="e">
        <f>+proj=tmerc +lat_0=40.5 +lon_0=-105.166666666666 +k=0.9999375 +x_0=200000.00001016 +y_0=0 +datum=NAB83 +units=us-ft +no_defs</f>
        <v>#NAME?</v>
      </c>
    </row>
    <row r="2256" spans="1:3" x14ac:dyDescent="0.25">
      <c r="A2256">
        <v>4556</v>
      </c>
      <c r="B2256" t="s">
        <v>3484</v>
      </c>
      <c r="C2256" t="e">
        <f>+proj=geocent +ellps=GRQ80 +units=m +no_defs</f>
        <v>#NAME?</v>
      </c>
    </row>
    <row r="2257" spans="1:3" x14ac:dyDescent="0.25">
      <c r="A2257">
        <v>3737</v>
      </c>
      <c r="B2257" t="s">
        <v>3485</v>
      </c>
      <c r="C2257" t="e">
        <f>+proj=tmerc +lat_0=40.5 +lon_0=-107.333333333333 +k=0.9999375 +x_0=399999.99998984 +y_0=99999.9999898399 +datum=NAB83 +units=us-ft +no_defs</f>
        <v>#NAME?</v>
      </c>
    </row>
    <row r="2258" spans="1:3" x14ac:dyDescent="0.25">
      <c r="A2258">
        <v>3738</v>
      </c>
      <c r="B2258" t="s">
        <v>3486</v>
      </c>
      <c r="C2258" t="e">
        <f>+proj=tmerc +lat_0=40.5 +lon_0=-108.75 +k=0.9999375 +x_0=600000 +y_0=0 +datum=NAB83 +units=us-ft +no_defs</f>
        <v>#NAME?</v>
      </c>
    </row>
    <row r="2259" spans="1:3" x14ac:dyDescent="0.25">
      <c r="A2259">
        <v>3739</v>
      </c>
      <c r="B2259" t="s">
        <v>3487</v>
      </c>
      <c r="C2259" t="e">
        <f>+proj=tmerc +lat_0=40.5 +lon_0=-110.083333333333 +k=0.9999375 +x_0=800000.000010159 +y_0=99999.9999898399 +datum=NAB83 +units=us-ft +no_defs</f>
        <v>#NAME?</v>
      </c>
    </row>
    <row r="2260" spans="1:3" x14ac:dyDescent="0.25">
      <c r="A2260">
        <v>3740</v>
      </c>
      <c r="B2260" t="s">
        <v>3488</v>
      </c>
      <c r="C2260" t="s">
        <v>2738</v>
      </c>
    </row>
    <row r="2261" spans="1:3" x14ac:dyDescent="0.25">
      <c r="A2261">
        <v>3741</v>
      </c>
      <c r="B2261" t="s">
        <v>3489</v>
      </c>
      <c r="C2261" t="s">
        <v>1050</v>
      </c>
    </row>
    <row r="2262" spans="1:3" x14ac:dyDescent="0.25">
      <c r="A2262">
        <v>3742</v>
      </c>
      <c r="B2262" t="s">
        <v>3490</v>
      </c>
      <c r="C2262" t="s">
        <v>1048</v>
      </c>
    </row>
    <row r="2263" spans="1:3" x14ac:dyDescent="0.25">
      <c r="A2263">
        <v>3743</v>
      </c>
      <c r="B2263" t="s">
        <v>3491</v>
      </c>
      <c r="C2263" t="s">
        <v>1046</v>
      </c>
    </row>
    <row r="2264" spans="1:3" x14ac:dyDescent="0.25">
      <c r="A2264">
        <v>3744</v>
      </c>
      <c r="B2264" t="s">
        <v>3492</v>
      </c>
      <c r="C2264" t="s">
        <v>2740</v>
      </c>
    </row>
    <row r="2265" spans="1:3" x14ac:dyDescent="0.25">
      <c r="A2265">
        <v>3745</v>
      </c>
      <c r="B2265" t="s">
        <v>3493</v>
      </c>
      <c r="C2265" t="s">
        <v>2742</v>
      </c>
    </row>
    <row r="2266" spans="1:3" x14ac:dyDescent="0.25">
      <c r="A2266">
        <v>3746</v>
      </c>
      <c r="B2266" t="s">
        <v>3494</v>
      </c>
      <c r="C2266" t="s">
        <v>2744</v>
      </c>
    </row>
    <row r="2267" spans="1:3" x14ac:dyDescent="0.25">
      <c r="A2267">
        <v>3747</v>
      </c>
      <c r="B2267" t="s">
        <v>3495</v>
      </c>
      <c r="C2267" t="s">
        <v>1043</v>
      </c>
    </row>
    <row r="2268" spans="1:3" x14ac:dyDescent="0.25">
      <c r="A2268">
        <v>3748</v>
      </c>
      <c r="B2268" t="s">
        <v>3496</v>
      </c>
      <c r="C2268" t="s">
        <v>1041</v>
      </c>
    </row>
    <row r="2269" spans="1:3" x14ac:dyDescent="0.25">
      <c r="A2269">
        <v>3749</v>
      </c>
      <c r="B2269" t="s">
        <v>3497</v>
      </c>
      <c r="C2269" t="s">
        <v>827</v>
      </c>
    </row>
    <row r="2270" spans="1:3" x14ac:dyDescent="0.25">
      <c r="A2270">
        <v>3750</v>
      </c>
      <c r="B2270" t="s">
        <v>3498</v>
      </c>
      <c r="C2270" t="s">
        <v>3448</v>
      </c>
    </row>
    <row r="2271" spans="1:3" x14ac:dyDescent="0.25">
      <c r="A2271">
        <v>3751</v>
      </c>
      <c r="B2271" t="s">
        <v>3499</v>
      </c>
      <c r="C2271" t="s">
        <v>3450</v>
      </c>
    </row>
    <row r="2272" spans="1:3" x14ac:dyDescent="0.25">
      <c r="A2272">
        <v>3752</v>
      </c>
      <c r="B2272" t="s">
        <v>3500</v>
      </c>
      <c r="C2272" t="e">
        <f>+proj=merc +lon_0=100 +lat_ts=-41 +x_0=0 +y_0=0 +datum=WGQ84 +units=m +no_defs</f>
        <v>#NAME?</v>
      </c>
    </row>
    <row r="2273" spans="1:3" x14ac:dyDescent="0.25">
      <c r="A2273">
        <v>3753</v>
      </c>
      <c r="B2273" t="s">
        <v>3501</v>
      </c>
      <c r="C2273" t="s">
        <v>3469</v>
      </c>
    </row>
    <row r="2274" spans="1:3" x14ac:dyDescent="0.25">
      <c r="A2274">
        <v>3754</v>
      </c>
      <c r="B2274" t="s">
        <v>3502</v>
      </c>
      <c r="C2274" t="s">
        <v>3472</v>
      </c>
    </row>
    <row r="2275" spans="1:3" x14ac:dyDescent="0.25">
      <c r="A2275">
        <v>3755</v>
      </c>
      <c r="B2275" t="s">
        <v>3503</v>
      </c>
      <c r="C2275" t="s">
        <v>3474</v>
      </c>
    </row>
    <row r="2276" spans="1:3" x14ac:dyDescent="0.25">
      <c r="A2276">
        <v>4882</v>
      </c>
      <c r="B2276" t="s">
        <v>3504</v>
      </c>
      <c r="C2276" t="e">
        <f>+proj=geocent +ellps=GRQ80 +units=m +no_defs</f>
        <v>#NAME?</v>
      </c>
    </row>
    <row r="2277" spans="1:3" x14ac:dyDescent="0.25">
      <c r="A2277">
        <v>3756</v>
      </c>
      <c r="B2277" t="s">
        <v>3505</v>
      </c>
      <c r="C2277" t="s">
        <v>3476</v>
      </c>
    </row>
    <row r="2278" spans="1:3" x14ac:dyDescent="0.25">
      <c r="A2278">
        <v>3757</v>
      </c>
      <c r="B2278" t="s">
        <v>3506</v>
      </c>
      <c r="C2278" t="s">
        <v>3478</v>
      </c>
    </row>
    <row r="2279" spans="1:3" x14ac:dyDescent="0.25">
      <c r="A2279">
        <v>3758</v>
      </c>
      <c r="B2279" t="s">
        <v>3507</v>
      </c>
      <c r="C2279" t="s">
        <v>3480</v>
      </c>
    </row>
    <row r="2280" spans="1:3" x14ac:dyDescent="0.25">
      <c r="A2280">
        <v>3759</v>
      </c>
      <c r="B2280" t="s">
        <v>3508</v>
      </c>
      <c r="C2280" t="e">
        <f>+proj=tmerc +lat_0=21.1666666666666 +lon_0=-158 +k=0.99999 +x_0=500000.00001016 +y_0=0 +datum=NAB83 +units=us-ft +no_defs</f>
        <v>#NAME?</v>
      </c>
    </row>
    <row r="2281" spans="1:3" x14ac:dyDescent="0.25">
      <c r="A2281">
        <v>3760</v>
      </c>
      <c r="B2281" t="s">
        <v>3509</v>
      </c>
      <c r="C2281" t="s">
        <v>3510</v>
      </c>
    </row>
    <row r="2282" spans="1:3" x14ac:dyDescent="0.25">
      <c r="A2282">
        <v>3761</v>
      </c>
      <c r="B2282" t="s">
        <v>3511</v>
      </c>
      <c r="C2282" t="s">
        <v>2447</v>
      </c>
    </row>
    <row r="2283" spans="1:3" x14ac:dyDescent="0.25">
      <c r="A2283">
        <v>3762</v>
      </c>
      <c r="B2283" t="s">
        <v>3512</v>
      </c>
      <c r="C2283" t="e">
        <f>+proj=lcc +lat_1=-54 +lat_2=-54.75 +lat_0=-55 +lon_0=-37 +x_0=0 +y_0=0 +datum=WGQ84 +units=m +no_defs</f>
        <v>#NAME?</v>
      </c>
    </row>
    <row r="2284" spans="1:3" x14ac:dyDescent="0.25">
      <c r="A2284">
        <v>3763</v>
      </c>
      <c r="B2284" t="s">
        <v>3513</v>
      </c>
      <c r="C2284" t="s">
        <v>3514</v>
      </c>
    </row>
    <row r="2285" spans="1:3" x14ac:dyDescent="0.25">
      <c r="A2285">
        <v>3764</v>
      </c>
      <c r="B2285" t="s">
        <v>3515</v>
      </c>
      <c r="C2285" t="s">
        <v>3516</v>
      </c>
    </row>
    <row r="2286" spans="1:3" x14ac:dyDescent="0.25">
      <c r="A2286">
        <v>3765</v>
      </c>
      <c r="B2286" t="s">
        <v>3517</v>
      </c>
      <c r="C2286" t="s">
        <v>3518</v>
      </c>
    </row>
    <row r="2287" spans="1:3" x14ac:dyDescent="0.25">
      <c r="A2287">
        <v>3766</v>
      </c>
      <c r="B2287" t="s">
        <v>3519</v>
      </c>
      <c r="C2287" t="s">
        <v>3520</v>
      </c>
    </row>
    <row r="2288" spans="1:3" x14ac:dyDescent="0.25">
      <c r="A2288">
        <v>3767</v>
      </c>
      <c r="B2288" t="s">
        <v>3521</v>
      </c>
      <c r="C2288" t="s">
        <v>1860</v>
      </c>
    </row>
    <row r="2289" spans="1:3" x14ac:dyDescent="0.25">
      <c r="A2289">
        <v>3768</v>
      </c>
      <c r="B2289" t="s">
        <v>3522</v>
      </c>
      <c r="C2289" t="s">
        <v>1880</v>
      </c>
    </row>
    <row r="2290" spans="1:3" x14ac:dyDescent="0.25">
      <c r="A2290">
        <v>3769</v>
      </c>
      <c r="B2290" t="s">
        <v>3523</v>
      </c>
      <c r="C2290" t="s">
        <v>3524</v>
      </c>
    </row>
    <row r="2291" spans="1:3" x14ac:dyDescent="0.25">
      <c r="A2291">
        <v>3770</v>
      </c>
      <c r="B2291" t="s">
        <v>3525</v>
      </c>
      <c r="C2291" t="s">
        <v>3526</v>
      </c>
    </row>
    <row r="2292" spans="1:3" x14ac:dyDescent="0.25">
      <c r="A2292">
        <v>3771</v>
      </c>
      <c r="B2292" t="s">
        <v>3527</v>
      </c>
      <c r="C2292" t="e">
        <f>+proj=tmerc +lat_0=0 +lon_0=-111 +k=0.9999 +x_0=0 +y_0=0 +datum=NAB27 +units=m +no_defs</f>
        <v>#NAME?</v>
      </c>
    </row>
    <row r="2293" spans="1:3" x14ac:dyDescent="0.25">
      <c r="A2293">
        <v>3772</v>
      </c>
      <c r="B2293" t="s">
        <v>3528</v>
      </c>
      <c r="C2293" t="e">
        <f>+proj=tmerc +lat_0=0 +lon_0=-114 +k=0.9999 +x_0=0 +y_0=0 +datum=NAB27 +units=m +no_defs</f>
        <v>#NAME?</v>
      </c>
    </row>
    <row r="2294" spans="1:3" x14ac:dyDescent="0.25">
      <c r="A2294">
        <v>3773</v>
      </c>
      <c r="B2294" t="s">
        <v>3529</v>
      </c>
      <c r="C2294" t="e">
        <f>+proj=tmerc +lat_0=0 +lon_0=-117 +k=0.9999 +x_0=0 +y_0=0 +datum=NAB27 +units=m +no_defs</f>
        <v>#NAME?</v>
      </c>
    </row>
    <row r="2295" spans="1:3" x14ac:dyDescent="0.25">
      <c r="A2295">
        <v>3774</v>
      </c>
      <c r="B2295" t="s">
        <v>3530</v>
      </c>
      <c r="C2295" t="e">
        <f>+proj=tmerc +lat_0=0 +lon_0=-120 +k=0.9999 +x_0=0 +y_0=0 +datum=NAB27 +units=m +no_defs</f>
        <v>#NAME?</v>
      </c>
    </row>
    <row r="2296" spans="1:3" x14ac:dyDescent="0.25">
      <c r="A2296">
        <v>3775</v>
      </c>
      <c r="B2296" t="s">
        <v>3531</v>
      </c>
      <c r="C2296" t="e">
        <f>+proj=tmerc +lat_0=0 +lon_0=-111 +k=0.9999 +x_0=0 +y_0=0 +datum=NAB83 +units=m +no_defs</f>
        <v>#NAME?</v>
      </c>
    </row>
    <row r="2297" spans="1:3" x14ac:dyDescent="0.25">
      <c r="A2297">
        <v>3776</v>
      </c>
      <c r="B2297" t="s">
        <v>3532</v>
      </c>
      <c r="C2297" t="e">
        <f>+proj=tmerc +lat_0=0 +lon_0=-114 +k=0.9999 +x_0=0 +y_0=0 +datum=NAB83 +units=m +no_defs</f>
        <v>#NAME?</v>
      </c>
    </row>
    <row r="2298" spans="1:3" x14ac:dyDescent="0.25">
      <c r="A2298">
        <v>3777</v>
      </c>
      <c r="B2298" t="s">
        <v>3533</v>
      </c>
      <c r="C2298" t="e">
        <f>+proj=tmerc +lat_0=0 +lon_0=-117 +k=0.9999 +x_0=0 +y_0=0 +datum=NAB83 +units=m +no_defs</f>
        <v>#NAME?</v>
      </c>
    </row>
    <row r="2299" spans="1:3" x14ac:dyDescent="0.25">
      <c r="A2299">
        <v>3778</v>
      </c>
      <c r="B2299" t="s">
        <v>3534</v>
      </c>
      <c r="C2299" t="e">
        <f>+proj=tmerc +lat_0=0 +lon_0=-120 +k=0.9999 +x_0=0 +y_0=0 +datum=NAB83 +units=m +no_defs</f>
        <v>#NAME?</v>
      </c>
    </row>
    <row r="2300" spans="1:3" x14ac:dyDescent="0.25">
      <c r="A2300">
        <v>3779</v>
      </c>
      <c r="B2300" t="s">
        <v>3535</v>
      </c>
      <c r="C2300" t="s">
        <v>3536</v>
      </c>
    </row>
    <row r="2301" spans="1:3" x14ac:dyDescent="0.25">
      <c r="A2301">
        <v>3780</v>
      </c>
      <c r="B2301" t="s">
        <v>3537</v>
      </c>
      <c r="C2301" t="s">
        <v>3538</v>
      </c>
    </row>
    <row r="2302" spans="1:3" x14ac:dyDescent="0.25">
      <c r="A2302">
        <v>3781</v>
      </c>
      <c r="B2302" t="s">
        <v>3539</v>
      </c>
      <c r="C2302" t="s">
        <v>3540</v>
      </c>
    </row>
    <row r="2303" spans="1:3" x14ac:dyDescent="0.25">
      <c r="A2303">
        <v>3782</v>
      </c>
      <c r="B2303" t="s">
        <v>3541</v>
      </c>
      <c r="C2303" t="s">
        <v>3542</v>
      </c>
    </row>
    <row r="2304" spans="1:3" x14ac:dyDescent="0.25">
      <c r="A2304">
        <v>3783</v>
      </c>
      <c r="B2304" t="s">
        <v>3543</v>
      </c>
      <c r="C2304" t="s">
        <v>3544</v>
      </c>
    </row>
    <row r="2305" spans="1:3" x14ac:dyDescent="0.25">
      <c r="A2305">
        <v>4500</v>
      </c>
      <c r="B2305" t="s">
        <v>3545</v>
      </c>
      <c r="C2305" t="e">
        <f>+proj=tmerc +lat_0=0 +lon_0=129 +k=1 +x_0=22500000 +y_0=0 +ellps=GRQ80 +units=m +no_defs</f>
        <v>#NAME?</v>
      </c>
    </row>
    <row r="2306" spans="1:3" x14ac:dyDescent="0.25">
      <c r="A2306">
        <v>3784</v>
      </c>
      <c r="B2306" t="s">
        <v>3546</v>
      </c>
      <c r="C2306" t="s">
        <v>3547</v>
      </c>
    </row>
    <row r="2307" spans="1:3" x14ac:dyDescent="0.25">
      <c r="A2307">
        <v>3785</v>
      </c>
      <c r="B2307" t="s">
        <v>3548</v>
      </c>
      <c r="C2307" t="s">
        <v>3549</v>
      </c>
    </row>
    <row r="2308" spans="1:3" x14ac:dyDescent="0.25">
      <c r="A2308">
        <v>3786</v>
      </c>
      <c r="B2308" t="s">
        <v>3550</v>
      </c>
      <c r="C2308" t="e">
        <f>+proj=eqc +lat_ts=0 +lat_0=0 +lon_0=0 +x_0=0 +y_0=0 +a=6371007 +b=6371007 +units=m +no_defs</f>
        <v>#NAME?</v>
      </c>
    </row>
    <row r="2309" spans="1:3" x14ac:dyDescent="0.25">
      <c r="A2309">
        <v>3787</v>
      </c>
      <c r="B2309" t="s">
        <v>3551</v>
      </c>
      <c r="C2309" t="e">
        <f>+proj=tmerc +lat_0=0 +lon_0=15 +k=0.9999 +x_0=500000 +y_0=-5000000 +datum=hermannskogel +units=m +no_defs</f>
        <v>#NAME?</v>
      </c>
    </row>
    <row r="2310" spans="1:3" x14ac:dyDescent="0.25">
      <c r="A2310">
        <v>3788</v>
      </c>
      <c r="B2310" t="s">
        <v>3552</v>
      </c>
      <c r="C2310" t="s">
        <v>3553</v>
      </c>
    </row>
    <row r="2311" spans="1:3" x14ac:dyDescent="0.25">
      <c r="A2311">
        <v>3789</v>
      </c>
      <c r="B2311" t="s">
        <v>3554</v>
      </c>
      <c r="C2311" t="s">
        <v>3555</v>
      </c>
    </row>
    <row r="2312" spans="1:3" x14ac:dyDescent="0.25">
      <c r="A2312">
        <v>3790</v>
      </c>
      <c r="B2312" t="s">
        <v>3556</v>
      </c>
      <c r="C2312" t="s">
        <v>3557</v>
      </c>
    </row>
    <row r="2313" spans="1:3" x14ac:dyDescent="0.25">
      <c r="A2313">
        <v>3791</v>
      </c>
      <c r="B2313" t="s">
        <v>3558</v>
      </c>
      <c r="C2313" t="s">
        <v>3559</v>
      </c>
    </row>
    <row r="2314" spans="1:3" x14ac:dyDescent="0.25">
      <c r="A2314">
        <v>3793</v>
      </c>
      <c r="B2314" t="s">
        <v>3560</v>
      </c>
      <c r="C2314" t="s">
        <v>3561</v>
      </c>
    </row>
    <row r="2315" spans="1:3" x14ac:dyDescent="0.25">
      <c r="A2315">
        <v>3843</v>
      </c>
      <c r="B2315" t="s">
        <v>3562</v>
      </c>
      <c r="C2315" t="s">
        <v>3563</v>
      </c>
    </row>
    <row r="2316" spans="1:3" x14ac:dyDescent="0.25">
      <c r="A2316">
        <v>3794</v>
      </c>
      <c r="B2316" t="s">
        <v>3564</v>
      </c>
      <c r="C2316" t="s">
        <v>3565</v>
      </c>
    </row>
    <row r="2317" spans="1:3" x14ac:dyDescent="0.25">
      <c r="A2317">
        <v>3795</v>
      </c>
      <c r="B2317" t="s">
        <v>3566</v>
      </c>
      <c r="C2317" t="e">
        <f>+proj=lcc +lat_1=23 +lat_2=21.7 +lat_0=22.35 +lon_0=-81 +x_0=500000 +y_0=280296.016 +datum=NAB27 +units=m +no_defs</f>
        <v>#NAME?</v>
      </c>
    </row>
    <row r="2318" spans="1:3" x14ac:dyDescent="0.25">
      <c r="A2318">
        <v>3796</v>
      </c>
      <c r="B2318" t="s">
        <v>3567</v>
      </c>
      <c r="C2318" t="e">
        <f>+proj=lcc +lat_1=21.3 +lat_2=20.1333333333333 +lat_0=20.7166666666666 +lon_0=-76.8333333333333 +x_0=500000 +y_0=229126.939 +datum=NAB27 +units=m +no_defs</f>
        <v>#NAME?</v>
      </c>
    </row>
    <row r="2319" spans="1:3" x14ac:dyDescent="0.25">
      <c r="A2319">
        <v>3797</v>
      </c>
      <c r="B2319" t="s">
        <v>3568</v>
      </c>
      <c r="C2319" t="e">
        <f>+proj=lcc +lat_1=50 +lat_2=46 +lat_0=44 +lon_0=-70 +x_0=800000 +y_0=0 +datum=NAB27 +units=m +no_defs</f>
        <v>#NAME?</v>
      </c>
    </row>
    <row r="2320" spans="1:3" x14ac:dyDescent="0.25">
      <c r="A2320">
        <v>3798</v>
      </c>
      <c r="B2320" t="s">
        <v>3569</v>
      </c>
      <c r="C2320" t="e">
        <f>+proj=lcc +lat_1=50 +lat_2=46 +lat_0=44 +lon_0=-70 +x_0=800000 +y_0=0 +datum=NAB83 +units=m +no_defs</f>
        <v>#NAME?</v>
      </c>
    </row>
    <row r="2321" spans="1:3" x14ac:dyDescent="0.25">
      <c r="A2321">
        <v>3799</v>
      </c>
      <c r="B2321" t="s">
        <v>3570</v>
      </c>
      <c r="C2321" t="s">
        <v>3571</v>
      </c>
    </row>
    <row r="2322" spans="1:3" x14ac:dyDescent="0.25">
      <c r="A2322">
        <v>3800</v>
      </c>
      <c r="B2322" t="s">
        <v>3572</v>
      </c>
      <c r="C2322" t="e">
        <f>+proj=tmerc +lat_0=0 +lon_0=-120 +k=0.9999 +x_0=0 +y_0=0 +datum=NAB27 +units=m +no_defs</f>
        <v>#NAME?</v>
      </c>
    </row>
    <row r="2323" spans="1:3" x14ac:dyDescent="0.25">
      <c r="A2323">
        <v>3801</v>
      </c>
      <c r="B2323" t="s">
        <v>3573</v>
      </c>
      <c r="C2323" t="e">
        <f>+proj=tmerc +lat_0=0 +lon_0=-120 +k=0.9999 +x_0=0 +y_0=0 +datum=NAB83 +units=m +no_defs</f>
        <v>#NAME?</v>
      </c>
    </row>
    <row r="2324" spans="1:3" x14ac:dyDescent="0.25">
      <c r="A2324">
        <v>3802</v>
      </c>
      <c r="B2324" t="s">
        <v>3574</v>
      </c>
      <c r="C2324" t="s">
        <v>3542</v>
      </c>
    </row>
    <row r="2325" spans="1:3" x14ac:dyDescent="0.25">
      <c r="A2325">
        <v>4580</v>
      </c>
      <c r="B2325" t="s">
        <v>3575</v>
      </c>
      <c r="C2325" t="e">
        <f>+proj=tmerc +lat_0=0 +lon_0=81 +k=1 +x_0=500000 +y_0=0 +ellps=krass +units=m +no_defs</f>
        <v>#NAME?</v>
      </c>
    </row>
    <row r="2326" spans="1:3" x14ac:dyDescent="0.25">
      <c r="A2326">
        <v>3812</v>
      </c>
      <c r="B2326" t="s">
        <v>3576</v>
      </c>
      <c r="C2326" t="s">
        <v>3577</v>
      </c>
    </row>
    <row r="2327" spans="1:3" x14ac:dyDescent="0.25">
      <c r="A2327">
        <v>3814</v>
      </c>
      <c r="B2327" t="s">
        <v>3578</v>
      </c>
      <c r="C2327" t="e">
        <f>+proj=tmerc +lat_0=32.5 +lon_0=-89.75 +k=0.9998335 +x_0=500000 +y_0=1300000 +datum=NAB83 +units=m +no_defs</f>
        <v>#NAME?</v>
      </c>
    </row>
    <row r="2328" spans="1:3" x14ac:dyDescent="0.25">
      <c r="A2328">
        <v>3815</v>
      </c>
      <c r="B2328" t="s">
        <v>3579</v>
      </c>
      <c r="C2328" t="s">
        <v>3580</v>
      </c>
    </row>
    <row r="2329" spans="1:3" x14ac:dyDescent="0.25">
      <c r="A2329">
        <v>3816</v>
      </c>
      <c r="B2329" t="s">
        <v>3581</v>
      </c>
      <c r="C2329" t="s">
        <v>3580</v>
      </c>
    </row>
    <row r="2330" spans="1:3" x14ac:dyDescent="0.25">
      <c r="A2330">
        <v>3825</v>
      </c>
      <c r="B2330" t="s">
        <v>3582</v>
      </c>
      <c r="C2330" t="s">
        <v>3583</v>
      </c>
    </row>
    <row r="2331" spans="1:3" x14ac:dyDescent="0.25">
      <c r="A2331">
        <v>3826</v>
      </c>
      <c r="B2331" t="s">
        <v>3584</v>
      </c>
      <c r="C2331" t="s">
        <v>3585</v>
      </c>
    </row>
    <row r="2332" spans="1:3" x14ac:dyDescent="0.25">
      <c r="A2332">
        <v>3827</v>
      </c>
      <c r="B2332" t="s">
        <v>3586</v>
      </c>
      <c r="C2332" t="e">
        <f>+proj=tmerc +lat_0=0 +lon_0=119 +k=0.9999 +x_0=250000 +y_0=0 +ellps=aust_SA +units=m +no_defs</f>
        <v>#NAME?</v>
      </c>
    </row>
    <row r="2333" spans="1:3" x14ac:dyDescent="0.25">
      <c r="A2333">
        <v>3828</v>
      </c>
      <c r="B2333" t="s">
        <v>3587</v>
      </c>
      <c r="C2333" t="e">
        <f>+proj=tmerc +lat_0=0 +lon_0=121 +k=0.9999 +x_0=250000 +y_0=0 +ellps=aust_SA +units=m +no_defs</f>
        <v>#NAME?</v>
      </c>
    </row>
    <row r="2334" spans="1:3" x14ac:dyDescent="0.25">
      <c r="A2334">
        <v>3829</v>
      </c>
      <c r="B2334" t="s">
        <v>3588</v>
      </c>
      <c r="C2334" t="s">
        <v>3589</v>
      </c>
    </row>
    <row r="2335" spans="1:3" x14ac:dyDescent="0.25">
      <c r="A2335">
        <v>3832</v>
      </c>
      <c r="B2335" t="s">
        <v>3590</v>
      </c>
      <c r="C2335" t="e">
        <f>+proj=merc +lon_0=150 +k=1 +x_0=0 +y_0=0 +datum=WGQ84 +units=m +no_defs</f>
        <v>#NAME?</v>
      </c>
    </row>
    <row r="2336" spans="1:3" x14ac:dyDescent="0.25">
      <c r="A2336">
        <v>3833</v>
      </c>
      <c r="B2336" t="s">
        <v>3591</v>
      </c>
      <c r="C2336" t="s">
        <v>3592</v>
      </c>
    </row>
    <row r="2337" spans="1:3" x14ac:dyDescent="0.25">
      <c r="A2337">
        <v>3834</v>
      </c>
      <c r="B2337" t="s">
        <v>3593</v>
      </c>
      <c r="C2337" t="s">
        <v>3594</v>
      </c>
    </row>
    <row r="2338" spans="1:3" x14ac:dyDescent="0.25">
      <c r="A2338">
        <v>3835</v>
      </c>
      <c r="B2338" t="s">
        <v>3595</v>
      </c>
      <c r="C2338" t="s">
        <v>3596</v>
      </c>
    </row>
    <row r="2339" spans="1:3" x14ac:dyDescent="0.25">
      <c r="A2339">
        <v>3836</v>
      </c>
      <c r="B2339" t="s">
        <v>3597</v>
      </c>
      <c r="C2339" t="s">
        <v>3598</v>
      </c>
    </row>
    <row r="2340" spans="1:3" x14ac:dyDescent="0.25">
      <c r="A2340">
        <v>3837</v>
      </c>
      <c r="B2340" t="s">
        <v>3599</v>
      </c>
      <c r="C2340" t="s">
        <v>3600</v>
      </c>
    </row>
    <row r="2341" spans="1:3" x14ac:dyDescent="0.25">
      <c r="A2341">
        <v>3838</v>
      </c>
      <c r="B2341" t="s">
        <v>3601</v>
      </c>
      <c r="C2341" t="s">
        <v>3602</v>
      </c>
    </row>
    <row r="2342" spans="1:3" x14ac:dyDescent="0.25">
      <c r="A2342">
        <v>3839</v>
      </c>
      <c r="B2342" t="s">
        <v>3603</v>
      </c>
      <c r="C2342" t="s">
        <v>3604</v>
      </c>
    </row>
    <row r="2343" spans="1:3" x14ac:dyDescent="0.25">
      <c r="A2343">
        <v>3840</v>
      </c>
      <c r="B2343" t="s">
        <v>3605</v>
      </c>
      <c r="C2343" t="s">
        <v>3606</v>
      </c>
    </row>
    <row r="2344" spans="1:3" x14ac:dyDescent="0.25">
      <c r="A2344">
        <v>3841</v>
      </c>
      <c r="B2344" t="s">
        <v>3607</v>
      </c>
      <c r="C2344" t="s">
        <v>3563</v>
      </c>
    </row>
    <row r="2345" spans="1:3" x14ac:dyDescent="0.25">
      <c r="A2345">
        <v>3842</v>
      </c>
      <c r="B2345" t="s">
        <v>3608</v>
      </c>
      <c r="C2345" t="s">
        <v>3563</v>
      </c>
    </row>
    <row r="2346" spans="1:3" x14ac:dyDescent="0.25">
      <c r="A2346">
        <v>3844</v>
      </c>
      <c r="B2346" t="s">
        <v>3609</v>
      </c>
      <c r="C2346" t="s">
        <v>3610</v>
      </c>
    </row>
    <row r="2347" spans="1:3" x14ac:dyDescent="0.25">
      <c r="A2347">
        <v>3845</v>
      </c>
      <c r="B2347" t="s">
        <v>3611</v>
      </c>
      <c r="C2347" t="s">
        <v>3612</v>
      </c>
    </row>
    <row r="2348" spans="1:3" x14ac:dyDescent="0.25">
      <c r="A2348">
        <v>3846</v>
      </c>
      <c r="B2348" t="s">
        <v>3613</v>
      </c>
      <c r="C2348" t="s">
        <v>3614</v>
      </c>
    </row>
    <row r="2349" spans="1:3" x14ac:dyDescent="0.25">
      <c r="A2349">
        <v>3847</v>
      </c>
      <c r="B2349" t="s">
        <v>3615</v>
      </c>
      <c r="C2349" t="s">
        <v>3616</v>
      </c>
    </row>
    <row r="2350" spans="1:3" x14ac:dyDescent="0.25">
      <c r="A2350">
        <v>3848</v>
      </c>
      <c r="B2350" t="s">
        <v>3617</v>
      </c>
      <c r="C2350" t="s">
        <v>3618</v>
      </c>
    </row>
    <row r="2351" spans="1:3" x14ac:dyDescent="0.25">
      <c r="A2351">
        <v>3849</v>
      </c>
      <c r="B2351" t="s">
        <v>3619</v>
      </c>
      <c r="C2351" t="s">
        <v>3620</v>
      </c>
    </row>
    <row r="2352" spans="1:3" x14ac:dyDescent="0.25">
      <c r="A2352">
        <v>3850</v>
      </c>
      <c r="B2352" t="s">
        <v>3621</v>
      </c>
      <c r="C2352" t="s">
        <v>3622</v>
      </c>
    </row>
    <row r="2353" spans="1:3" x14ac:dyDescent="0.25">
      <c r="A2353">
        <v>3851</v>
      </c>
      <c r="B2353" t="s">
        <v>3623</v>
      </c>
      <c r="C2353" t="s">
        <v>3624</v>
      </c>
    </row>
    <row r="2354" spans="1:3" x14ac:dyDescent="0.25">
      <c r="A2354">
        <v>3852</v>
      </c>
      <c r="B2354" t="s">
        <v>3625</v>
      </c>
      <c r="C2354" t="s">
        <v>3626</v>
      </c>
    </row>
    <row r="2355" spans="1:3" x14ac:dyDescent="0.25">
      <c r="A2355">
        <v>4884</v>
      </c>
      <c r="B2355" t="s">
        <v>3627</v>
      </c>
      <c r="C2355" t="e">
        <f>+proj=geocent +ellps=GRQ80 +units=m +no_defs</f>
        <v>#NAME?</v>
      </c>
    </row>
    <row r="2356" spans="1:3" x14ac:dyDescent="0.25">
      <c r="A2356">
        <v>3854</v>
      </c>
      <c r="B2356" t="s">
        <v>3628</v>
      </c>
      <c r="C2356" t="s">
        <v>3629</v>
      </c>
    </row>
    <row r="2357" spans="1:3" x14ac:dyDescent="0.25">
      <c r="A2357">
        <v>3857</v>
      </c>
      <c r="B2357" t="s">
        <v>3630</v>
      </c>
      <c r="C2357" t="s">
        <v>3549</v>
      </c>
    </row>
    <row r="2358" spans="1:3" x14ac:dyDescent="0.25">
      <c r="A2358">
        <v>3873</v>
      </c>
      <c r="B2358" t="s">
        <v>3631</v>
      </c>
      <c r="C2358" t="s">
        <v>3632</v>
      </c>
    </row>
    <row r="2359" spans="1:3" x14ac:dyDescent="0.25">
      <c r="A2359">
        <v>3874</v>
      </c>
      <c r="B2359" t="s">
        <v>3633</v>
      </c>
      <c r="C2359" t="s">
        <v>3634</v>
      </c>
    </row>
    <row r="2360" spans="1:3" x14ac:dyDescent="0.25">
      <c r="A2360">
        <v>3875</v>
      </c>
      <c r="B2360" t="s">
        <v>3635</v>
      </c>
      <c r="C2360" t="s">
        <v>3636</v>
      </c>
    </row>
    <row r="2361" spans="1:3" x14ac:dyDescent="0.25">
      <c r="A2361">
        <v>3876</v>
      </c>
      <c r="B2361" t="s">
        <v>3637</v>
      </c>
      <c r="C2361" t="s">
        <v>3638</v>
      </c>
    </row>
    <row r="2362" spans="1:3" x14ac:dyDescent="0.25">
      <c r="A2362">
        <v>3877</v>
      </c>
      <c r="B2362" t="s">
        <v>3639</v>
      </c>
      <c r="C2362" t="s">
        <v>3640</v>
      </c>
    </row>
    <row r="2363" spans="1:3" x14ac:dyDescent="0.25">
      <c r="A2363">
        <v>3878</v>
      </c>
      <c r="B2363" t="s">
        <v>3641</v>
      </c>
      <c r="C2363" t="s">
        <v>3642</v>
      </c>
    </row>
    <row r="2364" spans="1:3" x14ac:dyDescent="0.25">
      <c r="A2364">
        <v>3879</v>
      </c>
      <c r="B2364" t="s">
        <v>3643</v>
      </c>
      <c r="C2364" t="s">
        <v>3644</v>
      </c>
    </row>
    <row r="2365" spans="1:3" x14ac:dyDescent="0.25">
      <c r="A2365">
        <v>3880</v>
      </c>
      <c r="B2365" t="s">
        <v>3645</v>
      </c>
      <c r="C2365" t="s">
        <v>3646</v>
      </c>
    </row>
    <row r="2366" spans="1:3" x14ac:dyDescent="0.25">
      <c r="A2366">
        <v>3882</v>
      </c>
      <c r="B2366" t="s">
        <v>3647</v>
      </c>
      <c r="C2366" t="s">
        <v>3648</v>
      </c>
    </row>
    <row r="2367" spans="1:3" x14ac:dyDescent="0.25">
      <c r="A2367">
        <v>3883</v>
      </c>
      <c r="B2367" t="s">
        <v>3649</v>
      </c>
      <c r="C2367" t="s">
        <v>3650</v>
      </c>
    </row>
    <row r="2368" spans="1:3" x14ac:dyDescent="0.25">
      <c r="A2368">
        <v>3884</v>
      </c>
      <c r="B2368" t="s">
        <v>3651</v>
      </c>
      <c r="C2368" t="s">
        <v>3652</v>
      </c>
    </row>
    <row r="2369" spans="1:3" x14ac:dyDescent="0.25">
      <c r="A2369">
        <v>3885</v>
      </c>
      <c r="B2369" t="s">
        <v>3653</v>
      </c>
      <c r="C2369" t="s">
        <v>3654</v>
      </c>
    </row>
    <row r="2370" spans="1:3" x14ac:dyDescent="0.25">
      <c r="A2370">
        <v>3890</v>
      </c>
      <c r="B2370" t="s">
        <v>3655</v>
      </c>
      <c r="C2370" t="s">
        <v>1940</v>
      </c>
    </row>
    <row r="2371" spans="1:3" x14ac:dyDescent="0.25">
      <c r="A2371">
        <v>3891</v>
      </c>
      <c r="B2371" t="s">
        <v>3656</v>
      </c>
      <c r="C2371" t="s">
        <v>2136</v>
      </c>
    </row>
    <row r="2372" spans="1:3" x14ac:dyDescent="0.25">
      <c r="A2372">
        <v>3892</v>
      </c>
      <c r="B2372" t="s">
        <v>3657</v>
      </c>
      <c r="C2372" t="s">
        <v>2552</v>
      </c>
    </row>
    <row r="2373" spans="1:3" x14ac:dyDescent="0.25">
      <c r="A2373">
        <v>3893</v>
      </c>
      <c r="B2373" t="s">
        <v>3658</v>
      </c>
      <c r="C2373" t="s">
        <v>3659</v>
      </c>
    </row>
    <row r="2374" spans="1:3" x14ac:dyDescent="0.25">
      <c r="A2374">
        <v>3907</v>
      </c>
      <c r="B2374" t="s">
        <v>3660</v>
      </c>
      <c r="C2374" t="s">
        <v>3661</v>
      </c>
    </row>
    <row r="2375" spans="1:3" x14ac:dyDescent="0.25">
      <c r="A2375">
        <v>3908</v>
      </c>
      <c r="B2375" t="s">
        <v>3662</v>
      </c>
      <c r="C2375" t="s">
        <v>3663</v>
      </c>
    </row>
    <row r="2376" spans="1:3" x14ac:dyDescent="0.25">
      <c r="A2376">
        <v>4886</v>
      </c>
      <c r="B2376" t="s">
        <v>3664</v>
      </c>
      <c r="C2376" t="e">
        <f>+proj=geocent +ellps=WGQ84 +units=m +no_defs</f>
        <v>#NAME?</v>
      </c>
    </row>
    <row r="2377" spans="1:3" x14ac:dyDescent="0.25">
      <c r="A2377">
        <v>3909</v>
      </c>
      <c r="B2377" t="s">
        <v>3665</v>
      </c>
      <c r="C2377" t="s">
        <v>3666</v>
      </c>
    </row>
    <row r="2378" spans="1:3" x14ac:dyDescent="0.25">
      <c r="A2378">
        <v>3910</v>
      </c>
      <c r="B2378" t="s">
        <v>3667</v>
      </c>
      <c r="C2378" t="s">
        <v>3668</v>
      </c>
    </row>
    <row r="2379" spans="1:3" x14ac:dyDescent="0.25">
      <c r="A2379">
        <v>3911</v>
      </c>
      <c r="B2379" t="s">
        <v>3669</v>
      </c>
      <c r="C2379" t="s">
        <v>3670</v>
      </c>
    </row>
    <row r="2380" spans="1:3" x14ac:dyDescent="0.25">
      <c r="A2380">
        <v>3912</v>
      </c>
      <c r="B2380" t="s">
        <v>3671</v>
      </c>
      <c r="C2380" t="s">
        <v>3672</v>
      </c>
    </row>
    <row r="2381" spans="1:3" x14ac:dyDescent="0.25">
      <c r="A2381">
        <v>3920</v>
      </c>
      <c r="B2381" t="s">
        <v>3673</v>
      </c>
      <c r="C2381" t="s">
        <v>3674</v>
      </c>
    </row>
    <row r="2382" spans="1:3" x14ac:dyDescent="0.25">
      <c r="A2382">
        <v>3942</v>
      </c>
      <c r="B2382" t="s">
        <v>3675</v>
      </c>
      <c r="C2382" t="s">
        <v>3676</v>
      </c>
    </row>
    <row r="2383" spans="1:3" x14ac:dyDescent="0.25">
      <c r="A2383">
        <v>3943</v>
      </c>
      <c r="B2383" t="s">
        <v>3677</v>
      </c>
      <c r="C2383" t="s">
        <v>3678</v>
      </c>
    </row>
    <row r="2384" spans="1:3" x14ac:dyDescent="0.25">
      <c r="A2384">
        <v>3944</v>
      </c>
      <c r="B2384" t="s">
        <v>3679</v>
      </c>
      <c r="C2384" t="s">
        <v>3680</v>
      </c>
    </row>
    <row r="2385" spans="1:3" x14ac:dyDescent="0.25">
      <c r="A2385">
        <v>3945</v>
      </c>
      <c r="B2385" t="s">
        <v>3681</v>
      </c>
      <c r="C2385" t="s">
        <v>3682</v>
      </c>
    </row>
    <row r="2386" spans="1:3" x14ac:dyDescent="0.25">
      <c r="A2386">
        <v>4501</v>
      </c>
      <c r="B2386" t="s">
        <v>3683</v>
      </c>
      <c r="C2386" t="e">
        <f>+proj=tmerc +lat_0=0 +lon_0=135 +k=1 +x_0=23500000 +y_0=0 +ellps=GRQ80 +units=m +no_defs</f>
        <v>#NAME?</v>
      </c>
    </row>
    <row r="2387" spans="1:3" x14ac:dyDescent="0.25">
      <c r="A2387">
        <v>3946</v>
      </c>
      <c r="B2387" t="s">
        <v>3684</v>
      </c>
      <c r="C2387" t="s">
        <v>3685</v>
      </c>
    </row>
    <row r="2388" spans="1:3" x14ac:dyDescent="0.25">
      <c r="A2388">
        <v>3947</v>
      </c>
      <c r="B2388" t="s">
        <v>3686</v>
      </c>
      <c r="C2388" t="s">
        <v>3687</v>
      </c>
    </row>
    <row r="2389" spans="1:3" x14ac:dyDescent="0.25">
      <c r="A2389">
        <v>3948</v>
      </c>
      <c r="B2389" t="s">
        <v>3688</v>
      </c>
      <c r="C2389" t="s">
        <v>3689</v>
      </c>
    </row>
    <row r="2390" spans="1:3" x14ac:dyDescent="0.25">
      <c r="A2390">
        <v>3949</v>
      </c>
      <c r="B2390" t="s">
        <v>3690</v>
      </c>
      <c r="C2390" t="s">
        <v>3691</v>
      </c>
    </row>
    <row r="2391" spans="1:3" x14ac:dyDescent="0.25">
      <c r="A2391">
        <v>3950</v>
      </c>
      <c r="B2391" t="s">
        <v>3692</v>
      </c>
      <c r="C2391" t="s">
        <v>3693</v>
      </c>
    </row>
    <row r="2392" spans="1:3" x14ac:dyDescent="0.25">
      <c r="A2392">
        <v>3968</v>
      </c>
      <c r="B2392" t="s">
        <v>3694</v>
      </c>
      <c r="C2392" t="e">
        <f>+proj=lcc +lat_1=37 +lat_2=39.5 +lat_0=36 +lon_0=-79.5 +x_0=0 +y_0=0 +datum=NAB83 +units=m +no_defs</f>
        <v>#NAME?</v>
      </c>
    </row>
    <row r="2393" spans="1:3" x14ac:dyDescent="0.25">
      <c r="A2393">
        <v>3969</v>
      </c>
      <c r="B2393" t="s">
        <v>3695</v>
      </c>
      <c r="C2393" t="s">
        <v>3696</v>
      </c>
    </row>
    <row r="2394" spans="1:3" x14ac:dyDescent="0.25">
      <c r="A2394">
        <v>3970</v>
      </c>
      <c r="B2394" t="s">
        <v>3697</v>
      </c>
      <c r="C2394" t="s">
        <v>3696</v>
      </c>
    </row>
    <row r="2395" spans="1:3" x14ac:dyDescent="0.25">
      <c r="A2395">
        <v>3973</v>
      </c>
      <c r="B2395" t="s">
        <v>3698</v>
      </c>
      <c r="C2395" t="e">
        <f>+proj=laea +lat_0=90 +lon_0=0 +x_0=0 +y_0=0 +datum=WGQ84 +units=m +no_defs</f>
        <v>#NAME?</v>
      </c>
    </row>
    <row r="2396" spans="1:3" x14ac:dyDescent="0.25">
      <c r="A2396">
        <v>4888</v>
      </c>
      <c r="B2396" t="s">
        <v>3699</v>
      </c>
      <c r="C2396" t="e">
        <f>+proj=geocent +ellps=GRQ80 +units=m +no_defs</f>
        <v>#NAME?</v>
      </c>
    </row>
    <row r="2397" spans="1:3" x14ac:dyDescent="0.25">
      <c r="A2397">
        <v>3976</v>
      </c>
      <c r="B2397" t="s">
        <v>3700</v>
      </c>
      <c r="C2397" t="e">
        <f>+proj=stere +lat_0=-90 +lat_ts=-70 +lon_0=0 +k=1 +x_0=0 +y_0=0 +datum=WGQ84 +units=m +no_defs</f>
        <v>#NAME?</v>
      </c>
    </row>
    <row r="2398" spans="1:3" x14ac:dyDescent="0.25">
      <c r="A2398">
        <v>3978</v>
      </c>
      <c r="B2398" t="s">
        <v>3701</v>
      </c>
      <c r="C2398" t="e">
        <f>+proj=lcc +lat_1=49 +lat_2=77 +lat_0=49 +lon_0=-95 +x_0=0 +y_0=0 +datum=NAB83 +units=m +no_defs</f>
        <v>#NAME?</v>
      </c>
    </row>
    <row r="2399" spans="1:3" x14ac:dyDescent="0.25">
      <c r="A2399">
        <v>3979</v>
      </c>
      <c r="B2399" t="s">
        <v>3702</v>
      </c>
      <c r="C2399" t="s">
        <v>3703</v>
      </c>
    </row>
    <row r="2400" spans="1:3" x14ac:dyDescent="0.25">
      <c r="A2400">
        <v>3985</v>
      </c>
      <c r="B2400" t="s">
        <v>3704</v>
      </c>
      <c r="C2400" t="s">
        <v>3705</v>
      </c>
    </row>
    <row r="2401" spans="1:3" x14ac:dyDescent="0.25">
      <c r="A2401">
        <v>3986</v>
      </c>
      <c r="B2401" t="s">
        <v>3706</v>
      </c>
      <c r="C2401" t="s">
        <v>3707</v>
      </c>
    </row>
    <row r="2402" spans="1:3" x14ac:dyDescent="0.25">
      <c r="A2402">
        <v>3987</v>
      </c>
      <c r="B2402" t="s">
        <v>3708</v>
      </c>
      <c r="C2402" t="s">
        <v>3709</v>
      </c>
    </row>
    <row r="2403" spans="1:3" x14ac:dyDescent="0.25">
      <c r="A2403">
        <v>3988</v>
      </c>
      <c r="B2403" t="s">
        <v>3710</v>
      </c>
      <c r="C2403" t="s">
        <v>3711</v>
      </c>
    </row>
    <row r="2404" spans="1:3" x14ac:dyDescent="0.25">
      <c r="A2404">
        <v>3989</v>
      </c>
      <c r="B2404" t="s">
        <v>3712</v>
      </c>
      <c r="C2404" t="s">
        <v>3713</v>
      </c>
    </row>
    <row r="2405" spans="1:3" x14ac:dyDescent="0.25">
      <c r="A2405">
        <v>3991</v>
      </c>
      <c r="B2405" t="s">
        <v>3714</v>
      </c>
      <c r="C2405" t="s">
        <v>3715</v>
      </c>
    </row>
    <row r="2406" spans="1:3" x14ac:dyDescent="0.25">
      <c r="A2406">
        <v>3992</v>
      </c>
      <c r="B2406" t="s">
        <v>3716</v>
      </c>
      <c r="C2406" t="s">
        <v>3717</v>
      </c>
    </row>
    <row r="2407" spans="1:3" x14ac:dyDescent="0.25">
      <c r="A2407">
        <v>3994</v>
      </c>
      <c r="B2407" t="s">
        <v>3718</v>
      </c>
      <c r="C2407" t="e">
        <f>+proj=merc +lon_0=100 +lat_ts=-41 +x_0=0 +y_0=0 +datum=WGQ84 +units=m +no_defs</f>
        <v>#NAME?</v>
      </c>
    </row>
    <row r="2408" spans="1:3" x14ac:dyDescent="0.25">
      <c r="A2408">
        <v>3995</v>
      </c>
      <c r="B2408" t="s">
        <v>3719</v>
      </c>
      <c r="C2408" t="e">
        <f>+proj=stere +lat_0=90 +lat_ts=71 +lon_0=0 +k=1 +x_0=0 +y_0=0 +datum=WGQ84 +units=m +no_defs</f>
        <v>#NAME?</v>
      </c>
    </row>
    <row r="2409" spans="1:3" x14ac:dyDescent="0.25">
      <c r="A2409">
        <v>3996</v>
      </c>
      <c r="B2409" t="s">
        <v>3720</v>
      </c>
      <c r="C2409" t="e">
        <f>+proj=stere +lat_0=90 +lat_ts=75 +lon_0=0 +k=1 +x_0=0 +y_0=0 +datum=WGQ84 +units=m +no_defs</f>
        <v>#NAME?</v>
      </c>
    </row>
    <row r="2410" spans="1:3" x14ac:dyDescent="0.25">
      <c r="A2410">
        <v>3997</v>
      </c>
      <c r="B2410" t="s">
        <v>3721</v>
      </c>
      <c r="C2410" t="e">
        <f>+proj=tmerc +lat_0=0 +lon_0=55.3333333333333 +k=1 +x_0=500000 +y_0=0 +datum=WGQ84 +units=m +no_defs</f>
        <v>#NAME?</v>
      </c>
    </row>
    <row r="2411" spans="1:3" x14ac:dyDescent="0.25">
      <c r="A2411">
        <v>4026</v>
      </c>
      <c r="B2411" t="s">
        <v>3722</v>
      </c>
      <c r="C2411" t="s">
        <v>3723</v>
      </c>
    </row>
    <row r="2412" spans="1:3" x14ac:dyDescent="0.25">
      <c r="A2412">
        <v>4037</v>
      </c>
      <c r="B2412" t="s">
        <v>3724</v>
      </c>
      <c r="C2412" t="e">
        <f>+proj=utm +zone=35 +datum=WGQ84 +units=m +no_defs</f>
        <v>#NAME?</v>
      </c>
    </row>
    <row r="2413" spans="1:3" x14ac:dyDescent="0.25">
      <c r="A2413">
        <v>4038</v>
      </c>
      <c r="B2413" t="s">
        <v>3725</v>
      </c>
      <c r="C2413" t="e">
        <f>+proj=utm +zone=36 +datum=WGQ84 +units=m +no_defs</f>
        <v>#NAME?</v>
      </c>
    </row>
    <row r="2414" spans="1:3" x14ac:dyDescent="0.25">
      <c r="A2414">
        <v>4048</v>
      </c>
      <c r="B2414" t="s">
        <v>3726</v>
      </c>
      <c r="C2414" t="s">
        <v>3727</v>
      </c>
    </row>
    <row r="2415" spans="1:3" x14ac:dyDescent="0.25">
      <c r="A2415">
        <v>4049</v>
      </c>
      <c r="B2415" t="s">
        <v>3728</v>
      </c>
      <c r="C2415" t="s">
        <v>3729</v>
      </c>
    </row>
    <row r="2416" spans="1:3" x14ac:dyDescent="0.25">
      <c r="A2416">
        <v>4890</v>
      </c>
      <c r="B2416" t="s">
        <v>3730</v>
      </c>
      <c r="C2416" t="e">
        <f>+proj=geocent +ellps=WGQ66 +units=m +no_defs</f>
        <v>#NAME?</v>
      </c>
    </row>
    <row r="2417" spans="1:3" x14ac:dyDescent="0.25">
      <c r="A2417">
        <v>4050</v>
      </c>
      <c r="B2417" t="s">
        <v>3731</v>
      </c>
      <c r="C2417" t="s">
        <v>3732</v>
      </c>
    </row>
    <row r="2418" spans="1:3" x14ac:dyDescent="0.25">
      <c r="A2418">
        <v>4051</v>
      </c>
      <c r="B2418" t="s">
        <v>3733</v>
      </c>
      <c r="C2418" t="s">
        <v>3734</v>
      </c>
    </row>
    <row r="2419" spans="1:3" x14ac:dyDescent="0.25">
      <c r="A2419">
        <v>4056</v>
      </c>
      <c r="B2419" t="s">
        <v>3735</v>
      </c>
      <c r="C2419" t="s">
        <v>3736</v>
      </c>
    </row>
    <row r="2420" spans="1:3" x14ac:dyDescent="0.25">
      <c r="A2420">
        <v>4057</v>
      </c>
      <c r="B2420" t="s">
        <v>3737</v>
      </c>
      <c r="C2420" t="s">
        <v>3738</v>
      </c>
    </row>
    <row r="2421" spans="1:3" x14ac:dyDescent="0.25">
      <c r="A2421">
        <v>4058</v>
      </c>
      <c r="B2421" t="s">
        <v>3739</v>
      </c>
      <c r="C2421" t="s">
        <v>3740</v>
      </c>
    </row>
    <row r="2422" spans="1:3" x14ac:dyDescent="0.25">
      <c r="A2422">
        <v>4059</v>
      </c>
      <c r="B2422" t="s">
        <v>3741</v>
      </c>
      <c r="C2422" t="s">
        <v>3742</v>
      </c>
    </row>
    <row r="2423" spans="1:3" x14ac:dyDescent="0.25">
      <c r="A2423">
        <v>4060</v>
      </c>
      <c r="B2423" t="s">
        <v>3743</v>
      </c>
      <c r="C2423" t="s">
        <v>3744</v>
      </c>
    </row>
    <row r="2424" spans="1:3" x14ac:dyDescent="0.25">
      <c r="A2424">
        <v>4061</v>
      </c>
      <c r="B2424" t="s">
        <v>3745</v>
      </c>
      <c r="C2424" t="s">
        <v>3746</v>
      </c>
    </row>
    <row r="2425" spans="1:3" x14ac:dyDescent="0.25">
      <c r="A2425">
        <v>4062</v>
      </c>
      <c r="B2425" t="s">
        <v>3747</v>
      </c>
      <c r="C2425" t="s">
        <v>3748</v>
      </c>
    </row>
    <row r="2426" spans="1:3" x14ac:dyDescent="0.25">
      <c r="A2426">
        <v>4063</v>
      </c>
      <c r="B2426" t="s">
        <v>3749</v>
      </c>
      <c r="C2426" t="s">
        <v>3750</v>
      </c>
    </row>
    <row r="2427" spans="1:3" x14ac:dyDescent="0.25">
      <c r="A2427">
        <v>4071</v>
      </c>
      <c r="B2427" t="s">
        <v>3751</v>
      </c>
      <c r="C2427" t="s">
        <v>3752</v>
      </c>
    </row>
    <row r="2428" spans="1:3" x14ac:dyDescent="0.25">
      <c r="A2428">
        <v>4082</v>
      </c>
      <c r="B2428" t="s">
        <v>3753</v>
      </c>
      <c r="C2428" t="s">
        <v>2547</v>
      </c>
    </row>
    <row r="2429" spans="1:3" x14ac:dyDescent="0.25">
      <c r="A2429">
        <v>4083</v>
      </c>
      <c r="B2429" t="s">
        <v>3754</v>
      </c>
      <c r="C2429" t="s">
        <v>2549</v>
      </c>
    </row>
    <row r="2430" spans="1:3" x14ac:dyDescent="0.25">
      <c r="A2430">
        <v>4087</v>
      </c>
      <c r="B2430" t="s">
        <v>3755</v>
      </c>
      <c r="C2430" t="e">
        <f>+proj=eqc +lat_ts=0 +lat_0=0 +lon_0=0 +x_0=0 +y_0=0 +datum=WGQ84 +units=m +no_defs</f>
        <v>#NAME?</v>
      </c>
    </row>
    <row r="2431" spans="1:3" x14ac:dyDescent="0.25">
      <c r="A2431">
        <v>4088</v>
      </c>
      <c r="B2431" t="s">
        <v>3756</v>
      </c>
      <c r="C2431" t="e">
        <f>+proj=eqc +lat_ts=0 +lat_0=0 +lon_0=0 +x_0=0 +y_0=0 +a=6371007 +b=6371007 +units=m +no_defs</f>
        <v>#NAME?</v>
      </c>
    </row>
    <row r="2432" spans="1:3" x14ac:dyDescent="0.25">
      <c r="A2432">
        <v>4093</v>
      </c>
      <c r="B2432" t="s">
        <v>3757</v>
      </c>
      <c r="C2432" t="s">
        <v>3758</v>
      </c>
    </row>
    <row r="2433" spans="1:3" x14ac:dyDescent="0.25">
      <c r="A2433">
        <v>4094</v>
      </c>
      <c r="B2433" t="s">
        <v>3759</v>
      </c>
      <c r="C2433" t="s">
        <v>3760</v>
      </c>
    </row>
    <row r="2434" spans="1:3" x14ac:dyDescent="0.25">
      <c r="A2434">
        <v>4095</v>
      </c>
      <c r="B2434" t="s">
        <v>3761</v>
      </c>
      <c r="C2434" t="s">
        <v>3762</v>
      </c>
    </row>
    <row r="2435" spans="1:3" x14ac:dyDescent="0.25">
      <c r="A2435">
        <v>4096</v>
      </c>
      <c r="B2435" t="s">
        <v>3763</v>
      </c>
      <c r="C2435" t="s">
        <v>3764</v>
      </c>
    </row>
    <row r="2436" spans="1:3" x14ac:dyDescent="0.25">
      <c r="A2436">
        <v>4217</v>
      </c>
      <c r="B2436" t="s">
        <v>3765</v>
      </c>
      <c r="C2436" t="e">
        <f>+proj=tmerc +lat_0=0 +lon_0=171 +k=0.9996 +x_0=500000.001016002 +y_0=0 +datum=NAB83 +units=us-ft +no_defs</f>
        <v>#NAME?</v>
      </c>
    </row>
    <row r="2437" spans="1:3" x14ac:dyDescent="0.25">
      <c r="A2437">
        <v>4390</v>
      </c>
      <c r="B2437" t="s">
        <v>3766</v>
      </c>
      <c r="C2437" t="s">
        <v>3767</v>
      </c>
    </row>
    <row r="2438" spans="1:3" x14ac:dyDescent="0.25">
      <c r="A2438">
        <v>4391</v>
      </c>
      <c r="B2438" t="s">
        <v>3768</v>
      </c>
      <c r="C2438" t="s">
        <v>3769</v>
      </c>
    </row>
    <row r="2439" spans="1:3" x14ac:dyDescent="0.25">
      <c r="A2439">
        <v>4392</v>
      </c>
      <c r="B2439" t="s">
        <v>3770</v>
      </c>
      <c r="C2439" t="s">
        <v>3771</v>
      </c>
    </row>
    <row r="2440" spans="1:3" x14ac:dyDescent="0.25">
      <c r="A2440">
        <v>4393</v>
      </c>
      <c r="B2440" t="s">
        <v>3772</v>
      </c>
      <c r="C2440" t="s">
        <v>3773</v>
      </c>
    </row>
    <row r="2441" spans="1:3" x14ac:dyDescent="0.25">
      <c r="A2441">
        <v>4394</v>
      </c>
      <c r="B2441" t="s">
        <v>3774</v>
      </c>
      <c r="C2441" t="s">
        <v>3775</v>
      </c>
    </row>
    <row r="2442" spans="1:3" x14ac:dyDescent="0.25">
      <c r="A2442">
        <v>4395</v>
      </c>
      <c r="B2442" t="s">
        <v>3776</v>
      </c>
      <c r="C2442" t="s">
        <v>3777</v>
      </c>
    </row>
    <row r="2443" spans="1:3" x14ac:dyDescent="0.25">
      <c r="A2443">
        <v>4396</v>
      </c>
      <c r="B2443" t="s">
        <v>3778</v>
      </c>
      <c r="C2443" t="s">
        <v>3779</v>
      </c>
    </row>
    <row r="2444" spans="1:3" x14ac:dyDescent="0.25">
      <c r="A2444">
        <v>4397</v>
      </c>
      <c r="B2444" t="s">
        <v>3780</v>
      </c>
      <c r="C2444" t="s">
        <v>3781</v>
      </c>
    </row>
    <row r="2445" spans="1:3" x14ac:dyDescent="0.25">
      <c r="A2445">
        <v>4398</v>
      </c>
      <c r="B2445" t="s">
        <v>3782</v>
      </c>
      <c r="C2445" t="s">
        <v>3783</v>
      </c>
    </row>
    <row r="2446" spans="1:3" x14ac:dyDescent="0.25">
      <c r="A2446">
        <v>4399</v>
      </c>
      <c r="B2446" t="s">
        <v>3784</v>
      </c>
      <c r="C2446" t="e">
        <f>+proj=tmerc +lat_0=0 +lon_0=171 +k=0.9996 +x_0=500000.001016002 +y_0=0 +datum=NAB27 +units=us-ft +no_defs</f>
        <v>#NAME?</v>
      </c>
    </row>
    <row r="2447" spans="1:3" x14ac:dyDescent="0.25">
      <c r="A2447">
        <v>4400</v>
      </c>
      <c r="B2447" t="s">
        <v>3785</v>
      </c>
      <c r="C2447" t="e">
        <f>+proj=tmerc +lat_0=0 +lon_0=177 +k=0.9996 +x_0=500000.001016002 +y_0=0 +datum=NAB27 +units=us-ft +no_defs</f>
        <v>#NAME?</v>
      </c>
    </row>
    <row r="2448" spans="1:3" x14ac:dyDescent="0.25">
      <c r="A2448">
        <v>4401</v>
      </c>
      <c r="B2448" t="s">
        <v>3786</v>
      </c>
      <c r="C2448" t="e">
        <f>+proj=tmerc +lat_0=0 +lon_0=-177 +k=0.9996 +x_0=500000.001016002 +y_0=0 +datum=NAB27 +units=us-ft +no_defs</f>
        <v>#NAME?</v>
      </c>
    </row>
    <row r="2449" spans="1:3" x14ac:dyDescent="0.25">
      <c r="A2449">
        <v>4402</v>
      </c>
      <c r="B2449" t="s">
        <v>3787</v>
      </c>
      <c r="C2449" t="e">
        <f>+proj=tmerc +lat_0=0 +lon_0=-171 +k=0.9996 +x_0=500000.001016002 +y_0=0 +datum=NAB27 +units=us-ft +no_defs</f>
        <v>#NAME?</v>
      </c>
    </row>
    <row r="2450" spans="1:3" x14ac:dyDescent="0.25">
      <c r="A2450">
        <v>4403</v>
      </c>
      <c r="B2450" t="s">
        <v>3788</v>
      </c>
      <c r="C2450" t="e">
        <f>+proj=tmerc +lat_0=0 +lon_0=-165 +k=0.9996 +x_0=500000.001016002 +y_0=0 +datum=NAB27 +units=us-ft +no_defs</f>
        <v>#NAME?</v>
      </c>
    </row>
    <row r="2451" spans="1:3" x14ac:dyDescent="0.25">
      <c r="A2451">
        <v>4404</v>
      </c>
      <c r="B2451" t="s">
        <v>3789</v>
      </c>
      <c r="C2451" t="e">
        <f>+proj=tmerc +lat_0=0 +lon_0=-159 +k=0.9996 +x_0=500000.001016002 +y_0=0 +datum=NAB27 +units=us-ft +no_defs</f>
        <v>#NAME?</v>
      </c>
    </row>
    <row r="2452" spans="1:3" x14ac:dyDescent="0.25">
      <c r="A2452">
        <v>4405</v>
      </c>
      <c r="B2452" t="s">
        <v>3790</v>
      </c>
      <c r="C2452" t="e">
        <f>+proj=tmerc +lat_0=0 +lon_0=-153 +k=0.9996 +x_0=500000.001016002 +y_0=0 +datum=NAB27 +units=us-ft +no_defs</f>
        <v>#NAME?</v>
      </c>
    </row>
    <row r="2453" spans="1:3" x14ac:dyDescent="0.25">
      <c r="A2453">
        <v>4406</v>
      </c>
      <c r="B2453" t="s">
        <v>3791</v>
      </c>
      <c r="C2453" t="e">
        <f>+proj=tmerc +lat_0=0 +lon_0=-147 +k=0.9996 +x_0=500000.001016002 +y_0=0 +datum=NAB27 +units=us-ft +no_defs</f>
        <v>#NAME?</v>
      </c>
    </row>
    <row r="2454" spans="1:3" x14ac:dyDescent="0.25">
      <c r="A2454">
        <v>4407</v>
      </c>
      <c r="B2454" t="s">
        <v>3792</v>
      </c>
      <c r="C2454" t="e">
        <f>+proj=tmerc +lat_0=0 +lon_0=-141 +k=0.9996 +x_0=500000.001016002 +y_0=0 +datum=NAB27 +units=us-ft +no_defs</f>
        <v>#NAME?</v>
      </c>
    </row>
    <row r="2455" spans="1:3" x14ac:dyDescent="0.25">
      <c r="A2455">
        <v>4408</v>
      </c>
      <c r="B2455" t="s">
        <v>3793</v>
      </c>
      <c r="C2455" t="e">
        <f>+proj=tmerc +lat_0=0 +lon_0=-135 +k=0.9996 +x_0=500000.001016002 +y_0=0 +datum=NAB27 +units=us-ft +no_defs</f>
        <v>#NAME?</v>
      </c>
    </row>
    <row r="2456" spans="1:3" x14ac:dyDescent="0.25">
      <c r="A2456">
        <v>4409</v>
      </c>
      <c r="B2456" t="s">
        <v>3794</v>
      </c>
      <c r="C2456" t="e">
        <f>+proj=tmerc +lat_0=0 +lon_0=-129 +k=0.9996 +x_0=500000.001016002 +y_0=0 +datum=NAB27 +units=us-ft +no_defs</f>
        <v>#NAME?</v>
      </c>
    </row>
    <row r="2457" spans="1:3" x14ac:dyDescent="0.25">
      <c r="A2457">
        <v>4410</v>
      </c>
      <c r="B2457" t="s">
        <v>3795</v>
      </c>
      <c r="C2457" t="e">
        <f>+proj=tmerc +lat_0=0 +lon_0=-123 +k=0.9996 +x_0=500000.001016002 +y_0=0 +datum=NAB27 +units=us-ft +no_defs</f>
        <v>#NAME?</v>
      </c>
    </row>
    <row r="2458" spans="1:3" x14ac:dyDescent="0.25">
      <c r="A2458">
        <v>4411</v>
      </c>
      <c r="B2458" t="s">
        <v>3796</v>
      </c>
      <c r="C2458" t="e">
        <f>+proj=tmerc +lat_0=0 +lon_0=-117 +k=0.9996 +x_0=500000.001016002 +y_0=0 +datum=NAB27 +units=us-ft +no_defs</f>
        <v>#NAME?</v>
      </c>
    </row>
    <row r="2459" spans="1:3" x14ac:dyDescent="0.25">
      <c r="A2459">
        <v>4412</v>
      </c>
      <c r="B2459" t="s">
        <v>3797</v>
      </c>
      <c r="C2459" t="e">
        <f>+proj=tmerc +lat_0=0 +lon_0=-111 +k=0.9996 +x_0=500000.001016002 +y_0=0 +datum=NAB27 +units=us-ft +no_defs</f>
        <v>#NAME?</v>
      </c>
    </row>
    <row r="2460" spans="1:3" x14ac:dyDescent="0.25">
      <c r="A2460">
        <v>4413</v>
      </c>
      <c r="B2460" t="s">
        <v>3798</v>
      </c>
      <c r="C2460" t="e">
        <f>+proj=tmerc +lat_0=0 +lon_0=-105 +k=0.9996 +x_0=500000.001016002 +y_0=0 +datum=NAB27 +units=us-ft +no_defs</f>
        <v>#NAME?</v>
      </c>
    </row>
    <row r="2461" spans="1:3" x14ac:dyDescent="0.25">
      <c r="A2461">
        <v>4414</v>
      </c>
      <c r="B2461" t="s">
        <v>3799</v>
      </c>
      <c r="C2461" t="s">
        <v>3800</v>
      </c>
    </row>
    <row r="2462" spans="1:3" x14ac:dyDescent="0.25">
      <c r="A2462">
        <v>4415</v>
      </c>
      <c r="B2462" t="s">
        <v>3801</v>
      </c>
      <c r="C2462" t="s">
        <v>3802</v>
      </c>
    </row>
    <row r="2463" spans="1:3" x14ac:dyDescent="0.25">
      <c r="A2463">
        <v>4417</v>
      </c>
      <c r="B2463" t="s">
        <v>3803</v>
      </c>
      <c r="C2463" t="s">
        <v>3804</v>
      </c>
    </row>
    <row r="2464" spans="1:3" x14ac:dyDescent="0.25">
      <c r="A2464">
        <v>4418</v>
      </c>
      <c r="B2464" t="s">
        <v>3805</v>
      </c>
      <c r="C2464" t="e">
        <f>+proj=tmerc +lat_0=0 +lon_0=-75 +k=0.9996 +x_0=500000.001016002 +y_0=0 +datum=NAB27 +units=us-ft +no_defs</f>
        <v>#NAME?</v>
      </c>
    </row>
    <row r="2465" spans="1:3" x14ac:dyDescent="0.25">
      <c r="A2465">
        <v>4419</v>
      </c>
      <c r="B2465" t="s">
        <v>3806</v>
      </c>
      <c r="C2465" t="e">
        <f>+proj=tmerc +lat_0=0 +lon_0=-69 +k=0.9996 +x_0=500000.001016002 +y_0=0 +datum=NAB27 +units=us-ft +no_defs</f>
        <v>#NAME?</v>
      </c>
    </row>
    <row r="2466" spans="1:3" x14ac:dyDescent="0.25">
      <c r="A2466">
        <v>4420</v>
      </c>
      <c r="B2466" t="s">
        <v>3807</v>
      </c>
      <c r="C2466" t="e">
        <f>+proj=tmerc +lat_0=0 +lon_0=177 +k=0.9996 +x_0=500000.001016002 +y_0=0 +datum=NAB83 +units=us-ft +no_defs</f>
        <v>#NAME?</v>
      </c>
    </row>
    <row r="2467" spans="1:3" x14ac:dyDescent="0.25">
      <c r="A2467">
        <v>4421</v>
      </c>
      <c r="B2467" t="s">
        <v>3808</v>
      </c>
      <c r="C2467" t="e">
        <f>+proj=tmerc +lat_0=0 +lon_0=-177 +k=0.9996 +x_0=500000.001016002 +y_0=0 +datum=NAB83 +units=us-ft +no_defs</f>
        <v>#NAME?</v>
      </c>
    </row>
    <row r="2468" spans="1:3" x14ac:dyDescent="0.25">
      <c r="A2468">
        <v>4422</v>
      </c>
      <c r="B2468" t="s">
        <v>3809</v>
      </c>
      <c r="C2468" t="e">
        <f>+proj=tmerc +lat_0=0 +lon_0=-171 +k=0.9996 +x_0=500000.001016002 +y_0=0 +datum=NAB83 +units=us-ft +no_defs</f>
        <v>#NAME?</v>
      </c>
    </row>
    <row r="2469" spans="1:3" x14ac:dyDescent="0.25">
      <c r="A2469">
        <v>4423</v>
      </c>
      <c r="B2469" t="s">
        <v>3810</v>
      </c>
      <c r="C2469" t="e">
        <f>+proj=tmerc +lat_0=0 +lon_0=-165 +k=0.9996 +x_0=500000.001016002 +y_0=0 +datum=NAB83 +units=us-ft +no_defs</f>
        <v>#NAME?</v>
      </c>
    </row>
    <row r="2470" spans="1:3" x14ac:dyDescent="0.25">
      <c r="A2470">
        <v>4424</v>
      </c>
      <c r="B2470" t="s">
        <v>3811</v>
      </c>
      <c r="C2470" t="e">
        <f>+proj=tmerc +lat_0=0 +lon_0=-159 +k=0.9996 +x_0=500000.001016002 +y_0=0 +datum=NAB83 +units=us-ft +no_defs</f>
        <v>#NAME?</v>
      </c>
    </row>
    <row r="2471" spans="1:3" x14ac:dyDescent="0.25">
      <c r="A2471">
        <v>4425</v>
      </c>
      <c r="B2471" t="s">
        <v>3812</v>
      </c>
      <c r="C2471" t="e">
        <f>+proj=tmerc +lat_0=0 +lon_0=-153 +k=0.9996 +x_0=500000.001016002 +y_0=0 +datum=NAB83 +units=us-ft +no_defs</f>
        <v>#NAME?</v>
      </c>
    </row>
    <row r="2472" spans="1:3" x14ac:dyDescent="0.25">
      <c r="A2472">
        <v>4426</v>
      </c>
      <c r="B2472" t="s">
        <v>3813</v>
      </c>
      <c r="C2472" t="e">
        <f>+proj=tmerc +lat_0=0 +lon_0=-147 +k=0.9996 +x_0=500000.001016002 +y_0=0 +datum=NAB83 +units=us-ft +no_defs</f>
        <v>#NAME?</v>
      </c>
    </row>
    <row r="2473" spans="1:3" x14ac:dyDescent="0.25">
      <c r="A2473">
        <v>4427</v>
      </c>
      <c r="B2473" t="s">
        <v>3814</v>
      </c>
      <c r="C2473" t="e">
        <f>+proj=tmerc +lat_0=0 +lon_0=-141 +k=0.9996 +x_0=500000.001016002 +y_0=0 +datum=NAB83 +units=us-ft +no_defs</f>
        <v>#NAME?</v>
      </c>
    </row>
    <row r="2474" spans="1:3" x14ac:dyDescent="0.25">
      <c r="A2474">
        <v>4428</v>
      </c>
      <c r="B2474" t="s">
        <v>3815</v>
      </c>
      <c r="C2474" t="e">
        <f>+proj=tmerc +lat_0=0 +lon_0=-135 +k=0.9996 +x_0=500000.001016002 +y_0=0 +datum=NAB83 +units=us-ft +no_defs</f>
        <v>#NAME?</v>
      </c>
    </row>
    <row r="2475" spans="1:3" x14ac:dyDescent="0.25">
      <c r="A2475">
        <v>4429</v>
      </c>
      <c r="B2475" t="s">
        <v>3816</v>
      </c>
      <c r="C2475" t="e">
        <f>+proj=tmerc +lat_0=0 +lon_0=-129 +k=0.9996 +x_0=500000.001016002 +y_0=0 +datum=NAB83 +units=us-ft +no_defs</f>
        <v>#NAME?</v>
      </c>
    </row>
    <row r="2476" spans="1:3" x14ac:dyDescent="0.25">
      <c r="A2476">
        <v>4430</v>
      </c>
      <c r="B2476" t="s">
        <v>3817</v>
      </c>
      <c r="C2476" t="e">
        <f>+proj=tmerc +lat_0=0 +lon_0=-123 +k=0.9996 +x_0=500000.001016002 +y_0=0 +datum=NAB83 +units=us-ft +no_defs</f>
        <v>#NAME?</v>
      </c>
    </row>
    <row r="2477" spans="1:3" x14ac:dyDescent="0.25">
      <c r="A2477">
        <v>4431</v>
      </c>
      <c r="B2477" t="s">
        <v>3818</v>
      </c>
      <c r="C2477" t="e">
        <f>+proj=tmerc +lat_0=0 +lon_0=-117 +k=0.9996 +x_0=500000.001016002 +y_0=0 +datum=NAB83 +units=us-ft +no_defs</f>
        <v>#NAME?</v>
      </c>
    </row>
    <row r="2478" spans="1:3" x14ac:dyDescent="0.25">
      <c r="A2478">
        <v>4432</v>
      </c>
      <c r="B2478" t="s">
        <v>3819</v>
      </c>
      <c r="C2478" t="e">
        <f>+proj=tmerc +lat_0=0 +lon_0=-111 +k=0.9996 +x_0=500000.001016002 +y_0=0 +datum=NAB83 +units=us-ft +no_defs</f>
        <v>#NAME?</v>
      </c>
    </row>
    <row r="2479" spans="1:3" x14ac:dyDescent="0.25">
      <c r="A2479">
        <v>4433</v>
      </c>
      <c r="B2479" t="s">
        <v>3820</v>
      </c>
      <c r="C2479" t="e">
        <f>+proj=tmerc +lat_0=0 +lon_0=-105 +k=0.9996 +x_0=500000.001016002 +y_0=0 +datum=NAB83 +units=us-ft +no_defs</f>
        <v>#NAME?</v>
      </c>
    </row>
    <row r="2480" spans="1:3" x14ac:dyDescent="0.25">
      <c r="A2480">
        <v>4434</v>
      </c>
      <c r="B2480" t="s">
        <v>3821</v>
      </c>
      <c r="C2480" t="s">
        <v>3822</v>
      </c>
    </row>
    <row r="2481" spans="1:3" x14ac:dyDescent="0.25">
      <c r="A2481">
        <v>4437</v>
      </c>
      <c r="B2481" t="s">
        <v>3823</v>
      </c>
      <c r="C2481" t="s">
        <v>2258</v>
      </c>
    </row>
    <row r="2482" spans="1:3" x14ac:dyDescent="0.25">
      <c r="A2482">
        <v>4438</v>
      </c>
      <c r="B2482" t="s">
        <v>3824</v>
      </c>
      <c r="C2482" t="e">
        <f>+proj=tmerc +lat_0=0 +lon_0=-75 +k=0.9996 +x_0=500000.001016002 +y_0=0 +datum=NAB83 +units=us-ft +no_defs</f>
        <v>#NAME?</v>
      </c>
    </row>
    <row r="2483" spans="1:3" x14ac:dyDescent="0.25">
      <c r="A2483">
        <v>4439</v>
      </c>
      <c r="B2483" t="s">
        <v>3825</v>
      </c>
      <c r="C2483" t="e">
        <f>+proj=tmerc +lat_0=0 +lon_0=-69 +k=0.9996 +x_0=500000.001016002 +y_0=0 +datum=NAB83 +units=us-ft +no_defs</f>
        <v>#NAME?</v>
      </c>
    </row>
    <row r="2484" spans="1:3" x14ac:dyDescent="0.25">
      <c r="A2484">
        <v>4455</v>
      </c>
      <c r="B2484" t="s">
        <v>3826</v>
      </c>
      <c r="C2484" t="e">
        <f>+proj=lcc +lat_1=40.9666666666666 +lat_2=39.9333333333333 +lat_0=39.3333333333333 +lon_0=-77.75 +x_0=609601.219202438 +y_0=0 +datum=NAB27 +units=us-ft +no_defs</f>
        <v>#NAME?</v>
      </c>
    </row>
    <row r="2485" spans="1:3" x14ac:dyDescent="0.25">
      <c r="A2485">
        <v>4892</v>
      </c>
      <c r="B2485" t="s">
        <v>3827</v>
      </c>
      <c r="C2485" t="e">
        <f>+proj=geocent +ellps=GRQ80 +units=m +no_defs</f>
        <v>#NAME?</v>
      </c>
    </row>
    <row r="2486" spans="1:3" x14ac:dyDescent="0.25">
      <c r="A2486">
        <v>4456</v>
      </c>
      <c r="B2486" t="s">
        <v>3828</v>
      </c>
      <c r="C2486" t="e">
        <f>+proj=lcc +lat_1=41.0333333333333 +lat_2=40.6666666666666 +lat_0=40.5 +lon_0=-74 +x_0=609601.219202438 +y_0=30480.0609601219 +datum=NAB27 +units=us-ft +no_defs</f>
        <v>#NAME?</v>
      </c>
    </row>
    <row r="2487" spans="1:3" x14ac:dyDescent="0.25">
      <c r="A2487">
        <v>4457</v>
      </c>
      <c r="B2487" t="s">
        <v>3829</v>
      </c>
      <c r="C2487" t="e">
        <f>+proj=lcc +lat_1=45.6833333333333 +lat_2=44.4166666666666 +lat_0=43.8333333333333 +lon_0=-100 +x_0=600000 +y_0=0 +datum=NAB83 +units=us-ft +no_defs</f>
        <v>#NAME?</v>
      </c>
    </row>
    <row r="2488" spans="1:3" x14ac:dyDescent="0.25">
      <c r="A2488">
        <v>4462</v>
      </c>
      <c r="B2488" t="s">
        <v>3830</v>
      </c>
      <c r="C2488" t="e">
        <f>+proj=lcc +lat_1=-18 +lat_2=-36 +lat_0=-27 +lon_0=132 +x_0=0 +y_0=0 +datum=WGQ84 +units=m +no_defs</f>
        <v>#NAME?</v>
      </c>
    </row>
    <row r="2489" spans="1:3" x14ac:dyDescent="0.25">
      <c r="A2489">
        <v>4467</v>
      </c>
      <c r="B2489" t="s">
        <v>3831</v>
      </c>
      <c r="C2489" t="s">
        <v>1039</v>
      </c>
    </row>
    <row r="2490" spans="1:3" x14ac:dyDescent="0.25">
      <c r="A2490">
        <v>4471</v>
      </c>
      <c r="B2490" t="s">
        <v>3832</v>
      </c>
      <c r="C2490" t="s">
        <v>3833</v>
      </c>
    </row>
    <row r="2491" spans="1:3" x14ac:dyDescent="0.25">
      <c r="A2491">
        <v>4474</v>
      </c>
      <c r="B2491" t="s">
        <v>3834</v>
      </c>
      <c r="C2491" t="s">
        <v>2461</v>
      </c>
    </row>
    <row r="2492" spans="1:3" x14ac:dyDescent="0.25">
      <c r="A2492">
        <v>4484</v>
      </c>
      <c r="B2492" t="s">
        <v>3835</v>
      </c>
      <c r="C2492" t="s">
        <v>1050</v>
      </c>
    </row>
    <row r="2493" spans="1:3" x14ac:dyDescent="0.25">
      <c r="A2493">
        <v>4485</v>
      </c>
      <c r="B2493" t="s">
        <v>3836</v>
      </c>
      <c r="C2493" t="s">
        <v>1048</v>
      </c>
    </row>
    <row r="2494" spans="1:3" x14ac:dyDescent="0.25">
      <c r="A2494">
        <v>4486</v>
      </c>
      <c r="B2494" t="s">
        <v>3837</v>
      </c>
      <c r="C2494" t="s">
        <v>1046</v>
      </c>
    </row>
    <row r="2495" spans="1:3" x14ac:dyDescent="0.25">
      <c r="A2495">
        <v>4487</v>
      </c>
      <c r="B2495" t="s">
        <v>3838</v>
      </c>
      <c r="C2495" t="s">
        <v>2740</v>
      </c>
    </row>
    <row r="2496" spans="1:3" x14ac:dyDescent="0.25">
      <c r="A2496">
        <v>4488</v>
      </c>
      <c r="B2496" t="s">
        <v>3839</v>
      </c>
      <c r="C2496" t="s">
        <v>2742</v>
      </c>
    </row>
    <row r="2497" spans="1:3" x14ac:dyDescent="0.25">
      <c r="A2497">
        <v>4489</v>
      </c>
      <c r="B2497" t="s">
        <v>3840</v>
      </c>
      <c r="C2497" t="s">
        <v>2744</v>
      </c>
    </row>
    <row r="2498" spans="1:3" x14ac:dyDescent="0.25">
      <c r="A2498">
        <v>4491</v>
      </c>
      <c r="B2498" t="s">
        <v>3841</v>
      </c>
      <c r="C2498" t="e">
        <f>+proj=tmerc +lat_0=0 +lon_0=75 +k=1 +x_0=13500000 +y_0=0 +ellps=GRQ80 +units=m +no_defs</f>
        <v>#NAME?</v>
      </c>
    </row>
    <row r="2499" spans="1:3" x14ac:dyDescent="0.25">
      <c r="A2499">
        <v>4492</v>
      </c>
      <c r="B2499" t="s">
        <v>3842</v>
      </c>
      <c r="C2499" t="e">
        <f>+proj=tmerc +lat_0=0 +lon_0=81 +k=1 +x_0=14500000 +y_0=0 +ellps=GRQ80 +units=m +no_defs</f>
        <v>#NAME?</v>
      </c>
    </row>
    <row r="2500" spans="1:3" x14ac:dyDescent="0.25">
      <c r="A2500">
        <v>4493</v>
      </c>
      <c r="B2500" t="s">
        <v>3843</v>
      </c>
      <c r="C2500" t="e">
        <f>+proj=tmerc +lat_0=0 +lon_0=87 +k=1 +x_0=15500000 +y_0=0 +ellps=GRQ80 +units=m +no_defs</f>
        <v>#NAME?</v>
      </c>
    </row>
    <row r="2501" spans="1:3" x14ac:dyDescent="0.25">
      <c r="A2501">
        <v>4494</v>
      </c>
      <c r="B2501" t="s">
        <v>3844</v>
      </c>
      <c r="C2501" t="e">
        <f>+proj=tmerc +lat_0=0 +lon_0=93 +k=1 +x_0=16500000 +y_0=0 +ellps=GRQ80 +units=m +no_defs</f>
        <v>#NAME?</v>
      </c>
    </row>
    <row r="2502" spans="1:3" x14ac:dyDescent="0.25">
      <c r="A2502">
        <v>4495</v>
      </c>
      <c r="B2502" t="s">
        <v>3845</v>
      </c>
      <c r="C2502" t="e">
        <f>+proj=tmerc +lat_0=0 +lon_0=99 +k=1 +x_0=17500000 +y_0=0 +ellps=GRQ80 +units=m +no_defs</f>
        <v>#NAME?</v>
      </c>
    </row>
    <row r="2503" spans="1:3" x14ac:dyDescent="0.25">
      <c r="A2503">
        <v>4496</v>
      </c>
      <c r="B2503" t="s">
        <v>3846</v>
      </c>
      <c r="C2503" t="e">
        <f>+proj=tmerc +lat_0=0 +lon_0=105 +k=1 +x_0=18500000 +y_0=0 +ellps=GRQ80 +units=m +no_defs</f>
        <v>#NAME?</v>
      </c>
    </row>
    <row r="2504" spans="1:3" x14ac:dyDescent="0.25">
      <c r="A2504">
        <v>4497</v>
      </c>
      <c r="B2504" t="s">
        <v>3847</v>
      </c>
      <c r="C2504" t="e">
        <f>+proj=tmerc +lat_0=0 +lon_0=111 +k=1 +x_0=19500000 +y_0=0 +ellps=GRQ80 +units=m +no_defs</f>
        <v>#NAME?</v>
      </c>
    </row>
    <row r="2505" spans="1:3" x14ac:dyDescent="0.25">
      <c r="A2505">
        <v>4498</v>
      </c>
      <c r="B2505" t="s">
        <v>3848</v>
      </c>
      <c r="C2505" t="e">
        <f>+proj=tmerc +lat_0=0 +lon_0=117 +k=1 +x_0=20500000 +y_0=0 +ellps=GRQ80 +units=m +no_defs</f>
        <v>#NAME?</v>
      </c>
    </row>
    <row r="2506" spans="1:3" x14ac:dyDescent="0.25">
      <c r="A2506">
        <v>4499</v>
      </c>
      <c r="B2506" t="s">
        <v>3849</v>
      </c>
      <c r="C2506" t="e">
        <f>+proj=tmerc +lat_0=0 +lon_0=123 +k=1 +x_0=21500000 +y_0=0 +ellps=GRQ80 +units=m +no_defs</f>
        <v>#NAME?</v>
      </c>
    </row>
    <row r="2507" spans="1:3" x14ac:dyDescent="0.25">
      <c r="A2507">
        <v>4502</v>
      </c>
      <c r="B2507" t="s">
        <v>3850</v>
      </c>
      <c r="C2507" t="e">
        <f>+proj=tmerc +lat_0=0 +lon_0=75 +k=1 +x_0=500000 +y_0=0 +ellps=GRQ80 +units=m +no_defs</f>
        <v>#NAME?</v>
      </c>
    </row>
    <row r="2508" spans="1:3" x14ac:dyDescent="0.25">
      <c r="A2508">
        <v>4503</v>
      </c>
      <c r="B2508" t="s">
        <v>3851</v>
      </c>
      <c r="C2508" t="e">
        <f>+proj=tmerc +lat_0=0 +lon_0=81 +k=1 +x_0=500000 +y_0=0 +ellps=GRQ80 +units=m +no_defs</f>
        <v>#NAME?</v>
      </c>
    </row>
    <row r="2509" spans="1:3" x14ac:dyDescent="0.25">
      <c r="A2509">
        <v>4504</v>
      </c>
      <c r="B2509" t="s">
        <v>3852</v>
      </c>
      <c r="C2509" t="e">
        <f>+proj=tmerc +lat_0=0 +lon_0=87 +k=1 +x_0=500000 +y_0=0 +ellps=GRQ80 +units=m +no_defs</f>
        <v>#NAME?</v>
      </c>
    </row>
    <row r="2510" spans="1:3" x14ac:dyDescent="0.25">
      <c r="A2510">
        <v>4505</v>
      </c>
      <c r="B2510" t="s">
        <v>3853</v>
      </c>
      <c r="C2510" t="e">
        <f>+proj=tmerc +lat_0=0 +lon_0=93 +k=1 +x_0=500000 +y_0=0 +ellps=GRQ80 +units=m +no_defs</f>
        <v>#NAME?</v>
      </c>
    </row>
    <row r="2511" spans="1:3" x14ac:dyDescent="0.25">
      <c r="A2511">
        <v>4506</v>
      </c>
      <c r="B2511" t="s">
        <v>3854</v>
      </c>
      <c r="C2511" t="e">
        <f>+proj=tmerc +lat_0=0 +lon_0=99 +k=1 +x_0=500000 +y_0=0 +ellps=GRQ80 +units=m +no_defs</f>
        <v>#NAME?</v>
      </c>
    </row>
    <row r="2512" spans="1:3" x14ac:dyDescent="0.25">
      <c r="A2512">
        <v>4507</v>
      </c>
      <c r="B2512" t="s">
        <v>3855</v>
      </c>
      <c r="C2512" t="e">
        <f>+proj=tmerc +lat_0=0 +lon_0=105 +k=1 +x_0=500000 +y_0=0 +ellps=GRQ80 +units=m +no_defs</f>
        <v>#NAME?</v>
      </c>
    </row>
    <row r="2513" spans="1:3" x14ac:dyDescent="0.25">
      <c r="A2513">
        <v>4508</v>
      </c>
      <c r="B2513" t="s">
        <v>3856</v>
      </c>
      <c r="C2513" t="e">
        <f>+proj=tmerc +lat_0=0 +lon_0=111 +k=1 +x_0=500000 +y_0=0 +ellps=GRQ80 +units=m +no_defs</f>
        <v>#NAME?</v>
      </c>
    </row>
    <row r="2514" spans="1:3" x14ac:dyDescent="0.25">
      <c r="A2514">
        <v>4509</v>
      </c>
      <c r="B2514" t="s">
        <v>3857</v>
      </c>
      <c r="C2514" t="e">
        <f>+proj=tmerc +lat_0=0 +lon_0=117 +k=1 +x_0=500000 +y_0=0 +ellps=GRQ80 +units=m +no_defs</f>
        <v>#NAME?</v>
      </c>
    </row>
    <row r="2515" spans="1:3" x14ac:dyDescent="0.25">
      <c r="A2515">
        <v>4510</v>
      </c>
      <c r="B2515" t="s">
        <v>3858</v>
      </c>
      <c r="C2515" t="e">
        <f>+proj=tmerc +lat_0=0 +lon_0=123 +k=1 +x_0=500000 +y_0=0 +ellps=GRQ80 +units=m +no_defs</f>
        <v>#NAME?</v>
      </c>
    </row>
    <row r="2516" spans="1:3" x14ac:dyDescent="0.25">
      <c r="A2516">
        <v>4511</v>
      </c>
      <c r="B2516" t="s">
        <v>3859</v>
      </c>
      <c r="C2516" t="e">
        <f>+proj=tmerc +lat_0=0 +lon_0=129 +k=1 +x_0=500000 +y_0=0 +ellps=GRQ80 +units=m +no_defs</f>
        <v>#NAME?</v>
      </c>
    </row>
    <row r="2517" spans="1:3" x14ac:dyDescent="0.25">
      <c r="A2517">
        <v>4512</v>
      </c>
      <c r="B2517" t="s">
        <v>3860</v>
      </c>
      <c r="C2517" t="e">
        <f>+proj=tmerc +lat_0=0 +lon_0=135 +k=1 +x_0=500000 +y_0=0 +ellps=GRQ80 +units=m +no_defs</f>
        <v>#NAME?</v>
      </c>
    </row>
    <row r="2518" spans="1:3" x14ac:dyDescent="0.25">
      <c r="A2518">
        <v>4513</v>
      </c>
      <c r="B2518" t="s">
        <v>3861</v>
      </c>
      <c r="C2518" t="e">
        <f>+proj=tmerc +lat_0=0 +lon_0=75 +k=1 +x_0=25500000 +y_0=0 +ellps=GRQ80 +units=m +no_defs</f>
        <v>#NAME?</v>
      </c>
    </row>
    <row r="2519" spans="1:3" x14ac:dyDescent="0.25">
      <c r="A2519">
        <v>4514</v>
      </c>
      <c r="B2519" t="s">
        <v>3862</v>
      </c>
      <c r="C2519" t="e">
        <f>+proj=tmerc +lat_0=0 +lon_0=78 +k=1 +x_0=26500000 +y_0=0 +ellps=GRQ80 +units=m +no_defs</f>
        <v>#NAME?</v>
      </c>
    </row>
    <row r="2520" spans="1:3" x14ac:dyDescent="0.25">
      <c r="A2520">
        <v>4515</v>
      </c>
      <c r="B2520" t="s">
        <v>3863</v>
      </c>
      <c r="C2520" t="e">
        <f>+proj=tmerc +lat_0=0 +lon_0=81 +k=1 +x_0=27500000 +y_0=0 +ellps=GRQ80 +units=m +no_defs</f>
        <v>#NAME?</v>
      </c>
    </row>
    <row r="2521" spans="1:3" x14ac:dyDescent="0.25">
      <c r="A2521">
        <v>4516</v>
      </c>
      <c r="B2521" t="s">
        <v>3864</v>
      </c>
      <c r="C2521" t="e">
        <f>+proj=tmerc +lat_0=0 +lon_0=84 +k=1 +x_0=28500000 +y_0=0 +ellps=GRQ80 +units=m +no_defs</f>
        <v>#NAME?</v>
      </c>
    </row>
    <row r="2522" spans="1:3" x14ac:dyDescent="0.25">
      <c r="A2522">
        <v>4517</v>
      </c>
      <c r="B2522" t="s">
        <v>3865</v>
      </c>
      <c r="C2522" t="e">
        <f>+proj=tmerc +lat_0=0 +lon_0=87 +k=1 +x_0=29500000 +y_0=0 +ellps=GRQ80 +units=m +no_defs</f>
        <v>#NAME?</v>
      </c>
    </row>
    <row r="2523" spans="1:3" x14ac:dyDescent="0.25">
      <c r="A2523">
        <v>4518</v>
      </c>
      <c r="B2523" t="s">
        <v>3866</v>
      </c>
      <c r="C2523" t="e">
        <f>+proj=tmerc +lat_0=0 +lon_0=90 +k=1 +x_0=30500000 +y_0=0 +ellps=GRQ80 +units=m +no_defs</f>
        <v>#NAME?</v>
      </c>
    </row>
    <row r="2524" spans="1:3" x14ac:dyDescent="0.25">
      <c r="A2524">
        <v>4519</v>
      </c>
      <c r="B2524" t="s">
        <v>3867</v>
      </c>
      <c r="C2524" t="e">
        <f>+proj=tmerc +lat_0=0 +lon_0=93 +k=1 +x_0=31500000 +y_0=0 +ellps=GRQ80 +units=m +no_defs</f>
        <v>#NAME?</v>
      </c>
    </row>
    <row r="2525" spans="1:3" x14ac:dyDescent="0.25">
      <c r="A2525">
        <v>4520</v>
      </c>
      <c r="B2525" t="s">
        <v>3868</v>
      </c>
      <c r="C2525" t="e">
        <f>+proj=tmerc +lat_0=0 +lon_0=96 +k=1 +x_0=32500000 +y_0=0 +ellps=GRQ80 +units=m +no_defs</f>
        <v>#NAME?</v>
      </c>
    </row>
    <row r="2526" spans="1:3" x14ac:dyDescent="0.25">
      <c r="A2526">
        <v>4521</v>
      </c>
      <c r="B2526" t="s">
        <v>3869</v>
      </c>
      <c r="C2526" t="e">
        <f>+proj=tmerc +lat_0=0 +lon_0=99 +k=1 +x_0=33500000 +y_0=0 +ellps=GRQ80 +units=m +no_defs</f>
        <v>#NAME?</v>
      </c>
    </row>
    <row r="2527" spans="1:3" x14ac:dyDescent="0.25">
      <c r="A2527">
        <v>4522</v>
      </c>
      <c r="B2527" t="s">
        <v>3870</v>
      </c>
      <c r="C2527" t="e">
        <f>+proj=tmerc +lat_0=0 +lon_0=102 +k=1 +x_0=34500000 +y_0=0 +ellps=GRQ80 +units=m +no_defs</f>
        <v>#NAME?</v>
      </c>
    </row>
    <row r="2528" spans="1:3" x14ac:dyDescent="0.25">
      <c r="A2528">
        <v>4523</v>
      </c>
      <c r="B2528" t="s">
        <v>3871</v>
      </c>
      <c r="C2528" t="e">
        <f>+proj=tmerc +lat_0=0 +lon_0=105 +k=1 +x_0=35500000 +y_0=0 +ellps=GRQ80 +units=m +no_defs</f>
        <v>#NAME?</v>
      </c>
    </row>
    <row r="2529" spans="1:3" x14ac:dyDescent="0.25">
      <c r="A2529">
        <v>4524</v>
      </c>
      <c r="B2529" t="s">
        <v>3872</v>
      </c>
      <c r="C2529" t="e">
        <f>+proj=tmerc +lat_0=0 +lon_0=108 +k=1 +x_0=36500000 +y_0=0 +ellps=GRQ80 +units=m +no_defs</f>
        <v>#NAME?</v>
      </c>
    </row>
    <row r="2530" spans="1:3" x14ac:dyDescent="0.25">
      <c r="A2530">
        <v>4525</v>
      </c>
      <c r="B2530" t="s">
        <v>3873</v>
      </c>
      <c r="C2530" t="e">
        <f>+proj=tmerc +lat_0=0 +lon_0=111 +k=1 +x_0=37500000 +y_0=0 +ellps=GRQ80 +units=m +no_defs</f>
        <v>#NAME?</v>
      </c>
    </row>
    <row r="2531" spans="1:3" x14ac:dyDescent="0.25">
      <c r="A2531">
        <v>4526</v>
      </c>
      <c r="B2531" t="s">
        <v>3874</v>
      </c>
      <c r="C2531" t="e">
        <f>+proj=tmerc +lat_0=0 +lon_0=114 +k=1 +x_0=38500000 +y_0=0 +ellps=GRQ80 +units=m +no_defs</f>
        <v>#NAME?</v>
      </c>
    </row>
    <row r="2532" spans="1:3" x14ac:dyDescent="0.25">
      <c r="A2532">
        <v>4527</v>
      </c>
      <c r="B2532" t="s">
        <v>3875</v>
      </c>
      <c r="C2532" t="e">
        <f>+proj=tmerc +lat_0=0 +lon_0=117 +k=1 +x_0=39500000 +y_0=0 +ellps=GRQ80 +units=m +no_defs</f>
        <v>#NAME?</v>
      </c>
    </row>
    <row r="2533" spans="1:3" x14ac:dyDescent="0.25">
      <c r="A2533">
        <v>4528</v>
      </c>
      <c r="B2533" t="s">
        <v>3876</v>
      </c>
      <c r="C2533" t="e">
        <f>+proj=tmerc +lat_0=0 +lon_0=120 +k=1 +x_0=40500000 +y_0=0 +ellps=GRQ80 +units=m +no_defs</f>
        <v>#NAME?</v>
      </c>
    </row>
    <row r="2534" spans="1:3" x14ac:dyDescent="0.25">
      <c r="A2534">
        <v>4529</v>
      </c>
      <c r="B2534" t="s">
        <v>3877</v>
      </c>
      <c r="C2534" t="e">
        <f>+proj=tmerc +lat_0=0 +lon_0=123 +k=1 +x_0=41500000 +y_0=0 +ellps=GRQ80 +units=m +no_defs</f>
        <v>#NAME?</v>
      </c>
    </row>
    <row r="2535" spans="1:3" x14ac:dyDescent="0.25">
      <c r="A2535">
        <v>4530</v>
      </c>
      <c r="B2535" t="s">
        <v>3878</v>
      </c>
      <c r="C2535" t="e">
        <f>+proj=tmerc +lat_0=0 +lon_0=126 +k=1 +x_0=42500000 +y_0=0 +ellps=GRQ80 +units=m +no_defs</f>
        <v>#NAME?</v>
      </c>
    </row>
    <row r="2536" spans="1:3" x14ac:dyDescent="0.25">
      <c r="A2536">
        <v>4531</v>
      </c>
      <c r="B2536" t="s">
        <v>3879</v>
      </c>
      <c r="C2536" t="e">
        <f>+proj=tmerc +lat_0=0 +lon_0=129 +k=1 +x_0=43500000 +y_0=0 +ellps=GRQ80 +units=m +no_defs</f>
        <v>#NAME?</v>
      </c>
    </row>
    <row r="2537" spans="1:3" x14ac:dyDescent="0.25">
      <c r="A2537">
        <v>4532</v>
      </c>
      <c r="B2537" t="s">
        <v>3880</v>
      </c>
      <c r="C2537" t="e">
        <f>+proj=tmerc +lat_0=0 +lon_0=132 +k=1 +x_0=44500000 +y_0=0 +ellps=GRQ80 +units=m +no_defs</f>
        <v>#NAME?</v>
      </c>
    </row>
    <row r="2538" spans="1:3" x14ac:dyDescent="0.25">
      <c r="A2538">
        <v>4533</v>
      </c>
      <c r="B2538" t="s">
        <v>3881</v>
      </c>
      <c r="C2538" t="e">
        <f>+proj=tmerc +lat_0=0 +lon_0=135 +k=1 +x_0=45500000 +y_0=0 +ellps=GRQ80 +units=m +no_defs</f>
        <v>#NAME?</v>
      </c>
    </row>
    <row r="2539" spans="1:3" x14ac:dyDescent="0.25">
      <c r="A2539">
        <v>4894</v>
      </c>
      <c r="B2539" t="s">
        <v>3882</v>
      </c>
      <c r="C2539" t="e">
        <f>+proj=geocent +ellps=WGQ84 +units=m +no_defs</f>
        <v>#NAME?</v>
      </c>
    </row>
    <row r="2540" spans="1:3" x14ac:dyDescent="0.25">
      <c r="A2540">
        <v>4534</v>
      </c>
      <c r="B2540" t="s">
        <v>3883</v>
      </c>
      <c r="C2540" t="e">
        <f>+proj=tmerc +lat_0=0 +lon_0=75 +k=1 +x_0=500000 +y_0=0 +ellps=GRQ80 +units=m +no_defs</f>
        <v>#NAME?</v>
      </c>
    </row>
    <row r="2541" spans="1:3" x14ac:dyDescent="0.25">
      <c r="A2541">
        <v>4535</v>
      </c>
      <c r="B2541" t="s">
        <v>3884</v>
      </c>
      <c r="C2541" t="e">
        <f>+proj=tmerc +lat_0=0 +lon_0=78 +k=1 +x_0=500000 +y_0=0 +ellps=GRQ80 +units=m +no_defs</f>
        <v>#NAME?</v>
      </c>
    </row>
    <row r="2542" spans="1:3" x14ac:dyDescent="0.25">
      <c r="A2542">
        <v>4536</v>
      </c>
      <c r="B2542" t="s">
        <v>3885</v>
      </c>
      <c r="C2542" t="e">
        <f>+proj=tmerc +lat_0=0 +lon_0=81 +k=1 +x_0=500000 +y_0=0 +ellps=GRQ80 +units=m +no_defs</f>
        <v>#NAME?</v>
      </c>
    </row>
    <row r="2543" spans="1:3" x14ac:dyDescent="0.25">
      <c r="A2543">
        <v>4537</v>
      </c>
      <c r="B2543" t="s">
        <v>3886</v>
      </c>
      <c r="C2543" t="e">
        <f>+proj=tmerc +lat_0=0 +lon_0=84 +k=1 +x_0=500000 +y_0=0 +ellps=GRQ80 +units=m +no_defs</f>
        <v>#NAME?</v>
      </c>
    </row>
    <row r="2544" spans="1:3" x14ac:dyDescent="0.25">
      <c r="A2544">
        <v>4538</v>
      </c>
      <c r="B2544" t="s">
        <v>3887</v>
      </c>
      <c r="C2544" t="e">
        <f>+proj=tmerc +lat_0=0 +lon_0=87 +k=1 +x_0=500000 +y_0=0 +ellps=GRQ80 +units=m +no_defs</f>
        <v>#NAME?</v>
      </c>
    </row>
    <row r="2545" spans="1:3" x14ac:dyDescent="0.25">
      <c r="A2545">
        <v>4539</v>
      </c>
      <c r="B2545" t="s">
        <v>3888</v>
      </c>
      <c r="C2545" t="e">
        <f>+proj=tmerc +lat_0=0 +lon_0=90 +k=1 +x_0=500000 +y_0=0 +ellps=GRQ80 +units=m +no_defs</f>
        <v>#NAME?</v>
      </c>
    </row>
    <row r="2546" spans="1:3" x14ac:dyDescent="0.25">
      <c r="A2546">
        <v>4540</v>
      </c>
      <c r="B2546" t="s">
        <v>3889</v>
      </c>
      <c r="C2546" t="e">
        <f>+proj=tmerc +lat_0=0 +lon_0=93 +k=1 +x_0=500000 +y_0=0 +ellps=GRQ80 +units=m +no_defs</f>
        <v>#NAME?</v>
      </c>
    </row>
    <row r="2547" spans="1:3" x14ac:dyDescent="0.25">
      <c r="A2547">
        <v>4541</v>
      </c>
      <c r="B2547" t="s">
        <v>3890</v>
      </c>
      <c r="C2547" t="e">
        <f>+proj=tmerc +lat_0=0 +lon_0=96 +k=1 +x_0=500000 +y_0=0 +ellps=GRQ80 +units=m +no_defs</f>
        <v>#NAME?</v>
      </c>
    </row>
    <row r="2548" spans="1:3" x14ac:dyDescent="0.25">
      <c r="A2548">
        <v>4542</v>
      </c>
      <c r="B2548" t="s">
        <v>3891</v>
      </c>
      <c r="C2548" t="e">
        <f>+proj=tmerc +lat_0=0 +lon_0=99 +k=1 +x_0=500000 +y_0=0 +ellps=GRQ80 +units=m +no_defs</f>
        <v>#NAME?</v>
      </c>
    </row>
    <row r="2549" spans="1:3" x14ac:dyDescent="0.25">
      <c r="A2549">
        <v>4543</v>
      </c>
      <c r="B2549" t="s">
        <v>3892</v>
      </c>
      <c r="C2549" t="e">
        <f>+proj=tmerc +lat_0=0 +lon_0=102 +k=1 +x_0=500000 +y_0=0 +ellps=GRQ80 +units=m +no_defs</f>
        <v>#NAME?</v>
      </c>
    </row>
    <row r="2550" spans="1:3" x14ac:dyDescent="0.25">
      <c r="A2550">
        <v>4544</v>
      </c>
      <c r="B2550" t="s">
        <v>3893</v>
      </c>
      <c r="C2550" t="e">
        <f>+proj=tmerc +lat_0=0 +lon_0=105 +k=1 +x_0=500000 +y_0=0 +ellps=GRQ80 +units=m +no_defs</f>
        <v>#NAME?</v>
      </c>
    </row>
    <row r="2551" spans="1:3" x14ac:dyDescent="0.25">
      <c r="A2551">
        <v>4545</v>
      </c>
      <c r="B2551" t="s">
        <v>3894</v>
      </c>
      <c r="C2551" t="e">
        <f>+proj=tmerc +lat_0=0 +lon_0=108 +k=1 +x_0=500000 +y_0=0 +ellps=GRQ80 +units=m +no_defs</f>
        <v>#NAME?</v>
      </c>
    </row>
    <row r="2552" spans="1:3" x14ac:dyDescent="0.25">
      <c r="A2552">
        <v>4546</v>
      </c>
      <c r="B2552" t="s">
        <v>3895</v>
      </c>
      <c r="C2552" t="e">
        <f>+proj=tmerc +lat_0=0 +lon_0=111 +k=1 +x_0=500000 +y_0=0 +ellps=GRQ80 +units=m +no_defs</f>
        <v>#NAME?</v>
      </c>
    </row>
    <row r="2553" spans="1:3" x14ac:dyDescent="0.25">
      <c r="A2553">
        <v>4547</v>
      </c>
      <c r="B2553" t="s">
        <v>3896</v>
      </c>
      <c r="C2553" t="e">
        <f>+proj=tmerc +lat_0=0 +lon_0=114 +k=1 +x_0=500000 +y_0=0 +ellps=GRQ80 +units=m +no_defs</f>
        <v>#NAME?</v>
      </c>
    </row>
    <row r="2554" spans="1:3" x14ac:dyDescent="0.25">
      <c r="A2554">
        <v>4548</v>
      </c>
      <c r="B2554" t="s">
        <v>3897</v>
      </c>
      <c r="C2554" t="e">
        <f>+proj=tmerc +lat_0=0 +lon_0=117 +k=1 +x_0=500000 +y_0=0 +ellps=GRQ80 +units=m +no_defs</f>
        <v>#NAME?</v>
      </c>
    </row>
    <row r="2555" spans="1:3" x14ac:dyDescent="0.25">
      <c r="A2555">
        <v>4549</v>
      </c>
      <c r="B2555" t="s">
        <v>3898</v>
      </c>
      <c r="C2555" t="e">
        <f>+proj=tmerc +lat_0=0 +lon_0=120 +k=1 +x_0=500000 +y_0=0 +ellps=GRQ80 +units=m +no_defs</f>
        <v>#NAME?</v>
      </c>
    </row>
    <row r="2556" spans="1:3" x14ac:dyDescent="0.25">
      <c r="A2556">
        <v>4550</v>
      </c>
      <c r="B2556" t="s">
        <v>3899</v>
      </c>
      <c r="C2556" t="e">
        <f>+proj=tmerc +lat_0=0 +lon_0=123 +k=1 +x_0=500000 +y_0=0 +ellps=GRQ80 +units=m +no_defs</f>
        <v>#NAME?</v>
      </c>
    </row>
    <row r="2557" spans="1:3" x14ac:dyDescent="0.25">
      <c r="A2557">
        <v>4551</v>
      </c>
      <c r="B2557" t="s">
        <v>3900</v>
      </c>
      <c r="C2557" t="e">
        <f>+proj=tmerc +lat_0=0 +lon_0=126 +k=1 +x_0=500000 +y_0=0 +ellps=GRQ80 +units=m +no_defs</f>
        <v>#NAME?</v>
      </c>
    </row>
    <row r="2558" spans="1:3" x14ac:dyDescent="0.25">
      <c r="A2558">
        <v>4552</v>
      </c>
      <c r="B2558" t="s">
        <v>3901</v>
      </c>
      <c r="C2558" t="e">
        <f>+proj=tmerc +lat_0=0 +lon_0=129 +k=1 +x_0=500000 +y_0=0 +ellps=GRQ80 +units=m +no_defs</f>
        <v>#NAME?</v>
      </c>
    </row>
    <row r="2559" spans="1:3" x14ac:dyDescent="0.25">
      <c r="A2559">
        <v>4553</v>
      </c>
      <c r="B2559" t="s">
        <v>3902</v>
      </c>
      <c r="C2559" t="e">
        <f>+proj=tmerc +lat_0=0 +lon_0=132 +k=1 +x_0=500000 +y_0=0 +ellps=GRQ80 +units=m +no_defs</f>
        <v>#NAME?</v>
      </c>
    </row>
    <row r="2560" spans="1:3" x14ac:dyDescent="0.25">
      <c r="A2560">
        <v>4554</v>
      </c>
      <c r="B2560" t="s">
        <v>3903</v>
      </c>
      <c r="C2560" t="e">
        <f>+proj=tmerc +lat_0=0 +lon_0=135 +k=1 +x_0=500000 +y_0=0 +ellps=GRQ80 +units=m +no_defs</f>
        <v>#NAME?</v>
      </c>
    </row>
    <row r="2561" spans="1:3" x14ac:dyDescent="0.25">
      <c r="A2561">
        <v>4578</v>
      </c>
      <c r="B2561" t="s">
        <v>3904</v>
      </c>
      <c r="C2561" t="e">
        <f>+proj=tmerc +lat_0=0 +lon_0=135 +k=1 +x_0=23500000 +y_0=0 +ellps=krass +units=m +no_defs</f>
        <v>#NAME?</v>
      </c>
    </row>
    <row r="2562" spans="1:3" x14ac:dyDescent="0.25">
      <c r="A2562">
        <v>4559</v>
      </c>
      <c r="B2562" t="s">
        <v>3905</v>
      </c>
      <c r="C2562" t="s">
        <v>830</v>
      </c>
    </row>
    <row r="2563" spans="1:3" x14ac:dyDescent="0.25">
      <c r="A2563">
        <v>4568</v>
      </c>
      <c r="B2563" t="s">
        <v>3906</v>
      </c>
      <c r="C2563" t="e">
        <f>+proj=tmerc +lat_0=0 +lon_0=75 +k=1 +x_0=13500000 +y_0=0 +ellps=krass +units=m +no_defs</f>
        <v>#NAME?</v>
      </c>
    </row>
    <row r="2564" spans="1:3" x14ac:dyDescent="0.25">
      <c r="A2564">
        <v>4569</v>
      </c>
      <c r="B2564" t="s">
        <v>3907</v>
      </c>
      <c r="C2564" t="e">
        <f>+proj=tmerc +lat_0=0 +lon_0=81 +k=1 +x_0=14500000 +y_0=0 +ellps=krass +units=m +no_defs</f>
        <v>#NAME?</v>
      </c>
    </row>
    <row r="2565" spans="1:3" x14ac:dyDescent="0.25">
      <c r="A2565">
        <v>4570</v>
      </c>
      <c r="B2565" t="s">
        <v>3908</v>
      </c>
      <c r="C2565" t="e">
        <f>+proj=tmerc +lat_0=0 +lon_0=87 +k=1 +x_0=15500000 +y_0=0 +ellps=krass +units=m +no_defs</f>
        <v>#NAME?</v>
      </c>
    </row>
    <row r="2566" spans="1:3" x14ac:dyDescent="0.25">
      <c r="A2566">
        <v>4571</v>
      </c>
      <c r="B2566" t="s">
        <v>3909</v>
      </c>
      <c r="C2566" t="e">
        <f>+proj=tmerc +lat_0=0 +lon_0=93 +k=1 +x_0=16500000 +y_0=0 +ellps=krass +units=m +no_defs</f>
        <v>#NAME?</v>
      </c>
    </row>
    <row r="2567" spans="1:3" x14ac:dyDescent="0.25">
      <c r="A2567">
        <v>4572</v>
      </c>
      <c r="B2567" t="s">
        <v>3910</v>
      </c>
      <c r="C2567" t="e">
        <f>+proj=tmerc +lat_0=0 +lon_0=99 +k=1 +x_0=17500000 +y_0=0 +ellps=krass +units=m +no_defs</f>
        <v>#NAME?</v>
      </c>
    </row>
    <row r="2568" spans="1:3" x14ac:dyDescent="0.25">
      <c r="A2568">
        <v>4573</v>
      </c>
      <c r="B2568" t="s">
        <v>3911</v>
      </c>
      <c r="C2568" t="e">
        <f>+proj=tmerc +lat_0=0 +lon_0=105 +k=1 +x_0=18500000 +y_0=0 +ellps=krass +units=m +no_defs</f>
        <v>#NAME?</v>
      </c>
    </row>
    <row r="2569" spans="1:3" x14ac:dyDescent="0.25">
      <c r="A2569">
        <v>4574</v>
      </c>
      <c r="B2569" t="s">
        <v>3912</v>
      </c>
      <c r="C2569" t="e">
        <f>+proj=tmerc +lat_0=0 +lon_0=111 +k=1 +x_0=19500000 +y_0=0 +ellps=krass +units=m +no_defs</f>
        <v>#NAME?</v>
      </c>
    </row>
    <row r="2570" spans="1:3" x14ac:dyDescent="0.25">
      <c r="A2570">
        <v>4575</v>
      </c>
      <c r="B2570" t="s">
        <v>3913</v>
      </c>
      <c r="C2570" t="e">
        <f>+proj=tmerc +lat_0=0 +lon_0=117 +k=1 +x_0=20500000 +y_0=0 +ellps=krass +units=m +no_defs</f>
        <v>#NAME?</v>
      </c>
    </row>
    <row r="2571" spans="1:3" x14ac:dyDescent="0.25">
      <c r="A2571">
        <v>4576</v>
      </c>
      <c r="B2571" t="s">
        <v>3914</v>
      </c>
      <c r="C2571" t="e">
        <f>+proj=tmerc +lat_0=0 +lon_0=123 +k=1 +x_0=21500000 +y_0=0 +ellps=krass +units=m +no_defs</f>
        <v>#NAME?</v>
      </c>
    </row>
    <row r="2572" spans="1:3" x14ac:dyDescent="0.25">
      <c r="A2572">
        <v>4577</v>
      </c>
      <c r="B2572" t="s">
        <v>3915</v>
      </c>
      <c r="C2572" t="e">
        <f>+proj=tmerc +lat_0=0 +lon_0=129 +k=1 +x_0=22500000 +y_0=0 +ellps=krass +units=m +no_defs</f>
        <v>#NAME?</v>
      </c>
    </row>
    <row r="2573" spans="1:3" x14ac:dyDescent="0.25">
      <c r="A2573">
        <v>4581</v>
      </c>
      <c r="B2573" t="s">
        <v>3916</v>
      </c>
      <c r="C2573" t="e">
        <f>+proj=tmerc +lat_0=0 +lon_0=87 +k=1 +x_0=500000 +y_0=0 +ellps=krass +units=m +no_defs</f>
        <v>#NAME?</v>
      </c>
    </row>
    <row r="2574" spans="1:3" x14ac:dyDescent="0.25">
      <c r="A2574">
        <v>4582</v>
      </c>
      <c r="B2574" t="s">
        <v>3917</v>
      </c>
      <c r="C2574" t="e">
        <f>+proj=tmerc +lat_0=0 +lon_0=93 +k=1 +x_0=500000 +y_0=0 +ellps=krass +units=m +no_defs</f>
        <v>#NAME?</v>
      </c>
    </row>
    <row r="2575" spans="1:3" x14ac:dyDescent="0.25">
      <c r="A2575">
        <v>4583</v>
      </c>
      <c r="B2575" t="s">
        <v>3918</v>
      </c>
      <c r="C2575" t="e">
        <f>+proj=tmerc +lat_0=0 +lon_0=99 +k=1 +x_0=500000 +y_0=0 +ellps=krass +units=m +no_defs</f>
        <v>#NAME?</v>
      </c>
    </row>
    <row r="2576" spans="1:3" x14ac:dyDescent="0.25">
      <c r="A2576">
        <v>4584</v>
      </c>
      <c r="B2576" t="s">
        <v>3919</v>
      </c>
      <c r="C2576" t="e">
        <f>+proj=tmerc +lat_0=0 +lon_0=105 +k=1 +x_0=500000 +y_0=0 +ellps=krass +units=m +no_defs</f>
        <v>#NAME?</v>
      </c>
    </row>
    <row r="2577" spans="1:3" x14ac:dyDescent="0.25">
      <c r="A2577">
        <v>4585</v>
      </c>
      <c r="B2577" t="s">
        <v>3920</v>
      </c>
      <c r="C2577" t="e">
        <f>+proj=tmerc +lat_0=0 +lon_0=111 +k=1 +x_0=500000 +y_0=0 +ellps=krass +units=m +no_defs</f>
        <v>#NAME?</v>
      </c>
    </row>
    <row r="2578" spans="1:3" x14ac:dyDescent="0.25">
      <c r="A2578">
        <v>4586</v>
      </c>
      <c r="B2578" t="s">
        <v>3921</v>
      </c>
      <c r="C2578" t="e">
        <f>+proj=tmerc +lat_0=0 +lon_0=117 +k=1 +x_0=500000 +y_0=0 +ellps=krass +units=m +no_defs</f>
        <v>#NAME?</v>
      </c>
    </row>
    <row r="2579" spans="1:3" x14ac:dyDescent="0.25">
      <c r="A2579">
        <v>4587</v>
      </c>
      <c r="B2579" t="s">
        <v>3922</v>
      </c>
      <c r="C2579" t="e">
        <f>+proj=tmerc +lat_0=0 +lon_0=123 +k=1 +x_0=500000 +y_0=0 +ellps=krass +units=m +no_defs</f>
        <v>#NAME?</v>
      </c>
    </row>
    <row r="2580" spans="1:3" x14ac:dyDescent="0.25">
      <c r="A2580">
        <v>4588</v>
      </c>
      <c r="B2580" t="s">
        <v>3923</v>
      </c>
      <c r="C2580" t="e">
        <f>+proj=tmerc +lat_0=0 +lon_0=129 +k=1 +x_0=500000 +y_0=0 +ellps=krass +units=m +no_defs</f>
        <v>#NAME?</v>
      </c>
    </row>
    <row r="2581" spans="1:3" x14ac:dyDescent="0.25">
      <c r="A2581">
        <v>4589</v>
      </c>
      <c r="B2581" t="s">
        <v>3924</v>
      </c>
      <c r="C2581" t="e">
        <f>+proj=tmerc +lat_0=0 +lon_0=135 +k=1 +x_0=500000 +y_0=0 +ellps=krass +units=m +no_defs</f>
        <v>#NAME?</v>
      </c>
    </row>
    <row r="2582" spans="1:3" x14ac:dyDescent="0.25">
      <c r="A2582">
        <v>4647</v>
      </c>
      <c r="B2582" t="s">
        <v>3925</v>
      </c>
      <c r="C2582" t="s">
        <v>3926</v>
      </c>
    </row>
    <row r="2583" spans="1:3" x14ac:dyDescent="0.25">
      <c r="A2583">
        <v>4652</v>
      </c>
      <c r="B2583" t="s">
        <v>3927</v>
      </c>
      <c r="C2583" t="e">
        <f>+proj=tmerc +lat_0=0 +lon_0=75 +k=1 +x_0=25500000 +y_0=0 +ellps=krass +units=m +no_defs</f>
        <v>#NAME?</v>
      </c>
    </row>
    <row r="2584" spans="1:3" x14ac:dyDescent="0.25">
      <c r="A2584">
        <v>4653</v>
      </c>
      <c r="B2584" t="s">
        <v>3928</v>
      </c>
      <c r="C2584" t="e">
        <f>+proj=tmerc +lat_0=0 +lon_0=78 +k=1 +x_0=26500000 +y_0=0 +ellps=krass +units=m +no_defs</f>
        <v>#NAME?</v>
      </c>
    </row>
    <row r="2585" spans="1:3" x14ac:dyDescent="0.25">
      <c r="A2585">
        <v>4654</v>
      </c>
      <c r="B2585" t="s">
        <v>3929</v>
      </c>
      <c r="C2585" t="e">
        <f>+proj=tmerc +lat_0=0 +lon_0=81 +k=1 +x_0=27500000 +y_0=0 +ellps=krass +units=m +no_defs</f>
        <v>#NAME?</v>
      </c>
    </row>
    <row r="2586" spans="1:3" x14ac:dyDescent="0.25">
      <c r="A2586">
        <v>4655</v>
      </c>
      <c r="B2586" t="s">
        <v>3930</v>
      </c>
      <c r="C2586" t="e">
        <f>+proj=tmerc +lat_0=0 +lon_0=84 +k=1 +x_0=28500000 +y_0=0 +ellps=krass +units=m +no_defs</f>
        <v>#NAME?</v>
      </c>
    </row>
    <row r="2587" spans="1:3" x14ac:dyDescent="0.25">
      <c r="A2587">
        <v>4656</v>
      </c>
      <c r="B2587" t="s">
        <v>3931</v>
      </c>
      <c r="C2587" t="e">
        <f>+proj=tmerc +lat_0=0 +lon_0=87 +k=1 +x_0=29500000 +y_0=0 +ellps=krass +units=m +no_defs</f>
        <v>#NAME?</v>
      </c>
    </row>
    <row r="2588" spans="1:3" x14ac:dyDescent="0.25">
      <c r="A2588">
        <v>4766</v>
      </c>
      <c r="B2588" t="s">
        <v>3932</v>
      </c>
      <c r="C2588" t="e">
        <f>+proj=tmerc +lat_0=0 +lon_0=90 +k=1 +x_0=30500000 +y_0=0 +ellps=krass +units=m +no_defs</f>
        <v>#NAME?</v>
      </c>
    </row>
    <row r="2589" spans="1:3" x14ac:dyDescent="0.25">
      <c r="A2589">
        <v>4767</v>
      </c>
      <c r="B2589" t="s">
        <v>3933</v>
      </c>
      <c r="C2589" t="e">
        <f>+proj=tmerc +lat_0=0 +lon_0=93 +k=1 +x_0=31500000 +y_0=0 +ellps=krass +units=m +no_defs</f>
        <v>#NAME?</v>
      </c>
    </row>
    <row r="2590" spans="1:3" x14ac:dyDescent="0.25">
      <c r="A2590">
        <v>4768</v>
      </c>
      <c r="B2590" t="s">
        <v>3934</v>
      </c>
      <c r="C2590" t="e">
        <f>+proj=tmerc +lat_0=0 +lon_0=96 +k=1 +x_0=32500000 +y_0=0 +ellps=krass +units=m +no_defs</f>
        <v>#NAME?</v>
      </c>
    </row>
    <row r="2591" spans="1:3" x14ac:dyDescent="0.25">
      <c r="A2591">
        <v>4769</v>
      </c>
      <c r="B2591" t="s">
        <v>3935</v>
      </c>
      <c r="C2591" t="e">
        <f>+proj=tmerc +lat_0=0 +lon_0=99 +k=1 +x_0=33500000 +y_0=0 +ellps=krass +units=m +no_defs</f>
        <v>#NAME?</v>
      </c>
    </row>
    <row r="2592" spans="1:3" x14ac:dyDescent="0.25">
      <c r="A2592">
        <v>4770</v>
      </c>
      <c r="B2592" t="s">
        <v>3936</v>
      </c>
      <c r="C2592" t="e">
        <f>+proj=tmerc +lat_0=0 +lon_0=102 +k=1 +x_0=34500000 +y_0=0 +ellps=krass +units=m +no_defs</f>
        <v>#NAME?</v>
      </c>
    </row>
    <row r="2593" spans="1:3" x14ac:dyDescent="0.25">
      <c r="A2593">
        <v>4771</v>
      </c>
      <c r="B2593" t="s">
        <v>3937</v>
      </c>
      <c r="C2593" t="e">
        <f>+proj=tmerc +lat_0=0 +lon_0=105 +k=1 +x_0=35500000 +y_0=0 +ellps=krass +units=m +no_defs</f>
        <v>#NAME?</v>
      </c>
    </row>
    <row r="2594" spans="1:3" x14ac:dyDescent="0.25">
      <c r="A2594">
        <v>4772</v>
      </c>
      <c r="B2594" t="s">
        <v>3938</v>
      </c>
      <c r="C2594" t="e">
        <f>+proj=tmerc +lat_0=0 +lon_0=108 +k=1 +x_0=36500000 +y_0=0 +ellps=krass +units=m +no_defs</f>
        <v>#NAME?</v>
      </c>
    </row>
    <row r="2595" spans="1:3" x14ac:dyDescent="0.25">
      <c r="A2595">
        <v>4773</v>
      </c>
      <c r="B2595" t="s">
        <v>3939</v>
      </c>
      <c r="C2595" t="e">
        <f>+proj=tmerc +lat_0=0 +lon_0=111 +k=1 +x_0=37500000 +y_0=0 +ellps=krass +units=m +no_defs</f>
        <v>#NAME?</v>
      </c>
    </row>
    <row r="2596" spans="1:3" x14ac:dyDescent="0.25">
      <c r="A2596">
        <v>4774</v>
      </c>
      <c r="B2596" t="s">
        <v>3940</v>
      </c>
      <c r="C2596" t="e">
        <f>+proj=tmerc +lat_0=0 +lon_0=114 +k=1 +x_0=38500000 +y_0=0 +ellps=krass +units=m +no_defs</f>
        <v>#NAME?</v>
      </c>
    </row>
    <row r="2597" spans="1:3" x14ac:dyDescent="0.25">
      <c r="A2597">
        <v>4775</v>
      </c>
      <c r="B2597" t="s">
        <v>3941</v>
      </c>
      <c r="C2597" t="e">
        <f>+proj=tmerc +lat_0=0 +lon_0=117 +k=1 +x_0=39500000 +y_0=0 +ellps=krass +units=m +no_defs</f>
        <v>#NAME?</v>
      </c>
    </row>
    <row r="2598" spans="1:3" x14ac:dyDescent="0.25">
      <c r="A2598">
        <v>4776</v>
      </c>
      <c r="B2598" t="s">
        <v>3942</v>
      </c>
      <c r="C2598" t="e">
        <f>+proj=tmerc +lat_0=0 +lon_0=120 +k=1 +x_0=40500000 +y_0=0 +ellps=krass +units=m +no_defs</f>
        <v>#NAME?</v>
      </c>
    </row>
    <row r="2599" spans="1:3" x14ac:dyDescent="0.25">
      <c r="A2599">
        <v>4777</v>
      </c>
      <c r="B2599" t="s">
        <v>3943</v>
      </c>
      <c r="C2599" t="e">
        <f>+proj=tmerc +lat_0=0 +lon_0=123 +k=1 +x_0=41500000 +y_0=0 +ellps=krass +units=m +no_defs</f>
        <v>#NAME?</v>
      </c>
    </row>
    <row r="2600" spans="1:3" x14ac:dyDescent="0.25">
      <c r="A2600">
        <v>4778</v>
      </c>
      <c r="B2600" t="s">
        <v>3944</v>
      </c>
      <c r="C2600" t="e">
        <f>+proj=tmerc +lat_0=0 +lon_0=126 +k=1 +x_0=42500000 +y_0=0 +ellps=krass +units=m +no_defs</f>
        <v>#NAME?</v>
      </c>
    </row>
    <row r="2601" spans="1:3" x14ac:dyDescent="0.25">
      <c r="A2601">
        <v>4779</v>
      </c>
      <c r="B2601" t="s">
        <v>3945</v>
      </c>
      <c r="C2601" t="e">
        <f>+proj=tmerc +lat_0=0 +lon_0=129 +k=1 +x_0=43500000 +y_0=0 +ellps=krass +units=m +no_defs</f>
        <v>#NAME?</v>
      </c>
    </row>
    <row r="2602" spans="1:3" x14ac:dyDescent="0.25">
      <c r="A2602">
        <v>4780</v>
      </c>
      <c r="B2602" t="s">
        <v>3946</v>
      </c>
      <c r="C2602" t="e">
        <f>+proj=tmerc +lat_0=0 +lon_0=132 +k=1 +x_0=44500000 +y_0=0 +ellps=krass +units=m +no_defs</f>
        <v>#NAME?</v>
      </c>
    </row>
    <row r="2603" spans="1:3" x14ac:dyDescent="0.25">
      <c r="A2603">
        <v>4781</v>
      </c>
      <c r="B2603" t="s">
        <v>3947</v>
      </c>
      <c r="C2603" t="e">
        <f>+proj=tmerc +lat_0=0 +lon_0=135 +k=1 +x_0=45500000 +y_0=0 +ellps=krass +units=m +no_defs</f>
        <v>#NAME?</v>
      </c>
    </row>
    <row r="2604" spans="1:3" x14ac:dyDescent="0.25">
      <c r="A2604">
        <v>4782</v>
      </c>
      <c r="B2604" t="s">
        <v>3948</v>
      </c>
      <c r="C2604" t="e">
        <f>+proj=tmerc +lat_0=0 +lon_0=75 +k=1 +x_0=500000 +y_0=0 +ellps=krass +units=m +no_defs</f>
        <v>#NAME?</v>
      </c>
    </row>
    <row r="2605" spans="1:3" x14ac:dyDescent="0.25">
      <c r="A2605">
        <v>4783</v>
      </c>
      <c r="B2605" t="s">
        <v>3949</v>
      </c>
      <c r="C2605" t="e">
        <f>+proj=tmerc +lat_0=0 +lon_0=78 +k=1 +x_0=500000 +y_0=0 +ellps=krass +units=m +no_defs</f>
        <v>#NAME?</v>
      </c>
    </row>
    <row r="2606" spans="1:3" x14ac:dyDescent="0.25">
      <c r="A2606">
        <v>4784</v>
      </c>
      <c r="B2606" t="s">
        <v>3950</v>
      </c>
      <c r="C2606" t="e">
        <f>+proj=tmerc +lat_0=0 +lon_0=81 +k=1 +x_0=500000 +y_0=0 +ellps=krass +units=m +no_defs</f>
        <v>#NAME?</v>
      </c>
    </row>
    <row r="2607" spans="1:3" x14ac:dyDescent="0.25">
      <c r="A2607">
        <v>4785</v>
      </c>
      <c r="B2607" t="s">
        <v>3951</v>
      </c>
      <c r="C2607" t="e">
        <f>+proj=tmerc +lat_0=0 +lon_0=84 +k=1 +x_0=500000 +y_0=0 +ellps=krass +units=m +no_defs</f>
        <v>#NAME?</v>
      </c>
    </row>
    <row r="2608" spans="1:3" x14ac:dyDescent="0.25">
      <c r="A2608">
        <v>4786</v>
      </c>
      <c r="B2608" t="s">
        <v>3952</v>
      </c>
      <c r="C2608" t="e">
        <f>+proj=tmerc +lat_0=0 +lon_0=87 +k=1 +x_0=500000 +y_0=0 +ellps=krass +units=m +no_defs</f>
        <v>#NAME?</v>
      </c>
    </row>
    <row r="2609" spans="1:3" x14ac:dyDescent="0.25">
      <c r="A2609">
        <v>4787</v>
      </c>
      <c r="B2609" t="s">
        <v>3953</v>
      </c>
      <c r="C2609" t="e">
        <f>+proj=tmerc +lat_0=0 +lon_0=90 +k=1 +x_0=500000 +y_0=0 +ellps=krass +units=m +no_defs</f>
        <v>#NAME?</v>
      </c>
    </row>
    <row r="2610" spans="1:3" x14ac:dyDescent="0.25">
      <c r="A2610">
        <v>4788</v>
      </c>
      <c r="B2610" t="s">
        <v>3954</v>
      </c>
      <c r="C2610" t="e">
        <f>+proj=tmerc +lat_0=0 +lon_0=93 +k=1 +x_0=500000 +y_0=0 +ellps=krass +units=m +no_defs</f>
        <v>#NAME?</v>
      </c>
    </row>
    <row r="2611" spans="1:3" x14ac:dyDescent="0.25">
      <c r="A2611">
        <v>4789</v>
      </c>
      <c r="B2611" t="s">
        <v>3955</v>
      </c>
      <c r="C2611" t="e">
        <f>+proj=tmerc +lat_0=0 +lon_0=96 +k=1 +x_0=500000 +y_0=0 +ellps=krass +units=m +no_defs</f>
        <v>#NAME?</v>
      </c>
    </row>
    <row r="2612" spans="1:3" x14ac:dyDescent="0.25">
      <c r="A2612">
        <v>4790</v>
      </c>
      <c r="B2612" t="s">
        <v>3956</v>
      </c>
      <c r="C2612" t="e">
        <f>+proj=tmerc +lat_0=0 +lon_0=99 +k=1 +x_0=500000 +y_0=0 +ellps=krass +units=m +no_defs</f>
        <v>#NAME?</v>
      </c>
    </row>
    <row r="2613" spans="1:3" x14ac:dyDescent="0.25">
      <c r="A2613">
        <v>4791</v>
      </c>
      <c r="B2613" t="s">
        <v>3957</v>
      </c>
      <c r="C2613" t="e">
        <f>+proj=tmerc +lat_0=0 +lon_0=102 +k=1 +x_0=500000 +y_0=0 +ellps=krass +units=m +no_defs</f>
        <v>#NAME?</v>
      </c>
    </row>
    <row r="2614" spans="1:3" x14ac:dyDescent="0.25">
      <c r="A2614">
        <v>4792</v>
      </c>
      <c r="B2614" t="s">
        <v>3958</v>
      </c>
      <c r="C2614" t="e">
        <f>+proj=tmerc +lat_0=0 +lon_0=105 +k=1 +x_0=500000 +y_0=0 +ellps=krass +units=m +no_defs</f>
        <v>#NAME?</v>
      </c>
    </row>
    <row r="2615" spans="1:3" x14ac:dyDescent="0.25">
      <c r="A2615">
        <v>4793</v>
      </c>
      <c r="B2615" t="s">
        <v>3959</v>
      </c>
      <c r="C2615" t="e">
        <f>+proj=tmerc +lat_0=0 +lon_0=108 +k=1 +x_0=500000 +y_0=0 +ellps=krass +units=m +no_defs</f>
        <v>#NAME?</v>
      </c>
    </row>
    <row r="2616" spans="1:3" x14ac:dyDescent="0.25">
      <c r="A2616">
        <v>4794</v>
      </c>
      <c r="B2616" t="s">
        <v>3960</v>
      </c>
      <c r="C2616" t="e">
        <f>+proj=tmerc +lat_0=0 +lon_0=111 +k=1 +x_0=500000 +y_0=0 +ellps=krass +units=m +no_defs</f>
        <v>#NAME?</v>
      </c>
    </row>
    <row r="2617" spans="1:3" x14ac:dyDescent="0.25">
      <c r="A2617">
        <v>4795</v>
      </c>
      <c r="B2617" t="s">
        <v>3961</v>
      </c>
      <c r="C2617" t="e">
        <f>+proj=tmerc +lat_0=0 +lon_0=114 +k=1 +x_0=500000 +y_0=0 +ellps=krass +units=m +no_defs</f>
        <v>#NAME?</v>
      </c>
    </row>
    <row r="2618" spans="1:3" x14ac:dyDescent="0.25">
      <c r="A2618">
        <v>4796</v>
      </c>
      <c r="B2618" t="s">
        <v>3962</v>
      </c>
      <c r="C2618" t="e">
        <f>+proj=tmerc +lat_0=0 +lon_0=117 +k=1 +x_0=500000 +y_0=0 +ellps=krass +units=m +no_defs</f>
        <v>#NAME?</v>
      </c>
    </row>
    <row r="2619" spans="1:3" x14ac:dyDescent="0.25">
      <c r="A2619">
        <v>4797</v>
      </c>
      <c r="B2619" t="s">
        <v>3963</v>
      </c>
      <c r="C2619" t="e">
        <f>+proj=tmerc +lat_0=0 +lon_0=120 +k=1 +x_0=500000 +y_0=0 +ellps=krass +units=m +no_defs</f>
        <v>#NAME?</v>
      </c>
    </row>
    <row r="2620" spans="1:3" x14ac:dyDescent="0.25">
      <c r="A2620">
        <v>4798</v>
      </c>
      <c r="B2620" t="s">
        <v>3964</v>
      </c>
      <c r="C2620" t="e">
        <f>+proj=tmerc +lat_0=0 +lon_0=123 +k=1 +x_0=500000 +y_0=0 +ellps=krass +units=m +no_defs</f>
        <v>#NAME?</v>
      </c>
    </row>
    <row r="2621" spans="1:3" x14ac:dyDescent="0.25">
      <c r="A2621">
        <v>4799</v>
      </c>
      <c r="B2621" t="s">
        <v>3965</v>
      </c>
      <c r="C2621" t="e">
        <f>+proj=tmerc +lat_0=0 +lon_0=126 +k=1 +x_0=500000 +y_0=0 +ellps=krass +units=m +no_defs</f>
        <v>#NAME?</v>
      </c>
    </row>
    <row r="2622" spans="1:3" x14ac:dyDescent="0.25">
      <c r="A2622">
        <v>4800</v>
      </c>
      <c r="B2622" t="s">
        <v>3966</v>
      </c>
      <c r="C2622" t="e">
        <f>+proj=tmerc +lat_0=0 +lon_0=129 +k=1 +x_0=500000 +y_0=0 +ellps=krass +units=m +no_defs</f>
        <v>#NAME?</v>
      </c>
    </row>
    <row r="2623" spans="1:3" x14ac:dyDescent="0.25">
      <c r="A2623">
        <v>4812</v>
      </c>
      <c r="B2623" t="s">
        <v>3967</v>
      </c>
      <c r="C2623" t="e">
        <f>+proj=tmerc +lat_0=0 +lon_0=132 +k=1 +x_0=500000 +y_0=0 +ellps=krass +units=m +no_defs</f>
        <v>#NAME?</v>
      </c>
    </row>
    <row r="2624" spans="1:3" x14ac:dyDescent="0.25">
      <c r="A2624">
        <v>4822</v>
      </c>
      <c r="B2624" t="s">
        <v>3968</v>
      </c>
      <c r="C2624" t="e">
        <f>+proj=tmerc +lat_0=0 +lon_0=135 +k=1 +x_0=500000 +y_0=0 +ellps=krass +units=m +no_defs</f>
        <v>#NAME?</v>
      </c>
    </row>
    <row r="2625" spans="1:3" x14ac:dyDescent="0.25">
      <c r="A2625">
        <v>4826</v>
      </c>
      <c r="B2625" t="s">
        <v>3969</v>
      </c>
      <c r="C2625" t="e">
        <f>+proj=lcc +lat_1=15 +lat_2=16.6666666666666 +lat_0=15.8333333333333 +lon_0=-24 +x_0=161587.83 +y_0=128511.202 +datum=WGQ84 +units=m +no_defs</f>
        <v>#NAME?</v>
      </c>
    </row>
    <row r="2626" spans="1:3" x14ac:dyDescent="0.25">
      <c r="A2626">
        <v>4839</v>
      </c>
      <c r="B2626" t="s">
        <v>3970</v>
      </c>
      <c r="C2626" t="s">
        <v>3971</v>
      </c>
    </row>
    <row r="2627" spans="1:3" x14ac:dyDescent="0.25">
      <c r="A2627">
        <v>4896</v>
      </c>
      <c r="B2627" t="s">
        <v>3972</v>
      </c>
      <c r="C2627" t="e">
        <f>+proj=geocent +ellps=GRQ80 +units=m +no_defs</f>
        <v>#NAME?</v>
      </c>
    </row>
    <row r="2628" spans="1:3" x14ac:dyDescent="0.25">
      <c r="A2628">
        <v>4855</v>
      </c>
      <c r="B2628" t="s">
        <v>3973</v>
      </c>
      <c r="C2628" t="s">
        <v>3974</v>
      </c>
    </row>
    <row r="2629" spans="1:3" x14ac:dyDescent="0.25">
      <c r="A2629">
        <v>4856</v>
      </c>
      <c r="B2629" t="s">
        <v>3975</v>
      </c>
      <c r="C2629" t="s">
        <v>3976</v>
      </c>
    </row>
    <row r="2630" spans="1:3" x14ac:dyDescent="0.25">
      <c r="A2630">
        <v>4857</v>
      </c>
      <c r="B2630" t="s">
        <v>3977</v>
      </c>
      <c r="C2630" t="s">
        <v>3978</v>
      </c>
    </row>
    <row r="2631" spans="1:3" x14ac:dyDescent="0.25">
      <c r="A2631">
        <v>4858</v>
      </c>
      <c r="B2631" t="s">
        <v>3979</v>
      </c>
      <c r="C2631" t="s">
        <v>3980</v>
      </c>
    </row>
    <row r="2632" spans="1:3" x14ac:dyDescent="0.25">
      <c r="A2632">
        <v>4859</v>
      </c>
      <c r="B2632" t="s">
        <v>3981</v>
      </c>
      <c r="C2632" t="s">
        <v>3982</v>
      </c>
    </row>
    <row r="2633" spans="1:3" x14ac:dyDescent="0.25">
      <c r="A2633">
        <v>4860</v>
      </c>
      <c r="B2633" t="s">
        <v>3983</v>
      </c>
      <c r="C2633" t="s">
        <v>3984</v>
      </c>
    </row>
    <row r="2634" spans="1:3" x14ac:dyDescent="0.25">
      <c r="A2634">
        <v>4861</v>
      </c>
      <c r="B2634" t="s">
        <v>3985</v>
      </c>
      <c r="C2634" t="s">
        <v>3986</v>
      </c>
    </row>
    <row r="2635" spans="1:3" x14ac:dyDescent="0.25">
      <c r="A2635">
        <v>4862</v>
      </c>
      <c r="B2635" t="s">
        <v>3987</v>
      </c>
      <c r="C2635" t="s">
        <v>3988</v>
      </c>
    </row>
    <row r="2636" spans="1:3" x14ac:dyDescent="0.25">
      <c r="A2636">
        <v>4863</v>
      </c>
      <c r="B2636" t="s">
        <v>3989</v>
      </c>
      <c r="C2636" t="s">
        <v>3990</v>
      </c>
    </row>
    <row r="2637" spans="1:3" x14ac:dyDescent="0.25">
      <c r="A2637">
        <v>4864</v>
      </c>
      <c r="B2637" t="s">
        <v>3991</v>
      </c>
      <c r="C2637" t="s">
        <v>3992</v>
      </c>
    </row>
    <row r="2638" spans="1:3" x14ac:dyDescent="0.25">
      <c r="A2638">
        <v>4865</v>
      </c>
      <c r="B2638" t="s">
        <v>3993</v>
      </c>
      <c r="C2638" t="s">
        <v>3994</v>
      </c>
    </row>
    <row r="2639" spans="1:3" x14ac:dyDescent="0.25">
      <c r="A2639">
        <v>4866</v>
      </c>
      <c r="B2639" t="s">
        <v>3995</v>
      </c>
      <c r="C2639" t="s">
        <v>3996</v>
      </c>
    </row>
    <row r="2640" spans="1:3" x14ac:dyDescent="0.25">
      <c r="A2640">
        <v>4867</v>
      </c>
      <c r="B2640" t="s">
        <v>3997</v>
      </c>
      <c r="C2640" t="s">
        <v>3998</v>
      </c>
    </row>
    <row r="2641" spans="1:3" x14ac:dyDescent="0.25">
      <c r="A2641">
        <v>4868</v>
      </c>
      <c r="B2641" t="s">
        <v>3999</v>
      </c>
      <c r="C2641" t="s">
        <v>4000</v>
      </c>
    </row>
    <row r="2642" spans="1:3" x14ac:dyDescent="0.25">
      <c r="A2642">
        <v>4869</v>
      </c>
      <c r="B2642" t="s">
        <v>4001</v>
      </c>
      <c r="C2642" t="s">
        <v>4002</v>
      </c>
    </row>
    <row r="2643" spans="1:3" x14ac:dyDescent="0.25">
      <c r="A2643">
        <v>4870</v>
      </c>
      <c r="B2643" t="s">
        <v>4003</v>
      </c>
      <c r="C2643" t="s">
        <v>4004</v>
      </c>
    </row>
    <row r="2644" spans="1:3" x14ac:dyDescent="0.25">
      <c r="A2644">
        <v>4871</v>
      </c>
      <c r="B2644" t="s">
        <v>4005</v>
      </c>
      <c r="C2644" t="s">
        <v>4006</v>
      </c>
    </row>
    <row r="2645" spans="1:3" x14ac:dyDescent="0.25">
      <c r="A2645">
        <v>4872</v>
      </c>
      <c r="B2645" t="s">
        <v>4007</v>
      </c>
      <c r="C2645" t="s">
        <v>4008</v>
      </c>
    </row>
    <row r="2646" spans="1:3" x14ac:dyDescent="0.25">
      <c r="A2646">
        <v>4873</v>
      </c>
      <c r="B2646" t="s">
        <v>4009</v>
      </c>
      <c r="C2646" t="s">
        <v>4010</v>
      </c>
    </row>
    <row r="2647" spans="1:3" x14ac:dyDescent="0.25">
      <c r="A2647">
        <v>4874</v>
      </c>
      <c r="B2647" t="s">
        <v>4011</v>
      </c>
      <c r="C2647" t="s">
        <v>4012</v>
      </c>
    </row>
    <row r="2648" spans="1:3" x14ac:dyDescent="0.25">
      <c r="A2648">
        <v>4875</v>
      </c>
      <c r="B2648" t="s">
        <v>4013</v>
      </c>
      <c r="C2648" t="s">
        <v>4014</v>
      </c>
    </row>
    <row r="2649" spans="1:3" x14ac:dyDescent="0.25">
      <c r="A2649">
        <v>4876</v>
      </c>
      <c r="B2649" t="s">
        <v>4015</v>
      </c>
      <c r="C2649" t="s">
        <v>4016</v>
      </c>
    </row>
    <row r="2650" spans="1:3" x14ac:dyDescent="0.25">
      <c r="A2650">
        <v>4877</v>
      </c>
      <c r="B2650" t="s">
        <v>4017</v>
      </c>
      <c r="C2650" t="s">
        <v>4018</v>
      </c>
    </row>
    <row r="2651" spans="1:3" x14ac:dyDescent="0.25">
      <c r="A2651">
        <v>4878</v>
      </c>
      <c r="B2651" t="s">
        <v>4019</v>
      </c>
      <c r="C2651" t="s">
        <v>4020</v>
      </c>
    </row>
    <row r="2652" spans="1:3" x14ac:dyDescent="0.25">
      <c r="A2652">
        <v>4879</v>
      </c>
      <c r="B2652" t="s">
        <v>4021</v>
      </c>
      <c r="C2652" t="s">
        <v>4022</v>
      </c>
    </row>
    <row r="2653" spans="1:3" x14ac:dyDescent="0.25">
      <c r="A2653">
        <v>4880</v>
      </c>
      <c r="B2653" t="s">
        <v>4023</v>
      </c>
      <c r="C2653" t="s">
        <v>4024</v>
      </c>
    </row>
    <row r="2654" spans="1:3" x14ac:dyDescent="0.25">
      <c r="A2654">
        <v>5014</v>
      </c>
      <c r="B2654" t="s">
        <v>4025</v>
      </c>
      <c r="C2654" t="s">
        <v>2781</v>
      </c>
    </row>
    <row r="2655" spans="1:3" x14ac:dyDescent="0.25">
      <c r="A2655">
        <v>5015</v>
      </c>
      <c r="B2655" t="s">
        <v>4026</v>
      </c>
      <c r="C2655" t="s">
        <v>2545</v>
      </c>
    </row>
    <row r="2656" spans="1:3" x14ac:dyDescent="0.25">
      <c r="A2656">
        <v>5016</v>
      </c>
      <c r="B2656" t="s">
        <v>4027</v>
      </c>
      <c r="C2656" t="s">
        <v>2549</v>
      </c>
    </row>
    <row r="2657" spans="1:3" x14ac:dyDescent="0.25">
      <c r="A2657">
        <v>5018</v>
      </c>
      <c r="B2657" t="s">
        <v>4028</v>
      </c>
      <c r="C2657" t="s">
        <v>4029</v>
      </c>
    </row>
    <row r="2658" spans="1:3" x14ac:dyDescent="0.25">
      <c r="A2658">
        <v>5041</v>
      </c>
      <c r="B2658" t="s">
        <v>4030</v>
      </c>
      <c r="C2658" t="e">
        <f>+proj=stere +lat_0=90 +lat_ts=90 +lon_0=0 +k=0.994 +x_0=2000000 +y_0=2000000 +datum=WGQ84 +units=m +no_defs</f>
        <v>#NAME?</v>
      </c>
    </row>
    <row r="2659" spans="1:3" x14ac:dyDescent="0.25">
      <c r="A2659">
        <v>5042</v>
      </c>
      <c r="B2659" t="s">
        <v>4031</v>
      </c>
      <c r="C2659" t="e">
        <f>+proj=stere +lat_0=-90 +lat_ts=-90 +lon_0=0 +k=0.994 +x_0=2000000 +y_0=2000000 +datum=WGQ84 +units=m +no_defs</f>
        <v>#NAME?</v>
      </c>
    </row>
    <row r="2660" spans="1:3" x14ac:dyDescent="0.25">
      <c r="A2660">
        <v>5048</v>
      </c>
      <c r="B2660" t="s">
        <v>4032</v>
      </c>
      <c r="C2660" t="s">
        <v>1900</v>
      </c>
    </row>
    <row r="2661" spans="1:3" x14ac:dyDescent="0.25">
      <c r="A2661">
        <v>5069</v>
      </c>
      <c r="B2661" t="s">
        <v>4033</v>
      </c>
      <c r="C2661" t="e">
        <f>+proj=aea +lat_1=29.5 +lat_2=45.5 +lat_0=23 +lon_0=-96 +x_0=0 +y_0=0 +datum=NAB27 +units=m +no_defs</f>
        <v>#NAME?</v>
      </c>
    </row>
    <row r="2662" spans="1:3" x14ac:dyDescent="0.25">
      <c r="A2662">
        <v>5070</v>
      </c>
      <c r="B2662" t="s">
        <v>4034</v>
      </c>
      <c r="C2662" t="e">
        <f>+proj=aea +lat_1=29.5 +lat_2=45.5 +lat_0=23 +lon_0=-96 +x_0=0 +y_0=0 +datum=NAB83 +units=m +no_defs</f>
        <v>#NAME?</v>
      </c>
    </row>
    <row r="2663" spans="1:3" x14ac:dyDescent="0.25">
      <c r="A2663">
        <v>5071</v>
      </c>
      <c r="B2663" t="s">
        <v>4035</v>
      </c>
      <c r="C2663" t="s">
        <v>4036</v>
      </c>
    </row>
    <row r="2664" spans="1:3" x14ac:dyDescent="0.25">
      <c r="A2664">
        <v>5072</v>
      </c>
      <c r="B2664" t="s">
        <v>4037</v>
      </c>
      <c r="C2664" t="s">
        <v>4036</v>
      </c>
    </row>
    <row r="2665" spans="1:3" x14ac:dyDescent="0.25">
      <c r="A2665">
        <v>5105</v>
      </c>
      <c r="B2665" t="s">
        <v>4038</v>
      </c>
      <c r="C2665" t="s">
        <v>4039</v>
      </c>
    </row>
    <row r="2666" spans="1:3" x14ac:dyDescent="0.25">
      <c r="A2666">
        <v>5106</v>
      </c>
      <c r="B2666" t="s">
        <v>4040</v>
      </c>
      <c r="C2666" t="s">
        <v>4041</v>
      </c>
    </row>
    <row r="2667" spans="1:3" x14ac:dyDescent="0.25">
      <c r="A2667">
        <v>5107</v>
      </c>
      <c r="B2667" t="s">
        <v>4042</v>
      </c>
      <c r="C2667" t="s">
        <v>4043</v>
      </c>
    </row>
    <row r="2668" spans="1:3" x14ac:dyDescent="0.25">
      <c r="A2668">
        <v>5108</v>
      </c>
      <c r="B2668" t="s">
        <v>4044</v>
      </c>
      <c r="C2668" t="s">
        <v>4045</v>
      </c>
    </row>
    <row r="2669" spans="1:3" x14ac:dyDescent="0.25">
      <c r="A2669">
        <v>5109</v>
      </c>
      <c r="B2669" t="s">
        <v>4046</v>
      </c>
      <c r="C2669" t="s">
        <v>4047</v>
      </c>
    </row>
    <row r="2670" spans="1:3" x14ac:dyDescent="0.25">
      <c r="A2670">
        <v>5110</v>
      </c>
      <c r="B2670" t="s">
        <v>4048</v>
      </c>
      <c r="C2670" t="s">
        <v>4049</v>
      </c>
    </row>
    <row r="2671" spans="1:3" x14ac:dyDescent="0.25">
      <c r="A2671">
        <v>5111</v>
      </c>
      <c r="B2671" t="s">
        <v>4050</v>
      </c>
      <c r="C2671" t="s">
        <v>4051</v>
      </c>
    </row>
    <row r="2672" spans="1:3" x14ac:dyDescent="0.25">
      <c r="A2672">
        <v>5112</v>
      </c>
      <c r="B2672" t="s">
        <v>4052</v>
      </c>
      <c r="C2672" t="s">
        <v>4053</v>
      </c>
    </row>
    <row r="2673" spans="1:3" x14ac:dyDescent="0.25">
      <c r="A2673">
        <v>5113</v>
      </c>
      <c r="B2673" t="s">
        <v>4054</v>
      </c>
      <c r="C2673" t="s">
        <v>4055</v>
      </c>
    </row>
    <row r="2674" spans="1:3" x14ac:dyDescent="0.25">
      <c r="A2674">
        <v>5114</v>
      </c>
      <c r="B2674" t="s">
        <v>4056</v>
      </c>
      <c r="C2674" t="s">
        <v>4057</v>
      </c>
    </row>
    <row r="2675" spans="1:3" x14ac:dyDescent="0.25">
      <c r="A2675">
        <v>5115</v>
      </c>
      <c r="B2675" t="s">
        <v>4058</v>
      </c>
      <c r="C2675" t="s">
        <v>4059</v>
      </c>
    </row>
    <row r="2676" spans="1:3" x14ac:dyDescent="0.25">
      <c r="A2676">
        <v>5116</v>
      </c>
      <c r="B2676" t="s">
        <v>4060</v>
      </c>
      <c r="C2676" t="s">
        <v>4061</v>
      </c>
    </row>
    <row r="2677" spans="1:3" x14ac:dyDescent="0.25">
      <c r="A2677">
        <v>5117</v>
      </c>
      <c r="B2677" t="s">
        <v>4062</v>
      </c>
      <c r="C2677" t="s">
        <v>4063</v>
      </c>
    </row>
    <row r="2678" spans="1:3" x14ac:dyDescent="0.25">
      <c r="A2678">
        <v>5118</v>
      </c>
      <c r="B2678" t="s">
        <v>4064</v>
      </c>
      <c r="C2678" t="s">
        <v>4065</v>
      </c>
    </row>
    <row r="2679" spans="1:3" x14ac:dyDescent="0.25">
      <c r="A2679">
        <v>5119</v>
      </c>
      <c r="B2679" t="s">
        <v>4066</v>
      </c>
      <c r="C2679" t="s">
        <v>4067</v>
      </c>
    </row>
    <row r="2680" spans="1:3" x14ac:dyDescent="0.25">
      <c r="A2680">
        <v>5120</v>
      </c>
      <c r="B2680" t="s">
        <v>4068</v>
      </c>
      <c r="C2680" t="s">
        <v>4069</v>
      </c>
    </row>
    <row r="2681" spans="1:3" x14ac:dyDescent="0.25">
      <c r="A2681">
        <v>5121</v>
      </c>
      <c r="B2681" t="s">
        <v>4070</v>
      </c>
      <c r="C2681" t="s">
        <v>4071</v>
      </c>
    </row>
    <row r="2682" spans="1:3" x14ac:dyDescent="0.25">
      <c r="A2682">
        <v>5122</v>
      </c>
      <c r="B2682" t="s">
        <v>4072</v>
      </c>
      <c r="C2682" t="s">
        <v>4073</v>
      </c>
    </row>
    <row r="2683" spans="1:3" x14ac:dyDescent="0.25">
      <c r="A2683">
        <v>5123</v>
      </c>
      <c r="B2683" t="s">
        <v>4074</v>
      </c>
      <c r="C2683" t="s">
        <v>4075</v>
      </c>
    </row>
    <row r="2684" spans="1:3" x14ac:dyDescent="0.25">
      <c r="A2684">
        <v>5124</v>
      </c>
      <c r="B2684" t="s">
        <v>4076</v>
      </c>
      <c r="C2684" t="s">
        <v>4077</v>
      </c>
    </row>
    <row r="2685" spans="1:3" x14ac:dyDescent="0.25">
      <c r="A2685">
        <v>5125</v>
      </c>
      <c r="B2685" t="s">
        <v>4078</v>
      </c>
      <c r="C2685" t="s">
        <v>4079</v>
      </c>
    </row>
    <row r="2686" spans="1:3" x14ac:dyDescent="0.25">
      <c r="A2686">
        <v>5126</v>
      </c>
      <c r="B2686" t="s">
        <v>4080</v>
      </c>
      <c r="C2686" t="s">
        <v>4081</v>
      </c>
    </row>
    <row r="2687" spans="1:3" x14ac:dyDescent="0.25">
      <c r="A2687">
        <v>5127</v>
      </c>
      <c r="B2687" t="s">
        <v>4082</v>
      </c>
      <c r="C2687" t="s">
        <v>4083</v>
      </c>
    </row>
    <row r="2688" spans="1:3" x14ac:dyDescent="0.25">
      <c r="A2688">
        <v>5128</v>
      </c>
      <c r="B2688" t="s">
        <v>4084</v>
      </c>
      <c r="C2688" t="s">
        <v>4085</v>
      </c>
    </row>
    <row r="2689" spans="1:3" x14ac:dyDescent="0.25">
      <c r="A2689">
        <v>5129</v>
      </c>
      <c r="B2689" t="s">
        <v>4086</v>
      </c>
      <c r="C2689" t="s">
        <v>4087</v>
      </c>
    </row>
    <row r="2690" spans="1:3" x14ac:dyDescent="0.25">
      <c r="A2690">
        <v>5130</v>
      </c>
      <c r="B2690" t="s">
        <v>4088</v>
      </c>
      <c r="C2690" t="s">
        <v>4089</v>
      </c>
    </row>
    <row r="2691" spans="1:3" x14ac:dyDescent="0.25">
      <c r="A2691">
        <v>5167</v>
      </c>
      <c r="B2691" t="s">
        <v>4090</v>
      </c>
      <c r="C2691" t="e">
        <f>+proj=tmerc +lat_0=38 +lon_0=131 +k=1 +x_0=200000 +y_0=500000 +ellps=bessel +units=m +no_defs</f>
        <v>#NAME?</v>
      </c>
    </row>
    <row r="2692" spans="1:3" x14ac:dyDescent="0.25">
      <c r="A2692">
        <v>5168</v>
      </c>
      <c r="B2692" t="s">
        <v>4091</v>
      </c>
      <c r="C2692" t="e">
        <f>+proj=tmerc +lat_0=38 +lon_0=127 +k=1 +x_0=200000 +y_0=550000 +ellps=bessel +units=m +no_defs</f>
        <v>#NAME?</v>
      </c>
    </row>
    <row r="2693" spans="1:3" x14ac:dyDescent="0.25">
      <c r="A2693">
        <v>5169</v>
      </c>
      <c r="B2693" t="s">
        <v>4092</v>
      </c>
      <c r="C2693" t="e">
        <f>+proj=tmerc +lat_0=38 +lon_0=125 +k=1 +x_0=200000 +y_0=500000 +ellps=bessel +units=m +no_defs</f>
        <v>#NAME?</v>
      </c>
    </row>
    <row r="2694" spans="1:3" x14ac:dyDescent="0.25">
      <c r="A2694">
        <v>5170</v>
      </c>
      <c r="B2694" t="s">
        <v>4093</v>
      </c>
      <c r="C2694" t="e">
        <f>+proj=tmerc +lat_0=38 +lon_0=127 +k=1 +x_0=200000 +y_0=500000 +ellps=bessel +units=m +no_defs</f>
        <v>#NAME?</v>
      </c>
    </row>
    <row r="2695" spans="1:3" x14ac:dyDescent="0.25">
      <c r="A2695">
        <v>5171</v>
      </c>
      <c r="B2695" t="s">
        <v>4094</v>
      </c>
      <c r="C2695" t="e">
        <f>+proj=tmerc +lat_0=38 +lon_0=129 +k=1 +x_0=200000 +y_0=500000 +ellps=bessel +units=m +no_defs</f>
        <v>#NAME?</v>
      </c>
    </row>
    <row r="2696" spans="1:3" x14ac:dyDescent="0.25">
      <c r="A2696">
        <v>5172</v>
      </c>
      <c r="B2696" t="s">
        <v>4095</v>
      </c>
      <c r="C2696" t="e">
        <f>+proj=tmerc +lat_0=38 +lon_0=131 +k=1 +x_0=200000 +y_0=500000 +ellps=bessel +units=m +no_defs</f>
        <v>#NAME?</v>
      </c>
    </row>
    <row r="2697" spans="1:3" x14ac:dyDescent="0.25">
      <c r="A2697">
        <v>5173</v>
      </c>
      <c r="B2697" t="s">
        <v>4096</v>
      </c>
      <c r="C2697" t="e">
        <f>+proj=tmerc +lat_0=38 +lon_0=125.002890277777 +k=1 +x_0=200000 +y_0=500000 +ellps=bessel +units=m +no_defs</f>
        <v>#NAME?</v>
      </c>
    </row>
    <row r="2698" spans="1:3" x14ac:dyDescent="0.25">
      <c r="A2698">
        <v>4897</v>
      </c>
      <c r="B2698" t="s">
        <v>4097</v>
      </c>
      <c r="C2698" t="e">
        <f>+proj=geocent +ellps=WGQ84 +units=m +no_defs</f>
        <v>#NAME?</v>
      </c>
    </row>
    <row r="2699" spans="1:3" x14ac:dyDescent="0.25">
      <c r="A2699">
        <v>5174</v>
      </c>
      <c r="B2699" t="s">
        <v>4098</v>
      </c>
      <c r="C2699" t="e">
        <f>+proj=tmerc +lat_0=38 +lon_0=127.002890277777 +k=1 +x_0=200000 +y_0=500000 +ellps=bessel +units=m +no_defs</f>
        <v>#NAME?</v>
      </c>
    </row>
    <row r="2700" spans="1:3" x14ac:dyDescent="0.25">
      <c r="A2700">
        <v>5175</v>
      </c>
      <c r="B2700" t="s">
        <v>4099</v>
      </c>
      <c r="C2700" t="e">
        <f>+proj=tmerc +lat_0=38 +lon_0=127.002890277777 +k=1 +x_0=200000 +y_0=550000 +ellps=bessel +units=m +no_defs</f>
        <v>#NAME?</v>
      </c>
    </row>
    <row r="2701" spans="1:3" x14ac:dyDescent="0.25">
      <c r="A2701">
        <v>5176</v>
      </c>
      <c r="B2701" t="s">
        <v>4100</v>
      </c>
      <c r="C2701" t="e">
        <f>+proj=tmerc +lat_0=38 +lon_0=129.002890277777 +k=1 +x_0=200000 +y_0=500000 +ellps=bessel +units=m +no_defs</f>
        <v>#NAME?</v>
      </c>
    </row>
    <row r="2702" spans="1:3" x14ac:dyDescent="0.25">
      <c r="A2702">
        <v>5177</v>
      </c>
      <c r="B2702" t="s">
        <v>4101</v>
      </c>
      <c r="C2702" t="e">
        <f>+proj=tmerc +lat_0=38 +lon_0=131.002890277777 +k=1 +x_0=200000 +y_0=500000 +ellps=bessel +units=m +no_defs</f>
        <v>#NAME?</v>
      </c>
    </row>
    <row r="2703" spans="1:3" x14ac:dyDescent="0.25">
      <c r="A2703">
        <v>5178</v>
      </c>
      <c r="B2703" t="s">
        <v>4102</v>
      </c>
      <c r="C2703" t="e">
        <f>+proj=tmerc +lat_0=38 +lon_0=127.5 +k=0.9996 +x_0=1000000 +y_0=2000000 +ellps=bessel +units=m +no_defs</f>
        <v>#NAME?</v>
      </c>
    </row>
    <row r="2704" spans="1:3" x14ac:dyDescent="0.25">
      <c r="A2704">
        <v>5179</v>
      </c>
      <c r="B2704" t="s">
        <v>4103</v>
      </c>
      <c r="C2704" t="s">
        <v>4104</v>
      </c>
    </row>
    <row r="2705" spans="1:3" x14ac:dyDescent="0.25">
      <c r="A2705">
        <v>5180</v>
      </c>
      <c r="B2705" t="s">
        <v>4105</v>
      </c>
      <c r="C2705" t="s">
        <v>4106</v>
      </c>
    </row>
    <row r="2706" spans="1:3" x14ac:dyDescent="0.25">
      <c r="A2706">
        <v>5181</v>
      </c>
      <c r="B2706" t="s">
        <v>4107</v>
      </c>
      <c r="C2706" t="s">
        <v>4108</v>
      </c>
    </row>
    <row r="2707" spans="1:3" x14ac:dyDescent="0.25">
      <c r="A2707">
        <v>5182</v>
      </c>
      <c r="B2707" t="s">
        <v>4109</v>
      </c>
      <c r="C2707" t="s">
        <v>4110</v>
      </c>
    </row>
    <row r="2708" spans="1:3" x14ac:dyDescent="0.25">
      <c r="A2708">
        <v>5183</v>
      </c>
      <c r="B2708" t="s">
        <v>4111</v>
      </c>
      <c r="C2708" t="s">
        <v>4112</v>
      </c>
    </row>
    <row r="2709" spans="1:3" x14ac:dyDescent="0.25">
      <c r="A2709">
        <v>4899</v>
      </c>
      <c r="B2709" t="s">
        <v>4113</v>
      </c>
      <c r="C2709" t="e">
        <f>+proj=geocent +ellps=intl +units=m +no_defs</f>
        <v>#NAME?</v>
      </c>
    </row>
    <row r="2710" spans="1:3" x14ac:dyDescent="0.25">
      <c r="A2710">
        <v>5184</v>
      </c>
      <c r="B2710" t="s">
        <v>4114</v>
      </c>
      <c r="C2710" t="s">
        <v>4115</v>
      </c>
    </row>
    <row r="2711" spans="1:3" x14ac:dyDescent="0.25">
      <c r="A2711">
        <v>5185</v>
      </c>
      <c r="B2711" t="s">
        <v>4116</v>
      </c>
      <c r="C2711" t="s">
        <v>4117</v>
      </c>
    </row>
    <row r="2712" spans="1:3" x14ac:dyDescent="0.25">
      <c r="A2712">
        <v>5186</v>
      </c>
      <c r="B2712" t="s">
        <v>4118</v>
      </c>
      <c r="C2712" t="s">
        <v>4119</v>
      </c>
    </row>
    <row r="2713" spans="1:3" x14ac:dyDescent="0.25">
      <c r="A2713">
        <v>5187</v>
      </c>
      <c r="B2713" t="s">
        <v>4120</v>
      </c>
      <c r="C2713" t="s">
        <v>4121</v>
      </c>
    </row>
    <row r="2714" spans="1:3" x14ac:dyDescent="0.25">
      <c r="A2714">
        <v>5188</v>
      </c>
      <c r="B2714" t="s">
        <v>4122</v>
      </c>
      <c r="C2714" t="s">
        <v>4123</v>
      </c>
    </row>
    <row r="2715" spans="1:3" x14ac:dyDescent="0.25">
      <c r="A2715">
        <v>5221</v>
      </c>
      <c r="B2715" t="s">
        <v>4124</v>
      </c>
      <c r="C2715" t="s">
        <v>4125</v>
      </c>
    </row>
    <row r="2716" spans="1:3" x14ac:dyDescent="0.25">
      <c r="A2716">
        <v>5223</v>
      </c>
      <c r="B2716" t="s">
        <v>4126</v>
      </c>
      <c r="C2716" t="e">
        <f>+proj=tmerc +lat_0=0 +lon_0=12 +k=0.9996 +x_0=500000 +y_0=500000 +datum=WGQ84 +units=m +no_defs</f>
        <v>#NAME?</v>
      </c>
    </row>
    <row r="2717" spans="1:3" x14ac:dyDescent="0.25">
      <c r="A2717">
        <v>5234</v>
      </c>
      <c r="B2717" t="s">
        <v>4127</v>
      </c>
      <c r="C2717" t="s">
        <v>4128</v>
      </c>
    </row>
    <row r="2718" spans="1:3" x14ac:dyDescent="0.25">
      <c r="A2718">
        <v>5235</v>
      </c>
      <c r="B2718" t="s">
        <v>4129</v>
      </c>
      <c r="C2718" t="s">
        <v>4130</v>
      </c>
    </row>
    <row r="2719" spans="1:3" x14ac:dyDescent="0.25">
      <c r="A2719">
        <v>4906</v>
      </c>
      <c r="B2719" t="s">
        <v>4131</v>
      </c>
      <c r="C2719" t="e">
        <f>+proj=geocent +ellps=GRQ80 +units=m +no_defs</f>
        <v>#NAME?</v>
      </c>
    </row>
    <row r="2720" spans="1:3" x14ac:dyDescent="0.25">
      <c r="A2720">
        <v>5243</v>
      </c>
      <c r="B2720" t="s">
        <v>4132</v>
      </c>
      <c r="C2720" t="s">
        <v>3971</v>
      </c>
    </row>
    <row r="2721" spans="1:3" x14ac:dyDescent="0.25">
      <c r="A2721">
        <v>5247</v>
      </c>
      <c r="B2721" t="s">
        <v>4133</v>
      </c>
      <c r="C2721" t="s">
        <v>4134</v>
      </c>
    </row>
    <row r="2722" spans="1:3" x14ac:dyDescent="0.25">
      <c r="A2722">
        <v>5253</v>
      </c>
      <c r="B2722" t="s">
        <v>4135</v>
      </c>
      <c r="C2722" t="s">
        <v>2697</v>
      </c>
    </row>
    <row r="2723" spans="1:3" x14ac:dyDescent="0.25">
      <c r="A2723">
        <v>5254</v>
      </c>
      <c r="B2723" t="s">
        <v>4136</v>
      </c>
      <c r="C2723" t="s">
        <v>2704</v>
      </c>
    </row>
    <row r="2724" spans="1:3" x14ac:dyDescent="0.25">
      <c r="A2724">
        <v>5255</v>
      </c>
      <c r="B2724" t="s">
        <v>4137</v>
      </c>
      <c r="C2724" t="s">
        <v>4138</v>
      </c>
    </row>
    <row r="2725" spans="1:3" x14ac:dyDescent="0.25">
      <c r="A2725">
        <v>5256</v>
      </c>
      <c r="B2725" t="s">
        <v>4139</v>
      </c>
      <c r="C2725" t="s">
        <v>4140</v>
      </c>
    </row>
    <row r="2726" spans="1:3" x14ac:dyDescent="0.25">
      <c r="A2726">
        <v>5257</v>
      </c>
      <c r="B2726" t="s">
        <v>4141</v>
      </c>
      <c r="C2726" t="s">
        <v>4142</v>
      </c>
    </row>
    <row r="2727" spans="1:3" x14ac:dyDescent="0.25">
      <c r="A2727">
        <v>5258</v>
      </c>
      <c r="B2727" t="s">
        <v>4143</v>
      </c>
      <c r="C2727" t="s">
        <v>4144</v>
      </c>
    </row>
    <row r="2728" spans="1:3" x14ac:dyDescent="0.25">
      <c r="A2728">
        <v>5259</v>
      </c>
      <c r="B2728" t="s">
        <v>4145</v>
      </c>
      <c r="C2728" t="s">
        <v>4146</v>
      </c>
    </row>
    <row r="2729" spans="1:3" x14ac:dyDescent="0.25">
      <c r="A2729">
        <v>5266</v>
      </c>
      <c r="B2729" t="s">
        <v>4147</v>
      </c>
      <c r="C2729" t="s">
        <v>4148</v>
      </c>
    </row>
    <row r="2730" spans="1:3" x14ac:dyDescent="0.25">
      <c r="A2730">
        <v>5269</v>
      </c>
      <c r="B2730" t="s">
        <v>4149</v>
      </c>
      <c r="C2730" t="s">
        <v>4150</v>
      </c>
    </row>
    <row r="2731" spans="1:3" x14ac:dyDescent="0.25">
      <c r="A2731">
        <v>5270</v>
      </c>
      <c r="B2731" t="s">
        <v>4151</v>
      </c>
      <c r="C2731" t="s">
        <v>4152</v>
      </c>
    </row>
    <row r="2732" spans="1:3" x14ac:dyDescent="0.25">
      <c r="A2732">
        <v>5271</v>
      </c>
      <c r="B2732" t="s">
        <v>4153</v>
      </c>
      <c r="C2732" t="s">
        <v>4154</v>
      </c>
    </row>
    <row r="2733" spans="1:3" x14ac:dyDescent="0.25">
      <c r="A2733">
        <v>5272</v>
      </c>
      <c r="B2733" t="s">
        <v>4155</v>
      </c>
      <c r="C2733" t="s">
        <v>4156</v>
      </c>
    </row>
    <row r="2734" spans="1:3" x14ac:dyDescent="0.25">
      <c r="A2734">
        <v>5273</v>
      </c>
      <c r="B2734" t="s">
        <v>4157</v>
      </c>
      <c r="C2734" t="s">
        <v>4158</v>
      </c>
    </row>
    <row r="2735" spans="1:3" x14ac:dyDescent="0.25">
      <c r="A2735">
        <v>5274</v>
      </c>
      <c r="B2735" t="s">
        <v>4159</v>
      </c>
      <c r="C2735" t="s">
        <v>4160</v>
      </c>
    </row>
    <row r="2736" spans="1:3" x14ac:dyDescent="0.25">
      <c r="A2736">
        <v>5275</v>
      </c>
      <c r="B2736" t="s">
        <v>4161</v>
      </c>
      <c r="C2736" t="s">
        <v>4162</v>
      </c>
    </row>
    <row r="2737" spans="1:3" x14ac:dyDescent="0.25">
      <c r="A2737">
        <v>5292</v>
      </c>
      <c r="B2737" t="s">
        <v>4163</v>
      </c>
      <c r="C2737" t="s">
        <v>4164</v>
      </c>
    </row>
    <row r="2738" spans="1:3" x14ac:dyDescent="0.25">
      <c r="A2738">
        <v>5293</v>
      </c>
      <c r="B2738" t="s">
        <v>4165</v>
      </c>
      <c r="C2738" t="s">
        <v>4166</v>
      </c>
    </row>
    <row r="2739" spans="1:3" x14ac:dyDescent="0.25">
      <c r="A2739">
        <v>5294</v>
      </c>
      <c r="B2739" t="s">
        <v>4167</v>
      </c>
      <c r="C2739" t="s">
        <v>4168</v>
      </c>
    </row>
    <row r="2740" spans="1:3" x14ac:dyDescent="0.25">
      <c r="A2740">
        <v>5295</v>
      </c>
      <c r="B2740" t="s">
        <v>4169</v>
      </c>
      <c r="C2740" t="s">
        <v>4170</v>
      </c>
    </row>
    <row r="2741" spans="1:3" x14ac:dyDescent="0.25">
      <c r="A2741">
        <v>5296</v>
      </c>
      <c r="B2741" t="s">
        <v>4171</v>
      </c>
      <c r="C2741" t="s">
        <v>4172</v>
      </c>
    </row>
    <row r="2742" spans="1:3" x14ac:dyDescent="0.25">
      <c r="A2742">
        <v>5297</v>
      </c>
      <c r="B2742" t="s">
        <v>4173</v>
      </c>
      <c r="C2742" t="s">
        <v>4174</v>
      </c>
    </row>
    <row r="2743" spans="1:3" x14ac:dyDescent="0.25">
      <c r="A2743">
        <v>5298</v>
      </c>
      <c r="B2743" t="s">
        <v>4175</v>
      </c>
      <c r="C2743" t="s">
        <v>4176</v>
      </c>
    </row>
    <row r="2744" spans="1:3" x14ac:dyDescent="0.25">
      <c r="A2744">
        <v>5299</v>
      </c>
      <c r="B2744" t="s">
        <v>4177</v>
      </c>
      <c r="C2744" t="s">
        <v>4178</v>
      </c>
    </row>
    <row r="2745" spans="1:3" x14ac:dyDescent="0.25">
      <c r="A2745">
        <v>5300</v>
      </c>
      <c r="B2745" t="s">
        <v>4179</v>
      </c>
      <c r="C2745" t="s">
        <v>4180</v>
      </c>
    </row>
    <row r="2746" spans="1:3" x14ac:dyDescent="0.25">
      <c r="A2746">
        <v>5301</v>
      </c>
      <c r="B2746" t="s">
        <v>4181</v>
      </c>
      <c r="C2746" t="s">
        <v>4168</v>
      </c>
    </row>
    <row r="2747" spans="1:3" x14ac:dyDescent="0.25">
      <c r="A2747">
        <v>5302</v>
      </c>
      <c r="B2747" t="s">
        <v>4182</v>
      </c>
      <c r="C2747" t="s">
        <v>4183</v>
      </c>
    </row>
    <row r="2748" spans="1:3" x14ac:dyDescent="0.25">
      <c r="A2748">
        <v>5303</v>
      </c>
      <c r="B2748" t="s">
        <v>4184</v>
      </c>
      <c r="C2748" t="s">
        <v>4185</v>
      </c>
    </row>
    <row r="2749" spans="1:3" x14ac:dyDescent="0.25">
      <c r="A2749">
        <v>4908</v>
      </c>
      <c r="B2749" t="s">
        <v>4186</v>
      </c>
      <c r="C2749" t="e">
        <f>+proj=geocent +ellps=GRQ80 +units=m +no_defs</f>
        <v>#NAME?</v>
      </c>
    </row>
    <row r="2750" spans="1:3" x14ac:dyDescent="0.25">
      <c r="A2750">
        <v>5304</v>
      </c>
      <c r="B2750" t="s">
        <v>4187</v>
      </c>
      <c r="C2750" t="s">
        <v>4188</v>
      </c>
    </row>
    <row r="2751" spans="1:3" x14ac:dyDescent="0.25">
      <c r="A2751">
        <v>5305</v>
      </c>
      <c r="B2751" t="s">
        <v>4189</v>
      </c>
      <c r="C2751" t="s">
        <v>4166</v>
      </c>
    </row>
    <row r="2752" spans="1:3" x14ac:dyDescent="0.25">
      <c r="A2752">
        <v>5306</v>
      </c>
      <c r="B2752" t="s">
        <v>4190</v>
      </c>
      <c r="C2752" t="s">
        <v>4191</v>
      </c>
    </row>
    <row r="2753" spans="1:3" x14ac:dyDescent="0.25">
      <c r="A2753">
        <v>5307</v>
      </c>
      <c r="B2753" t="s">
        <v>4192</v>
      </c>
      <c r="C2753" t="s">
        <v>4193</v>
      </c>
    </row>
    <row r="2754" spans="1:3" x14ac:dyDescent="0.25">
      <c r="A2754">
        <v>5308</v>
      </c>
      <c r="B2754" t="s">
        <v>4194</v>
      </c>
      <c r="C2754" t="s">
        <v>4195</v>
      </c>
    </row>
    <row r="2755" spans="1:3" x14ac:dyDescent="0.25">
      <c r="A2755">
        <v>5309</v>
      </c>
      <c r="B2755" t="s">
        <v>4196</v>
      </c>
      <c r="C2755" t="s">
        <v>4197</v>
      </c>
    </row>
    <row r="2756" spans="1:3" x14ac:dyDescent="0.25">
      <c r="A2756">
        <v>5310</v>
      </c>
      <c r="B2756" t="s">
        <v>4198</v>
      </c>
      <c r="C2756" t="s">
        <v>4183</v>
      </c>
    </row>
    <row r="2757" spans="1:3" x14ac:dyDescent="0.25">
      <c r="A2757">
        <v>5311</v>
      </c>
      <c r="B2757" t="s">
        <v>4199</v>
      </c>
      <c r="C2757" t="s">
        <v>4200</v>
      </c>
    </row>
    <row r="2758" spans="1:3" x14ac:dyDescent="0.25">
      <c r="A2758">
        <v>5316</v>
      </c>
      <c r="B2758" t="s">
        <v>4201</v>
      </c>
      <c r="C2758" t="s">
        <v>4202</v>
      </c>
    </row>
    <row r="2759" spans="1:3" x14ac:dyDescent="0.25">
      <c r="A2759">
        <v>4910</v>
      </c>
      <c r="B2759" t="s">
        <v>4203</v>
      </c>
      <c r="C2759" t="e">
        <f>+proj=geocent +ellps=GRQ80 +units=m +no_defs</f>
        <v>#NAME?</v>
      </c>
    </row>
    <row r="2760" spans="1:3" x14ac:dyDescent="0.25">
      <c r="A2760">
        <v>5320</v>
      </c>
      <c r="B2760" t="s">
        <v>4204</v>
      </c>
      <c r="C2760" t="e">
        <f>+proj=lcc +lat_1=44.5 +lat_2=54.5 +lat_0=0 +lon_0=-84 +x_0=1000000 +y_0=0 +datum=NAB83 +units=m +no_defs</f>
        <v>#NAME?</v>
      </c>
    </row>
    <row r="2761" spans="1:3" x14ac:dyDescent="0.25">
      <c r="A2761">
        <v>5321</v>
      </c>
      <c r="B2761" t="s">
        <v>4205</v>
      </c>
      <c r="C2761" t="s">
        <v>4206</v>
      </c>
    </row>
    <row r="2762" spans="1:3" x14ac:dyDescent="0.25">
      <c r="A2762">
        <v>5325</v>
      </c>
      <c r="B2762" t="s">
        <v>4207</v>
      </c>
      <c r="C2762" t="s">
        <v>4208</v>
      </c>
    </row>
    <row r="2763" spans="1:3" x14ac:dyDescent="0.25">
      <c r="A2763">
        <v>5329</v>
      </c>
      <c r="B2763" t="s">
        <v>4209</v>
      </c>
      <c r="C2763" t="s">
        <v>4210</v>
      </c>
    </row>
    <row r="2764" spans="1:3" x14ac:dyDescent="0.25">
      <c r="A2764">
        <v>5330</v>
      </c>
      <c r="B2764" t="s">
        <v>4211</v>
      </c>
      <c r="C2764" t="s">
        <v>4212</v>
      </c>
    </row>
    <row r="2765" spans="1:3" x14ac:dyDescent="0.25">
      <c r="A2765">
        <v>5331</v>
      </c>
      <c r="B2765" t="s">
        <v>4213</v>
      </c>
      <c r="C2765" t="s">
        <v>4214</v>
      </c>
    </row>
    <row r="2766" spans="1:3" x14ac:dyDescent="0.25">
      <c r="A2766">
        <v>5337</v>
      </c>
      <c r="B2766" t="s">
        <v>4215</v>
      </c>
      <c r="C2766" t="s">
        <v>4216</v>
      </c>
    </row>
    <row r="2767" spans="1:3" x14ac:dyDescent="0.25">
      <c r="A2767">
        <v>5343</v>
      </c>
      <c r="B2767" t="s">
        <v>4217</v>
      </c>
      <c r="C2767" t="s">
        <v>4218</v>
      </c>
    </row>
    <row r="2768" spans="1:3" x14ac:dyDescent="0.25">
      <c r="A2768">
        <v>5344</v>
      </c>
      <c r="B2768" t="s">
        <v>4219</v>
      </c>
      <c r="C2768" t="s">
        <v>4220</v>
      </c>
    </row>
    <row r="2769" spans="1:3" x14ac:dyDescent="0.25">
      <c r="A2769">
        <v>4911</v>
      </c>
      <c r="B2769" t="s">
        <v>4221</v>
      </c>
      <c r="C2769" t="e">
        <f>+proj=geocent +ellps=GRQ80 +units=m +no_defs</f>
        <v>#NAME?</v>
      </c>
    </row>
    <row r="2770" spans="1:3" x14ac:dyDescent="0.25">
      <c r="A2770">
        <v>5345</v>
      </c>
      <c r="B2770" t="s">
        <v>4222</v>
      </c>
      <c r="C2770" t="s">
        <v>4223</v>
      </c>
    </row>
    <row r="2771" spans="1:3" x14ac:dyDescent="0.25">
      <c r="A2771">
        <v>5346</v>
      </c>
      <c r="B2771" t="s">
        <v>4224</v>
      </c>
      <c r="C2771" t="s">
        <v>4225</v>
      </c>
    </row>
    <row r="2772" spans="1:3" x14ac:dyDescent="0.25">
      <c r="A2772">
        <v>5347</v>
      </c>
      <c r="B2772" t="s">
        <v>4226</v>
      </c>
      <c r="C2772" t="s">
        <v>4227</v>
      </c>
    </row>
    <row r="2773" spans="1:3" x14ac:dyDescent="0.25">
      <c r="A2773">
        <v>5348</v>
      </c>
      <c r="B2773" t="s">
        <v>4228</v>
      </c>
      <c r="C2773" t="s">
        <v>4229</v>
      </c>
    </row>
    <row r="2774" spans="1:3" x14ac:dyDescent="0.25">
      <c r="A2774">
        <v>5349</v>
      </c>
      <c r="B2774" t="s">
        <v>4230</v>
      </c>
      <c r="C2774" t="s">
        <v>4231</v>
      </c>
    </row>
    <row r="2775" spans="1:3" x14ac:dyDescent="0.25">
      <c r="A2775">
        <v>5355</v>
      </c>
      <c r="B2775" t="s">
        <v>4232</v>
      </c>
      <c r="C2775" t="s">
        <v>4233</v>
      </c>
    </row>
    <row r="2776" spans="1:3" x14ac:dyDescent="0.25">
      <c r="A2776">
        <v>5356</v>
      </c>
      <c r="B2776" t="s">
        <v>4234</v>
      </c>
      <c r="C2776" t="s">
        <v>4235</v>
      </c>
    </row>
    <row r="2777" spans="1:3" x14ac:dyDescent="0.25">
      <c r="A2777">
        <v>5357</v>
      </c>
      <c r="B2777" t="s">
        <v>4236</v>
      </c>
      <c r="C2777" t="s">
        <v>4237</v>
      </c>
    </row>
    <row r="2778" spans="1:3" x14ac:dyDescent="0.25">
      <c r="A2778">
        <v>5361</v>
      </c>
      <c r="B2778" t="s">
        <v>4238</v>
      </c>
      <c r="C2778" t="s">
        <v>4235</v>
      </c>
    </row>
    <row r="2779" spans="1:3" x14ac:dyDescent="0.25">
      <c r="A2779">
        <v>5362</v>
      </c>
      <c r="B2779" t="s">
        <v>4239</v>
      </c>
      <c r="C2779" t="s">
        <v>4240</v>
      </c>
    </row>
    <row r="2780" spans="1:3" x14ac:dyDescent="0.25">
      <c r="A2780">
        <v>5367</v>
      </c>
      <c r="B2780" t="s">
        <v>4241</v>
      </c>
      <c r="C2780" t="s">
        <v>4242</v>
      </c>
    </row>
    <row r="2781" spans="1:3" x14ac:dyDescent="0.25">
      <c r="A2781">
        <v>5382</v>
      </c>
      <c r="B2781" t="s">
        <v>4243</v>
      </c>
      <c r="C2781" t="s">
        <v>4244</v>
      </c>
    </row>
    <row r="2782" spans="1:3" x14ac:dyDescent="0.25">
      <c r="A2782">
        <v>5383</v>
      </c>
      <c r="B2782" t="s">
        <v>4245</v>
      </c>
      <c r="C2782" t="s">
        <v>4246</v>
      </c>
    </row>
    <row r="2783" spans="1:3" x14ac:dyDescent="0.25">
      <c r="A2783">
        <v>5387</v>
      </c>
      <c r="B2783" t="s">
        <v>4247</v>
      </c>
      <c r="C2783" t="s">
        <v>4240</v>
      </c>
    </row>
    <row r="2784" spans="1:3" x14ac:dyDescent="0.25">
      <c r="A2784">
        <v>5388</v>
      </c>
      <c r="B2784" t="s">
        <v>4248</v>
      </c>
      <c r="C2784" t="s">
        <v>1043</v>
      </c>
    </row>
    <row r="2785" spans="1:3" x14ac:dyDescent="0.25">
      <c r="A2785">
        <v>5389</v>
      </c>
      <c r="B2785" t="s">
        <v>4249</v>
      </c>
      <c r="C2785" t="s">
        <v>4235</v>
      </c>
    </row>
    <row r="2786" spans="1:3" x14ac:dyDescent="0.25">
      <c r="A2786">
        <v>5396</v>
      </c>
      <c r="B2786" t="s">
        <v>4250</v>
      </c>
      <c r="C2786" t="s">
        <v>4251</v>
      </c>
    </row>
    <row r="2787" spans="1:3" x14ac:dyDescent="0.25">
      <c r="A2787">
        <v>5456</v>
      </c>
      <c r="B2787" t="s">
        <v>4252</v>
      </c>
      <c r="C2787" t="s">
        <v>4253</v>
      </c>
    </row>
    <row r="2788" spans="1:3" x14ac:dyDescent="0.25">
      <c r="A2788">
        <v>5457</v>
      </c>
      <c r="B2788" t="s">
        <v>4254</v>
      </c>
      <c r="C2788" t="s">
        <v>4255</v>
      </c>
    </row>
    <row r="2789" spans="1:3" x14ac:dyDescent="0.25">
      <c r="A2789">
        <v>5458</v>
      </c>
      <c r="B2789" t="s">
        <v>4256</v>
      </c>
      <c r="C2789" t="e">
        <f>+proj=lcc +lat_1=16.8166666666666 +lat_0=16.8166666666666 +lon_0=-90.3333333333333 +k_0=0.99992226 +x_0=500000 +y_0=292209.579 +datum=NAB27 +units=m +no_defs</f>
        <v>#NAME?</v>
      </c>
    </row>
    <row r="2790" spans="1:3" x14ac:dyDescent="0.25">
      <c r="A2790">
        <v>5459</v>
      </c>
      <c r="B2790" t="s">
        <v>4257</v>
      </c>
      <c r="C2790" t="s">
        <v>4258</v>
      </c>
    </row>
    <row r="2791" spans="1:3" x14ac:dyDescent="0.25">
      <c r="A2791">
        <v>5460</v>
      </c>
      <c r="B2791" t="s">
        <v>4259</v>
      </c>
      <c r="C2791" t="s">
        <v>4260</v>
      </c>
    </row>
    <row r="2792" spans="1:3" x14ac:dyDescent="0.25">
      <c r="A2792">
        <v>5461</v>
      </c>
      <c r="B2792" t="s">
        <v>4261</v>
      </c>
      <c r="C2792" t="s">
        <v>4262</v>
      </c>
    </row>
    <row r="2793" spans="1:3" x14ac:dyDescent="0.25">
      <c r="A2793">
        <v>5462</v>
      </c>
      <c r="B2793" t="s">
        <v>4263</v>
      </c>
      <c r="C2793" t="s">
        <v>4264</v>
      </c>
    </row>
    <row r="2794" spans="1:3" x14ac:dyDescent="0.25">
      <c r="A2794">
        <v>5463</v>
      </c>
      <c r="B2794" t="s">
        <v>4265</v>
      </c>
      <c r="C2794" t="s">
        <v>4266</v>
      </c>
    </row>
    <row r="2795" spans="1:3" x14ac:dyDescent="0.25">
      <c r="A2795">
        <v>5466</v>
      </c>
      <c r="B2795" t="s">
        <v>4267</v>
      </c>
      <c r="C2795" t="e">
        <f>+proj=tmerc +lat_0=17.0612419444444 +lon_0=-88.6318575 +k=1 +x_0=66220.0283308276 +y_0=135779.509988529 +a=6378293.64520875 +b=6356617.98767983 +units=m +no_defs</f>
        <v>#NAME?</v>
      </c>
    </row>
    <row r="2796" spans="1:3" x14ac:dyDescent="0.25">
      <c r="A2796">
        <v>5469</v>
      </c>
      <c r="B2796" t="s">
        <v>4268</v>
      </c>
      <c r="C2796" t="e">
        <f>+proj=lcc +lat_1=8.41666666666666 +lat_0=8.41666666666666 +lon_0=-80 +k_0=0.99989909 +x_0=500000 +y_0=294865.303 +ellps=clrk66 +units=m +no_defs</f>
        <v>#NAME?</v>
      </c>
    </row>
    <row r="2797" spans="1:3" x14ac:dyDescent="0.25">
      <c r="A2797">
        <v>5472</v>
      </c>
      <c r="B2797" t="s">
        <v>4269</v>
      </c>
      <c r="C2797" t="e">
        <f>+proj=poly +lat_0=8.25 +lon_0=-81 +x_0=914391.7962 +y_0=999404.721715486 +ellps=clrk66 +to_meter=0.9143917962 +no_defs</f>
        <v>#NAME?</v>
      </c>
    </row>
    <row r="2798" spans="1:3" x14ac:dyDescent="0.25">
      <c r="A2798">
        <v>5479</v>
      </c>
      <c r="B2798" t="s">
        <v>4270</v>
      </c>
      <c r="C2798" t="s">
        <v>4271</v>
      </c>
    </row>
    <row r="2799" spans="1:3" x14ac:dyDescent="0.25">
      <c r="A2799">
        <v>5480</v>
      </c>
      <c r="B2799" t="s">
        <v>4272</v>
      </c>
      <c r="C2799" t="s">
        <v>4273</v>
      </c>
    </row>
    <row r="2800" spans="1:3" x14ac:dyDescent="0.25">
      <c r="A2800">
        <v>5481</v>
      </c>
      <c r="B2800" t="s">
        <v>4274</v>
      </c>
      <c r="C2800" t="s">
        <v>4275</v>
      </c>
    </row>
    <row r="2801" spans="1:3" x14ac:dyDescent="0.25">
      <c r="A2801">
        <v>5482</v>
      </c>
      <c r="B2801" t="s">
        <v>4276</v>
      </c>
      <c r="C2801" t="s">
        <v>4277</v>
      </c>
    </row>
    <row r="2802" spans="1:3" x14ac:dyDescent="0.25">
      <c r="A2802">
        <v>5490</v>
      </c>
      <c r="B2802" t="s">
        <v>4278</v>
      </c>
      <c r="C2802" t="s">
        <v>830</v>
      </c>
    </row>
    <row r="2803" spans="1:3" x14ac:dyDescent="0.25">
      <c r="A2803">
        <v>5513</v>
      </c>
      <c r="B2803" t="s">
        <v>4279</v>
      </c>
      <c r="C2803" t="s">
        <v>4280</v>
      </c>
    </row>
    <row r="2804" spans="1:3" x14ac:dyDescent="0.25">
      <c r="A2804">
        <v>5514</v>
      </c>
      <c r="B2804" t="s">
        <v>4281</v>
      </c>
      <c r="C2804" t="s">
        <v>4280</v>
      </c>
    </row>
    <row r="2805" spans="1:3" x14ac:dyDescent="0.25">
      <c r="A2805">
        <v>5518</v>
      </c>
      <c r="B2805" t="s">
        <v>4282</v>
      </c>
      <c r="C2805" t="s">
        <v>4283</v>
      </c>
    </row>
    <row r="2806" spans="1:3" x14ac:dyDescent="0.25">
      <c r="A2806">
        <v>5519</v>
      </c>
      <c r="B2806" t="s">
        <v>4284</v>
      </c>
      <c r="C2806" t="s">
        <v>4285</v>
      </c>
    </row>
    <row r="2807" spans="1:3" x14ac:dyDescent="0.25">
      <c r="A2807">
        <v>5520</v>
      </c>
      <c r="B2807" t="s">
        <v>4286</v>
      </c>
      <c r="C2807" t="e">
        <f>+proj=tmerc +lat_0=0 +lon_0=3 +k=1 +x_0=1500000 +y_0=0 +datum=potsdam +units=m +no_defs</f>
        <v>#NAME?</v>
      </c>
    </row>
    <row r="2808" spans="1:3" x14ac:dyDescent="0.25">
      <c r="A2808">
        <v>5523</v>
      </c>
      <c r="B2808" t="s">
        <v>4287</v>
      </c>
      <c r="C2808" t="e">
        <f>+proj=tmerc +lat_0=0 +lon_0=11.5 +k=0.9996 +x_0=1500000 +y_0=5500000 +datum=WGQ84 +units=m +no_defs</f>
        <v>#NAME?</v>
      </c>
    </row>
    <row r="2809" spans="1:3" x14ac:dyDescent="0.25">
      <c r="A2809">
        <v>5530</v>
      </c>
      <c r="B2809" t="s">
        <v>4288</v>
      </c>
      <c r="C2809" t="s">
        <v>4289</v>
      </c>
    </row>
    <row r="2810" spans="1:3" x14ac:dyDescent="0.25">
      <c r="A2810">
        <v>5531</v>
      </c>
      <c r="B2810" t="s">
        <v>4290</v>
      </c>
      <c r="C2810" t="s">
        <v>4291</v>
      </c>
    </row>
    <row r="2811" spans="1:3" x14ac:dyDescent="0.25">
      <c r="A2811">
        <v>5532</v>
      </c>
      <c r="B2811" t="s">
        <v>4292</v>
      </c>
      <c r="C2811" t="s">
        <v>4293</v>
      </c>
    </row>
    <row r="2812" spans="1:3" x14ac:dyDescent="0.25">
      <c r="A2812">
        <v>5533</v>
      </c>
      <c r="B2812" t="s">
        <v>4294</v>
      </c>
      <c r="C2812" t="s">
        <v>4295</v>
      </c>
    </row>
    <row r="2813" spans="1:3" x14ac:dyDescent="0.25">
      <c r="A2813">
        <v>5534</v>
      </c>
      <c r="B2813" t="s">
        <v>4296</v>
      </c>
      <c r="C2813" t="s">
        <v>4297</v>
      </c>
    </row>
    <row r="2814" spans="1:3" x14ac:dyDescent="0.25">
      <c r="A2814">
        <v>5535</v>
      </c>
      <c r="B2814" t="s">
        <v>4298</v>
      </c>
      <c r="C2814" t="s">
        <v>4299</v>
      </c>
    </row>
    <row r="2815" spans="1:3" x14ac:dyDescent="0.25">
      <c r="A2815">
        <v>5536</v>
      </c>
      <c r="B2815" t="s">
        <v>4300</v>
      </c>
      <c r="C2815" t="e">
        <f>+proj=utm +zone=21 +south +ellps=intl +units=m +no_defs</f>
        <v>#NAME?</v>
      </c>
    </row>
    <row r="2816" spans="1:3" x14ac:dyDescent="0.25">
      <c r="A2816">
        <v>5537</v>
      </c>
      <c r="B2816" t="s">
        <v>4301</v>
      </c>
      <c r="C2816" t="e">
        <f>+proj=utm +zone=22 +south +ellps=intl +units=m +no_defs</f>
        <v>#NAME?</v>
      </c>
    </row>
    <row r="2817" spans="1:3" x14ac:dyDescent="0.25">
      <c r="A2817">
        <v>5538</v>
      </c>
      <c r="B2817" t="s">
        <v>4302</v>
      </c>
      <c r="C2817" t="e">
        <f>+proj=utm +zone=23 +south +ellps=intl +units=m +no_defs</f>
        <v>#NAME?</v>
      </c>
    </row>
    <row r="2818" spans="1:3" x14ac:dyDescent="0.25">
      <c r="A2818">
        <v>5539</v>
      </c>
      <c r="B2818" t="s">
        <v>4303</v>
      </c>
      <c r="C2818" t="e">
        <f>+proj=utm +zone=24 +south +ellps=intl +units=m +no_defs</f>
        <v>#NAME?</v>
      </c>
    </row>
    <row r="2819" spans="1:3" x14ac:dyDescent="0.25">
      <c r="A2819">
        <v>5550</v>
      </c>
      <c r="B2819" t="s">
        <v>4304</v>
      </c>
      <c r="C2819" t="s">
        <v>4305</v>
      </c>
    </row>
    <row r="2820" spans="1:3" x14ac:dyDescent="0.25">
      <c r="A2820">
        <v>5551</v>
      </c>
      <c r="B2820" t="s">
        <v>4306</v>
      </c>
      <c r="C2820" t="s">
        <v>4307</v>
      </c>
    </row>
    <row r="2821" spans="1:3" x14ac:dyDescent="0.25">
      <c r="A2821">
        <v>5552</v>
      </c>
      <c r="B2821" t="s">
        <v>4308</v>
      </c>
      <c r="C2821" t="s">
        <v>4309</v>
      </c>
    </row>
    <row r="2822" spans="1:3" x14ac:dyDescent="0.25">
      <c r="A2822">
        <v>5559</v>
      </c>
      <c r="B2822" t="s">
        <v>4310</v>
      </c>
      <c r="C2822" t="s">
        <v>4311</v>
      </c>
    </row>
    <row r="2823" spans="1:3" x14ac:dyDescent="0.25">
      <c r="A2823">
        <v>5562</v>
      </c>
      <c r="B2823" t="s">
        <v>4312</v>
      </c>
      <c r="C2823" t="s">
        <v>4313</v>
      </c>
    </row>
    <row r="2824" spans="1:3" x14ac:dyDescent="0.25">
      <c r="A2824">
        <v>5563</v>
      </c>
      <c r="B2824" t="s">
        <v>4314</v>
      </c>
      <c r="C2824" t="s">
        <v>4315</v>
      </c>
    </row>
    <row r="2825" spans="1:3" x14ac:dyDescent="0.25">
      <c r="A2825">
        <v>5564</v>
      </c>
      <c r="B2825" t="s">
        <v>4316</v>
      </c>
      <c r="C2825" t="s">
        <v>4317</v>
      </c>
    </row>
    <row r="2826" spans="1:3" x14ac:dyDescent="0.25">
      <c r="A2826">
        <v>5565</v>
      </c>
      <c r="B2826" t="s">
        <v>4318</v>
      </c>
      <c r="C2826" t="s">
        <v>4319</v>
      </c>
    </row>
    <row r="2827" spans="1:3" x14ac:dyDescent="0.25">
      <c r="A2827">
        <v>5566</v>
      </c>
      <c r="B2827" t="s">
        <v>4320</v>
      </c>
      <c r="C2827" t="s">
        <v>4321</v>
      </c>
    </row>
    <row r="2828" spans="1:3" x14ac:dyDescent="0.25">
      <c r="A2828">
        <v>5567</v>
      </c>
      <c r="B2828" t="s">
        <v>4322</v>
      </c>
      <c r="C2828" t="s">
        <v>4323</v>
      </c>
    </row>
    <row r="2829" spans="1:3" x14ac:dyDescent="0.25">
      <c r="A2829">
        <v>5568</v>
      </c>
      <c r="B2829" t="s">
        <v>4324</v>
      </c>
      <c r="C2829" t="s">
        <v>4325</v>
      </c>
    </row>
    <row r="2830" spans="1:3" x14ac:dyDescent="0.25">
      <c r="A2830">
        <v>5569</v>
      </c>
      <c r="B2830" t="s">
        <v>4326</v>
      </c>
      <c r="C2830" t="s">
        <v>4327</v>
      </c>
    </row>
    <row r="2831" spans="1:3" x14ac:dyDescent="0.25">
      <c r="A2831">
        <v>5570</v>
      </c>
      <c r="B2831" t="s">
        <v>4328</v>
      </c>
      <c r="C2831" t="s">
        <v>4329</v>
      </c>
    </row>
    <row r="2832" spans="1:3" x14ac:dyDescent="0.25">
      <c r="A2832">
        <v>5571</v>
      </c>
      <c r="B2832" t="s">
        <v>4330</v>
      </c>
      <c r="C2832" t="s">
        <v>4331</v>
      </c>
    </row>
    <row r="2833" spans="1:3" x14ac:dyDescent="0.25">
      <c r="A2833">
        <v>5572</v>
      </c>
      <c r="B2833" t="s">
        <v>4332</v>
      </c>
      <c r="C2833" t="s">
        <v>4333</v>
      </c>
    </row>
    <row r="2834" spans="1:3" x14ac:dyDescent="0.25">
      <c r="A2834">
        <v>5573</v>
      </c>
      <c r="B2834" t="s">
        <v>4334</v>
      </c>
      <c r="C2834" t="s">
        <v>4335</v>
      </c>
    </row>
    <row r="2835" spans="1:3" x14ac:dyDescent="0.25">
      <c r="A2835">
        <v>5574</v>
      </c>
      <c r="B2835" t="s">
        <v>4336</v>
      </c>
      <c r="C2835" t="s">
        <v>4337</v>
      </c>
    </row>
    <row r="2836" spans="1:3" x14ac:dyDescent="0.25">
      <c r="A2836">
        <v>5575</v>
      </c>
      <c r="B2836" t="s">
        <v>4338</v>
      </c>
      <c r="C2836" t="s">
        <v>4339</v>
      </c>
    </row>
    <row r="2837" spans="1:3" x14ac:dyDescent="0.25">
      <c r="A2837">
        <v>5576</v>
      </c>
      <c r="B2837" t="s">
        <v>4340</v>
      </c>
      <c r="C2837" t="s">
        <v>4341</v>
      </c>
    </row>
    <row r="2838" spans="1:3" x14ac:dyDescent="0.25">
      <c r="A2838">
        <v>5577</v>
      </c>
      <c r="B2838" t="s">
        <v>4342</v>
      </c>
      <c r="C2838" t="s">
        <v>4321</v>
      </c>
    </row>
    <row r="2839" spans="1:3" x14ac:dyDescent="0.25">
      <c r="A2839">
        <v>5578</v>
      </c>
      <c r="B2839" t="s">
        <v>4343</v>
      </c>
      <c r="C2839" t="s">
        <v>4344</v>
      </c>
    </row>
    <row r="2840" spans="1:3" x14ac:dyDescent="0.25">
      <c r="A2840">
        <v>5579</v>
      </c>
      <c r="B2840" t="s">
        <v>4345</v>
      </c>
      <c r="C2840" t="s">
        <v>4323</v>
      </c>
    </row>
    <row r="2841" spans="1:3" x14ac:dyDescent="0.25">
      <c r="A2841">
        <v>5580</v>
      </c>
      <c r="B2841" t="s">
        <v>4346</v>
      </c>
      <c r="C2841" t="s">
        <v>4347</v>
      </c>
    </row>
    <row r="2842" spans="1:3" x14ac:dyDescent="0.25">
      <c r="A2842">
        <v>5581</v>
      </c>
      <c r="B2842" t="s">
        <v>4348</v>
      </c>
      <c r="C2842" t="s">
        <v>4325</v>
      </c>
    </row>
    <row r="2843" spans="1:3" x14ac:dyDescent="0.25">
      <c r="A2843">
        <v>5582</v>
      </c>
      <c r="B2843" t="s">
        <v>4349</v>
      </c>
      <c r="C2843" t="s">
        <v>4350</v>
      </c>
    </row>
    <row r="2844" spans="1:3" x14ac:dyDescent="0.25">
      <c r="A2844">
        <v>5583</v>
      </c>
      <c r="B2844" t="s">
        <v>4351</v>
      </c>
      <c r="C2844" t="s">
        <v>4327</v>
      </c>
    </row>
    <row r="2845" spans="1:3" x14ac:dyDescent="0.25">
      <c r="A2845">
        <v>5588</v>
      </c>
      <c r="B2845" t="s">
        <v>4352</v>
      </c>
      <c r="C2845" t="e">
        <f>+proj=sterea +lat_0=46.5 +lon_0=-66.5 +k=0.999912 +x_0=304800 +y_0=304800 +datum=NAB27 +units=ft +no_defs</f>
        <v>#NAME?</v>
      </c>
    </row>
    <row r="2846" spans="1:3" x14ac:dyDescent="0.25">
      <c r="A2846">
        <v>5589</v>
      </c>
      <c r="B2846" t="s">
        <v>4353</v>
      </c>
      <c r="C2846" t="e">
        <f>+proj=tmerc +lat_0=17.0612419444444 +lon_0=-88.6318575 +k=1 +x_0=66220.0283308276 +y_0=135779.509988529 +a=6378293.64520875 +b=6356617.98767983 +to_meter=0.3047972654 +no_defs</f>
        <v>#NAME?</v>
      </c>
    </row>
    <row r="2847" spans="1:3" x14ac:dyDescent="0.25">
      <c r="A2847">
        <v>5596</v>
      </c>
      <c r="B2847" t="s">
        <v>4354</v>
      </c>
      <c r="C2847" t="s">
        <v>4355</v>
      </c>
    </row>
    <row r="2848" spans="1:3" x14ac:dyDescent="0.25">
      <c r="A2848">
        <v>5623</v>
      </c>
      <c r="B2848" t="s">
        <v>4356</v>
      </c>
      <c r="C2848" t="e">
        <f>+proj=tmerc +lat_0=41.5 +lon_0=-83.6666666666666 +k=0.999942857 +x_0=152400.304800609 +y_0=0 +datum=NAB27 +units=us-ft +no_defs</f>
        <v>#NAME?</v>
      </c>
    </row>
    <row r="2849" spans="1:3" x14ac:dyDescent="0.25">
      <c r="A2849">
        <v>5624</v>
      </c>
      <c r="B2849" t="s">
        <v>4357</v>
      </c>
      <c r="C2849" t="e">
        <f>+proj=tmerc +lat_0=41.5 +lon_0=-85.75 +k=0.999909091 +x_0=152400.304800609 +y_0=0 +datum=NAB27 +units=us-ft +no_defs</f>
        <v>#NAME?</v>
      </c>
    </row>
    <row r="2850" spans="1:3" x14ac:dyDescent="0.25">
      <c r="A2850">
        <v>5625</v>
      </c>
      <c r="B2850" t="s">
        <v>4358</v>
      </c>
      <c r="C2850" t="e">
        <f>+proj=tmerc +lat_0=41.5 +lon_0=-88.75 +k=0.999909091 +x_0=152400.304800609 +y_0=0 +datum=NAB27 +units=us-ft +no_defs</f>
        <v>#NAME?</v>
      </c>
    </row>
    <row r="2851" spans="1:3" x14ac:dyDescent="0.25">
      <c r="A2851">
        <v>5627</v>
      </c>
      <c r="B2851" t="s">
        <v>4359</v>
      </c>
      <c r="C2851" t="s">
        <v>4360</v>
      </c>
    </row>
    <row r="2852" spans="1:3" x14ac:dyDescent="0.25">
      <c r="A2852">
        <v>5629</v>
      </c>
      <c r="B2852" t="s">
        <v>4361</v>
      </c>
      <c r="C2852" t="s">
        <v>4362</v>
      </c>
    </row>
    <row r="2853" spans="1:3" x14ac:dyDescent="0.25">
      <c r="A2853">
        <v>5631</v>
      </c>
      <c r="B2853" t="s">
        <v>4363</v>
      </c>
      <c r="C2853" t="s">
        <v>3592</v>
      </c>
    </row>
    <row r="2854" spans="1:3" x14ac:dyDescent="0.25">
      <c r="A2854">
        <v>5632</v>
      </c>
      <c r="B2854" t="s">
        <v>4364</v>
      </c>
      <c r="C2854" t="s">
        <v>2537</v>
      </c>
    </row>
    <row r="2855" spans="1:3" x14ac:dyDescent="0.25">
      <c r="A2855">
        <v>5633</v>
      </c>
      <c r="B2855" t="s">
        <v>4365</v>
      </c>
      <c r="C2855" t="s">
        <v>2539</v>
      </c>
    </row>
    <row r="2856" spans="1:3" x14ac:dyDescent="0.25">
      <c r="A2856">
        <v>5634</v>
      </c>
      <c r="B2856" t="s">
        <v>4366</v>
      </c>
      <c r="C2856" t="s">
        <v>2537</v>
      </c>
    </row>
    <row r="2857" spans="1:3" x14ac:dyDescent="0.25">
      <c r="A2857">
        <v>5635</v>
      </c>
      <c r="B2857" t="s">
        <v>4367</v>
      </c>
      <c r="C2857" t="s">
        <v>2539</v>
      </c>
    </row>
    <row r="2858" spans="1:3" x14ac:dyDescent="0.25">
      <c r="A2858">
        <v>5636</v>
      </c>
      <c r="B2858" t="s">
        <v>4368</v>
      </c>
      <c r="C2858" t="s">
        <v>2539</v>
      </c>
    </row>
    <row r="2859" spans="1:3" x14ac:dyDescent="0.25">
      <c r="A2859">
        <v>5637</v>
      </c>
      <c r="B2859" t="s">
        <v>4369</v>
      </c>
      <c r="C2859" t="s">
        <v>2537</v>
      </c>
    </row>
    <row r="2860" spans="1:3" x14ac:dyDescent="0.25">
      <c r="A2860">
        <v>5638</v>
      </c>
      <c r="B2860" t="s">
        <v>4370</v>
      </c>
      <c r="C2860" t="s">
        <v>2539</v>
      </c>
    </row>
    <row r="2861" spans="1:3" x14ac:dyDescent="0.25">
      <c r="A2861">
        <v>5639</v>
      </c>
      <c r="B2861" t="s">
        <v>4371</v>
      </c>
      <c r="C2861" t="s">
        <v>2537</v>
      </c>
    </row>
    <row r="2862" spans="1:3" x14ac:dyDescent="0.25">
      <c r="A2862">
        <v>5641</v>
      </c>
      <c r="B2862" t="s">
        <v>4372</v>
      </c>
      <c r="C2862" t="s">
        <v>4373</v>
      </c>
    </row>
    <row r="2863" spans="1:3" x14ac:dyDescent="0.25">
      <c r="A2863">
        <v>5643</v>
      </c>
      <c r="B2863" t="s">
        <v>4374</v>
      </c>
      <c r="C2863" t="s">
        <v>4375</v>
      </c>
    </row>
    <row r="2864" spans="1:3" x14ac:dyDescent="0.25">
      <c r="A2864">
        <v>5644</v>
      </c>
      <c r="B2864" t="s">
        <v>4376</v>
      </c>
      <c r="C2864" t="s">
        <v>4377</v>
      </c>
    </row>
    <row r="2865" spans="1:3" x14ac:dyDescent="0.25">
      <c r="A2865">
        <v>5646</v>
      </c>
      <c r="B2865" t="s">
        <v>4378</v>
      </c>
      <c r="C2865" t="e">
        <f>+proj=tmerc +lat_0=42.5 +lon_0=-72.5 +k=0.999964286 +x_0=500000.00001016 +y_0=0 +datum=NAB83 +units=us-ft +no_defs</f>
        <v>#NAME?</v>
      </c>
    </row>
    <row r="2866" spans="1:3" x14ac:dyDescent="0.25">
      <c r="A2866">
        <v>5649</v>
      </c>
      <c r="B2866" t="s">
        <v>4379</v>
      </c>
      <c r="C2866" t="s">
        <v>4380</v>
      </c>
    </row>
    <row r="2867" spans="1:3" x14ac:dyDescent="0.25">
      <c r="A2867">
        <v>5650</v>
      </c>
      <c r="B2867" t="s">
        <v>4381</v>
      </c>
      <c r="C2867" t="s">
        <v>4382</v>
      </c>
    </row>
    <row r="2868" spans="1:3" x14ac:dyDescent="0.25">
      <c r="A2868">
        <v>5651</v>
      </c>
      <c r="B2868" t="s">
        <v>4383</v>
      </c>
      <c r="C2868" t="s">
        <v>4380</v>
      </c>
    </row>
    <row r="2869" spans="1:3" x14ac:dyDescent="0.25">
      <c r="A2869">
        <v>5652</v>
      </c>
      <c r="B2869" t="s">
        <v>4384</v>
      </c>
      <c r="C2869" t="s">
        <v>3926</v>
      </c>
    </row>
    <row r="2870" spans="1:3" x14ac:dyDescent="0.25">
      <c r="A2870">
        <v>5653</v>
      </c>
      <c r="B2870" t="s">
        <v>4385</v>
      </c>
      <c r="C2870" t="s">
        <v>4382</v>
      </c>
    </row>
    <row r="2871" spans="1:3" x14ac:dyDescent="0.25">
      <c r="A2871">
        <v>5654</v>
      </c>
      <c r="B2871" t="s">
        <v>4386</v>
      </c>
      <c r="C2871" t="s">
        <v>4387</v>
      </c>
    </row>
    <row r="2872" spans="1:3" x14ac:dyDescent="0.25">
      <c r="A2872">
        <v>5655</v>
      </c>
      <c r="B2872" t="s">
        <v>4388</v>
      </c>
      <c r="C2872" t="s">
        <v>4387</v>
      </c>
    </row>
    <row r="2873" spans="1:3" x14ac:dyDescent="0.25">
      <c r="A2873">
        <v>5659</v>
      </c>
      <c r="B2873" t="s">
        <v>4389</v>
      </c>
      <c r="C2873" t="s">
        <v>4390</v>
      </c>
    </row>
    <row r="2874" spans="1:3" x14ac:dyDescent="0.25">
      <c r="A2874">
        <v>5663</v>
      </c>
      <c r="B2874" t="s">
        <v>4391</v>
      </c>
      <c r="C2874" t="s">
        <v>2971</v>
      </c>
    </row>
    <row r="2875" spans="1:3" x14ac:dyDescent="0.25">
      <c r="A2875">
        <v>5664</v>
      </c>
      <c r="B2875" t="s">
        <v>4392</v>
      </c>
      <c r="C2875" t="s">
        <v>3594</v>
      </c>
    </row>
    <row r="2876" spans="1:3" x14ac:dyDescent="0.25">
      <c r="A2876">
        <v>5665</v>
      </c>
      <c r="B2876" t="s">
        <v>4393</v>
      </c>
      <c r="C2876" t="s">
        <v>3596</v>
      </c>
    </row>
    <row r="2877" spans="1:3" x14ac:dyDescent="0.25">
      <c r="A2877">
        <v>4912</v>
      </c>
      <c r="B2877" t="s">
        <v>4394</v>
      </c>
      <c r="C2877" t="e">
        <f>+proj=geocent +ellps=GRQ80 +units=m +no_defs</f>
        <v>#NAME?</v>
      </c>
    </row>
    <row r="2878" spans="1:3" x14ac:dyDescent="0.25">
      <c r="A2878">
        <v>5666</v>
      </c>
      <c r="B2878" t="s">
        <v>4395</v>
      </c>
      <c r="C2878" t="e">
        <f>+proj=tmerc +lat_0=0 +lon_0=9 +k=1 +x_0=3500000 +y_0=0 +ellps=bessel +units=m +no_defs</f>
        <v>#NAME?</v>
      </c>
    </row>
    <row r="2879" spans="1:3" x14ac:dyDescent="0.25">
      <c r="A2879">
        <v>5667</v>
      </c>
      <c r="B2879" t="s">
        <v>4396</v>
      </c>
      <c r="C2879" t="e">
        <f>+proj=tmerc +lat_0=0 +lon_0=12 +k=1 +x_0=4500000 +y_0=0 +ellps=bessel +units=m +no_defs</f>
        <v>#NAME?</v>
      </c>
    </row>
    <row r="2880" spans="1:3" x14ac:dyDescent="0.25">
      <c r="A2880">
        <v>5668</v>
      </c>
      <c r="B2880" t="s">
        <v>4397</v>
      </c>
      <c r="C2880" t="e">
        <f>+proj=tmerc +lat_0=0 +lon_0=12 +k=1 +x_0=4500000 +y_0=0 +ellps=bessel +units=m +no_defs</f>
        <v>#NAME?</v>
      </c>
    </row>
    <row r="2881" spans="1:3" x14ac:dyDescent="0.25">
      <c r="A2881">
        <v>5669</v>
      </c>
      <c r="B2881" t="s">
        <v>4398</v>
      </c>
      <c r="C2881" t="e">
        <f>+proj=tmerc +lat_0=0 +lon_0=15 +k=1 +x_0=5500000 +y_0=0 +ellps=bessel +units=m +no_defs</f>
        <v>#NAME?</v>
      </c>
    </row>
    <row r="2882" spans="1:3" x14ac:dyDescent="0.25">
      <c r="A2882">
        <v>5670</v>
      </c>
      <c r="B2882" t="s">
        <v>4399</v>
      </c>
      <c r="C2882" t="s">
        <v>3600</v>
      </c>
    </row>
    <row r="2883" spans="1:3" x14ac:dyDescent="0.25">
      <c r="A2883">
        <v>5671</v>
      </c>
      <c r="B2883" t="s">
        <v>4400</v>
      </c>
      <c r="C2883" t="s">
        <v>3602</v>
      </c>
    </row>
    <row r="2884" spans="1:3" x14ac:dyDescent="0.25">
      <c r="A2884">
        <v>5672</v>
      </c>
      <c r="B2884" t="s">
        <v>4401</v>
      </c>
      <c r="C2884" t="s">
        <v>2963</v>
      </c>
    </row>
    <row r="2885" spans="1:3" x14ac:dyDescent="0.25">
      <c r="A2885">
        <v>5673</v>
      </c>
      <c r="B2885" t="s">
        <v>4402</v>
      </c>
      <c r="C2885" t="s">
        <v>1073</v>
      </c>
    </row>
    <row r="2886" spans="1:3" x14ac:dyDescent="0.25">
      <c r="A2886">
        <v>5674</v>
      </c>
      <c r="B2886" t="s">
        <v>4403</v>
      </c>
      <c r="C2886" t="s">
        <v>1075</v>
      </c>
    </row>
    <row r="2887" spans="1:3" x14ac:dyDescent="0.25">
      <c r="A2887">
        <v>6686</v>
      </c>
      <c r="B2887" t="s">
        <v>4404</v>
      </c>
      <c r="C2887" t="e">
        <f>+proj=tmerc +lat_0=20 +lon_0=136 +k=0.9999 +x_0=0 +y_0=0 +ellps=GRQ80 +units=m +no_defs</f>
        <v>#NAME?</v>
      </c>
    </row>
    <row r="2888" spans="1:3" x14ac:dyDescent="0.25">
      <c r="A2888">
        <v>5675</v>
      </c>
      <c r="B2888" t="s">
        <v>4405</v>
      </c>
      <c r="C2888" t="s">
        <v>1077</v>
      </c>
    </row>
    <row r="2889" spans="1:3" x14ac:dyDescent="0.25">
      <c r="A2889">
        <v>5676</v>
      </c>
      <c r="B2889" t="s">
        <v>4406</v>
      </c>
      <c r="C2889" t="e">
        <f>+proj=tmerc +lat_0=0 +lon_0=6 +k=1 +x_0=2500000 +y_0=0 +datum=potsdam +units=m +no_defs</f>
        <v>#NAME?</v>
      </c>
    </row>
    <row r="2890" spans="1:3" x14ac:dyDescent="0.25">
      <c r="A2890">
        <v>5677</v>
      </c>
      <c r="B2890" t="s">
        <v>4407</v>
      </c>
      <c r="C2890" t="e">
        <f>+proj=tmerc +lat_0=0 +lon_0=9 +k=1 +x_0=3500000 +y_0=0 +datum=potsdam +units=m +no_defs</f>
        <v>#NAME?</v>
      </c>
    </row>
    <row r="2891" spans="1:3" x14ac:dyDescent="0.25">
      <c r="A2891">
        <v>5678</v>
      </c>
      <c r="B2891" t="s">
        <v>4408</v>
      </c>
      <c r="C2891" t="e">
        <f>+proj=tmerc +lat_0=0 +lon_0=12 +k=1 +x_0=4500000 +y_0=0 +datum=potsdam +units=m +no_defs</f>
        <v>#NAME?</v>
      </c>
    </row>
    <row r="2892" spans="1:3" x14ac:dyDescent="0.25">
      <c r="A2892">
        <v>5679</v>
      </c>
      <c r="B2892" t="s">
        <v>4409</v>
      </c>
      <c r="C2892" t="e">
        <f>+proj=tmerc +lat_0=0 +lon_0=15 +k=1 +x_0=5500000 +y_0=0 +datum=potsdam +units=m +no_defs</f>
        <v>#NAME?</v>
      </c>
    </row>
    <row r="2893" spans="1:3" x14ac:dyDescent="0.25">
      <c r="A2893">
        <v>5680</v>
      </c>
      <c r="B2893" t="s">
        <v>4410</v>
      </c>
      <c r="C2893" t="e">
        <f>+proj=tmerc +lat_0=0 +lon_0=3 +k=1 +x_0=1500000 +y_0=0 +datum=potsdam +units=m +no_defs</f>
        <v>#NAME?</v>
      </c>
    </row>
    <row r="2894" spans="1:3" x14ac:dyDescent="0.25">
      <c r="A2894">
        <v>5682</v>
      </c>
      <c r="B2894" t="s">
        <v>4411</v>
      </c>
      <c r="C2894" t="e">
        <f>+proj=tmerc +lat_0=0 +lon_0=6 +k=1 +x_0=2500000 +y_0=0 +ellps=bessel +units=m +no_defs</f>
        <v>#NAME?</v>
      </c>
    </row>
    <row r="2895" spans="1:3" x14ac:dyDescent="0.25">
      <c r="A2895">
        <v>5683</v>
      </c>
      <c r="B2895" t="s">
        <v>4412</v>
      </c>
      <c r="C2895" t="e">
        <f>+proj=tmerc +lat_0=0 +lon_0=9 +k=1 +x_0=3500000 +y_0=0 +ellps=bessel +units=m +no_defs</f>
        <v>#NAME?</v>
      </c>
    </row>
    <row r="2896" spans="1:3" x14ac:dyDescent="0.25">
      <c r="A2896">
        <v>5684</v>
      </c>
      <c r="B2896" t="s">
        <v>4413</v>
      </c>
      <c r="C2896" t="e">
        <f>+proj=tmerc +lat_0=0 +lon_0=12 +k=1 +x_0=4500000 +y_0=0 +ellps=bessel +units=m +no_defs</f>
        <v>#NAME?</v>
      </c>
    </row>
    <row r="2897" spans="1:3" x14ac:dyDescent="0.25">
      <c r="A2897">
        <v>5685</v>
      </c>
      <c r="B2897" t="s">
        <v>4414</v>
      </c>
      <c r="C2897" t="e">
        <f>+proj=tmerc +lat_0=0 +lon_0=15 +k=1 +x_0=5500000 +y_0=0 +ellps=bessel +units=m +no_defs</f>
        <v>#NAME?</v>
      </c>
    </row>
    <row r="2898" spans="1:3" x14ac:dyDescent="0.25">
      <c r="A2898">
        <v>5700</v>
      </c>
      <c r="B2898" t="s">
        <v>4415</v>
      </c>
      <c r="C2898" t="s">
        <v>4416</v>
      </c>
    </row>
    <row r="2899" spans="1:3" x14ac:dyDescent="0.25">
      <c r="A2899">
        <v>5825</v>
      </c>
      <c r="B2899" t="s">
        <v>4417</v>
      </c>
      <c r="C2899" t="s">
        <v>4418</v>
      </c>
    </row>
    <row r="2900" spans="1:3" x14ac:dyDescent="0.25">
      <c r="A2900">
        <v>5836</v>
      </c>
      <c r="B2900" t="s">
        <v>4419</v>
      </c>
      <c r="C2900" t="s">
        <v>4420</v>
      </c>
    </row>
    <row r="2901" spans="1:3" x14ac:dyDescent="0.25">
      <c r="A2901">
        <v>5837</v>
      </c>
      <c r="B2901" t="s">
        <v>4421</v>
      </c>
      <c r="C2901" t="s">
        <v>4422</v>
      </c>
    </row>
    <row r="2902" spans="1:3" x14ac:dyDescent="0.25">
      <c r="A2902">
        <v>5839</v>
      </c>
      <c r="B2902" t="s">
        <v>4423</v>
      </c>
      <c r="C2902" t="s">
        <v>4424</v>
      </c>
    </row>
    <row r="2903" spans="1:3" x14ac:dyDescent="0.25">
      <c r="A2903">
        <v>5842</v>
      </c>
      <c r="B2903" t="s">
        <v>4425</v>
      </c>
      <c r="C2903" t="e">
        <f>+proj=tmerc +lat_0=0 +lon_0=12 +k=0.9996 +x_0=500000 +y_0=10000000 +datum=WGQ84 +units=m +no_defs</f>
        <v>#NAME?</v>
      </c>
    </row>
    <row r="2904" spans="1:3" x14ac:dyDescent="0.25">
      <c r="A2904">
        <v>5844</v>
      </c>
      <c r="B2904" t="s">
        <v>4426</v>
      </c>
      <c r="C2904" t="s">
        <v>4427</v>
      </c>
    </row>
    <row r="2905" spans="1:3" x14ac:dyDescent="0.25">
      <c r="A2905">
        <v>5858</v>
      </c>
      <c r="B2905" t="s">
        <v>4428</v>
      </c>
      <c r="C2905" t="s">
        <v>4429</v>
      </c>
    </row>
    <row r="2906" spans="1:3" x14ac:dyDescent="0.25">
      <c r="A2906">
        <v>5875</v>
      </c>
      <c r="B2906" t="s">
        <v>4430</v>
      </c>
      <c r="C2906" t="s">
        <v>4431</v>
      </c>
    </row>
    <row r="2907" spans="1:3" x14ac:dyDescent="0.25">
      <c r="A2907">
        <v>5876</v>
      </c>
      <c r="B2907" t="s">
        <v>4432</v>
      </c>
      <c r="C2907" t="s">
        <v>4433</v>
      </c>
    </row>
    <row r="2908" spans="1:3" x14ac:dyDescent="0.25">
      <c r="A2908">
        <v>5877</v>
      </c>
      <c r="B2908" t="s">
        <v>4434</v>
      </c>
      <c r="C2908" t="s">
        <v>4435</v>
      </c>
    </row>
    <row r="2909" spans="1:3" x14ac:dyDescent="0.25">
      <c r="A2909">
        <v>5879</v>
      </c>
      <c r="B2909" t="s">
        <v>4436</v>
      </c>
      <c r="C2909" t="s">
        <v>4437</v>
      </c>
    </row>
    <row r="2910" spans="1:3" x14ac:dyDescent="0.25">
      <c r="A2910">
        <v>5880</v>
      </c>
      <c r="B2910" t="s">
        <v>4438</v>
      </c>
      <c r="C2910" t="s">
        <v>4439</v>
      </c>
    </row>
    <row r="2911" spans="1:3" x14ac:dyDescent="0.25">
      <c r="A2911">
        <v>5887</v>
      </c>
      <c r="B2911" t="s">
        <v>4440</v>
      </c>
      <c r="C2911" t="e">
        <f>+proj=tmerc +lat_0=0 +lon_0=-177 +k=0.9996 +x_0=1500000 +y_0=5000000 +ellps=GRQ80 +units=m +no_defs</f>
        <v>#NAME?</v>
      </c>
    </row>
    <row r="2912" spans="1:3" x14ac:dyDescent="0.25">
      <c r="A2912">
        <v>5890</v>
      </c>
      <c r="B2912" t="s">
        <v>4441</v>
      </c>
      <c r="C2912" t="e">
        <f>+proj=stere +lat_0=90 +lat_ts=70 +lon_0=90 +k=1 +x_0=0 +y_0=0 +a=6378273 +b=6356889.449 +units=m +no_defs</f>
        <v>#NAME?</v>
      </c>
    </row>
    <row r="2913" spans="1:3" x14ac:dyDescent="0.25">
      <c r="A2913">
        <v>5921</v>
      </c>
      <c r="B2913" t="s">
        <v>4442</v>
      </c>
      <c r="C2913" t="e">
        <f>+proj=lcc +lat_1=85 +lat_2=77 +lat_0=81.317226 +lon_0=-111 +x_0=0 +y_0=0 +datum=WGQ84 +units=m +no_defs</f>
        <v>#NAME?</v>
      </c>
    </row>
    <row r="2914" spans="1:3" x14ac:dyDescent="0.25">
      <c r="A2914">
        <v>5922</v>
      </c>
      <c r="B2914" t="s">
        <v>4443</v>
      </c>
      <c r="C2914" t="e">
        <f>+proj=lcc +lat_1=85 +lat_2=77 +lat_0=81.317226 +lon_0=-39 +x_0=0 +y_0=0 +datum=WGQ84 +units=m +no_defs</f>
        <v>#NAME?</v>
      </c>
    </row>
    <row r="2915" spans="1:3" x14ac:dyDescent="0.25">
      <c r="A2915">
        <v>5923</v>
      </c>
      <c r="B2915" t="s">
        <v>4444</v>
      </c>
      <c r="C2915" t="e">
        <f>+proj=lcc +lat_1=85 +lat_2=77 +lat_0=81.317226 +lon_0=33 +x_0=0 +y_0=0 +datum=WGQ84 +units=m +no_defs</f>
        <v>#NAME?</v>
      </c>
    </row>
    <row r="2916" spans="1:3" x14ac:dyDescent="0.25">
      <c r="A2916">
        <v>5924</v>
      </c>
      <c r="B2916" t="s">
        <v>4445</v>
      </c>
      <c r="C2916" t="e">
        <f>+proj=lcc +lat_1=85 +lat_2=77 +lat_0=81.317226 +lon_0=105 +x_0=0 +y_0=0 +datum=WGQ84 +units=m +no_defs</f>
        <v>#NAME?</v>
      </c>
    </row>
    <row r="2917" spans="1:3" x14ac:dyDescent="0.25">
      <c r="A2917">
        <v>6329</v>
      </c>
      <c r="B2917" t="s">
        <v>4446</v>
      </c>
      <c r="C2917" t="e">
        <f>+proj=utm +zone=60 +ellps=GRQ80 +units=m +no_defs</f>
        <v>#NAME?</v>
      </c>
    </row>
    <row r="2918" spans="1:3" x14ac:dyDescent="0.25">
      <c r="A2918">
        <v>5925</v>
      </c>
      <c r="B2918" t="s">
        <v>4447</v>
      </c>
      <c r="C2918" t="e">
        <f>+proj=lcc +lat_1=85 +lat_2=77 +lat_0=81.317226 +lon_0=177 +x_0=0 +y_0=0 +datum=WGQ84 +units=m +no_defs</f>
        <v>#NAME?</v>
      </c>
    </row>
    <row r="2919" spans="1:3" x14ac:dyDescent="0.25">
      <c r="A2919">
        <v>5926</v>
      </c>
      <c r="B2919" t="s">
        <v>4448</v>
      </c>
      <c r="C2919" t="e">
        <f>+proj=lcc +lat_1=77 +lat_2=69 +lat_0=73.1557408611111 +lon_0=-111 +x_0=0 +y_0=0 +datum=WGQ84 +units=m +no_defs</f>
        <v>#NAME?</v>
      </c>
    </row>
    <row r="2920" spans="1:3" x14ac:dyDescent="0.25">
      <c r="A2920">
        <v>5927</v>
      </c>
      <c r="B2920" t="s">
        <v>4449</v>
      </c>
      <c r="C2920" t="e">
        <f>+proj=lcc +lat_1=77 +lat_2=69 +lat_0=73.1557408611111 +lon_0=-39 +x_0=0 +y_0=0 +datum=WGQ84 +units=m +no_defs</f>
        <v>#NAME?</v>
      </c>
    </row>
    <row r="2921" spans="1:3" x14ac:dyDescent="0.25">
      <c r="A2921">
        <v>5928</v>
      </c>
      <c r="B2921" t="s">
        <v>4450</v>
      </c>
      <c r="C2921" t="e">
        <f>+proj=lcc +lat_1=77 +lat_2=69 +lat_0=73.1557408611111 +lon_0=33 +x_0=0 +y_0=0 +datum=WGQ84 +units=m +no_defs</f>
        <v>#NAME?</v>
      </c>
    </row>
    <row r="2922" spans="1:3" x14ac:dyDescent="0.25">
      <c r="A2922">
        <v>5929</v>
      </c>
      <c r="B2922" t="s">
        <v>4451</v>
      </c>
      <c r="C2922" t="e">
        <f>+proj=lcc +lat_1=77 +lat_2=69 +lat_0=73.1557408611111 +lon_0=105 +x_0=0 +y_0=0 +datum=WGQ84 +units=m +no_defs</f>
        <v>#NAME?</v>
      </c>
    </row>
    <row r="2923" spans="1:3" x14ac:dyDescent="0.25">
      <c r="A2923">
        <v>5930</v>
      </c>
      <c r="B2923" t="s">
        <v>4452</v>
      </c>
      <c r="C2923" t="e">
        <f>+proj=lcc +lat_1=77 +lat_2=69 +lat_0=73.1557408611111 +lon_0=177 +x_0=0 +y_0=0 +datum=WGQ84 +units=m +no_defs</f>
        <v>#NAME?</v>
      </c>
    </row>
    <row r="2924" spans="1:3" x14ac:dyDescent="0.25">
      <c r="A2924">
        <v>5931</v>
      </c>
      <c r="B2924" t="s">
        <v>4453</v>
      </c>
      <c r="C2924" t="e">
        <f>+proj=lcc +lat_1=69 +lat_2=61 +lat_0=65.1012708888888 +lon_0=-111 +x_0=0 +y_0=0 +datum=WGQ84 +units=m +no_defs</f>
        <v>#NAME?</v>
      </c>
    </row>
    <row r="2925" spans="1:3" x14ac:dyDescent="0.25">
      <c r="A2925">
        <v>5932</v>
      </c>
      <c r="B2925" t="s">
        <v>4454</v>
      </c>
      <c r="C2925" t="e">
        <f>+proj=lcc +lat_1=69 +lat_2=61 +lat_0=65.1012708888888 +lon_0=-39 +x_0=0 +y_0=0 +datum=WGQ84 +units=m +no_defs</f>
        <v>#NAME?</v>
      </c>
    </row>
    <row r="2926" spans="1:3" x14ac:dyDescent="0.25">
      <c r="A2926">
        <v>5933</v>
      </c>
      <c r="B2926" t="s">
        <v>4455</v>
      </c>
      <c r="C2926" t="e">
        <f>+proj=lcc +lat_1=69 +lat_2=61 +lat_0=65.1012708888888 +lon_0=33 +x_0=0 +y_0=0 +datum=WGQ84 +units=m +no_defs</f>
        <v>#NAME?</v>
      </c>
    </row>
    <row r="2927" spans="1:3" x14ac:dyDescent="0.25">
      <c r="A2927">
        <v>4913</v>
      </c>
      <c r="B2927" t="s">
        <v>4456</v>
      </c>
      <c r="C2927" t="e">
        <f>+proj=geocent +ellps=GRQ80 +units=m +no_defs</f>
        <v>#NAME?</v>
      </c>
    </row>
    <row r="2928" spans="1:3" x14ac:dyDescent="0.25">
      <c r="A2928">
        <v>5934</v>
      </c>
      <c r="B2928" t="s">
        <v>4457</v>
      </c>
      <c r="C2928" t="e">
        <f>+proj=lcc +lat_1=69 +lat_2=61 +lat_0=65.1012708888888 +lon_0=105 +x_0=0 +y_0=0 +datum=WGQ84 +units=m +no_defs</f>
        <v>#NAME?</v>
      </c>
    </row>
    <row r="2929" spans="1:3" x14ac:dyDescent="0.25">
      <c r="A2929">
        <v>5935</v>
      </c>
      <c r="B2929" t="s">
        <v>4458</v>
      </c>
      <c r="C2929" t="e">
        <f>+proj=lcc +lat_1=69 +lat_2=61 +lat_0=65.1012708888888 +lon_0=177 +x_0=0 +y_0=0 +datum=WGQ84 +units=m +no_defs</f>
        <v>#NAME?</v>
      </c>
    </row>
    <row r="2930" spans="1:3" x14ac:dyDescent="0.25">
      <c r="A2930">
        <v>5936</v>
      </c>
      <c r="B2930" t="s">
        <v>4459</v>
      </c>
      <c r="C2930" t="e">
        <f>+proj=stere +lat_0=90 +lat_ts=90 +lon_0=-150 +k=0.994 +x_0=2000000 +y_0=2000000 +datum=WGQ84 +units=m +no_defs</f>
        <v>#NAME?</v>
      </c>
    </row>
    <row r="2931" spans="1:3" x14ac:dyDescent="0.25">
      <c r="A2931">
        <v>5937</v>
      </c>
      <c r="B2931" t="s">
        <v>4460</v>
      </c>
      <c r="C2931" t="e">
        <f>+proj=stere +lat_0=90 +lat_ts=90 +lon_0=-100 +k=0.994 +x_0=2000000 +y_0=2000000 +datum=WGQ84 +units=m +no_defs</f>
        <v>#NAME?</v>
      </c>
    </row>
    <row r="2932" spans="1:3" x14ac:dyDescent="0.25">
      <c r="A2932">
        <v>5938</v>
      </c>
      <c r="B2932" t="s">
        <v>4461</v>
      </c>
      <c r="C2932" t="e">
        <f>+proj=stere +lat_0=90 +lat_ts=90 +lon_0=-33 +k=0.994 +x_0=2000000 +y_0=2000000 +datum=WGQ84 +units=m +no_defs</f>
        <v>#NAME?</v>
      </c>
    </row>
    <row r="2933" spans="1:3" x14ac:dyDescent="0.25">
      <c r="A2933">
        <v>5939</v>
      </c>
      <c r="B2933" t="s">
        <v>4462</v>
      </c>
      <c r="C2933" t="e">
        <f>+proj=stere +lat_0=90 +lat_ts=90 +lon_0=18 +k=0.994 +x_0=2000000 +y_0=2000000 +datum=WGQ84 +units=m +no_defs</f>
        <v>#NAME?</v>
      </c>
    </row>
    <row r="2934" spans="1:3" x14ac:dyDescent="0.25">
      <c r="A2934">
        <v>5940</v>
      </c>
      <c r="B2934" t="s">
        <v>4463</v>
      </c>
      <c r="C2934" t="e">
        <f>+proj=stere +lat_0=90 +lat_ts=90 +lon_0=105 +k=0.994 +x_0=2000000 +y_0=2000000 +datum=WGQ84 +units=m +no_defs</f>
        <v>#NAME?</v>
      </c>
    </row>
    <row r="2935" spans="1:3" x14ac:dyDescent="0.25">
      <c r="A2935">
        <v>6050</v>
      </c>
      <c r="B2935" t="s">
        <v>4464</v>
      </c>
      <c r="C2935" t="s">
        <v>4465</v>
      </c>
    </row>
    <row r="2936" spans="1:3" x14ac:dyDescent="0.25">
      <c r="A2936">
        <v>6051</v>
      </c>
      <c r="B2936" t="s">
        <v>4466</v>
      </c>
      <c r="C2936" t="s">
        <v>4467</v>
      </c>
    </row>
    <row r="2937" spans="1:3" x14ac:dyDescent="0.25">
      <c r="A2937">
        <v>32605</v>
      </c>
      <c r="B2937" t="s">
        <v>4468</v>
      </c>
      <c r="C2937" t="e">
        <f>+proj=utm +zone=5 +datum=WGQ84 +units=m +no_defs</f>
        <v>#NAME?</v>
      </c>
    </row>
    <row r="2938" spans="1:3" x14ac:dyDescent="0.25">
      <c r="A2938">
        <v>6052</v>
      </c>
      <c r="B2938" t="s">
        <v>4469</v>
      </c>
      <c r="C2938" t="s">
        <v>4470</v>
      </c>
    </row>
    <row r="2939" spans="1:3" x14ac:dyDescent="0.25">
      <c r="A2939">
        <v>6053</v>
      </c>
      <c r="B2939" t="s">
        <v>4471</v>
      </c>
      <c r="C2939" t="s">
        <v>4472</v>
      </c>
    </row>
    <row r="2940" spans="1:3" x14ac:dyDescent="0.25">
      <c r="A2940">
        <v>6054</v>
      </c>
      <c r="B2940" t="s">
        <v>4473</v>
      </c>
      <c r="C2940" t="s">
        <v>4474</v>
      </c>
    </row>
    <row r="2941" spans="1:3" x14ac:dyDescent="0.25">
      <c r="A2941">
        <v>6055</v>
      </c>
      <c r="B2941" t="s">
        <v>4475</v>
      </c>
      <c r="C2941" t="s">
        <v>4476</v>
      </c>
    </row>
    <row r="2942" spans="1:3" x14ac:dyDescent="0.25">
      <c r="A2942">
        <v>6056</v>
      </c>
      <c r="B2942" t="s">
        <v>4477</v>
      </c>
      <c r="C2942" t="s">
        <v>4478</v>
      </c>
    </row>
    <row r="2943" spans="1:3" x14ac:dyDescent="0.25">
      <c r="A2943">
        <v>6057</v>
      </c>
      <c r="B2943" t="s">
        <v>4479</v>
      </c>
      <c r="C2943" t="s">
        <v>4480</v>
      </c>
    </row>
    <row r="2944" spans="1:3" x14ac:dyDescent="0.25">
      <c r="A2944">
        <v>6058</v>
      </c>
      <c r="B2944" t="s">
        <v>4481</v>
      </c>
      <c r="C2944" t="s">
        <v>4482</v>
      </c>
    </row>
    <row r="2945" spans="1:3" x14ac:dyDescent="0.25">
      <c r="A2945">
        <v>6059</v>
      </c>
      <c r="B2945" t="s">
        <v>4483</v>
      </c>
      <c r="C2945" t="s">
        <v>4484</v>
      </c>
    </row>
    <row r="2946" spans="1:3" x14ac:dyDescent="0.25">
      <c r="A2946">
        <v>4914</v>
      </c>
      <c r="B2946" t="s">
        <v>4485</v>
      </c>
      <c r="C2946" t="e">
        <f>+proj=geocent +ellps=GRQ80 +units=m +no_defs</f>
        <v>#NAME?</v>
      </c>
    </row>
    <row r="2947" spans="1:3" x14ac:dyDescent="0.25">
      <c r="A2947">
        <v>6060</v>
      </c>
      <c r="B2947" t="s">
        <v>4486</v>
      </c>
      <c r="C2947" t="s">
        <v>4487</v>
      </c>
    </row>
    <row r="2948" spans="1:3" x14ac:dyDescent="0.25">
      <c r="A2948">
        <v>6061</v>
      </c>
      <c r="B2948" t="s">
        <v>4488</v>
      </c>
      <c r="C2948" t="s">
        <v>4489</v>
      </c>
    </row>
    <row r="2949" spans="1:3" x14ac:dyDescent="0.25">
      <c r="A2949">
        <v>6062</v>
      </c>
      <c r="B2949" t="s">
        <v>4490</v>
      </c>
      <c r="C2949" t="s">
        <v>4491</v>
      </c>
    </row>
    <row r="2950" spans="1:3" x14ac:dyDescent="0.25">
      <c r="A2950">
        <v>6063</v>
      </c>
      <c r="B2950" t="s">
        <v>4492</v>
      </c>
      <c r="C2950" t="s">
        <v>4493</v>
      </c>
    </row>
    <row r="2951" spans="1:3" x14ac:dyDescent="0.25">
      <c r="A2951">
        <v>6064</v>
      </c>
      <c r="B2951" t="s">
        <v>4494</v>
      </c>
      <c r="C2951" t="s">
        <v>4495</v>
      </c>
    </row>
    <row r="2952" spans="1:3" x14ac:dyDescent="0.25">
      <c r="A2952">
        <v>6065</v>
      </c>
      <c r="B2952" t="s">
        <v>4496</v>
      </c>
      <c r="C2952" t="s">
        <v>4497</v>
      </c>
    </row>
    <row r="2953" spans="1:3" x14ac:dyDescent="0.25">
      <c r="A2953">
        <v>6066</v>
      </c>
      <c r="B2953" t="s">
        <v>4498</v>
      </c>
      <c r="C2953" t="s">
        <v>4499</v>
      </c>
    </row>
    <row r="2954" spans="1:3" x14ac:dyDescent="0.25">
      <c r="A2954">
        <v>6067</v>
      </c>
      <c r="B2954" t="s">
        <v>4500</v>
      </c>
      <c r="C2954" t="s">
        <v>4501</v>
      </c>
    </row>
    <row r="2955" spans="1:3" x14ac:dyDescent="0.25">
      <c r="A2955">
        <v>4915</v>
      </c>
      <c r="B2955" t="s">
        <v>4502</v>
      </c>
      <c r="C2955" t="e">
        <f>+proj=geocent +ellps=GRQ80 +units=m +no_defs</f>
        <v>#NAME?</v>
      </c>
    </row>
    <row r="2956" spans="1:3" x14ac:dyDescent="0.25">
      <c r="A2956">
        <v>6068</v>
      </c>
      <c r="B2956" t="s">
        <v>4503</v>
      </c>
      <c r="C2956" t="s">
        <v>4504</v>
      </c>
    </row>
    <row r="2957" spans="1:3" x14ac:dyDescent="0.25">
      <c r="A2957">
        <v>6069</v>
      </c>
      <c r="B2957" t="s">
        <v>4505</v>
      </c>
      <c r="C2957" t="s">
        <v>4506</v>
      </c>
    </row>
    <row r="2958" spans="1:3" x14ac:dyDescent="0.25">
      <c r="A2958">
        <v>6070</v>
      </c>
      <c r="B2958" t="s">
        <v>4507</v>
      </c>
      <c r="C2958" t="s">
        <v>4508</v>
      </c>
    </row>
    <row r="2959" spans="1:3" x14ac:dyDescent="0.25">
      <c r="A2959">
        <v>6071</v>
      </c>
      <c r="B2959" t="s">
        <v>4509</v>
      </c>
      <c r="C2959" t="s">
        <v>4510</v>
      </c>
    </row>
    <row r="2960" spans="1:3" x14ac:dyDescent="0.25">
      <c r="A2960">
        <v>6072</v>
      </c>
      <c r="B2960" t="s">
        <v>4511</v>
      </c>
      <c r="C2960" t="s">
        <v>4512</v>
      </c>
    </row>
    <row r="2961" spans="1:3" x14ac:dyDescent="0.25">
      <c r="A2961">
        <v>6073</v>
      </c>
      <c r="B2961" t="s">
        <v>4513</v>
      </c>
      <c r="C2961" t="s">
        <v>4514</v>
      </c>
    </row>
    <row r="2962" spans="1:3" x14ac:dyDescent="0.25">
      <c r="A2962">
        <v>6074</v>
      </c>
      <c r="B2962" t="s">
        <v>4515</v>
      </c>
      <c r="C2962" t="s">
        <v>4516</v>
      </c>
    </row>
    <row r="2963" spans="1:3" x14ac:dyDescent="0.25">
      <c r="A2963">
        <v>6075</v>
      </c>
      <c r="B2963" t="s">
        <v>4517</v>
      </c>
      <c r="C2963" t="e">
        <f>+proj=lcc +lat_1=83.6666666666666 +lat_2=80.3333333333333 +lat_0=82.0584248888888 +lon_0=53 +x_0=24500000 +y_0=2500000 +datum=WGQ84 +units=m +no_defs</f>
        <v>#NAME?</v>
      </c>
    </row>
    <row r="2964" spans="1:3" x14ac:dyDescent="0.25">
      <c r="A2964">
        <v>6076</v>
      </c>
      <c r="B2964" t="s">
        <v>4518</v>
      </c>
      <c r="C2964" t="e">
        <f>+proj=lcc +lat_1=83.6666666666666 +lat_2=80.3333333333333 +lat_0=82.0584248888888 +lon_0=93 +x_0=26500000 +y_0=2500000 +datum=WGQ84 +units=m +no_defs</f>
        <v>#NAME?</v>
      </c>
    </row>
    <row r="2965" spans="1:3" x14ac:dyDescent="0.25">
      <c r="A2965">
        <v>6077</v>
      </c>
      <c r="B2965" t="s">
        <v>4519</v>
      </c>
      <c r="C2965" t="e">
        <f>+proj=lcc +lat_1=80.3333333333333 +lat_2=77 +lat_0=78.7073375277777 +lon_0=52 +x_0=13500000 +y_0=3500000 +datum=WGQ84 +units=m +no_defs</f>
        <v>#NAME?</v>
      </c>
    </row>
    <row r="2966" spans="1:3" x14ac:dyDescent="0.25">
      <c r="A2966">
        <v>6078</v>
      </c>
      <c r="B2966" t="s">
        <v>4520</v>
      </c>
      <c r="C2966" t="e">
        <f>+proj=lcc +lat_1=80.3333333333333 +lat_2=77 +lat_0=78.7073375277777 +lon_0=83 +x_0=15500000 +y_0=3500000 +datum=WGQ84 +units=m +no_defs</f>
        <v>#NAME?</v>
      </c>
    </row>
    <row r="2967" spans="1:3" x14ac:dyDescent="0.25">
      <c r="A2967">
        <v>6079</v>
      </c>
      <c r="B2967" t="s">
        <v>4521</v>
      </c>
      <c r="C2967" t="e">
        <f>+proj=lcc +lat_1=80.3333333333333 +lat_2=77 +lat_0=78.7073375277777 +lon_0=114 +x_0=17500000 +y_0=3500000 +datum=WGQ84 +units=m +no_defs</f>
        <v>#NAME?</v>
      </c>
    </row>
    <row r="2968" spans="1:3" x14ac:dyDescent="0.25">
      <c r="A2968">
        <v>6080</v>
      </c>
      <c r="B2968" t="s">
        <v>4522</v>
      </c>
      <c r="C2968" t="e">
        <f>+proj=lcc +lat_1=80.3333333333333 +lat_2=77 +lat_0=78.7073375277777 +lon_0=145 +x_0=19500000 +y_0=3500000 +datum=WGQ84 +units=m +no_defs</f>
        <v>#NAME?</v>
      </c>
    </row>
    <row r="2969" spans="1:3" x14ac:dyDescent="0.25">
      <c r="A2969">
        <v>6081</v>
      </c>
      <c r="B2969" t="s">
        <v>4523</v>
      </c>
      <c r="C2969" t="e">
        <f>+proj=lcc +lat_1=77 +lat_2=73.6666666666666 +lat_0=75.3644033055555 +lon_0=58 +x_0=30500000 +y_0=4500000 +datum=WGQ84 +units=m +no_defs</f>
        <v>#NAME?</v>
      </c>
    </row>
    <row r="2970" spans="1:3" x14ac:dyDescent="0.25">
      <c r="A2970">
        <v>6082</v>
      </c>
      <c r="B2970" t="s">
        <v>4524</v>
      </c>
      <c r="C2970" t="e">
        <f>+proj=lcc +lat_1=77 +lat_2=73.6666666666666 +lat_0=75.3644033055555 +lon_0=82 +x_0=32500000 +y_0=4500000 +datum=WGQ84 +units=m +no_defs</f>
        <v>#NAME?</v>
      </c>
    </row>
    <row r="2971" spans="1:3" x14ac:dyDescent="0.25">
      <c r="A2971">
        <v>6083</v>
      </c>
      <c r="B2971" t="s">
        <v>4525</v>
      </c>
      <c r="C2971" t="e">
        <f>+proj=lcc +lat_1=77 +lat_2=73.6666666666666 +lat_0=75.3644033055555 +lon_0=106 +x_0=34500000 +y_0=4500000 +datum=WGQ84 +units=m +no_defs</f>
        <v>#NAME?</v>
      </c>
    </row>
    <row r="2972" spans="1:3" x14ac:dyDescent="0.25">
      <c r="A2972">
        <v>6084</v>
      </c>
      <c r="B2972" t="s">
        <v>4526</v>
      </c>
      <c r="C2972" t="e">
        <f>+proj=lcc +lat_1=77 +lat_2=73.6666666666666 +lat_0=75.3644033055555 +lon_0=130 +x_0=36500000 +y_0=4500000 +datum=WGQ84 +units=m +no_defs</f>
        <v>#NAME?</v>
      </c>
    </row>
    <row r="2973" spans="1:3" x14ac:dyDescent="0.25">
      <c r="A2973">
        <v>6085</v>
      </c>
      <c r="B2973" t="s">
        <v>4527</v>
      </c>
      <c r="C2973" t="e">
        <f>+proj=lcc +lat_1=77 +lat_2=73.6666666666666 +lat_0=75.3644033055555 +lon_0=154 +x_0=38500000 +y_0=4500000 +datum=WGQ84 +units=m +no_defs</f>
        <v>#NAME?</v>
      </c>
    </row>
    <row r="2974" spans="1:3" x14ac:dyDescent="0.25">
      <c r="A2974">
        <v>6086</v>
      </c>
      <c r="B2974" t="s">
        <v>4528</v>
      </c>
      <c r="C2974" t="e">
        <f>+proj=lcc +lat_1=77 +lat_2=73.6666666666666 +lat_0=75.3644033055555 +lon_0=179 +x_0=40500000 +y_0=4500000 +datum=WGQ84 +units=m +no_defs</f>
        <v>#NAME?</v>
      </c>
    </row>
    <row r="2975" spans="1:3" x14ac:dyDescent="0.25">
      <c r="A2975">
        <v>6087</v>
      </c>
      <c r="B2975" t="s">
        <v>4529</v>
      </c>
      <c r="C2975" t="e">
        <f>+proj=lcc +lat_1=73.6666666666666 +lat_2=70.3333333333333 +lat_0=72.0250091944444 +lon_0=54 +x_0=15500000 +y_0=5500000 +datum=WGQ84 +units=m +no_defs</f>
        <v>#NAME?</v>
      </c>
    </row>
    <row r="2976" spans="1:3" x14ac:dyDescent="0.25">
      <c r="A2976">
        <v>6088</v>
      </c>
      <c r="B2976" t="s">
        <v>4530</v>
      </c>
      <c r="C2976" t="e">
        <f>+proj=lcc +lat_1=73.6666666666666 +lat_2=70.3333333333333 +lat_0=72.0250091944444 +lon_0=74 +x_0=17500000 +y_0=5500000 +datum=WGQ84 +units=m +no_defs</f>
        <v>#NAME?</v>
      </c>
    </row>
    <row r="2977" spans="1:3" x14ac:dyDescent="0.25">
      <c r="A2977">
        <v>6089</v>
      </c>
      <c r="B2977" t="s">
        <v>4531</v>
      </c>
      <c r="C2977" t="e">
        <f>+proj=lcc +lat_1=73.6666666666666 +lat_2=70.3333333333333 +lat_0=72.0250091944444 +lon_0=95 +x_0=19500000 +y_0=5500000 +datum=WGQ84 +units=m +no_defs</f>
        <v>#NAME?</v>
      </c>
    </row>
    <row r="2978" spans="1:3" x14ac:dyDescent="0.25">
      <c r="A2978">
        <v>6090</v>
      </c>
      <c r="B2978" t="s">
        <v>4532</v>
      </c>
      <c r="C2978" t="e">
        <f>+proj=lcc +lat_1=73.6666666666666 +lat_2=70.3333333333333 +lat_0=72.0250091944444 +lon_0=116 +x_0=21500000 +y_0=5500000 +datum=WGQ84 +units=m +no_defs</f>
        <v>#NAME?</v>
      </c>
    </row>
    <row r="2979" spans="1:3" x14ac:dyDescent="0.25">
      <c r="A2979">
        <v>6091</v>
      </c>
      <c r="B2979" t="s">
        <v>4533</v>
      </c>
      <c r="C2979" t="e">
        <f>+proj=lcc +lat_1=73.6666666666666 +lat_2=70.3333333333333 +lat_0=72.0250091944444 +lon_0=137 +x_0=23500000 +y_0=5500000 +datum=WGQ84 +units=m +no_defs</f>
        <v>#NAME?</v>
      </c>
    </row>
    <row r="2980" spans="1:3" x14ac:dyDescent="0.25">
      <c r="A2980">
        <v>6092</v>
      </c>
      <c r="B2980" t="s">
        <v>4534</v>
      </c>
      <c r="C2980" t="e">
        <f>+proj=lcc +lat_1=73.6666666666666 +lat_2=70.3333333333333 +lat_0=72.0250091944444 +lon_0=158 +x_0=25500000 +y_0=5500000 +datum=WGQ84 +units=m +no_defs</f>
        <v>#NAME?</v>
      </c>
    </row>
    <row r="2981" spans="1:3" x14ac:dyDescent="0.25">
      <c r="A2981">
        <v>6117</v>
      </c>
      <c r="B2981" t="s">
        <v>4535</v>
      </c>
      <c r="C2981" t="e">
        <f>+proj=lcc +lat_1=87 +lat_2=83.6666666666666 +lat_0=85.4371183333333 +lon_0=150 +x_0=31500000 +y_0=1500000 +datum=WGQ84 +units=m +no_defs</f>
        <v>#NAME?</v>
      </c>
    </row>
    <row r="2982" spans="1:3" x14ac:dyDescent="0.25">
      <c r="A2982">
        <v>6093</v>
      </c>
      <c r="B2982" t="s">
        <v>4536</v>
      </c>
      <c r="C2982" t="e">
        <f>+proj=lcc +lat_1=73.6666666666666 +lat_2=70.3333333333333 +lat_0=72.0250091944444 +lon_0=179 +x_0=27500000 +y_0=5500000 +datum=WGQ84 +units=m +no_defs</f>
        <v>#NAME?</v>
      </c>
    </row>
    <row r="2983" spans="1:3" x14ac:dyDescent="0.25">
      <c r="A2983">
        <v>6094</v>
      </c>
      <c r="B2983" t="s">
        <v>4537</v>
      </c>
      <c r="C2983" t="s">
        <v>4538</v>
      </c>
    </row>
    <row r="2984" spans="1:3" x14ac:dyDescent="0.25">
      <c r="A2984">
        <v>6095</v>
      </c>
      <c r="B2984" t="s">
        <v>4539</v>
      </c>
      <c r="C2984" t="s">
        <v>4540</v>
      </c>
    </row>
    <row r="2985" spans="1:3" x14ac:dyDescent="0.25">
      <c r="A2985">
        <v>6096</v>
      </c>
      <c r="B2985" t="s">
        <v>4541</v>
      </c>
      <c r="C2985" t="s">
        <v>4542</v>
      </c>
    </row>
    <row r="2986" spans="1:3" x14ac:dyDescent="0.25">
      <c r="A2986">
        <v>6097</v>
      </c>
      <c r="B2986" t="s">
        <v>4543</v>
      </c>
      <c r="C2986" t="s">
        <v>4544</v>
      </c>
    </row>
    <row r="2987" spans="1:3" x14ac:dyDescent="0.25">
      <c r="A2987">
        <v>6098</v>
      </c>
      <c r="B2987" t="s">
        <v>4545</v>
      </c>
      <c r="C2987" t="s">
        <v>4546</v>
      </c>
    </row>
    <row r="2988" spans="1:3" x14ac:dyDescent="0.25">
      <c r="A2988">
        <v>6099</v>
      </c>
      <c r="B2988" t="s">
        <v>4547</v>
      </c>
      <c r="C2988" t="s">
        <v>4548</v>
      </c>
    </row>
    <row r="2989" spans="1:3" x14ac:dyDescent="0.25">
      <c r="A2989">
        <v>6100</v>
      </c>
      <c r="B2989" t="s">
        <v>4549</v>
      </c>
      <c r="C2989" t="s">
        <v>4550</v>
      </c>
    </row>
    <row r="2990" spans="1:3" x14ac:dyDescent="0.25">
      <c r="A2990">
        <v>6101</v>
      </c>
      <c r="B2990" t="s">
        <v>4551</v>
      </c>
      <c r="C2990" t="s">
        <v>4552</v>
      </c>
    </row>
    <row r="2991" spans="1:3" x14ac:dyDescent="0.25">
      <c r="A2991">
        <v>6102</v>
      </c>
      <c r="B2991" t="s">
        <v>4553</v>
      </c>
      <c r="C2991" t="s">
        <v>4554</v>
      </c>
    </row>
    <row r="2992" spans="1:3" x14ac:dyDescent="0.25">
      <c r="A2992">
        <v>6103</v>
      </c>
      <c r="B2992" t="s">
        <v>4555</v>
      </c>
      <c r="C2992" t="s">
        <v>4472</v>
      </c>
    </row>
    <row r="2993" spans="1:3" x14ac:dyDescent="0.25">
      <c r="A2993">
        <v>6104</v>
      </c>
      <c r="B2993" t="s">
        <v>4556</v>
      </c>
      <c r="C2993" t="s">
        <v>4557</v>
      </c>
    </row>
    <row r="2994" spans="1:3" x14ac:dyDescent="0.25">
      <c r="A2994">
        <v>6105</v>
      </c>
      <c r="B2994" t="s">
        <v>4558</v>
      </c>
      <c r="C2994" t="s">
        <v>4559</v>
      </c>
    </row>
    <row r="2995" spans="1:3" x14ac:dyDescent="0.25">
      <c r="A2995">
        <v>6106</v>
      </c>
      <c r="B2995" t="s">
        <v>4560</v>
      </c>
      <c r="C2995" t="s">
        <v>4561</v>
      </c>
    </row>
    <row r="2996" spans="1:3" x14ac:dyDescent="0.25">
      <c r="A2996">
        <v>6107</v>
      </c>
      <c r="B2996" t="s">
        <v>4562</v>
      </c>
      <c r="C2996" t="s">
        <v>4563</v>
      </c>
    </row>
    <row r="2997" spans="1:3" x14ac:dyDescent="0.25">
      <c r="A2997">
        <v>6108</v>
      </c>
      <c r="B2997" t="s">
        <v>4564</v>
      </c>
      <c r="C2997" t="s">
        <v>4565</v>
      </c>
    </row>
    <row r="2998" spans="1:3" x14ac:dyDescent="0.25">
      <c r="A2998">
        <v>6109</v>
      </c>
      <c r="B2998" t="s">
        <v>4566</v>
      </c>
      <c r="C2998" t="s">
        <v>4567</v>
      </c>
    </row>
    <row r="2999" spans="1:3" x14ac:dyDescent="0.25">
      <c r="A2999">
        <v>6110</v>
      </c>
      <c r="B2999" t="s">
        <v>4568</v>
      </c>
      <c r="C2999" t="s">
        <v>4569</v>
      </c>
    </row>
    <row r="3000" spans="1:3" x14ac:dyDescent="0.25">
      <c r="A3000">
        <v>6111</v>
      </c>
      <c r="B3000" t="s">
        <v>4570</v>
      </c>
      <c r="C3000" t="s">
        <v>4571</v>
      </c>
    </row>
    <row r="3001" spans="1:3" x14ac:dyDescent="0.25">
      <c r="A3001">
        <v>6112</v>
      </c>
      <c r="B3001" t="s">
        <v>4572</v>
      </c>
      <c r="C3001" t="s">
        <v>4573</v>
      </c>
    </row>
    <row r="3002" spans="1:3" x14ac:dyDescent="0.25">
      <c r="A3002">
        <v>6113</v>
      </c>
      <c r="B3002" t="s">
        <v>4574</v>
      </c>
      <c r="C3002" t="s">
        <v>4575</v>
      </c>
    </row>
    <row r="3003" spans="1:3" x14ac:dyDescent="0.25">
      <c r="A3003">
        <v>6114</v>
      </c>
      <c r="B3003" t="s">
        <v>4576</v>
      </c>
      <c r="C3003" t="s">
        <v>4577</v>
      </c>
    </row>
    <row r="3004" spans="1:3" x14ac:dyDescent="0.25">
      <c r="A3004">
        <v>6115</v>
      </c>
      <c r="B3004" t="s">
        <v>4578</v>
      </c>
      <c r="C3004" t="e">
        <f>+proj=lcc +lat_1=87 +lat_2=83.6666666666666 +lat_0=85.4371183333333 +lon_0=30 +x_0=27500000 +y_0=1500000 +datum=WGQ84 +units=m +no_defs</f>
        <v>#NAME?</v>
      </c>
    </row>
    <row r="3005" spans="1:3" x14ac:dyDescent="0.25">
      <c r="A3005">
        <v>6116</v>
      </c>
      <c r="B3005" t="s">
        <v>4579</v>
      </c>
      <c r="C3005" t="e">
        <f>+proj=lcc +lat_1=87 +lat_2=83.6666666666666 +lat_0=85.4371183333333 +lon_0=90 +x_0=29500000 +y_0=1500000 +datum=WGQ84 +units=m +no_defs</f>
        <v>#NAME?</v>
      </c>
    </row>
    <row r="3006" spans="1:3" x14ac:dyDescent="0.25">
      <c r="A3006">
        <v>7677</v>
      </c>
      <c r="B3006" t="s">
        <v>4580</v>
      </c>
      <c r="C3006" t="e">
        <f>+proj=geocent +a=6378136 +b=6356751.36174571 +units=m +no_defs</f>
        <v>#NAME?</v>
      </c>
    </row>
    <row r="3007" spans="1:3" x14ac:dyDescent="0.25">
      <c r="A3007">
        <v>6118</v>
      </c>
      <c r="B3007" t="s">
        <v>4581</v>
      </c>
      <c r="C3007" t="e">
        <f>+proj=lcc +lat_1=87 +lat_2=83.6666666666666 +lat_0=85.4371183333333 +lon_0=-150 +x_0=21500000 +y_0=1500000 +datum=WGQ84 +units=m +no_defs</f>
        <v>#NAME?</v>
      </c>
    </row>
    <row r="3008" spans="1:3" x14ac:dyDescent="0.25">
      <c r="A3008">
        <v>6119</v>
      </c>
      <c r="B3008" t="s">
        <v>4582</v>
      </c>
      <c r="C3008" t="e">
        <f>+proj=lcc +lat_1=83.6666666666666 +lat_2=80.3333333333333 +lat_0=82.0584248888888 +lon_0=133 +x_0=28500000 +y_0=2500000 +datum=WGQ84 +units=m +no_defs</f>
        <v>#NAME?</v>
      </c>
    </row>
    <row r="3009" spans="1:3" x14ac:dyDescent="0.25">
      <c r="A3009">
        <v>6120</v>
      </c>
      <c r="B3009" t="s">
        <v>4583</v>
      </c>
      <c r="C3009" t="e">
        <f>+proj=lcc +lat_1=83.6666666666666 +lat_2=80.3333333333333 +lat_0=82.0584248888888 +lon_0=166 +x_0=10500000 +y_0=2500000 +datum=WGQ84 +units=m +no_defs</f>
        <v>#NAME?</v>
      </c>
    </row>
    <row r="3010" spans="1:3" x14ac:dyDescent="0.25">
      <c r="A3010">
        <v>6121</v>
      </c>
      <c r="B3010" t="s">
        <v>4584</v>
      </c>
      <c r="C3010" t="e">
        <f>+proj=lcc +lat_1=83.6666666666666 +lat_2=80.3333333333333 +lat_0=82.0584248888888 +lon_0=-154 +x_0=12500000 +y_0=2500000 +datum=WGQ84 +units=m +no_defs</f>
        <v>#NAME?</v>
      </c>
    </row>
    <row r="3011" spans="1:3" x14ac:dyDescent="0.25">
      <c r="A3011">
        <v>6122</v>
      </c>
      <c r="B3011" t="s">
        <v>4585</v>
      </c>
      <c r="C3011" t="e">
        <f>+proj=lcc +lat_1=80.3333333333333 +lat_2=77 +lat_0=78.7073375277777 +lon_0=176 +x_0=21500000 +y_0=3500000 +datum=WGQ84 +units=m +no_defs</f>
        <v>#NAME?</v>
      </c>
    </row>
    <row r="3012" spans="1:3" x14ac:dyDescent="0.25">
      <c r="A3012">
        <v>6123</v>
      </c>
      <c r="B3012" t="s">
        <v>4586</v>
      </c>
      <c r="C3012" t="e">
        <f>+proj=lcc +lat_1=80.3333333333333 +lat_2=77 +lat_0=78.7073375277777 +lon_0=-153 +x_0=23500000 +y_0=3500000 +datum=WGQ84 +units=m +no_defs</f>
        <v>#NAME?</v>
      </c>
    </row>
    <row r="3013" spans="1:3" x14ac:dyDescent="0.25">
      <c r="A3013">
        <v>6124</v>
      </c>
      <c r="B3013" t="s">
        <v>4587</v>
      </c>
      <c r="C3013" t="e">
        <f>+proj=lcc +lat_1=77 +lat_2=73.6666666666666 +lat_0=75.3644033055555 +lon_0=-155 +x_0=12500000 +y_0=4500000 +datum=WGQ84 +units=m +no_defs</f>
        <v>#NAME?</v>
      </c>
    </row>
    <row r="3014" spans="1:3" x14ac:dyDescent="0.25">
      <c r="A3014">
        <v>6125</v>
      </c>
      <c r="B3014" t="s">
        <v>4588</v>
      </c>
      <c r="C3014" t="s">
        <v>4589</v>
      </c>
    </row>
    <row r="3015" spans="1:3" x14ac:dyDescent="0.25">
      <c r="A3015">
        <v>6328</v>
      </c>
      <c r="B3015" t="s">
        <v>4590</v>
      </c>
      <c r="C3015" t="e">
        <f>+proj=utm +zone=59 +ellps=GRQ80 +units=m +no_defs</f>
        <v>#NAME?</v>
      </c>
    </row>
    <row r="3016" spans="1:3" x14ac:dyDescent="0.25">
      <c r="A3016">
        <v>6128</v>
      </c>
      <c r="B3016" t="s">
        <v>4591</v>
      </c>
      <c r="C3016" t="s">
        <v>4592</v>
      </c>
    </row>
    <row r="3017" spans="1:3" x14ac:dyDescent="0.25">
      <c r="A3017">
        <v>6129</v>
      </c>
      <c r="B3017" t="s">
        <v>4593</v>
      </c>
      <c r="C3017" t="s">
        <v>4594</v>
      </c>
    </row>
    <row r="3018" spans="1:3" x14ac:dyDescent="0.25">
      <c r="A3018">
        <v>6141</v>
      </c>
      <c r="B3018" t="s">
        <v>4595</v>
      </c>
      <c r="C3018" t="s">
        <v>4596</v>
      </c>
    </row>
    <row r="3019" spans="1:3" x14ac:dyDescent="0.25">
      <c r="A3019">
        <v>6204</v>
      </c>
      <c r="B3019" t="s">
        <v>4597</v>
      </c>
      <c r="C3019" t="s">
        <v>4598</v>
      </c>
    </row>
    <row r="3020" spans="1:3" x14ac:dyDescent="0.25">
      <c r="A3020">
        <v>6210</v>
      </c>
      <c r="B3020" t="s">
        <v>4599</v>
      </c>
      <c r="C3020" t="s">
        <v>2777</v>
      </c>
    </row>
    <row r="3021" spans="1:3" x14ac:dyDescent="0.25">
      <c r="A3021">
        <v>6211</v>
      </c>
      <c r="B3021" t="s">
        <v>4600</v>
      </c>
      <c r="C3021" t="s">
        <v>2779</v>
      </c>
    </row>
    <row r="3022" spans="1:3" x14ac:dyDescent="0.25">
      <c r="A3022">
        <v>6307</v>
      </c>
      <c r="B3022" t="s">
        <v>4601</v>
      </c>
      <c r="C3022" t="e">
        <f>+proj=lcc +lat_1=18.4333333333333 +lat_2=18.0333333333333 +lat_0=17.8333333333333 +lon_0=-66.4333333333333 +x_0=200000 +y_0=200000 +ellps=GRQ80 +units=m +no_defs</f>
        <v>#NAME?</v>
      </c>
    </row>
    <row r="3023" spans="1:3" x14ac:dyDescent="0.25">
      <c r="A3023">
        <v>6312</v>
      </c>
      <c r="B3023" t="s">
        <v>4602</v>
      </c>
      <c r="C3023" t="s">
        <v>4603</v>
      </c>
    </row>
    <row r="3024" spans="1:3" x14ac:dyDescent="0.25">
      <c r="A3024">
        <v>6316</v>
      </c>
      <c r="B3024" t="s">
        <v>4604</v>
      </c>
      <c r="C3024" t="s">
        <v>3666</v>
      </c>
    </row>
    <row r="3025" spans="1:3" x14ac:dyDescent="0.25">
      <c r="A3025">
        <v>6330</v>
      </c>
      <c r="B3025" t="s">
        <v>4605</v>
      </c>
      <c r="C3025" t="e">
        <f>+proj=utm +zone=1 +ellps=GRQ80 +units=m +no_defs</f>
        <v>#NAME?</v>
      </c>
    </row>
    <row r="3026" spans="1:3" x14ac:dyDescent="0.25">
      <c r="A3026">
        <v>6331</v>
      </c>
      <c r="B3026" t="s">
        <v>4606</v>
      </c>
      <c r="C3026" t="e">
        <f>+proj=utm +zone=2 +ellps=GRQ80 +units=m +no_defs</f>
        <v>#NAME?</v>
      </c>
    </row>
    <row r="3027" spans="1:3" x14ac:dyDescent="0.25">
      <c r="A3027">
        <v>6332</v>
      </c>
      <c r="B3027" t="s">
        <v>4607</v>
      </c>
      <c r="C3027" t="e">
        <f>+proj=utm +zone=3 +ellps=GRQ80 +units=m +no_defs</f>
        <v>#NAME?</v>
      </c>
    </row>
    <row r="3028" spans="1:3" x14ac:dyDescent="0.25">
      <c r="A3028">
        <v>6333</v>
      </c>
      <c r="B3028" t="s">
        <v>4608</v>
      </c>
      <c r="C3028" t="e">
        <f>+proj=utm +zone=4 +ellps=GRQ80 +units=m +no_defs</f>
        <v>#NAME?</v>
      </c>
    </row>
    <row r="3029" spans="1:3" x14ac:dyDescent="0.25">
      <c r="A3029">
        <v>6334</v>
      </c>
      <c r="B3029" t="s">
        <v>4609</v>
      </c>
      <c r="C3029" t="e">
        <f>+proj=utm +zone=5 +ellps=GRQ80 +units=m +no_defs</f>
        <v>#NAME?</v>
      </c>
    </row>
    <row r="3030" spans="1:3" x14ac:dyDescent="0.25">
      <c r="A3030">
        <v>6335</v>
      </c>
      <c r="B3030" t="s">
        <v>4610</v>
      </c>
      <c r="C3030" t="e">
        <f>+proj=utm +zone=6 +ellps=GRQ80 +units=m +no_defs</f>
        <v>#NAME?</v>
      </c>
    </row>
    <row r="3031" spans="1:3" x14ac:dyDescent="0.25">
      <c r="A3031">
        <v>6336</v>
      </c>
      <c r="B3031" t="s">
        <v>4611</v>
      </c>
      <c r="C3031" t="e">
        <f>+proj=utm +zone=7 +ellps=GRQ80 +units=m +no_defs</f>
        <v>#NAME?</v>
      </c>
    </row>
    <row r="3032" spans="1:3" x14ac:dyDescent="0.25">
      <c r="A3032">
        <v>6337</v>
      </c>
      <c r="B3032" t="s">
        <v>4612</v>
      </c>
      <c r="C3032" t="e">
        <f>+proj=utm +zone=8 +ellps=GRQ80 +units=m +no_defs</f>
        <v>#NAME?</v>
      </c>
    </row>
    <row r="3033" spans="1:3" x14ac:dyDescent="0.25">
      <c r="A3033">
        <v>6338</v>
      </c>
      <c r="B3033" t="s">
        <v>4613</v>
      </c>
      <c r="C3033" t="e">
        <f>+proj=utm +zone=9 +ellps=GRQ80 +units=m +no_defs</f>
        <v>#NAME?</v>
      </c>
    </row>
    <row r="3034" spans="1:3" x14ac:dyDescent="0.25">
      <c r="A3034">
        <v>6339</v>
      </c>
      <c r="B3034" t="s">
        <v>4614</v>
      </c>
      <c r="C3034" t="e">
        <f>+proj=utm +zone=10 +ellps=GRQ80 +units=m +no_defs</f>
        <v>#NAME?</v>
      </c>
    </row>
    <row r="3035" spans="1:3" x14ac:dyDescent="0.25">
      <c r="A3035">
        <v>4916</v>
      </c>
      <c r="B3035" t="s">
        <v>4615</v>
      </c>
      <c r="C3035" t="e">
        <f>+proj=geocent +ellps=GRQ80 +units=m +no_defs</f>
        <v>#NAME?</v>
      </c>
    </row>
    <row r="3036" spans="1:3" x14ac:dyDescent="0.25">
      <c r="A3036">
        <v>6340</v>
      </c>
      <c r="B3036" t="s">
        <v>4616</v>
      </c>
      <c r="C3036" t="e">
        <f>+proj=utm +zone=11 +ellps=GRQ80 +units=m +no_defs</f>
        <v>#NAME?</v>
      </c>
    </row>
    <row r="3037" spans="1:3" x14ac:dyDescent="0.25">
      <c r="A3037">
        <v>6341</v>
      </c>
      <c r="B3037" t="s">
        <v>4617</v>
      </c>
      <c r="C3037" t="e">
        <f>+proj=utm +zone=12 +ellps=GRQ80 +units=m +no_defs</f>
        <v>#NAME?</v>
      </c>
    </row>
    <row r="3038" spans="1:3" x14ac:dyDescent="0.25">
      <c r="A3038">
        <v>6342</v>
      </c>
      <c r="B3038" t="s">
        <v>4618</v>
      </c>
      <c r="C3038" t="e">
        <f>+proj=utm +zone=13 +ellps=GRQ80 +units=m +no_defs</f>
        <v>#NAME?</v>
      </c>
    </row>
    <row r="3039" spans="1:3" x14ac:dyDescent="0.25">
      <c r="A3039">
        <v>6343</v>
      </c>
      <c r="B3039" t="s">
        <v>4619</v>
      </c>
      <c r="C3039" t="e">
        <f>+proj=utm +zone=14 +ellps=GRQ80 +units=m +no_defs</f>
        <v>#NAME?</v>
      </c>
    </row>
    <row r="3040" spans="1:3" x14ac:dyDescent="0.25">
      <c r="A3040">
        <v>6344</v>
      </c>
      <c r="B3040" t="s">
        <v>4620</v>
      </c>
      <c r="C3040" t="e">
        <f>+proj=utm +zone=15 +ellps=GRQ80 +units=m +no_defs</f>
        <v>#NAME?</v>
      </c>
    </row>
    <row r="3041" spans="1:3" x14ac:dyDescent="0.25">
      <c r="A3041">
        <v>6345</v>
      </c>
      <c r="B3041" t="s">
        <v>4621</v>
      </c>
      <c r="C3041" t="e">
        <f>+proj=utm +zone=16 +ellps=GRQ80 +units=m +no_defs</f>
        <v>#NAME?</v>
      </c>
    </row>
    <row r="3042" spans="1:3" x14ac:dyDescent="0.25">
      <c r="A3042">
        <v>6346</v>
      </c>
      <c r="B3042" t="s">
        <v>4622</v>
      </c>
      <c r="C3042" t="e">
        <f>+proj=utm +zone=17 +ellps=GRQ80 +units=m +no_defs</f>
        <v>#NAME?</v>
      </c>
    </row>
    <row r="3043" spans="1:3" x14ac:dyDescent="0.25">
      <c r="A3043">
        <v>6347</v>
      </c>
      <c r="B3043" t="s">
        <v>4623</v>
      </c>
      <c r="C3043" t="e">
        <f>+proj=utm +zone=18 +ellps=GRQ80 +units=m +no_defs</f>
        <v>#NAME?</v>
      </c>
    </row>
    <row r="3044" spans="1:3" x14ac:dyDescent="0.25">
      <c r="A3044">
        <v>6348</v>
      </c>
      <c r="B3044" t="s">
        <v>4624</v>
      </c>
      <c r="C3044" t="e">
        <f>+proj=utm +zone=19 +ellps=GRQ80 +units=m +no_defs</f>
        <v>#NAME?</v>
      </c>
    </row>
    <row r="3045" spans="1:3" x14ac:dyDescent="0.25">
      <c r="A3045">
        <v>6350</v>
      </c>
      <c r="B3045" t="s">
        <v>4625</v>
      </c>
      <c r="C3045" t="e">
        <f>+proj=aea +lat_1=29.5 +lat_2=45.5 +lat_0=23 +lon_0=-96 +x_0=0 +y_0=0 +ellps=GRQ80 +units=m +no_defs</f>
        <v>#NAME?</v>
      </c>
    </row>
    <row r="3046" spans="1:3" x14ac:dyDescent="0.25">
      <c r="A3046">
        <v>4917</v>
      </c>
      <c r="B3046" t="s">
        <v>4626</v>
      </c>
      <c r="C3046" t="e">
        <f>+proj=geocent +ellps=GRQ80 +units=m +no_defs</f>
        <v>#NAME?</v>
      </c>
    </row>
    <row r="3047" spans="1:3" x14ac:dyDescent="0.25">
      <c r="A3047">
        <v>6351</v>
      </c>
      <c r="B3047" t="s">
        <v>4627</v>
      </c>
      <c r="C3047" t="e">
        <f>+proj=lcc +lat_1=73.6666666666666 +lat_2=70.3333333333333 +lat_0=72.0250091944444 +lon_0=-163 +x_0=29500000 +y_0=5500000 +ellps=GRQ80 +units=m +no_defs</f>
        <v>#NAME?</v>
      </c>
    </row>
    <row r="3048" spans="1:3" x14ac:dyDescent="0.25">
      <c r="A3048">
        <v>6352</v>
      </c>
      <c r="B3048" t="s">
        <v>4628</v>
      </c>
      <c r="C3048" t="e">
        <f>+proj=lcc +lat_1=73.6666666666666 +lat_2=70.3333333333333 +lat_0=72.0250091944444 +lon_0=-147 +x_0=31500000 +y_0=5500000 +ellps=GRQ80 +units=m +no_defs</f>
        <v>#NAME?</v>
      </c>
    </row>
    <row r="3049" spans="1:3" x14ac:dyDescent="0.25">
      <c r="A3049">
        <v>6353</v>
      </c>
      <c r="B3049" t="s">
        <v>4629</v>
      </c>
      <c r="C3049" t="e">
        <f>+proj=lcc +lat_1=70.3333333333333 +lat_2=67 +lat_0=68.6874755555555 +lon_0=-165 +x_0=14500000 +y_0=6500000 +ellps=GRQ80 +units=m +no_defs</f>
        <v>#NAME?</v>
      </c>
    </row>
    <row r="3050" spans="1:3" x14ac:dyDescent="0.25">
      <c r="A3050">
        <v>6354</v>
      </c>
      <c r="B3050" t="s">
        <v>4630</v>
      </c>
      <c r="C3050" t="e">
        <f>+proj=lcc +lat_1=70.3333333333333 +lat_2=67 +lat_0=68.6874755555555 +lon_0=-147 +x_0=16500000 +y_0=6500000 +ellps=GRQ80 +units=m +no_defs</f>
        <v>#NAME?</v>
      </c>
    </row>
    <row r="3051" spans="1:3" x14ac:dyDescent="0.25">
      <c r="A3051">
        <v>6355</v>
      </c>
      <c r="B3051" t="s">
        <v>4631</v>
      </c>
      <c r="C3051" t="e">
        <f>+proj=tmerc +lat_0=30.5 +lon_0=-85.8333333333333 +k=0.99996 +x_0=200000 +y_0=0 +ellps=GRQ80 +units=m +no_defs</f>
        <v>#NAME?</v>
      </c>
    </row>
    <row r="3052" spans="1:3" x14ac:dyDescent="0.25">
      <c r="A3052">
        <v>6356</v>
      </c>
      <c r="B3052" t="s">
        <v>4632</v>
      </c>
      <c r="C3052" t="e">
        <f>+proj=tmerc +lat_0=30 +lon_0=-87.5 +k=0.999933333 +x_0=600000 +y_0=0 +ellps=GRQ80 +units=m +no_defs</f>
        <v>#NAME?</v>
      </c>
    </row>
    <row r="3053" spans="1:3" x14ac:dyDescent="0.25">
      <c r="A3053">
        <v>6362</v>
      </c>
      <c r="B3053" t="s">
        <v>4633</v>
      </c>
      <c r="C3053" t="s">
        <v>4634</v>
      </c>
    </row>
    <row r="3054" spans="1:3" x14ac:dyDescent="0.25">
      <c r="A3054">
        <v>6366</v>
      </c>
      <c r="B3054" t="s">
        <v>4635</v>
      </c>
      <c r="C3054" t="s">
        <v>1050</v>
      </c>
    </row>
    <row r="3055" spans="1:3" x14ac:dyDescent="0.25">
      <c r="A3055">
        <v>6367</v>
      </c>
      <c r="B3055" t="s">
        <v>4636</v>
      </c>
      <c r="C3055" t="s">
        <v>1048</v>
      </c>
    </row>
    <row r="3056" spans="1:3" x14ac:dyDescent="0.25">
      <c r="A3056">
        <v>6368</v>
      </c>
      <c r="B3056" t="s">
        <v>4637</v>
      </c>
      <c r="C3056" t="s">
        <v>1046</v>
      </c>
    </row>
    <row r="3057" spans="1:3" x14ac:dyDescent="0.25">
      <c r="A3057">
        <v>6369</v>
      </c>
      <c r="B3057" t="s">
        <v>4638</v>
      </c>
      <c r="C3057" t="s">
        <v>2740</v>
      </c>
    </row>
    <row r="3058" spans="1:3" x14ac:dyDescent="0.25">
      <c r="A3058">
        <v>6370</v>
      </c>
      <c r="B3058" t="s">
        <v>4639</v>
      </c>
      <c r="C3058" t="s">
        <v>2742</v>
      </c>
    </row>
    <row r="3059" spans="1:3" x14ac:dyDescent="0.25">
      <c r="A3059">
        <v>6371</v>
      </c>
      <c r="B3059" t="s">
        <v>4640</v>
      </c>
      <c r="C3059" t="s">
        <v>2744</v>
      </c>
    </row>
    <row r="3060" spans="1:3" x14ac:dyDescent="0.25">
      <c r="A3060">
        <v>6372</v>
      </c>
      <c r="B3060" t="s">
        <v>4641</v>
      </c>
      <c r="C3060" t="s">
        <v>4634</v>
      </c>
    </row>
    <row r="3061" spans="1:3" x14ac:dyDescent="0.25">
      <c r="A3061">
        <v>6381</v>
      </c>
      <c r="B3061" t="s">
        <v>4642</v>
      </c>
      <c r="C3061" t="s">
        <v>4643</v>
      </c>
    </row>
    <row r="3062" spans="1:3" x14ac:dyDescent="0.25">
      <c r="A3062">
        <v>6382</v>
      </c>
      <c r="B3062" t="s">
        <v>4644</v>
      </c>
      <c r="C3062" t="s">
        <v>4645</v>
      </c>
    </row>
    <row r="3063" spans="1:3" x14ac:dyDescent="0.25">
      <c r="A3063">
        <v>6383</v>
      </c>
      <c r="B3063" t="s">
        <v>4646</v>
      </c>
      <c r="C3063" t="s">
        <v>4647</v>
      </c>
    </row>
    <row r="3064" spans="1:3" x14ac:dyDescent="0.25">
      <c r="A3064">
        <v>6384</v>
      </c>
      <c r="B3064" t="s">
        <v>4648</v>
      </c>
      <c r="C3064" t="s">
        <v>4649</v>
      </c>
    </row>
    <row r="3065" spans="1:3" x14ac:dyDescent="0.25">
      <c r="A3065">
        <v>6385</v>
      </c>
      <c r="B3065" t="s">
        <v>4650</v>
      </c>
      <c r="C3065" t="s">
        <v>4651</v>
      </c>
    </row>
    <row r="3066" spans="1:3" x14ac:dyDescent="0.25">
      <c r="A3066">
        <v>6386</v>
      </c>
      <c r="B3066" t="s">
        <v>4652</v>
      </c>
      <c r="C3066" t="s">
        <v>4653</v>
      </c>
    </row>
    <row r="3067" spans="1:3" x14ac:dyDescent="0.25">
      <c r="A3067">
        <v>6387</v>
      </c>
      <c r="B3067" t="s">
        <v>4654</v>
      </c>
      <c r="C3067" t="s">
        <v>4655</v>
      </c>
    </row>
    <row r="3068" spans="1:3" x14ac:dyDescent="0.25">
      <c r="A3068">
        <v>6391</v>
      </c>
      <c r="B3068" t="s">
        <v>4656</v>
      </c>
      <c r="C3068" t="s">
        <v>4657</v>
      </c>
    </row>
    <row r="3069" spans="1:3" x14ac:dyDescent="0.25">
      <c r="A3069">
        <v>6393</v>
      </c>
      <c r="B3069" t="s">
        <v>4658</v>
      </c>
      <c r="C3069" t="e">
        <f>+proj=aea +lat_1=55 +lat_2=65 +lat_0=50 +lon_0=-154 +x_0=0 +y_0=0 +ellps=GRQ80 +units=m +no_defs</f>
        <v>#NAME?</v>
      </c>
    </row>
    <row r="3070" spans="1:3" x14ac:dyDescent="0.25">
      <c r="A3070">
        <v>6394</v>
      </c>
      <c r="B3070" t="s">
        <v>4659</v>
      </c>
      <c r="C3070" t="e">
        <f>+proj=omerc +lat_0=57 +lonc=-133.666666666666 +alpha=323.130102361111 +k=0.9999 +x_0=5000000 +y_0=-5000000 +no_uoff +gamma=323.130102361111 +ellps=GRQ80 +units=m +no_defs</f>
        <v>#NAME?</v>
      </c>
    </row>
    <row r="3071" spans="1:3" x14ac:dyDescent="0.25">
      <c r="A3071">
        <v>6395</v>
      </c>
      <c r="B3071" t="s">
        <v>4660</v>
      </c>
      <c r="C3071" t="e">
        <f>+proj=tmerc +lat_0=54 +lon_0=-142 +k=0.9999 +x_0=500000 +y_0=0 +ellps=GRQ80 +units=m +no_defs</f>
        <v>#NAME?</v>
      </c>
    </row>
    <row r="3072" spans="1:3" x14ac:dyDescent="0.25">
      <c r="A3072">
        <v>6396</v>
      </c>
      <c r="B3072" t="s">
        <v>4661</v>
      </c>
      <c r="C3072" t="e">
        <f>+proj=tmerc +lat_0=54 +lon_0=-146 +k=0.9999 +x_0=500000 +y_0=0 +ellps=GRQ80 +units=m +no_defs</f>
        <v>#NAME?</v>
      </c>
    </row>
    <row r="3073" spans="1:3" x14ac:dyDescent="0.25">
      <c r="A3073">
        <v>6397</v>
      </c>
      <c r="B3073" t="s">
        <v>4662</v>
      </c>
      <c r="C3073" t="e">
        <f>+proj=tmerc +lat_0=54 +lon_0=-150 +k=0.9999 +x_0=500000 +y_0=0 +ellps=GRQ80 +units=m +no_defs</f>
        <v>#NAME?</v>
      </c>
    </row>
    <row r="3074" spans="1:3" x14ac:dyDescent="0.25">
      <c r="A3074">
        <v>6398</v>
      </c>
      <c r="B3074" t="s">
        <v>4663</v>
      </c>
      <c r="C3074" t="e">
        <f>+proj=tmerc +lat_0=54 +lon_0=-154 +k=0.9999 +x_0=500000 +y_0=0 +ellps=GRQ80 +units=m +no_defs</f>
        <v>#NAME?</v>
      </c>
    </row>
    <row r="3075" spans="1:3" x14ac:dyDescent="0.25">
      <c r="A3075">
        <v>4918</v>
      </c>
      <c r="B3075" t="s">
        <v>4664</v>
      </c>
      <c r="C3075" t="e">
        <f>+proj=geocent +ellps=GRQ80 +units=m +no_defs</f>
        <v>#NAME?</v>
      </c>
    </row>
    <row r="3076" spans="1:3" x14ac:dyDescent="0.25">
      <c r="A3076">
        <v>6399</v>
      </c>
      <c r="B3076" t="s">
        <v>4665</v>
      </c>
      <c r="C3076" t="e">
        <f>+proj=tmerc +lat_0=54 +lon_0=-158 +k=0.9999 +x_0=500000 +y_0=0 +ellps=GRQ80 +units=m +no_defs</f>
        <v>#NAME?</v>
      </c>
    </row>
    <row r="3077" spans="1:3" x14ac:dyDescent="0.25">
      <c r="A3077">
        <v>6400</v>
      </c>
      <c r="B3077" t="s">
        <v>4666</v>
      </c>
      <c r="C3077" t="e">
        <f>+proj=tmerc +lat_0=54 +lon_0=-162 +k=0.9999 +x_0=500000 +y_0=0 +ellps=GRQ80 +units=m +no_defs</f>
        <v>#NAME?</v>
      </c>
    </row>
    <row r="3078" spans="1:3" x14ac:dyDescent="0.25">
      <c r="A3078">
        <v>6401</v>
      </c>
      <c r="B3078" t="s">
        <v>4667</v>
      </c>
      <c r="C3078" t="e">
        <f>+proj=tmerc +lat_0=54 +lon_0=-166 +k=0.9999 +x_0=500000 +y_0=0 +ellps=GRQ80 +units=m +no_defs</f>
        <v>#NAME?</v>
      </c>
    </row>
    <row r="3079" spans="1:3" x14ac:dyDescent="0.25">
      <c r="A3079">
        <v>6402</v>
      </c>
      <c r="B3079" t="s">
        <v>4668</v>
      </c>
      <c r="C3079" t="e">
        <f>+proj=tmerc +lat_0=54 +lon_0=-170 +k=0.9999 +x_0=500000 +y_0=0 +ellps=GRQ80 +units=m +no_defs</f>
        <v>#NAME?</v>
      </c>
    </row>
    <row r="3080" spans="1:3" x14ac:dyDescent="0.25">
      <c r="A3080">
        <v>6403</v>
      </c>
      <c r="B3080" t="s">
        <v>4669</v>
      </c>
      <c r="C3080" t="e">
        <f>+proj=lcc +lat_1=53.8333333333333 +lat_2=51.8333333333333 +lat_0=51 +lon_0=-176 +x_0=1000000 +y_0=0 +ellps=GRQ80 +units=m +no_defs</f>
        <v>#NAME?</v>
      </c>
    </row>
    <row r="3081" spans="1:3" x14ac:dyDescent="0.25">
      <c r="A3081">
        <v>6404</v>
      </c>
      <c r="B3081" t="s">
        <v>4670</v>
      </c>
      <c r="C3081" t="e">
        <f>+proj=tmerc +lat_0=31 +lon_0=-111.916666666666 +k=0.9999 +x_0=213360 +y_0=0 +ellps=GRQ80 +units=m +no_defs</f>
        <v>#NAME?</v>
      </c>
    </row>
    <row r="3082" spans="1:3" x14ac:dyDescent="0.25">
      <c r="A3082">
        <v>6405</v>
      </c>
      <c r="B3082" t="s">
        <v>4671</v>
      </c>
      <c r="C3082" t="e">
        <f>+proj=tmerc +lat_0=31 +lon_0=-111.916666666666 +k=0.9999 +x_0=213360 +y_0=0 +ellps=GRQ80 +units=ft +no_defs</f>
        <v>#NAME?</v>
      </c>
    </row>
    <row r="3083" spans="1:3" x14ac:dyDescent="0.25">
      <c r="A3083">
        <v>6406</v>
      </c>
      <c r="B3083" t="s">
        <v>4672</v>
      </c>
      <c r="C3083" t="e">
        <f>+proj=tmerc +lat_0=31 +lon_0=-110.166666666666 +k=0.9999 +x_0=213360 +y_0=0 +ellps=GRQ80 +units=m +no_defs</f>
        <v>#NAME?</v>
      </c>
    </row>
    <row r="3084" spans="1:3" x14ac:dyDescent="0.25">
      <c r="A3084">
        <v>6407</v>
      </c>
      <c r="B3084" t="s">
        <v>4673</v>
      </c>
      <c r="C3084" t="e">
        <f>+proj=tmerc +lat_0=31 +lon_0=-110.166666666666 +k=0.9999 +x_0=213360 +y_0=0 +ellps=GRQ80 +units=ft +no_defs</f>
        <v>#NAME?</v>
      </c>
    </row>
    <row r="3085" spans="1:3" x14ac:dyDescent="0.25">
      <c r="A3085">
        <v>6408</v>
      </c>
      <c r="B3085" t="s">
        <v>4674</v>
      </c>
      <c r="C3085" t="e">
        <f>+proj=tmerc +lat_0=31 +lon_0=-113.75 +k=0.999933333 +x_0=213360 +y_0=0 +ellps=GRQ80 +units=m +no_defs</f>
        <v>#NAME?</v>
      </c>
    </row>
    <row r="3086" spans="1:3" x14ac:dyDescent="0.25">
      <c r="A3086">
        <v>6409</v>
      </c>
      <c r="B3086" t="s">
        <v>4675</v>
      </c>
      <c r="C3086" t="e">
        <f>+proj=tmerc +lat_0=31 +lon_0=-113.75 +k=0.999933333 +x_0=213360 +y_0=0 +ellps=GRQ80 +units=ft +no_defs</f>
        <v>#NAME?</v>
      </c>
    </row>
    <row r="3087" spans="1:3" x14ac:dyDescent="0.25">
      <c r="A3087">
        <v>6410</v>
      </c>
      <c r="B3087" t="s">
        <v>4676</v>
      </c>
      <c r="C3087" t="e">
        <f>+proj=lcc +lat_1=36.2333333333333 +lat_2=34.9333333333333 +lat_0=34.3333333333333 +lon_0=-92 +x_0=400000 +y_0=0 +ellps=GRQ80 +units=m +no_defs</f>
        <v>#NAME?</v>
      </c>
    </row>
    <row r="3088" spans="1:3" x14ac:dyDescent="0.25">
      <c r="A3088">
        <v>6411</v>
      </c>
      <c r="B3088" t="s">
        <v>4677</v>
      </c>
      <c r="C3088" t="e">
        <f>+proj=lcc +lat_1=36.2333333333333 +lat_2=34.9333333333333 +lat_0=34.3333333333333 +lon_0=-92 +x_0=399999.99998984 +y_0=0 +ellps=GRQ80 +units=us-ft +no_defs</f>
        <v>#NAME?</v>
      </c>
    </row>
    <row r="3089" spans="1:3" x14ac:dyDescent="0.25">
      <c r="A3089">
        <v>6412</v>
      </c>
      <c r="B3089" t="s">
        <v>4678</v>
      </c>
      <c r="C3089" t="e">
        <f>+proj=lcc +lat_1=34.7666666666666 +lat_2=33.3 +lat_0=32.6666666666666 +lon_0=-92 +x_0=400000 +y_0=400000 +ellps=GRQ80 +units=m +no_defs</f>
        <v>#NAME?</v>
      </c>
    </row>
    <row r="3090" spans="1:3" x14ac:dyDescent="0.25">
      <c r="A3090">
        <v>6413</v>
      </c>
      <c r="B3090" t="s">
        <v>4679</v>
      </c>
      <c r="C3090" t="e">
        <f>+proj=lcc +lat_1=34.7666666666666 +lat_2=33.3 +lat_0=32.6666666666666 +lon_0=-92 +x_0=399999.99998984 +y_0=399999.99998984 +ellps=GRQ80 +units=us-ft +no_defs</f>
        <v>#NAME?</v>
      </c>
    </row>
    <row r="3091" spans="1:3" x14ac:dyDescent="0.25">
      <c r="A3091">
        <v>6414</v>
      </c>
      <c r="B3091" t="s">
        <v>4680</v>
      </c>
      <c r="C3091" t="e">
        <f>+proj=aea +lat_1=34 +lat_2=40.5 +lat_0=0 +lon_0=-120 +x_0=0 +y_0=-4000000 +ellps=GRQ80 +units=m +no_defs</f>
        <v>#NAME?</v>
      </c>
    </row>
    <row r="3092" spans="1:3" x14ac:dyDescent="0.25">
      <c r="A3092">
        <v>6415</v>
      </c>
      <c r="B3092" t="s">
        <v>4681</v>
      </c>
      <c r="C3092" t="e">
        <f>+proj=lcc +lat_1=41.6666666666666 +lat_2=40 +lat_0=39.3333333333333 +lon_0=-122 +x_0=2000000 +y_0=500000 +ellps=GRQ80 +units=m +no_defs</f>
        <v>#NAME?</v>
      </c>
    </row>
    <row r="3093" spans="1:3" x14ac:dyDescent="0.25">
      <c r="A3093">
        <v>6416</v>
      </c>
      <c r="B3093" t="s">
        <v>4682</v>
      </c>
      <c r="C3093" t="e">
        <f>+proj=lcc +lat_1=41.6666666666666 +lat_2=40 +lat_0=39.3333333333333 +lon_0=-122 +x_0=2000000.0001016 +y_0=500000.0001016 +ellps=GRQ80 +units=us-ft +no_defs</f>
        <v>#NAME?</v>
      </c>
    </row>
    <row r="3094" spans="1:3" x14ac:dyDescent="0.25">
      <c r="A3094">
        <v>6528</v>
      </c>
      <c r="B3094" t="s">
        <v>4683</v>
      </c>
      <c r="C3094" t="e">
        <f>+proj=tmerc +lat_0=31 +lon_0=-106.25 +k=0.9999 +x_0=500000 +y_0=0 +ellps=GRQ80 +units=m +no_defs</f>
        <v>#NAME?</v>
      </c>
    </row>
    <row r="3095" spans="1:3" x14ac:dyDescent="0.25">
      <c r="A3095">
        <v>6417</v>
      </c>
      <c r="B3095" t="s">
        <v>4684</v>
      </c>
      <c r="C3095" t="e">
        <f>+proj=lcc +lat_1=39.8333333333333 +lat_2=38.3333333333333 +lat_0=37.6666666666666 +lon_0=-122 +x_0=2000000 +y_0=500000 +ellps=GRQ80 +units=m +no_defs</f>
        <v>#NAME?</v>
      </c>
    </row>
    <row r="3096" spans="1:3" x14ac:dyDescent="0.25">
      <c r="A3096">
        <v>6418</v>
      </c>
      <c r="B3096" t="s">
        <v>4685</v>
      </c>
      <c r="C3096" t="e">
        <f>+proj=lcc +lat_1=39.8333333333333 +lat_2=38.3333333333333 +lat_0=37.6666666666666 +lon_0=-122 +x_0=2000000.0001016 +y_0=500000.0001016 +ellps=GRQ80 +units=us-ft +no_defs</f>
        <v>#NAME?</v>
      </c>
    </row>
    <row r="3097" spans="1:3" x14ac:dyDescent="0.25">
      <c r="A3097">
        <v>6419</v>
      </c>
      <c r="B3097" t="s">
        <v>4686</v>
      </c>
      <c r="C3097" t="e">
        <f>+proj=lcc +lat_1=38.4333333333333 +lat_2=37.0666666666666 +lat_0=36.5 +lon_0=-120.5 +x_0=2000000 +y_0=500000 +ellps=GRQ80 +units=m +no_defs</f>
        <v>#NAME?</v>
      </c>
    </row>
    <row r="3098" spans="1:3" x14ac:dyDescent="0.25">
      <c r="A3098">
        <v>6420</v>
      </c>
      <c r="B3098" t="s">
        <v>4687</v>
      </c>
      <c r="C3098" t="e">
        <f>+proj=lcc +lat_1=38.4333333333333 +lat_2=37.0666666666666 +lat_0=36.5 +lon_0=-120.5 +x_0=2000000.0001016 +y_0=500000.0001016 +ellps=GRQ80 +units=us-ft +no_defs</f>
        <v>#NAME?</v>
      </c>
    </row>
    <row r="3099" spans="1:3" x14ac:dyDescent="0.25">
      <c r="A3099">
        <v>6421</v>
      </c>
      <c r="B3099" t="s">
        <v>4688</v>
      </c>
      <c r="C3099" t="e">
        <f>+proj=lcc +lat_1=37.25 +lat_2=36 +lat_0=35.3333333333333 +lon_0=-119 +x_0=2000000 +y_0=500000 +ellps=GRQ80 +units=m +no_defs</f>
        <v>#NAME?</v>
      </c>
    </row>
    <row r="3100" spans="1:3" x14ac:dyDescent="0.25">
      <c r="A3100">
        <v>6422</v>
      </c>
      <c r="B3100" t="s">
        <v>4689</v>
      </c>
      <c r="C3100" t="e">
        <f>+proj=lcc +lat_1=37.25 +lat_2=36 +lat_0=35.3333333333333 +lon_0=-119 +x_0=2000000.0001016 +y_0=500000.0001016 +ellps=GRQ80 +units=us-ft +no_defs</f>
        <v>#NAME?</v>
      </c>
    </row>
    <row r="3101" spans="1:3" x14ac:dyDescent="0.25">
      <c r="A3101">
        <v>6423</v>
      </c>
      <c r="B3101" t="s">
        <v>4690</v>
      </c>
      <c r="C3101" t="e">
        <f>+proj=lcc +lat_1=35.4666666666666 +lat_2=34.0333333333333 +lat_0=33.5 +lon_0=-118 +x_0=2000000 +y_0=500000 +ellps=GRQ80 +units=m +no_defs</f>
        <v>#NAME?</v>
      </c>
    </row>
    <row r="3102" spans="1:3" x14ac:dyDescent="0.25">
      <c r="A3102">
        <v>6424</v>
      </c>
      <c r="B3102" t="s">
        <v>4691</v>
      </c>
      <c r="C3102" t="e">
        <f>+proj=lcc +lat_1=35.4666666666666 +lat_2=34.0333333333333 +lat_0=33.5 +lon_0=-118 +x_0=2000000.0001016 +y_0=500000.0001016 +ellps=GRQ80 +units=us-ft +no_defs</f>
        <v>#NAME?</v>
      </c>
    </row>
    <row r="3103" spans="1:3" x14ac:dyDescent="0.25">
      <c r="A3103">
        <v>4919</v>
      </c>
      <c r="B3103" t="s">
        <v>4692</v>
      </c>
      <c r="C3103" t="e">
        <f>+proj=geocent +ellps=GRQ80 +units=m +no_defs</f>
        <v>#NAME?</v>
      </c>
    </row>
    <row r="3104" spans="1:3" x14ac:dyDescent="0.25">
      <c r="A3104">
        <v>6425</v>
      </c>
      <c r="B3104" t="s">
        <v>4693</v>
      </c>
      <c r="C3104" t="e">
        <f>+proj=lcc +lat_1=33.8833333333333 +lat_2=32.7833333333333 +lat_0=32.1666666666666 +lon_0=-116.25 +x_0=2000000 +y_0=500000 +ellps=GRQ80 +units=m +no_defs</f>
        <v>#NAME?</v>
      </c>
    </row>
    <row r="3105" spans="1:3" x14ac:dyDescent="0.25">
      <c r="A3105">
        <v>6426</v>
      </c>
      <c r="B3105" t="s">
        <v>4694</v>
      </c>
      <c r="C3105" t="e">
        <f>+proj=lcc +lat_1=33.8833333333333 +lat_2=32.7833333333333 +lat_0=32.1666666666666 +lon_0=-116.25 +x_0=2000000.0001016 +y_0=500000.0001016 +ellps=GRQ80 +units=us-ft +no_defs</f>
        <v>#NAME?</v>
      </c>
    </row>
    <row r="3106" spans="1:3" x14ac:dyDescent="0.25">
      <c r="A3106">
        <v>6427</v>
      </c>
      <c r="B3106" t="s">
        <v>4695</v>
      </c>
      <c r="C3106" t="e">
        <f>+proj=lcc +lat_1=39.75 +lat_2=38.45 +lat_0=37.8333333333333 +lon_0=-105.5 +x_0=914401.8289 +y_0=304800.6096 +ellps=GRQ80 +units=m +no_defs</f>
        <v>#NAME?</v>
      </c>
    </row>
    <row r="3107" spans="1:3" x14ac:dyDescent="0.25">
      <c r="A3107">
        <v>6428</v>
      </c>
      <c r="B3107" t="s">
        <v>4696</v>
      </c>
      <c r="C3107" t="e">
        <f>+proj=lcc +lat_1=39.75 +lat_2=38.45 +lat_0=37.8333333333333 +lon_0=-105.5 +x_0=914401.828803657 +y_0=304800.609601219 +ellps=GRQ80 +units=us-ft +no_defs</f>
        <v>#NAME?</v>
      </c>
    </row>
    <row r="3108" spans="1:3" x14ac:dyDescent="0.25">
      <c r="A3108">
        <v>6429</v>
      </c>
      <c r="B3108" t="s">
        <v>4697</v>
      </c>
      <c r="C3108" t="e">
        <f>+proj=lcc +lat_1=40.7833333333333 +lat_2=39.7166666666666 +lat_0=39.3333333333333 +lon_0=-105.5 +x_0=914401.8289 +y_0=304800.6096 +ellps=GRQ80 +units=m +no_defs</f>
        <v>#NAME?</v>
      </c>
    </row>
    <row r="3109" spans="1:3" x14ac:dyDescent="0.25">
      <c r="A3109">
        <v>6430</v>
      </c>
      <c r="B3109" t="s">
        <v>4698</v>
      </c>
      <c r="C3109" t="e">
        <f>+proj=lcc +lat_1=40.7833333333333 +lat_2=39.7166666666666 +lat_0=39.3333333333333 +lon_0=-105.5 +x_0=914401.828803657 +y_0=304800.609601219 +ellps=GRQ80 +units=us-ft +no_defs</f>
        <v>#NAME?</v>
      </c>
    </row>
    <row r="3110" spans="1:3" x14ac:dyDescent="0.25">
      <c r="A3110">
        <v>6431</v>
      </c>
      <c r="B3110" t="s">
        <v>4699</v>
      </c>
      <c r="C3110" t="e">
        <f>+proj=lcc +lat_1=38.4333333333333 +lat_2=37.2333333333333 +lat_0=36.6666666666666 +lon_0=-105.5 +x_0=914401.8289 +y_0=304800.6096 +ellps=GRQ80 +units=m +no_defs</f>
        <v>#NAME?</v>
      </c>
    </row>
    <row r="3111" spans="1:3" x14ac:dyDescent="0.25">
      <c r="A3111">
        <v>6432</v>
      </c>
      <c r="B3111" t="s">
        <v>4700</v>
      </c>
      <c r="C3111" t="e">
        <f>+proj=lcc +lat_1=38.4333333333333 +lat_2=37.2333333333333 +lat_0=36.6666666666666 +lon_0=-105.5 +x_0=914401.828803657 +y_0=304800.609601219 +ellps=GRQ80 +units=us-ft +no_defs</f>
        <v>#NAME?</v>
      </c>
    </row>
    <row r="3112" spans="1:3" x14ac:dyDescent="0.25">
      <c r="A3112">
        <v>6433</v>
      </c>
      <c r="B3112" t="s">
        <v>4701</v>
      </c>
      <c r="C3112" t="e">
        <f>+proj=lcc +lat_1=41.8666666666666 +lat_2=41.2 +lat_0=40.8333333333333 +lon_0=-72.75 +x_0=304800.6096 +y_0=152400.3048 +ellps=GRQ80 +units=m +no_defs</f>
        <v>#NAME?</v>
      </c>
    </row>
    <row r="3113" spans="1:3" x14ac:dyDescent="0.25">
      <c r="A3113">
        <v>6434</v>
      </c>
      <c r="B3113" t="s">
        <v>4702</v>
      </c>
      <c r="C3113" t="e">
        <f>+proj=lcc +lat_1=41.8666666666666 +lat_2=41.2 +lat_0=40.8333333333333 +lon_0=-72.75 +x_0=304800.609601219 +y_0=152400.304800609 +ellps=GRQ80 +units=us-ft +no_defs</f>
        <v>#NAME?</v>
      </c>
    </row>
    <row r="3114" spans="1:3" x14ac:dyDescent="0.25">
      <c r="A3114">
        <v>6435</v>
      </c>
      <c r="B3114" t="s">
        <v>4703</v>
      </c>
      <c r="C3114" t="e">
        <f>+proj=tmerc +lat_0=38 +lon_0=-75.4166666666666 +k=0.999995 +x_0=200000 +y_0=0 +ellps=GRQ80 +units=m +no_defs</f>
        <v>#NAME?</v>
      </c>
    </row>
    <row r="3115" spans="1:3" x14ac:dyDescent="0.25">
      <c r="A3115">
        <v>6436</v>
      </c>
      <c r="B3115" t="s">
        <v>4704</v>
      </c>
      <c r="C3115" t="e">
        <f>+proj=tmerc +lat_0=38 +lon_0=-75.4166666666666 +k=0.999995 +x_0=200000.0001016 +y_0=0 +ellps=GRQ80 +units=us-ft +no_defs</f>
        <v>#NAME?</v>
      </c>
    </row>
    <row r="3116" spans="1:3" x14ac:dyDescent="0.25">
      <c r="A3116">
        <v>6437</v>
      </c>
      <c r="B3116" t="s">
        <v>4705</v>
      </c>
      <c r="C3116" t="e">
        <f>+proj=tmerc +lat_0=24.3333333333333 +lon_0=-81 +k=0.999941177 +x_0=200000 +y_0=0 +ellps=GRQ80 +units=m +no_defs</f>
        <v>#NAME?</v>
      </c>
    </row>
    <row r="3117" spans="1:3" x14ac:dyDescent="0.25">
      <c r="A3117">
        <v>6438</v>
      </c>
      <c r="B3117" t="s">
        <v>4706</v>
      </c>
      <c r="C3117" t="e">
        <f>+proj=tmerc +lat_0=24.3333333333333 +lon_0=-81 +k=0.999941177 +x_0=200000.0001016 +y_0=0 +ellps=GRQ80 +units=us-ft +no_defs</f>
        <v>#NAME?</v>
      </c>
    </row>
    <row r="3118" spans="1:3" x14ac:dyDescent="0.25">
      <c r="A3118">
        <v>6439</v>
      </c>
      <c r="B3118" t="s">
        <v>4707</v>
      </c>
      <c r="C3118" t="e">
        <f>+proj=aea +lat_1=24 +lat_2=31.5 +lat_0=24 +lon_0=-84 +x_0=400000 +y_0=0 +ellps=GRQ80 +units=m +no_defs</f>
        <v>#NAME?</v>
      </c>
    </row>
    <row r="3119" spans="1:3" x14ac:dyDescent="0.25">
      <c r="A3119">
        <v>6440</v>
      </c>
      <c r="B3119" t="s">
        <v>4708</v>
      </c>
      <c r="C3119" t="e">
        <f>+proj=lcc +lat_1=30.75 +lat_2=29.5833333333333 +lat_0=29 +lon_0=-84.5 +x_0=600000 +y_0=0 +ellps=GRQ80 +units=m +no_defs</f>
        <v>#NAME?</v>
      </c>
    </row>
    <row r="3120" spans="1:3" x14ac:dyDescent="0.25">
      <c r="A3120">
        <v>6441</v>
      </c>
      <c r="B3120" t="s">
        <v>4709</v>
      </c>
      <c r="C3120" t="e">
        <f>+proj=lcc +lat_1=30.75 +lat_2=29.5833333333333 +lat_0=29 +lon_0=-84.5 +x_0=600000 +y_0=0 +ellps=GRQ80 +units=us-ft +no_defs</f>
        <v>#NAME?</v>
      </c>
    </row>
    <row r="3121" spans="1:3" x14ac:dyDescent="0.25">
      <c r="A3121">
        <v>6442</v>
      </c>
      <c r="B3121" t="s">
        <v>4710</v>
      </c>
      <c r="C3121" t="e">
        <f>+proj=tmerc +lat_0=24.3333333333333 +lon_0=-82 +k=0.999941177 +x_0=200000 +y_0=0 +ellps=GRQ80 +units=m +no_defs</f>
        <v>#NAME?</v>
      </c>
    </row>
    <row r="3122" spans="1:3" x14ac:dyDescent="0.25">
      <c r="A3122">
        <v>6443</v>
      </c>
      <c r="B3122" t="s">
        <v>4711</v>
      </c>
      <c r="C3122" t="e">
        <f>+proj=tmerc +lat_0=24.3333333333333 +lon_0=-82 +k=0.999941177 +x_0=200000.0001016 +y_0=0 +ellps=GRQ80 +units=us-ft +no_defs</f>
        <v>#NAME?</v>
      </c>
    </row>
    <row r="3123" spans="1:3" x14ac:dyDescent="0.25">
      <c r="A3123">
        <v>6444</v>
      </c>
      <c r="B3123" t="s">
        <v>4712</v>
      </c>
      <c r="C3123" t="e">
        <f>+proj=tmerc +lat_0=30 +lon_0=-82.1666666666666 +k=0.9999 +x_0=200000 +y_0=0 +ellps=GRQ80 +units=m +no_defs</f>
        <v>#NAME?</v>
      </c>
    </row>
    <row r="3124" spans="1:3" x14ac:dyDescent="0.25">
      <c r="A3124">
        <v>6445</v>
      </c>
      <c r="B3124" t="s">
        <v>4713</v>
      </c>
      <c r="C3124" t="e">
        <f>+proj=tmerc +lat_0=30 +lon_0=-82.1666666666666 +k=0.9999 +x_0=200000.0001016 +y_0=0 +ellps=GRQ80 +units=us-ft +no_defs</f>
        <v>#NAME?</v>
      </c>
    </row>
    <row r="3125" spans="1:3" x14ac:dyDescent="0.25">
      <c r="A3125">
        <v>6446</v>
      </c>
      <c r="B3125" t="s">
        <v>4714</v>
      </c>
      <c r="C3125" t="e">
        <f>+proj=tmerc +lat_0=30 +lon_0=-84.1666666666666 +k=0.9999 +x_0=700000 +y_0=0 +ellps=GRQ80 +units=m +no_defs</f>
        <v>#NAME?</v>
      </c>
    </row>
    <row r="3126" spans="1:3" x14ac:dyDescent="0.25">
      <c r="A3126">
        <v>6447</v>
      </c>
      <c r="B3126" t="s">
        <v>4715</v>
      </c>
      <c r="C3126" t="e">
        <f>+proj=tmerc +lat_0=30 +lon_0=-84.1666666666666 +k=0.9999 +x_0=699999.999898399 +y_0=0 +ellps=GRQ80 +units=us-ft +no_defs</f>
        <v>#NAME?</v>
      </c>
    </row>
    <row r="3127" spans="1:3" x14ac:dyDescent="0.25">
      <c r="A3127">
        <v>6448</v>
      </c>
      <c r="B3127" t="s">
        <v>4716</v>
      </c>
      <c r="C3127" t="e">
        <f>+proj=tmerc +lat_0=41.6666666666666 +lon_0=-114 +k=0.999947367999999 +x_0=500000 +y_0=0 +ellps=GRQ80 +units=m +no_defs</f>
        <v>#NAME?</v>
      </c>
    </row>
    <row r="3128" spans="1:3" x14ac:dyDescent="0.25">
      <c r="A3128">
        <v>6449</v>
      </c>
      <c r="B3128" t="s">
        <v>4717</v>
      </c>
      <c r="C3128" t="e">
        <f>+proj=tmerc +lat_0=41.6666666666666 +lon_0=-114 +k=0.999947367999999 +x_0=500000.0001016 +y_0=0 +ellps=GRQ80 +units=us-ft +no_defs</f>
        <v>#NAME?</v>
      </c>
    </row>
    <row r="3129" spans="1:3" x14ac:dyDescent="0.25">
      <c r="A3129">
        <v>6450</v>
      </c>
      <c r="B3129" t="s">
        <v>4718</v>
      </c>
      <c r="C3129" t="e">
        <f>+proj=tmerc +lat_0=41.6666666666666 +lon_0=-112.166666666666 +k=0.999947367999999 +x_0=200000 +y_0=0 +ellps=GRQ80 +units=m +no_defs</f>
        <v>#NAME?</v>
      </c>
    </row>
    <row r="3130" spans="1:3" x14ac:dyDescent="0.25">
      <c r="A3130">
        <v>4920</v>
      </c>
      <c r="B3130" t="s">
        <v>4719</v>
      </c>
      <c r="C3130" t="e">
        <f>+proj=geocent +ellps=GRQ80 +units=m +no_defs</f>
        <v>#NAME?</v>
      </c>
    </row>
    <row r="3131" spans="1:3" x14ac:dyDescent="0.25">
      <c r="A3131">
        <v>6451</v>
      </c>
      <c r="B3131" t="s">
        <v>4720</v>
      </c>
      <c r="C3131" t="e">
        <f>+proj=tmerc +lat_0=41.6666666666666 +lon_0=-112.166666666666 +k=0.999947367999999 +x_0=200000.0001016 +y_0=0 +ellps=GRQ80 +units=us-ft +no_defs</f>
        <v>#NAME?</v>
      </c>
    </row>
    <row r="3132" spans="1:3" x14ac:dyDescent="0.25">
      <c r="A3132">
        <v>6452</v>
      </c>
      <c r="B3132" t="s">
        <v>4721</v>
      </c>
      <c r="C3132" t="e">
        <f>+proj=tmerc +lat_0=41.6666666666666 +lon_0=-115.75 +k=0.999933333 +x_0=800000 +y_0=0 +ellps=GRQ80 +units=m +no_defs</f>
        <v>#NAME?</v>
      </c>
    </row>
    <row r="3133" spans="1:3" x14ac:dyDescent="0.25">
      <c r="A3133">
        <v>6453</v>
      </c>
      <c r="B3133" t="s">
        <v>4722</v>
      </c>
      <c r="C3133" t="e">
        <f>+proj=tmerc +lat_0=41.6666666666666 +lon_0=-115.75 +k=0.999933333 +x_0=800000.0001016 +y_0=0 +ellps=GRQ80 +units=us-ft +no_defs</f>
        <v>#NAME?</v>
      </c>
    </row>
    <row r="3134" spans="1:3" x14ac:dyDescent="0.25">
      <c r="A3134">
        <v>6454</v>
      </c>
      <c r="B3134" t="s">
        <v>4723</v>
      </c>
      <c r="C3134" t="e">
        <f>+proj=tmerc +lat_0=36.6666666666666 +lon_0=-88.3333333333333 +k=0.999974999999999 +x_0=300000 +y_0=0 +ellps=GRQ80 +units=m +no_defs</f>
        <v>#NAME?</v>
      </c>
    </row>
    <row r="3135" spans="1:3" x14ac:dyDescent="0.25">
      <c r="A3135">
        <v>6455</v>
      </c>
      <c r="B3135" t="s">
        <v>4724</v>
      </c>
      <c r="C3135" t="e">
        <f>+proj=tmerc +lat_0=36.6666666666666 +lon_0=-88.3333333333333 +k=0.999974999999999 +x_0=300000 +y_0=0 +ellps=GRQ80 +units=us-ft +no_defs</f>
        <v>#NAME?</v>
      </c>
    </row>
    <row r="3136" spans="1:3" x14ac:dyDescent="0.25">
      <c r="A3136">
        <v>6456</v>
      </c>
      <c r="B3136" t="s">
        <v>4725</v>
      </c>
      <c r="C3136" t="e">
        <f>+proj=tmerc +lat_0=36.6666666666666 +lon_0=-90.1666666666666 +k=0.999941177 +x_0=700000 +y_0=0 +ellps=GRQ80 +units=m +no_defs</f>
        <v>#NAME?</v>
      </c>
    </row>
    <row r="3137" spans="1:3" x14ac:dyDescent="0.25">
      <c r="A3137">
        <v>6457</v>
      </c>
      <c r="B3137" t="s">
        <v>4726</v>
      </c>
      <c r="C3137" t="e">
        <f>+proj=tmerc +lat_0=36.6666666666666 +lon_0=-90.1666666666666 +k=0.999941177 +x_0=699999.99998984 +y_0=0 +ellps=GRQ80 +units=us-ft +no_defs</f>
        <v>#NAME?</v>
      </c>
    </row>
    <row r="3138" spans="1:3" x14ac:dyDescent="0.25">
      <c r="A3138">
        <v>6458</v>
      </c>
      <c r="B3138" t="s">
        <v>4727</v>
      </c>
      <c r="C3138" t="e">
        <f>+proj=tmerc +lat_0=37.5 +lon_0=-85.6666666666666 +k=0.999966667 +x_0=100000 +y_0=250000 +ellps=GRQ80 +units=m +no_defs</f>
        <v>#NAME?</v>
      </c>
    </row>
    <row r="3139" spans="1:3" x14ac:dyDescent="0.25">
      <c r="A3139">
        <v>6459</v>
      </c>
      <c r="B3139" t="s">
        <v>4728</v>
      </c>
      <c r="C3139" t="e">
        <f>+proj=tmerc +lat_0=37.5 +lon_0=-85.6666666666666 +k=0.999966667 +x_0=99999.9998983997 +y_0=249999.999898399 +ellps=GRQ80 +units=us-ft +no_defs</f>
        <v>#NAME?</v>
      </c>
    </row>
    <row r="3140" spans="1:3" x14ac:dyDescent="0.25">
      <c r="A3140">
        <v>6460</v>
      </c>
      <c r="B3140" t="s">
        <v>4729</v>
      </c>
      <c r="C3140" t="e">
        <f>+proj=tmerc +lat_0=37.5 +lon_0=-87.0833333333333 +k=0.999966667 +x_0=900000 +y_0=250000 +ellps=GRQ80 +units=m +no_defs</f>
        <v>#NAME?</v>
      </c>
    </row>
    <row r="3141" spans="1:3" x14ac:dyDescent="0.25">
      <c r="A3141">
        <v>6461</v>
      </c>
      <c r="B3141" t="s">
        <v>4730</v>
      </c>
      <c r="C3141" t="e">
        <f>+proj=tmerc +lat_0=37.5 +lon_0=-87.0833333333333 +k=0.999966667 +x_0=900000 +y_0=249999.999898399 +ellps=GRQ80 +units=us-ft +no_defs</f>
        <v>#NAME?</v>
      </c>
    </row>
    <row r="3142" spans="1:3" x14ac:dyDescent="0.25">
      <c r="A3142">
        <v>6462</v>
      </c>
      <c r="B3142" t="s">
        <v>4731</v>
      </c>
      <c r="C3142" t="e">
        <f>+proj=lcc +lat_1=43.2666666666666 +lat_2=42.0666666666666 +lat_0=41.5 +lon_0=-93.5 +x_0=1500000 +y_0=1000000 +ellps=GRQ80 +units=m +no_defs</f>
        <v>#NAME?</v>
      </c>
    </row>
    <row r="3143" spans="1:3" x14ac:dyDescent="0.25">
      <c r="A3143">
        <v>6463</v>
      </c>
      <c r="B3143" t="s">
        <v>4732</v>
      </c>
      <c r="C3143" t="e">
        <f>+proj=lcc +lat_1=43.2666666666666 +lat_2=42.0666666666666 +lat_0=41.5 +lon_0=-93.5 +x_0=1500000 +y_0=999999.99998984 +ellps=GRQ80 +units=us-ft +no_defs</f>
        <v>#NAME?</v>
      </c>
    </row>
    <row r="3144" spans="1:3" x14ac:dyDescent="0.25">
      <c r="A3144">
        <v>6464</v>
      </c>
      <c r="B3144" t="s">
        <v>4733</v>
      </c>
      <c r="C3144" t="e">
        <f>+proj=lcc +lat_1=41.7833333333333 +lat_2=40.6166666666666 +lat_0=40 +lon_0=-93.5 +x_0=500000 +y_0=0 +ellps=GRQ80 +units=m +no_defs</f>
        <v>#NAME?</v>
      </c>
    </row>
    <row r="3145" spans="1:3" x14ac:dyDescent="0.25">
      <c r="A3145">
        <v>6465</v>
      </c>
      <c r="B3145" t="s">
        <v>4734</v>
      </c>
      <c r="C3145" t="e">
        <f>+proj=lcc +lat_1=41.7833333333333 +lat_2=40.6166666666666 +lat_0=40 +lon_0=-93.5 +x_0=500000.00001016 +y_0=0 +ellps=GRQ80 +units=us-ft +no_defs</f>
        <v>#NAME?</v>
      </c>
    </row>
    <row r="3146" spans="1:3" x14ac:dyDescent="0.25">
      <c r="A3146">
        <v>6466</v>
      </c>
      <c r="B3146" t="s">
        <v>4735</v>
      </c>
      <c r="C3146" t="e">
        <f>+proj=lcc +lat_1=39.7833333333333 +lat_2=38.7166666666666 +lat_0=38.3333333333333 +lon_0=-98 +x_0=400000 +y_0=0 +ellps=GRQ80 +units=m +no_defs</f>
        <v>#NAME?</v>
      </c>
    </row>
    <row r="3147" spans="1:3" x14ac:dyDescent="0.25">
      <c r="A3147">
        <v>6467</v>
      </c>
      <c r="B3147" t="s">
        <v>4736</v>
      </c>
      <c r="C3147" t="e">
        <f>+proj=lcc +lat_1=39.7833333333333 +lat_2=38.7166666666666 +lat_0=38.3333333333333 +lon_0=-98 +x_0=399999.99998984 +y_0=0 +ellps=GRQ80 +units=us-ft +no_defs</f>
        <v>#NAME?</v>
      </c>
    </row>
    <row r="3148" spans="1:3" x14ac:dyDescent="0.25">
      <c r="A3148">
        <v>6673</v>
      </c>
      <c r="B3148" t="s">
        <v>4737</v>
      </c>
      <c r="C3148" t="e">
        <f>+proj=tmerc +lat_0=36 +lon_0=134.333333333333 +k=0.9999 +x_0=0 +y_0=0 +ellps=GRQ80 +units=m +no_defs</f>
        <v>#NAME?</v>
      </c>
    </row>
    <row r="3149" spans="1:3" x14ac:dyDescent="0.25">
      <c r="A3149">
        <v>6468</v>
      </c>
      <c r="B3149" t="s">
        <v>4738</v>
      </c>
      <c r="C3149" t="e">
        <f>+proj=lcc +lat_1=38.5666666666666 +lat_2=37.2666666666666 +lat_0=36.6666666666666 +lon_0=-98.5 +x_0=400000 +y_0=400000 +ellps=GRQ80 +units=m +no_defs</f>
        <v>#NAME?</v>
      </c>
    </row>
    <row r="3150" spans="1:3" x14ac:dyDescent="0.25">
      <c r="A3150">
        <v>6469</v>
      </c>
      <c r="B3150" t="s">
        <v>4739</v>
      </c>
      <c r="C3150" t="e">
        <f>+proj=lcc +lat_1=38.5666666666666 +lat_2=37.2666666666666 +lat_0=36.6666666666666 +lon_0=-98.5 +x_0=399999.99998984 +y_0=399999.99998984 +ellps=GRQ80 +units=us-ft +no_defs</f>
        <v>#NAME?</v>
      </c>
    </row>
    <row r="3151" spans="1:3" x14ac:dyDescent="0.25">
      <c r="A3151">
        <v>6470</v>
      </c>
      <c r="B3151" t="s">
        <v>4740</v>
      </c>
      <c r="C3151" t="e">
        <f>+proj=lcc +lat_1=37.9666666666666 +lat_2=38.9666666666666 +lat_0=37.5 +lon_0=-84.25 +x_0=500000 +y_0=0 +ellps=GRQ80 +units=m +no_defs</f>
        <v>#NAME?</v>
      </c>
    </row>
    <row r="3152" spans="1:3" x14ac:dyDescent="0.25">
      <c r="A3152">
        <v>6471</v>
      </c>
      <c r="B3152" t="s">
        <v>4741</v>
      </c>
      <c r="C3152" t="e">
        <f>+proj=lcc +lat_1=37.9666666666666 +lat_2=38.9666666666666 +lat_0=37.5 +lon_0=-84.25 +x_0=500000.0001016 +y_0=0 +ellps=GRQ80 +units=us-ft +no_defs</f>
        <v>#NAME?</v>
      </c>
    </row>
    <row r="3153" spans="1:3" x14ac:dyDescent="0.25">
      <c r="A3153">
        <v>6472</v>
      </c>
      <c r="B3153" t="s">
        <v>4742</v>
      </c>
      <c r="C3153" t="e">
        <f>+proj=lcc +lat_1=37.0833333333333 +lat_2=38.6666666666666 +lat_0=36.3333333333333 +lon_0=-85.75 +x_0=1500000 +y_0=1000000 +ellps=GRQ80 +units=m +no_defs</f>
        <v>#NAME?</v>
      </c>
    </row>
    <row r="3154" spans="1:3" x14ac:dyDescent="0.25">
      <c r="A3154">
        <v>6473</v>
      </c>
      <c r="B3154" t="s">
        <v>4743</v>
      </c>
      <c r="C3154" t="e">
        <f>+proj=lcc +lat_1=37.0833333333333 +lat_2=38.6666666666666 +lat_0=36.3333333333333 +lon_0=-85.75 +x_0=1500000 +y_0=999999.999898399 +ellps=GRQ80 +units=us-ft +no_defs</f>
        <v>#NAME?</v>
      </c>
    </row>
    <row r="3155" spans="1:3" x14ac:dyDescent="0.25">
      <c r="A3155">
        <v>6474</v>
      </c>
      <c r="B3155" t="s">
        <v>4744</v>
      </c>
      <c r="C3155" t="e">
        <f>+proj=lcc +lat_1=37.9333333333333 +lat_2=36.7333333333333 +lat_0=36.3333333333333 +lon_0=-85.75 +x_0=500000 +y_0=500000 +ellps=GRQ80 +units=m +no_defs</f>
        <v>#NAME?</v>
      </c>
    </row>
    <row r="3156" spans="1:3" x14ac:dyDescent="0.25">
      <c r="A3156">
        <v>6475</v>
      </c>
      <c r="B3156" t="s">
        <v>4745</v>
      </c>
      <c r="C3156" t="e">
        <f>+proj=lcc +lat_1=37.9333333333333 +lat_2=36.7333333333333 +lat_0=36.3333333333333 +lon_0=-85.75 +x_0=500000.0001016 +y_0=500000.0001016 +ellps=GRQ80 +units=us-ft +no_defs</f>
        <v>#NAME?</v>
      </c>
    </row>
    <row r="3157" spans="1:3" x14ac:dyDescent="0.25">
      <c r="A3157">
        <v>6476</v>
      </c>
      <c r="B3157" t="s">
        <v>4746</v>
      </c>
      <c r="C3157" t="e">
        <f>+proj=lcc +lat_1=32.6666666666666 +lat_2=31.1666666666666 +lat_0=30.5 +lon_0=-92.5 +x_0=1000000 +y_0=0 +ellps=GRQ80 +units=m +no_defs</f>
        <v>#NAME?</v>
      </c>
    </row>
    <row r="3158" spans="1:3" x14ac:dyDescent="0.25">
      <c r="A3158">
        <v>6477</v>
      </c>
      <c r="B3158" t="s">
        <v>4747</v>
      </c>
      <c r="C3158" t="e">
        <f>+proj=lcc +lat_1=32.6666666666666 +lat_2=31.1666666666666 +lat_0=30.5 +lon_0=-92.5 +x_0=999999.99998984 +y_0=0 +ellps=GRQ80 +units=us-ft +no_defs</f>
        <v>#NAME?</v>
      </c>
    </row>
    <row r="3159" spans="1:3" x14ac:dyDescent="0.25">
      <c r="A3159">
        <v>6478</v>
      </c>
      <c r="B3159" t="s">
        <v>4748</v>
      </c>
      <c r="C3159" t="e">
        <f>+proj=lcc +lat_1=30.7 +lat_2=29.3 +lat_0=28.5 +lon_0=-91.3333333333333 +x_0=1000000 +y_0=0 +ellps=GRQ80 +units=m +no_defs</f>
        <v>#NAME?</v>
      </c>
    </row>
    <row r="3160" spans="1:3" x14ac:dyDescent="0.25">
      <c r="A3160">
        <v>6479</v>
      </c>
      <c r="B3160" t="s">
        <v>4749</v>
      </c>
      <c r="C3160" t="e">
        <f>+proj=lcc +lat_1=30.7 +lat_2=29.3 +lat_0=28.5 +lon_0=-91.3333333333333 +x_0=999999.99998984 +y_0=0 +ellps=GRQ80 +units=us-ft +no_defs</f>
        <v>#NAME?</v>
      </c>
    </row>
    <row r="3161" spans="1:3" x14ac:dyDescent="0.25">
      <c r="A3161">
        <v>6480</v>
      </c>
      <c r="B3161" t="s">
        <v>4750</v>
      </c>
      <c r="C3161" t="e">
        <f>+proj=tmerc +lat_0=43.5 +lon_0=-69.125 +k=0.99998 +x_0=500000 +y_0=0 +ellps=GRQ80 +units=m +no_defs</f>
        <v>#NAME?</v>
      </c>
    </row>
    <row r="3162" spans="1:3" x14ac:dyDescent="0.25">
      <c r="A3162">
        <v>6481</v>
      </c>
      <c r="B3162" t="s">
        <v>4751</v>
      </c>
      <c r="C3162" t="e">
        <f>+proj=tmerc +lat_0=43.8333333333333 +lon_0=-67.875 +k=0.99998 +x_0=700000 +y_0=0 +ellps=GRQ80 +units=m +no_defs</f>
        <v>#NAME?</v>
      </c>
    </row>
    <row r="3163" spans="1:3" x14ac:dyDescent="0.25">
      <c r="A3163">
        <v>6482</v>
      </c>
      <c r="B3163" t="s">
        <v>4752</v>
      </c>
      <c r="C3163" t="e">
        <f>+proj=tmerc +lat_0=42.8333333333333 +lon_0=-70.375 +k=0.99998 +x_0=300000 +y_0=0 +ellps=GRQ80 +units=m +no_defs</f>
        <v>#NAME?</v>
      </c>
    </row>
    <row r="3164" spans="1:3" x14ac:dyDescent="0.25">
      <c r="A3164">
        <v>6483</v>
      </c>
      <c r="B3164" t="s">
        <v>4753</v>
      </c>
      <c r="C3164" t="e">
        <f>+proj=tmerc +lat_0=43.6666666666666 +lon_0=-68.5 +k=0.9999 +x_0=300000 +y_0=0 +ellps=GRQ80 +units=m +no_defs</f>
        <v>#NAME?</v>
      </c>
    </row>
    <row r="3165" spans="1:3" x14ac:dyDescent="0.25">
      <c r="A3165">
        <v>6484</v>
      </c>
      <c r="B3165" t="s">
        <v>4754</v>
      </c>
      <c r="C3165" t="e">
        <f>+proj=tmerc +lat_0=43.6666666666666 +lon_0=-68.5 +k=0.9999 +x_0=300000 +y_0=0 +ellps=GRQ80 +units=us-ft +no_defs</f>
        <v>#NAME?</v>
      </c>
    </row>
    <row r="3166" spans="1:3" x14ac:dyDescent="0.25">
      <c r="A3166">
        <v>6485</v>
      </c>
      <c r="B3166" t="s">
        <v>4755</v>
      </c>
      <c r="C3166" t="e">
        <f>+proj=tmerc +lat_0=42.8333333333333 +lon_0=-70.1666666666666 +k=0.999966667 +x_0=900000 +y_0=0 +ellps=GRQ80 +units=m +no_defs</f>
        <v>#NAME?</v>
      </c>
    </row>
    <row r="3167" spans="1:3" x14ac:dyDescent="0.25">
      <c r="A3167">
        <v>6486</v>
      </c>
      <c r="B3167" t="s">
        <v>4756</v>
      </c>
      <c r="C3167" t="e">
        <f>+proj=tmerc +lat_0=42.8333333333333 +lon_0=-70.1666666666666 +k=0.999966667 +x_0=900000 +y_0=0 +ellps=GRQ80 +units=us-ft +no_defs</f>
        <v>#NAME?</v>
      </c>
    </row>
    <row r="3168" spans="1:3" x14ac:dyDescent="0.25">
      <c r="A3168">
        <v>6487</v>
      </c>
      <c r="B3168" t="s">
        <v>4757</v>
      </c>
      <c r="C3168" t="e">
        <f>+proj=lcc +lat_1=39.45 +lat_2=38.3 +lat_0=37.6666666666666 +lon_0=-77 +x_0=400000 +y_0=0 +ellps=GRQ80 +units=m +no_defs</f>
        <v>#NAME?</v>
      </c>
    </row>
    <row r="3169" spans="1:3" x14ac:dyDescent="0.25">
      <c r="A3169">
        <v>6488</v>
      </c>
      <c r="B3169" t="s">
        <v>4758</v>
      </c>
      <c r="C3169" t="e">
        <f>+proj=lcc +lat_1=39.45 +lat_2=38.3 +lat_0=37.6666666666666 +lon_0=-77 +x_0=399999.999898399 +y_0=0 +ellps=GRQ80 +units=us-ft +no_defs</f>
        <v>#NAME?</v>
      </c>
    </row>
    <row r="3170" spans="1:3" x14ac:dyDescent="0.25">
      <c r="A3170">
        <v>6489</v>
      </c>
      <c r="B3170" t="s">
        <v>4759</v>
      </c>
      <c r="C3170" t="e">
        <f>+proj=lcc +lat_1=41.4833333333333 +lat_2=41.2833333333333 +lat_0=41 +lon_0=-70.5 +x_0=500000 +y_0=0 +ellps=GRQ80 +units=m +no_defs</f>
        <v>#NAME?</v>
      </c>
    </row>
    <row r="3171" spans="1:3" x14ac:dyDescent="0.25">
      <c r="A3171">
        <v>6490</v>
      </c>
      <c r="B3171" t="s">
        <v>4760</v>
      </c>
      <c r="C3171" t="e">
        <f>+proj=lcc +lat_1=41.4833333333333 +lat_2=41.2833333333333 +lat_0=41 +lon_0=-70.5 +x_0=500000.0001016 +y_0=0 +ellps=GRQ80 +units=us-ft +no_defs</f>
        <v>#NAME?</v>
      </c>
    </row>
    <row r="3172" spans="1:3" x14ac:dyDescent="0.25">
      <c r="A3172">
        <v>6491</v>
      </c>
      <c r="B3172" t="s">
        <v>4761</v>
      </c>
      <c r="C3172" t="e">
        <f>+proj=lcc +lat_1=42.6833333333333 +lat_2=41.7166666666666 +lat_0=41 +lon_0=-71.5 +x_0=200000 +y_0=750000 +ellps=GRQ80 +units=m +no_defs</f>
        <v>#NAME?</v>
      </c>
    </row>
    <row r="3173" spans="1:3" x14ac:dyDescent="0.25">
      <c r="A3173">
        <v>6492</v>
      </c>
      <c r="B3173" t="s">
        <v>4762</v>
      </c>
      <c r="C3173" t="e">
        <f>+proj=lcc +lat_1=42.6833333333333 +lat_2=41.7166666666666 +lat_0=41 +lon_0=-71.5 +x_0=200000.0001016 +y_0=750000 +ellps=GRQ80 +units=us-ft +no_defs</f>
        <v>#NAME?</v>
      </c>
    </row>
    <row r="3174" spans="1:3" x14ac:dyDescent="0.25">
      <c r="A3174">
        <v>6610</v>
      </c>
      <c r="B3174" t="s">
        <v>4763</v>
      </c>
      <c r="C3174" t="e">
        <f>+proj=tmerc +lat_0=0 +lon_0=-90 +k=0.9996 +x_0=520000 +y_0=-4480000 +ellps=GRQ80 +units=m +no_defs</f>
        <v>#NAME?</v>
      </c>
    </row>
    <row r="3175" spans="1:3" x14ac:dyDescent="0.25">
      <c r="A3175">
        <v>6493</v>
      </c>
      <c r="B3175" t="s">
        <v>4764</v>
      </c>
      <c r="C3175" t="e">
        <f>+proj=lcc +lat_1=45.7 +lat_2=44.1833333333333 +lat_0=43.3166666666666 +lon_0=-84.3666666666666 +x_0=6000000 +y_0=0 +ellps=GRQ80 +units=m +no_defs</f>
        <v>#NAME?</v>
      </c>
    </row>
    <row r="3176" spans="1:3" x14ac:dyDescent="0.25">
      <c r="A3176">
        <v>6494</v>
      </c>
      <c r="B3176" t="s">
        <v>4765</v>
      </c>
      <c r="C3176" t="e">
        <f>+proj=lcc +lat_1=45.7 +lat_2=44.1833333333333 +lat_0=43.3166666666666 +lon_0=-84.3666666666666 +x_0=5999999.999976 +y_0=0 +ellps=GRQ80 +units=ft +no_defs</f>
        <v>#NAME?</v>
      </c>
    </row>
    <row r="3177" spans="1:3" x14ac:dyDescent="0.25">
      <c r="A3177">
        <v>6495</v>
      </c>
      <c r="B3177" t="s">
        <v>4766</v>
      </c>
      <c r="C3177" t="e">
        <f>+proj=lcc +lat_1=47.0833333333333 +lat_2=45.4833333333333 +lat_0=44.7833333333333 +lon_0=-87 +x_0=8000000 +y_0=0 +ellps=GRQ80 +units=m +no_defs</f>
        <v>#NAME?</v>
      </c>
    </row>
    <row r="3178" spans="1:3" x14ac:dyDescent="0.25">
      <c r="A3178">
        <v>6496</v>
      </c>
      <c r="B3178" t="s">
        <v>4767</v>
      </c>
      <c r="C3178" t="e">
        <f>+proj=lcc +lat_1=47.0833333333333 +lat_2=45.4833333333333 +lat_0=44.7833333333333 +lon_0=-87 +x_0=7999999.999968 +y_0=0 +ellps=GRQ80 +units=ft +no_defs</f>
        <v>#NAME?</v>
      </c>
    </row>
    <row r="3179" spans="1:3" x14ac:dyDescent="0.25">
      <c r="A3179">
        <v>6497</v>
      </c>
      <c r="B3179" t="s">
        <v>4768</v>
      </c>
      <c r="C3179" t="e">
        <f>+proj=omerc +lat_0=45.3091666666666 +lonc=-86 +alpha=337.25556 +k=0.9996 +x_0=2546731.496 +y_0=-4354009.816 +no_uoff +gamma=337.25556 +ellps=GRQ80 +units=m +no_defs</f>
        <v>#NAME?</v>
      </c>
    </row>
    <row r="3180" spans="1:3" x14ac:dyDescent="0.25">
      <c r="A3180">
        <v>6498</v>
      </c>
      <c r="B3180" t="s">
        <v>4769</v>
      </c>
      <c r="C3180" t="e">
        <f>+proj=lcc +lat_1=43.6666666666666 +lat_2=42.1 +lat_0=41.5 +lon_0=-84.3666666666666 +x_0=4000000 +y_0=0 +ellps=GRQ80 +units=m +no_defs</f>
        <v>#NAME?</v>
      </c>
    </row>
    <row r="3181" spans="1:3" x14ac:dyDescent="0.25">
      <c r="A3181">
        <v>6499</v>
      </c>
      <c r="B3181" t="s">
        <v>4770</v>
      </c>
      <c r="C3181" t="e">
        <f>+proj=lcc +lat_1=43.6666666666666 +lat_2=42.1 +lat_0=41.5 +lon_0=-84.3666666666666 +x_0=3999999.999984 +y_0=0 +ellps=GRQ80 +units=ft +no_defs</f>
        <v>#NAME?</v>
      </c>
    </row>
    <row r="3182" spans="1:3" x14ac:dyDescent="0.25">
      <c r="A3182">
        <v>6500</v>
      </c>
      <c r="B3182" t="s">
        <v>4771</v>
      </c>
      <c r="C3182" t="e">
        <f>+proj=lcc +lat_1=47.05 +lat_2=45.6166666666666 +lat_0=45 +lon_0=-94.25 +x_0=800000 +y_0=100000 +ellps=GRQ80 +units=m +no_defs</f>
        <v>#NAME?</v>
      </c>
    </row>
    <row r="3183" spans="1:3" x14ac:dyDescent="0.25">
      <c r="A3183">
        <v>4922</v>
      </c>
      <c r="B3183" t="s">
        <v>4772</v>
      </c>
      <c r="C3183" t="e">
        <f>+proj=geocent +a=6378136 +b=6356751.36174571 +units=m +no_defs</f>
        <v>#NAME?</v>
      </c>
    </row>
    <row r="3184" spans="1:3" x14ac:dyDescent="0.25">
      <c r="A3184">
        <v>6501</v>
      </c>
      <c r="B3184" t="s">
        <v>4773</v>
      </c>
      <c r="C3184" t="e">
        <f>+proj=lcc +lat_1=47.05 +lat_2=45.6166666666666 +lat_0=45 +lon_0=-94.25 +x_0=800000.000010159 +y_0=99999.9999898399 +ellps=GRQ80 +units=us-ft +no_defs</f>
        <v>#NAME?</v>
      </c>
    </row>
    <row r="3185" spans="1:3" x14ac:dyDescent="0.25">
      <c r="A3185">
        <v>6502</v>
      </c>
      <c r="B3185" t="s">
        <v>4774</v>
      </c>
      <c r="C3185" t="e">
        <f>+proj=lcc +lat_1=48.6333333333333 +lat_2=47.0333333333333 +lat_0=46.5 +lon_0=-93.0999999999999 +x_0=800000 +y_0=100000 +ellps=GRQ80 +units=m +no_defs</f>
        <v>#NAME?</v>
      </c>
    </row>
    <row r="3186" spans="1:3" x14ac:dyDescent="0.25">
      <c r="A3186">
        <v>6503</v>
      </c>
      <c r="B3186" t="s">
        <v>4775</v>
      </c>
      <c r="C3186" t="e">
        <f>+proj=lcc +lat_1=48.6333333333333 +lat_2=47.0333333333333 +lat_0=46.5 +lon_0=-93.0999999999999 +x_0=800000.000010159 +y_0=99999.9999898399 +ellps=GRQ80 +units=us-ft +no_defs</f>
        <v>#NAME?</v>
      </c>
    </row>
    <row r="3187" spans="1:3" x14ac:dyDescent="0.25">
      <c r="A3187">
        <v>6504</v>
      </c>
      <c r="B3187" t="s">
        <v>4776</v>
      </c>
      <c r="C3187" t="e">
        <f>+proj=lcc +lat_1=45.2166666666666 +lat_2=43.7833333333333 +lat_0=43 +lon_0=-94 +x_0=800000 +y_0=100000 +ellps=GRQ80 +units=m +no_defs</f>
        <v>#NAME?</v>
      </c>
    </row>
    <row r="3188" spans="1:3" x14ac:dyDescent="0.25">
      <c r="A3188">
        <v>6505</v>
      </c>
      <c r="B3188" t="s">
        <v>4777</v>
      </c>
      <c r="C3188" t="e">
        <f>+proj=lcc +lat_1=45.2166666666666 +lat_2=43.7833333333333 +lat_0=43 +lon_0=-94 +x_0=800000.000010159 +y_0=99999.9999898399 +ellps=GRQ80 +units=us-ft +no_defs</f>
        <v>#NAME?</v>
      </c>
    </row>
    <row r="3189" spans="1:3" x14ac:dyDescent="0.25">
      <c r="A3189">
        <v>6506</v>
      </c>
      <c r="B3189" t="s">
        <v>4778</v>
      </c>
      <c r="C3189" t="e">
        <f>+proj=tmerc +lat_0=29.5 +lon_0=-88.8333333333333 +k=0.99995 +x_0=300000 +y_0=0 +ellps=GRQ80 +units=m +no_defs</f>
        <v>#NAME?</v>
      </c>
    </row>
    <row r="3190" spans="1:3" x14ac:dyDescent="0.25">
      <c r="A3190">
        <v>6507</v>
      </c>
      <c r="B3190" t="s">
        <v>4779</v>
      </c>
      <c r="C3190" t="e">
        <f>+proj=tmerc +lat_0=29.5 +lon_0=-88.8333333333333 +k=0.99995 +x_0=300000 +y_0=0 +ellps=GRQ80 +units=us-ft +no_defs</f>
        <v>#NAME?</v>
      </c>
    </row>
    <row r="3191" spans="1:3" x14ac:dyDescent="0.25">
      <c r="A3191">
        <v>6508</v>
      </c>
      <c r="B3191" t="s">
        <v>4780</v>
      </c>
      <c r="C3191" t="e">
        <f>+proj=tmerc +lat_0=32.5 +lon_0=-89.75 +k=0.9998335 +x_0=500000 +y_0=1300000 +ellps=GRQ80 +units=m +no_defs</f>
        <v>#NAME?</v>
      </c>
    </row>
    <row r="3192" spans="1:3" x14ac:dyDescent="0.25">
      <c r="A3192">
        <v>6509</v>
      </c>
      <c r="B3192" t="s">
        <v>4781</v>
      </c>
      <c r="C3192" t="e">
        <f>+proj=tmerc +lat_0=29.5 +lon_0=-90.3333333333333 +k=0.99995 +x_0=700000 +y_0=0 +ellps=GRQ80 +units=m +no_defs</f>
        <v>#NAME?</v>
      </c>
    </row>
    <row r="3193" spans="1:3" x14ac:dyDescent="0.25">
      <c r="A3193">
        <v>6510</v>
      </c>
      <c r="B3193" t="s">
        <v>4782</v>
      </c>
      <c r="C3193" t="e">
        <f>+proj=tmerc +lat_0=29.5 +lon_0=-90.3333333333333 +k=0.99995 +x_0=699999.999898399 +y_0=0 +ellps=GRQ80 +units=us-ft +no_defs</f>
        <v>#NAME?</v>
      </c>
    </row>
    <row r="3194" spans="1:3" x14ac:dyDescent="0.25">
      <c r="A3194">
        <v>6511</v>
      </c>
      <c r="B3194" t="s">
        <v>4783</v>
      </c>
      <c r="C3194" t="e">
        <f>+proj=tmerc +lat_0=35.8333333333333 +lon_0=-92.5 +k=0.999933333 +x_0=500000 +y_0=0 +ellps=GRQ80 +units=m +no_defs</f>
        <v>#NAME?</v>
      </c>
    </row>
    <row r="3195" spans="1:3" x14ac:dyDescent="0.25">
      <c r="A3195">
        <v>6512</v>
      </c>
      <c r="B3195" t="s">
        <v>4784</v>
      </c>
      <c r="C3195" t="e">
        <f>+proj=tmerc +lat_0=35.8333333333333 +lon_0=-90.5 +k=0.999933333 +x_0=250000 +y_0=0 +ellps=GRQ80 +units=m +no_defs</f>
        <v>#NAME?</v>
      </c>
    </row>
    <row r="3196" spans="1:3" x14ac:dyDescent="0.25">
      <c r="A3196">
        <v>6513</v>
      </c>
      <c r="B3196" t="s">
        <v>4785</v>
      </c>
      <c r="C3196" t="e">
        <f>+proj=tmerc +lat_0=36.1666666666666 +lon_0=-94.5 +k=0.999941177 +x_0=850000 +y_0=0 +ellps=GRQ80 +units=m +no_defs</f>
        <v>#NAME?</v>
      </c>
    </row>
    <row r="3197" spans="1:3" x14ac:dyDescent="0.25">
      <c r="A3197">
        <v>6514</v>
      </c>
      <c r="B3197" t="s">
        <v>4786</v>
      </c>
      <c r="C3197" t="e">
        <f>+proj=lcc +lat_1=49 +lat_2=45 +lat_0=44.25 +lon_0=-109.5 +x_0=600000 +y_0=0 +ellps=GRQ80 +units=m +no_defs</f>
        <v>#NAME?</v>
      </c>
    </row>
    <row r="3198" spans="1:3" x14ac:dyDescent="0.25">
      <c r="A3198">
        <v>6515</v>
      </c>
      <c r="B3198" t="s">
        <v>4787</v>
      </c>
      <c r="C3198" t="e">
        <f>+proj=lcc +lat_1=49 +lat_2=45 +lat_0=44.25 +lon_0=-109.5 +x_0=599999.9999976 +y_0=0 +ellps=GRQ80 +units=ft +no_defs</f>
        <v>#NAME?</v>
      </c>
    </row>
    <row r="3199" spans="1:3" x14ac:dyDescent="0.25">
      <c r="A3199">
        <v>6516</v>
      </c>
      <c r="B3199" t="s">
        <v>4788</v>
      </c>
      <c r="C3199" t="e">
        <f>+proj=lcc +lat_1=43 +lat_2=40 +lat_0=39.8333333333333 +lon_0=-100 +x_0=500000 +y_0=0 +ellps=GRQ80 +units=m +no_defs</f>
        <v>#NAME?</v>
      </c>
    </row>
    <row r="3200" spans="1:3" x14ac:dyDescent="0.25">
      <c r="A3200">
        <v>6517</v>
      </c>
      <c r="B3200" t="s">
        <v>4789</v>
      </c>
      <c r="C3200" t="s">
        <v>4790</v>
      </c>
    </row>
    <row r="3201" spans="1:3" x14ac:dyDescent="0.25">
      <c r="A3201">
        <v>6518</v>
      </c>
      <c r="B3201" t="s">
        <v>4791</v>
      </c>
      <c r="C3201" t="e">
        <f>+proj=tmerc +lat_0=34.75 +lon_0=-116.666666666666 +k=0.9999 +x_0=500000 +y_0=6000000 +ellps=GRQ80 +units=m +no_defs</f>
        <v>#NAME?</v>
      </c>
    </row>
    <row r="3202" spans="1:3" x14ac:dyDescent="0.25">
      <c r="A3202">
        <v>4924</v>
      </c>
      <c r="B3202" t="s">
        <v>4792</v>
      </c>
      <c r="C3202" t="e">
        <f>+proj=geocent +ellps=GRQ80 +units=m +no_defs</f>
        <v>#NAME?</v>
      </c>
    </row>
    <row r="3203" spans="1:3" x14ac:dyDescent="0.25">
      <c r="A3203">
        <v>6519</v>
      </c>
      <c r="B3203" t="s">
        <v>4793</v>
      </c>
      <c r="C3203" t="e">
        <f>+proj=tmerc +lat_0=34.75 +lon_0=-116.666666666666 +k=0.9999 +x_0=500000.00001016 +y_0=6000000 +ellps=GRQ80 +units=us-ft +no_defs</f>
        <v>#NAME?</v>
      </c>
    </row>
    <row r="3204" spans="1:3" x14ac:dyDescent="0.25">
      <c r="A3204">
        <v>6520</v>
      </c>
      <c r="B3204" t="s">
        <v>4794</v>
      </c>
      <c r="C3204" t="e">
        <f>+proj=tmerc +lat_0=34.75 +lon_0=-115.583333333333 +k=0.9999 +x_0=200000 +y_0=8000000 +ellps=GRQ80 +units=m +no_defs</f>
        <v>#NAME?</v>
      </c>
    </row>
    <row r="3205" spans="1:3" x14ac:dyDescent="0.25">
      <c r="A3205">
        <v>6521</v>
      </c>
      <c r="B3205" t="s">
        <v>4795</v>
      </c>
      <c r="C3205" t="e">
        <f>+proj=tmerc +lat_0=34.75 +lon_0=-115.583333333333 +k=0.9999 +x_0=200000.00001016 +y_0=8000000.00001016 +ellps=GRQ80 +units=us-ft +no_defs</f>
        <v>#NAME?</v>
      </c>
    </row>
    <row r="3206" spans="1:3" x14ac:dyDescent="0.25">
      <c r="A3206">
        <v>6522</v>
      </c>
      <c r="B3206" t="s">
        <v>4796</v>
      </c>
      <c r="C3206" t="e">
        <f>+proj=tmerc +lat_0=34.75 +lon_0=-118.583333333333 +k=0.9999 +x_0=800000 +y_0=4000000 +ellps=GRQ80 +units=m +no_defs</f>
        <v>#NAME?</v>
      </c>
    </row>
    <row r="3207" spans="1:3" x14ac:dyDescent="0.25">
      <c r="A3207">
        <v>6523</v>
      </c>
      <c r="B3207" t="s">
        <v>4797</v>
      </c>
      <c r="C3207" t="e">
        <f>+proj=tmerc +lat_0=34.75 +lon_0=-118.583333333333 +k=0.9999 +x_0=800000.000010159 +y_0=3999999.99998984 +ellps=GRQ80 +units=us-ft +no_defs</f>
        <v>#NAME?</v>
      </c>
    </row>
    <row r="3208" spans="1:3" x14ac:dyDescent="0.25">
      <c r="A3208">
        <v>6524</v>
      </c>
      <c r="B3208" t="s">
        <v>4798</v>
      </c>
      <c r="C3208" t="e">
        <f>+proj=tmerc +lat_0=42.5 +lon_0=-71.6666666666666 +k=0.999966667 +x_0=300000 +y_0=0 +ellps=GRQ80 +units=m +no_defs</f>
        <v>#NAME?</v>
      </c>
    </row>
    <row r="3209" spans="1:3" x14ac:dyDescent="0.25">
      <c r="A3209">
        <v>6525</v>
      </c>
      <c r="B3209" t="s">
        <v>4799</v>
      </c>
      <c r="C3209" t="e">
        <f>+proj=tmerc +lat_0=42.5 +lon_0=-71.6666666666666 +k=0.999966667 +x_0=300000 +y_0=0 +ellps=GRQ80 +units=us-ft +no_defs</f>
        <v>#NAME?</v>
      </c>
    </row>
    <row r="3210" spans="1:3" x14ac:dyDescent="0.25">
      <c r="A3210">
        <v>6526</v>
      </c>
      <c r="B3210" t="s">
        <v>4800</v>
      </c>
      <c r="C3210" t="e">
        <f>+proj=tmerc +lat_0=38.8333333333333 +lon_0=-74.5 +k=0.9999 +x_0=150000 +y_0=0 +ellps=GRQ80 +units=m +no_defs</f>
        <v>#NAME?</v>
      </c>
    </row>
    <row r="3211" spans="1:3" x14ac:dyDescent="0.25">
      <c r="A3211">
        <v>6527</v>
      </c>
      <c r="B3211" t="s">
        <v>4801</v>
      </c>
      <c r="C3211" t="e">
        <f>+proj=tmerc +lat_0=38.8333333333333 +lon_0=-74.5 +k=0.9999 +x_0=150000 +y_0=0 +ellps=GRQ80 +units=us-ft +no_defs</f>
        <v>#NAME?</v>
      </c>
    </row>
    <row r="3212" spans="1:3" x14ac:dyDescent="0.25">
      <c r="A3212">
        <v>4926</v>
      </c>
      <c r="B3212" t="s">
        <v>4802</v>
      </c>
      <c r="C3212" t="e">
        <f>+proj=geocent +ellps=GRQ80 +units=m +no_defs</f>
        <v>#NAME?</v>
      </c>
    </row>
    <row r="3213" spans="1:3" x14ac:dyDescent="0.25">
      <c r="A3213">
        <v>6529</v>
      </c>
      <c r="B3213" t="s">
        <v>4803</v>
      </c>
      <c r="C3213" t="e">
        <f>+proj=tmerc +lat_0=31 +lon_0=-106.25 +k=0.9999 +x_0=500000.0001016 +y_0=0 +ellps=GRQ80 +units=us-ft +no_defs</f>
        <v>#NAME?</v>
      </c>
    </row>
    <row r="3214" spans="1:3" x14ac:dyDescent="0.25">
      <c r="A3214">
        <v>6530</v>
      </c>
      <c r="B3214" t="s">
        <v>4804</v>
      </c>
      <c r="C3214" t="e">
        <f>+proj=tmerc +lat_0=31 +lon_0=-104.333333333333 +k=0.999909091 +x_0=165000 +y_0=0 +ellps=GRQ80 +units=m +no_defs</f>
        <v>#NAME?</v>
      </c>
    </row>
    <row r="3215" spans="1:3" x14ac:dyDescent="0.25">
      <c r="A3215">
        <v>6531</v>
      </c>
      <c r="B3215" t="s">
        <v>4805</v>
      </c>
      <c r="C3215" t="e">
        <f>+proj=tmerc +lat_0=31 +lon_0=-104.333333333333 +k=0.999909091 +x_0=165000 +y_0=0 +ellps=GRQ80 +units=us-ft +no_defs</f>
        <v>#NAME?</v>
      </c>
    </row>
    <row r="3216" spans="1:3" x14ac:dyDescent="0.25">
      <c r="A3216">
        <v>6532</v>
      </c>
      <c r="B3216" t="s">
        <v>4806</v>
      </c>
      <c r="C3216" t="e">
        <f>+proj=tmerc +lat_0=31 +lon_0=-107.833333333333 +k=0.999916667 +x_0=830000 +y_0=0 +ellps=GRQ80 +units=m +no_defs</f>
        <v>#NAME?</v>
      </c>
    </row>
    <row r="3217" spans="1:3" x14ac:dyDescent="0.25">
      <c r="A3217">
        <v>6533</v>
      </c>
      <c r="B3217" t="s">
        <v>4807</v>
      </c>
      <c r="C3217" t="e">
        <f>+proj=tmerc +lat_0=31 +lon_0=-107.833333333333 +k=0.999916667 +x_0=830000.0001016 +y_0=0 +ellps=GRQ80 +units=us-ft +no_defs</f>
        <v>#NAME?</v>
      </c>
    </row>
    <row r="3218" spans="1:3" x14ac:dyDescent="0.25">
      <c r="A3218">
        <v>6534</v>
      </c>
      <c r="B3218" t="s">
        <v>4808</v>
      </c>
      <c r="C3218" t="e">
        <f>+proj=tmerc +lat_0=40 +lon_0=-76.5833333333333 +k=0.9999375 +x_0=250000 +y_0=0 +ellps=GRQ80 +units=m +no_defs</f>
        <v>#NAME?</v>
      </c>
    </row>
    <row r="3219" spans="1:3" x14ac:dyDescent="0.25">
      <c r="A3219">
        <v>6535</v>
      </c>
      <c r="B3219" t="s">
        <v>4809</v>
      </c>
      <c r="C3219" t="e">
        <f>+proj=tmerc +lat_0=40 +lon_0=-76.5833333333333 +k=0.9999375 +x_0=249999.999898399 +y_0=0 +ellps=GRQ80 +units=us-ft +no_defs</f>
        <v>#NAME?</v>
      </c>
    </row>
    <row r="3220" spans="1:3" x14ac:dyDescent="0.25">
      <c r="A3220">
        <v>6536</v>
      </c>
      <c r="B3220" t="s">
        <v>4810</v>
      </c>
      <c r="C3220" t="e">
        <f>+proj=tmerc +lat_0=38.8333333333333 +lon_0=-74.5 +k=0.9999 +x_0=150000 +y_0=0 +ellps=GRQ80 +units=m +no_defs</f>
        <v>#NAME?</v>
      </c>
    </row>
    <row r="3221" spans="1:3" x14ac:dyDescent="0.25">
      <c r="A3221">
        <v>6537</v>
      </c>
      <c r="B3221" t="s">
        <v>4811</v>
      </c>
      <c r="C3221" t="e">
        <f>+proj=tmerc +lat_0=38.8333333333333 +lon_0=-74.5 +k=0.9999 +x_0=150000 +y_0=0 +ellps=GRQ80 +units=us-ft +no_defs</f>
        <v>#NAME?</v>
      </c>
    </row>
    <row r="3222" spans="1:3" x14ac:dyDescent="0.25">
      <c r="A3222">
        <v>4928</v>
      </c>
      <c r="B3222" t="s">
        <v>4812</v>
      </c>
      <c r="C3222" t="e">
        <f>+proj=geocent +ellps=WGQ84 +units=m +no_defs</f>
        <v>#NAME?</v>
      </c>
    </row>
    <row r="3223" spans="1:3" x14ac:dyDescent="0.25">
      <c r="A3223">
        <v>6538</v>
      </c>
      <c r="B3223" t="s">
        <v>4813</v>
      </c>
      <c r="C3223" t="e">
        <f>+proj=lcc +lat_1=41.0333333333333 +lat_2=40.6666666666666 +lat_0=40.1666666666666 +lon_0=-74 +x_0=300000 +y_0=0 +ellps=GRQ80 +units=m +no_defs</f>
        <v>#NAME?</v>
      </c>
    </row>
    <row r="3224" spans="1:3" x14ac:dyDescent="0.25">
      <c r="A3224">
        <v>6539</v>
      </c>
      <c r="B3224" t="s">
        <v>4814</v>
      </c>
      <c r="C3224" t="e">
        <f>+proj=lcc +lat_1=41.0333333333333 +lat_2=40.6666666666666 +lat_0=40.1666666666666 +lon_0=-74 +x_0=300000 +y_0=0 +ellps=GRQ80 +units=us-ft +no_defs</f>
        <v>#NAME?</v>
      </c>
    </row>
    <row r="3225" spans="1:3" x14ac:dyDescent="0.25">
      <c r="A3225">
        <v>6540</v>
      </c>
      <c r="B3225" t="s">
        <v>4815</v>
      </c>
      <c r="C3225" t="e">
        <f>+proj=tmerc +lat_0=40 +lon_0=-78.5833333333333 +k=0.9999375 +x_0=350000 +y_0=0 +ellps=GRQ80 +units=m +no_defs</f>
        <v>#NAME?</v>
      </c>
    </row>
    <row r="3226" spans="1:3" x14ac:dyDescent="0.25">
      <c r="A3226">
        <v>6541</v>
      </c>
      <c r="B3226" t="s">
        <v>4816</v>
      </c>
      <c r="C3226" t="e">
        <f>+proj=tmerc +lat_0=40 +lon_0=-78.5833333333333 +k=0.9999375 +x_0=350000.0001016 +y_0=0 +ellps=GRQ80 +units=us-ft +no_defs</f>
        <v>#NAME?</v>
      </c>
    </row>
    <row r="3227" spans="1:3" x14ac:dyDescent="0.25">
      <c r="A3227">
        <v>6542</v>
      </c>
      <c r="B3227" t="s">
        <v>4817</v>
      </c>
      <c r="C3227" t="e">
        <f>+proj=lcc +lat_1=36.1666666666666 +lat_2=34.3333333333333 +lat_0=33.75 +lon_0=-79 +x_0=609601.22 +y_0=0 +ellps=GRQ80 +units=m +no_defs</f>
        <v>#NAME?</v>
      </c>
    </row>
    <row r="3228" spans="1:3" x14ac:dyDescent="0.25">
      <c r="A3228">
        <v>6543</v>
      </c>
      <c r="B3228" t="s">
        <v>4818</v>
      </c>
      <c r="C3228" t="e">
        <f>+proj=lcc +lat_1=36.1666666666666 +lat_2=34.3333333333333 +lat_0=33.75 +lon_0=-79 +x_0=609601.219202438 +y_0=0 +ellps=GRQ80 +units=us-ft +no_defs</f>
        <v>#NAME?</v>
      </c>
    </row>
    <row r="3229" spans="1:3" x14ac:dyDescent="0.25">
      <c r="A3229">
        <v>6544</v>
      </c>
      <c r="B3229" t="s">
        <v>4819</v>
      </c>
      <c r="C3229" t="e">
        <f>+proj=lcc +lat_1=48.7333333333333 +lat_2=47.4333333333333 +lat_0=47 +lon_0=-100.5 +x_0=600000 +y_0=0 +ellps=GRQ80 +units=m +no_defs</f>
        <v>#NAME?</v>
      </c>
    </row>
    <row r="3230" spans="1:3" x14ac:dyDescent="0.25">
      <c r="A3230">
        <v>6545</v>
      </c>
      <c r="B3230" t="s">
        <v>4820</v>
      </c>
      <c r="C3230" t="e">
        <f>+proj=lcc +lat_1=48.7333333333333 +lat_2=47.4333333333333 +lat_0=47 +lon_0=-100.5 +x_0=599999.9999976 +y_0=0 +ellps=GRQ80 +units=ft +no_defs</f>
        <v>#NAME?</v>
      </c>
    </row>
    <row r="3231" spans="1:3" x14ac:dyDescent="0.25">
      <c r="A3231">
        <v>6611</v>
      </c>
      <c r="B3231" t="s">
        <v>4821</v>
      </c>
      <c r="C3231" t="e">
        <f>+proj=tmerc +lat_0=40.5 +lon_0=-105.166666666666 +k=0.9999375 +x_0=200000 +y_0=0 +ellps=GRQ80 +units=m +no_defs</f>
        <v>#NAME?</v>
      </c>
    </row>
    <row r="3232" spans="1:3" x14ac:dyDescent="0.25">
      <c r="A3232">
        <v>6546</v>
      </c>
      <c r="B3232" t="s">
        <v>4822</v>
      </c>
      <c r="C3232" t="e">
        <f>+proj=lcc +lat_1=47.4833333333333 +lat_2=46.1833333333333 +lat_0=45.6666666666666 +lon_0=-100.5 +x_0=600000 +y_0=0 +ellps=GRQ80 +units=m +no_defs</f>
        <v>#NAME?</v>
      </c>
    </row>
    <row r="3233" spans="1:3" x14ac:dyDescent="0.25">
      <c r="A3233">
        <v>6547</v>
      </c>
      <c r="B3233" t="s">
        <v>4823</v>
      </c>
      <c r="C3233" t="e">
        <f>+proj=lcc +lat_1=47.4833333333333 +lat_2=46.1833333333333 +lat_0=45.6666666666666 +lon_0=-100.5 +x_0=599999.9999976 +y_0=0 +ellps=GRQ80 +units=ft +no_defs</f>
        <v>#NAME?</v>
      </c>
    </row>
    <row r="3234" spans="1:3" x14ac:dyDescent="0.25">
      <c r="A3234">
        <v>6548</v>
      </c>
      <c r="B3234" t="s">
        <v>4824</v>
      </c>
      <c r="C3234" t="e">
        <f>+proj=lcc +lat_1=41.7 +lat_2=40.4333333333333 +lat_0=39.6666666666666 +lon_0=-82.5 +x_0=600000 +y_0=0 +ellps=GRQ80 +units=m +no_defs</f>
        <v>#NAME?</v>
      </c>
    </row>
    <row r="3235" spans="1:3" x14ac:dyDescent="0.25">
      <c r="A3235">
        <v>6549</v>
      </c>
      <c r="B3235" t="s">
        <v>4825</v>
      </c>
      <c r="C3235" t="e">
        <f>+proj=lcc +lat_1=41.7 +lat_2=40.4333333333333 +lat_0=39.6666666666666 +lon_0=-82.5 +x_0=600000 +y_0=0 +ellps=GRQ80 +units=us-ft +no_defs</f>
        <v>#NAME?</v>
      </c>
    </row>
    <row r="3236" spans="1:3" x14ac:dyDescent="0.25">
      <c r="A3236">
        <v>6550</v>
      </c>
      <c r="B3236" t="s">
        <v>4826</v>
      </c>
      <c r="C3236" t="e">
        <f>+proj=lcc +lat_1=40.0333333333333 +lat_2=38.7333333333333 +lat_0=38 +lon_0=-82.5 +x_0=600000 +y_0=0 +ellps=GRQ80 +units=m +no_defs</f>
        <v>#NAME?</v>
      </c>
    </row>
    <row r="3237" spans="1:3" x14ac:dyDescent="0.25">
      <c r="A3237">
        <v>6551</v>
      </c>
      <c r="B3237" t="s">
        <v>4827</v>
      </c>
      <c r="C3237" t="e">
        <f>+proj=lcc +lat_1=40.0333333333333 +lat_2=38.7333333333333 +lat_0=38 +lon_0=-82.5 +x_0=600000 +y_0=0 +ellps=GRQ80 +units=us-ft +no_defs</f>
        <v>#NAME?</v>
      </c>
    </row>
    <row r="3238" spans="1:3" x14ac:dyDescent="0.25">
      <c r="A3238">
        <v>6552</v>
      </c>
      <c r="B3238" t="s">
        <v>4828</v>
      </c>
      <c r="C3238" t="e">
        <f>+proj=lcc +lat_1=36.7666666666666 +lat_2=35.5666666666666 +lat_0=35 +lon_0=-98 +x_0=600000 +y_0=0 +ellps=GRQ80 +units=m +no_defs</f>
        <v>#NAME?</v>
      </c>
    </row>
    <row r="3239" spans="1:3" x14ac:dyDescent="0.25">
      <c r="A3239">
        <v>6553</v>
      </c>
      <c r="B3239" t="s">
        <v>4829</v>
      </c>
      <c r="C3239" t="e">
        <f>+proj=lcc +lat_1=36.7666666666666 +lat_2=35.5666666666666 +lat_0=35 +lon_0=-98 +x_0=600000 +y_0=0 +ellps=GRQ80 +units=us-ft +no_defs</f>
        <v>#NAME?</v>
      </c>
    </row>
    <row r="3240" spans="1:3" x14ac:dyDescent="0.25">
      <c r="A3240">
        <v>6674</v>
      </c>
      <c r="B3240" t="s">
        <v>4830</v>
      </c>
      <c r="C3240" t="e">
        <f>+proj=tmerc +lat_0=36 +lon_0=136 +k=0.9999 +x_0=0 +y_0=0 +ellps=GRQ80 +units=m +no_defs</f>
        <v>#NAME?</v>
      </c>
    </row>
    <row r="3241" spans="1:3" x14ac:dyDescent="0.25">
      <c r="A3241">
        <v>6554</v>
      </c>
      <c r="B3241" t="s">
        <v>4831</v>
      </c>
      <c r="C3241" t="e">
        <f>+proj=lcc +lat_1=35.2333333333333 +lat_2=33.9333333333333 +lat_0=33.3333333333333 +lon_0=-98 +x_0=600000 +y_0=0 +ellps=GRQ80 +units=m +no_defs</f>
        <v>#NAME?</v>
      </c>
    </row>
    <row r="3242" spans="1:3" x14ac:dyDescent="0.25">
      <c r="A3242">
        <v>6555</v>
      </c>
      <c r="B3242" t="s">
        <v>4832</v>
      </c>
      <c r="C3242" t="e">
        <f>+proj=lcc +lat_1=35.2333333333333 +lat_2=33.9333333333333 +lat_0=33.3333333333333 +lon_0=-98 +x_0=600000 +y_0=0 +ellps=GRQ80 +units=us-ft +no_defs</f>
        <v>#NAME?</v>
      </c>
    </row>
    <row r="3243" spans="1:3" x14ac:dyDescent="0.25">
      <c r="A3243">
        <v>6556</v>
      </c>
      <c r="B3243" t="s">
        <v>4833</v>
      </c>
      <c r="C3243" t="e">
        <f>+proj=lcc +lat_1=43 +lat_2=45.5 +lat_0=41.75 +lon_0=-120.5 +x_0=400000 +y_0=0 +ellps=GRQ80 +units=m +no_defs</f>
        <v>#NAME?</v>
      </c>
    </row>
    <row r="3244" spans="1:3" x14ac:dyDescent="0.25">
      <c r="A3244">
        <v>6557</v>
      </c>
      <c r="B3244" t="s">
        <v>4834</v>
      </c>
      <c r="C3244" t="e">
        <f>+proj=lcc +lat_1=43 +lat_2=45.5 +lat_0=41.75 +lon_0=-120.5 +x_0=399999.9999984 +y_0=0 +ellps=GRQ80 +units=ft +no_defs</f>
        <v>#NAME?</v>
      </c>
    </row>
    <row r="3245" spans="1:3" x14ac:dyDescent="0.25">
      <c r="A3245">
        <v>6558</v>
      </c>
      <c r="B3245" t="s">
        <v>4835</v>
      </c>
      <c r="C3245" t="e">
        <f>+proj=lcc +lat_1=46 +lat_2=44.3333333333333 +lat_0=43.6666666666666 +lon_0=-120.5 +x_0=2500000 +y_0=0 +ellps=GRQ80 +units=m +no_defs</f>
        <v>#NAME?</v>
      </c>
    </row>
    <row r="3246" spans="1:3" x14ac:dyDescent="0.25">
      <c r="A3246">
        <v>6559</v>
      </c>
      <c r="B3246" t="s">
        <v>4836</v>
      </c>
      <c r="C3246" t="e">
        <f>+proj=lcc +lat_1=46 +lat_2=44.3333333333333 +lat_0=43.6666666666666 +lon_0=-120.5 +x_0=2500000.0001424 +y_0=0 +ellps=GRQ80 +units=ft +no_defs</f>
        <v>#NAME?</v>
      </c>
    </row>
    <row r="3247" spans="1:3" x14ac:dyDescent="0.25">
      <c r="A3247">
        <v>6560</v>
      </c>
      <c r="B3247" t="s">
        <v>4837</v>
      </c>
      <c r="C3247" t="e">
        <f>+proj=lcc +lat_1=44 +lat_2=42.3333333333333 +lat_0=41.6666666666666 +lon_0=-120.5 +x_0=1500000 +y_0=0 +ellps=GRQ80 +units=m +no_defs</f>
        <v>#NAME?</v>
      </c>
    </row>
    <row r="3248" spans="1:3" x14ac:dyDescent="0.25">
      <c r="A3248">
        <v>6561</v>
      </c>
      <c r="B3248" t="s">
        <v>4838</v>
      </c>
      <c r="C3248" t="e">
        <f>+proj=lcc +lat_1=44 +lat_2=42.3333333333333 +lat_0=41.6666666666666 +lon_0=-120.5 +x_0=1500000.0001464 +y_0=0 +ellps=GRQ80 +units=ft +no_defs</f>
        <v>#NAME?</v>
      </c>
    </row>
    <row r="3249" spans="1:3" x14ac:dyDescent="0.25">
      <c r="A3249">
        <v>6612</v>
      </c>
      <c r="B3249" t="s">
        <v>4839</v>
      </c>
      <c r="C3249" t="e">
        <f>+proj=tmerc +lat_0=40.5 +lon_0=-105.166666666666 +k=0.9999375 +x_0=200000.00001016 +y_0=0 +ellps=GRQ80 +units=us-ft +no_defs</f>
        <v>#NAME?</v>
      </c>
    </row>
    <row r="3250" spans="1:3" x14ac:dyDescent="0.25">
      <c r="A3250">
        <v>6562</v>
      </c>
      <c r="B3250" t="s">
        <v>4840</v>
      </c>
      <c r="C3250" t="e">
        <f>+proj=lcc +lat_1=41.95 +lat_2=40.8833333333333 +lat_0=40.1666666666666 +lon_0=-77.75 +x_0=600000 +y_0=0 +ellps=GRQ80 +units=m +no_defs</f>
        <v>#NAME?</v>
      </c>
    </row>
    <row r="3251" spans="1:3" x14ac:dyDescent="0.25">
      <c r="A3251">
        <v>6563</v>
      </c>
      <c r="B3251" t="s">
        <v>4841</v>
      </c>
      <c r="C3251" t="e">
        <f>+proj=lcc +lat_1=41.95 +lat_2=40.8833333333333 +lat_0=40.1666666666666 +lon_0=-77.75 +x_0=600000 +y_0=0 +ellps=GRQ80 +units=us-ft +no_defs</f>
        <v>#NAME?</v>
      </c>
    </row>
    <row r="3252" spans="1:3" x14ac:dyDescent="0.25">
      <c r="A3252">
        <v>6564</v>
      </c>
      <c r="B3252" t="s">
        <v>4842</v>
      </c>
      <c r="C3252" t="e">
        <f>+proj=lcc +lat_1=40.9666666666666 +lat_2=39.9333333333333 +lat_0=39.3333333333333 +lon_0=-77.75 +x_0=600000 +y_0=0 +ellps=GRQ80 +units=m +no_defs</f>
        <v>#NAME?</v>
      </c>
    </row>
    <row r="3253" spans="1:3" x14ac:dyDescent="0.25">
      <c r="A3253">
        <v>6565</v>
      </c>
      <c r="B3253" t="s">
        <v>4843</v>
      </c>
      <c r="C3253" t="e">
        <f>+proj=lcc +lat_1=40.9666666666666 +lat_2=39.9333333333333 +lat_0=39.3333333333333 +lon_0=-77.75 +x_0=600000 +y_0=0 +ellps=GRQ80 +units=us-ft +no_defs</f>
        <v>#NAME?</v>
      </c>
    </row>
    <row r="3254" spans="1:3" x14ac:dyDescent="0.25">
      <c r="A3254">
        <v>6566</v>
      </c>
      <c r="B3254" t="s">
        <v>4844</v>
      </c>
      <c r="C3254" t="e">
        <f>+proj=lcc +lat_1=18.4333333333333 +lat_2=18.0333333333333 +lat_0=17.8333333333333 +lon_0=-66.4333333333333 +x_0=200000 +y_0=200000 +ellps=GRQ80 +units=m +no_defs</f>
        <v>#NAME?</v>
      </c>
    </row>
    <row r="3255" spans="1:3" x14ac:dyDescent="0.25">
      <c r="A3255">
        <v>6567</v>
      </c>
      <c r="B3255" t="s">
        <v>4845</v>
      </c>
      <c r="C3255" t="e">
        <f>+proj=tmerc +lat_0=41.0833333333333 +lon_0=-71.5 +k=0.99999375 +x_0=100000 +y_0=0 +ellps=GRQ80 +units=m +no_defs</f>
        <v>#NAME?</v>
      </c>
    </row>
    <row r="3256" spans="1:3" x14ac:dyDescent="0.25">
      <c r="A3256">
        <v>6568</v>
      </c>
      <c r="B3256" t="s">
        <v>4846</v>
      </c>
      <c r="C3256" t="e">
        <f>+proj=tmerc +lat_0=41.0833333333333 +lon_0=-71.5 +k=0.99999375 +x_0=99999.9999898399 +y_0=0 +ellps=GRQ80 +units=us-ft +no_defs</f>
        <v>#NAME?</v>
      </c>
    </row>
    <row r="3257" spans="1:3" x14ac:dyDescent="0.25">
      <c r="A3257">
        <v>6569</v>
      </c>
      <c r="B3257" t="s">
        <v>4847</v>
      </c>
      <c r="C3257" t="e">
        <f>+proj=lcc +lat_1=34.8333333333333 +lat_2=32.5 +lat_0=31.8333333333333 +lon_0=-81 +x_0=609600 +y_0=0 +ellps=GRQ80 +units=m +no_defs</f>
        <v>#NAME?</v>
      </c>
    </row>
    <row r="3258" spans="1:3" x14ac:dyDescent="0.25">
      <c r="A3258">
        <v>6671</v>
      </c>
      <c r="B3258" t="s">
        <v>4848</v>
      </c>
      <c r="C3258" t="e">
        <f>+proj=tmerc +lat_0=36 +lon_0=132.166666666666 +k=0.9999 +x_0=0 +y_0=0 +ellps=GRQ80 +units=m +no_defs</f>
        <v>#NAME?</v>
      </c>
    </row>
    <row r="3259" spans="1:3" x14ac:dyDescent="0.25">
      <c r="A3259">
        <v>6570</v>
      </c>
      <c r="B3259" t="s">
        <v>4849</v>
      </c>
      <c r="C3259" t="e">
        <f>+proj=lcc +lat_1=34.8333333333333 +lat_2=32.5 +lat_0=31.8333333333333 +lon_0=-81 +x_0=609600 +y_0=0 +ellps=GRQ80 +units=ft +no_defs</f>
        <v>#NAME?</v>
      </c>
    </row>
    <row r="3260" spans="1:3" x14ac:dyDescent="0.25">
      <c r="A3260">
        <v>6571</v>
      </c>
      <c r="B3260" t="s">
        <v>4850</v>
      </c>
      <c r="C3260" t="e">
        <f>+proj=lcc +lat_1=45.6833333333333 +lat_2=44.4166666666666 +lat_0=43.8333333333333 +lon_0=-100 +x_0=600000 +y_0=0 +ellps=GRQ80 +units=m +no_defs</f>
        <v>#NAME?</v>
      </c>
    </row>
    <row r="3261" spans="1:3" x14ac:dyDescent="0.25">
      <c r="A3261">
        <v>6572</v>
      </c>
      <c r="B3261" t="s">
        <v>4851</v>
      </c>
      <c r="C3261" t="e">
        <f>+proj=lcc +lat_1=45.6833333333333 +lat_2=44.4166666666666 +lat_0=43.8333333333333 +lon_0=-100 +x_0=600000 +y_0=0 +ellps=GRQ80 +units=us-ft +no_defs</f>
        <v>#NAME?</v>
      </c>
    </row>
    <row r="3262" spans="1:3" x14ac:dyDescent="0.25">
      <c r="A3262">
        <v>6573</v>
      </c>
      <c r="B3262" t="s">
        <v>4852</v>
      </c>
      <c r="C3262" t="e">
        <f>+proj=lcc +lat_1=44.4 +lat_2=42.8333333333333 +lat_0=42.3333333333333 +lon_0=-100.333333333333 +x_0=600000 +y_0=0 +ellps=GRQ80 +units=m +no_defs</f>
        <v>#NAME?</v>
      </c>
    </row>
    <row r="3263" spans="1:3" x14ac:dyDescent="0.25">
      <c r="A3263">
        <v>6574</v>
      </c>
      <c r="B3263" t="s">
        <v>4853</v>
      </c>
      <c r="C3263" t="e">
        <f>+proj=lcc +lat_1=44.4 +lat_2=42.8333333333333 +lat_0=42.3333333333333 +lon_0=-100.333333333333 +x_0=600000 +y_0=0 +ellps=GRQ80 +units=us-ft +no_defs</f>
        <v>#NAME?</v>
      </c>
    </row>
    <row r="3264" spans="1:3" x14ac:dyDescent="0.25">
      <c r="A3264">
        <v>6575</v>
      </c>
      <c r="B3264" t="s">
        <v>4854</v>
      </c>
      <c r="C3264" t="e">
        <f>+proj=lcc +lat_1=36.4166666666666 +lat_2=35.25 +lat_0=34.3333333333333 +lon_0=-86 +x_0=600000 +y_0=0 +ellps=GRQ80 +units=m +no_defs</f>
        <v>#NAME?</v>
      </c>
    </row>
    <row r="3265" spans="1:3" x14ac:dyDescent="0.25">
      <c r="A3265">
        <v>6576</v>
      </c>
      <c r="B3265" t="s">
        <v>4855</v>
      </c>
      <c r="C3265" t="e">
        <f>+proj=lcc +lat_1=36.4166666666666 +lat_2=35.25 +lat_0=34.3333333333333 +lon_0=-86 +x_0=600000 +y_0=0 +ellps=GRQ80 +units=us-ft +no_defs</f>
        <v>#NAME?</v>
      </c>
    </row>
    <row r="3266" spans="1:3" x14ac:dyDescent="0.25">
      <c r="A3266">
        <v>6577</v>
      </c>
      <c r="B3266" t="s">
        <v>4856</v>
      </c>
      <c r="C3266" t="e">
        <f>+proj=lcc +lat_1=31.8833333333333 +lat_2=30.1166666666666 +lat_0=29.6666666666666 +lon_0=-100.333333333333 +x_0=700000 +y_0=3000000 +ellps=GRQ80 +units=m +no_defs</f>
        <v>#NAME?</v>
      </c>
    </row>
    <row r="3267" spans="1:3" x14ac:dyDescent="0.25">
      <c r="A3267">
        <v>4930</v>
      </c>
      <c r="B3267" t="s">
        <v>4857</v>
      </c>
      <c r="C3267" t="e">
        <f>+proj=geocent +ellps=GRQ80 +units=m +no_defs</f>
        <v>#NAME?</v>
      </c>
    </row>
    <row r="3268" spans="1:3" x14ac:dyDescent="0.25">
      <c r="A3268">
        <v>6578</v>
      </c>
      <c r="B3268" t="s">
        <v>4858</v>
      </c>
      <c r="C3268" t="e">
        <f>+proj=lcc +lat_1=31.8833333333333 +lat_2=30.1166666666666 +lat_0=29.6666666666666 +lon_0=-100.333333333333 +x_0=699999.999898399 +y_0=3000000 +ellps=GRQ80 +units=us-ft +no_defs</f>
        <v>#NAME?</v>
      </c>
    </row>
    <row r="3269" spans="1:3" x14ac:dyDescent="0.25">
      <c r="A3269">
        <v>6579</v>
      </c>
      <c r="B3269" t="s">
        <v>4859</v>
      </c>
      <c r="C3269" t="e">
        <f>+proj=aea +lat_1=27.5 +lat_2=35 +lat_0=18 +lon_0=-100 +x_0=1500000 +y_0=6000000 +ellps=GRQ80 +units=m +no_defs</f>
        <v>#NAME?</v>
      </c>
    </row>
    <row r="3270" spans="1:3" x14ac:dyDescent="0.25">
      <c r="A3270">
        <v>6580</v>
      </c>
      <c r="B3270" t="s">
        <v>4860</v>
      </c>
      <c r="C3270" t="e">
        <f>+proj=lcc +lat_1=27.5 +lat_2=35 +lat_0=18 +lon_0=-100 +x_0=1500000 +y_0=5000000 +ellps=GRQ80 +units=m +no_defs</f>
        <v>#NAME?</v>
      </c>
    </row>
    <row r="3271" spans="1:3" x14ac:dyDescent="0.25">
      <c r="A3271">
        <v>6581</v>
      </c>
      <c r="B3271" t="s">
        <v>4861</v>
      </c>
      <c r="C3271" t="e">
        <f>+proj=lcc +lat_1=36.1833333333333 +lat_2=34.65 +lat_0=34 +lon_0=-101.5 +x_0=200000 +y_0=1000000 +ellps=GRQ80 +units=m +no_defs</f>
        <v>#NAME?</v>
      </c>
    </row>
    <row r="3272" spans="1:3" x14ac:dyDescent="0.25">
      <c r="A3272">
        <v>6582</v>
      </c>
      <c r="B3272" t="s">
        <v>4862</v>
      </c>
      <c r="C3272" t="e">
        <f>+proj=lcc +lat_1=36.1833333333333 +lat_2=34.65 +lat_0=34 +lon_0=-101.5 +x_0=200000.0001016 +y_0=999999.999898399 +ellps=GRQ80 +units=us-ft +no_defs</f>
        <v>#NAME?</v>
      </c>
    </row>
    <row r="3273" spans="1:3" x14ac:dyDescent="0.25">
      <c r="A3273">
        <v>6583</v>
      </c>
      <c r="B3273" t="s">
        <v>4863</v>
      </c>
      <c r="C3273" t="e">
        <f>+proj=lcc +lat_1=33.9666666666666 +lat_2=32.1333333333333 +lat_0=31.6666666666666 +lon_0=-98.5 +x_0=600000 +y_0=2000000 +ellps=GRQ80 +units=m +no_defs</f>
        <v>#NAME?</v>
      </c>
    </row>
    <row r="3274" spans="1:3" x14ac:dyDescent="0.25">
      <c r="A3274">
        <v>6584</v>
      </c>
      <c r="B3274" t="s">
        <v>4864</v>
      </c>
      <c r="C3274" t="e">
        <f>+proj=lcc +lat_1=33.9666666666666 +lat_2=32.1333333333333 +lat_0=31.6666666666666 +lon_0=-98.5 +x_0=600000 +y_0=2000000.0001016 +ellps=GRQ80 +units=us-ft +no_defs</f>
        <v>#NAME?</v>
      </c>
    </row>
    <row r="3275" spans="1:3" x14ac:dyDescent="0.25">
      <c r="A3275">
        <v>6585</v>
      </c>
      <c r="B3275" t="s">
        <v>4865</v>
      </c>
      <c r="C3275" t="e">
        <f>+proj=lcc +lat_1=27.8333333333333 +lat_2=26.1666666666666 +lat_0=25.6666666666666 +lon_0=-98.5 +x_0=300000 +y_0=5000000 +ellps=GRQ80 +units=m +no_defs</f>
        <v>#NAME?</v>
      </c>
    </row>
    <row r="3276" spans="1:3" x14ac:dyDescent="0.25">
      <c r="A3276">
        <v>4932</v>
      </c>
      <c r="B3276" t="s">
        <v>4866</v>
      </c>
      <c r="C3276" t="e">
        <f>+proj=geocent +ellps=GRQ80 +units=m +no_defs</f>
        <v>#NAME?</v>
      </c>
    </row>
    <row r="3277" spans="1:3" x14ac:dyDescent="0.25">
      <c r="A3277">
        <v>6586</v>
      </c>
      <c r="B3277" t="s">
        <v>4867</v>
      </c>
      <c r="C3277" t="e">
        <f>+proj=lcc +lat_1=27.8333333333333 +lat_2=26.1666666666666 +lat_0=25.6666666666666 +lon_0=-98.5 +x_0=300000 +y_0=5000000.0001016 +ellps=GRQ80 +units=us-ft +no_defs</f>
        <v>#NAME?</v>
      </c>
    </row>
    <row r="3278" spans="1:3" x14ac:dyDescent="0.25">
      <c r="A3278">
        <v>6587</v>
      </c>
      <c r="B3278" t="s">
        <v>4868</v>
      </c>
      <c r="C3278" t="e">
        <f>+proj=lcc +lat_1=30.2833333333333 +lat_2=28.3833333333333 +lat_0=27.8333333333333 +lon_0=-99 +x_0=600000 +y_0=4000000 +ellps=GRQ80 +units=m +no_defs</f>
        <v>#NAME?</v>
      </c>
    </row>
    <row r="3279" spans="1:3" x14ac:dyDescent="0.25">
      <c r="A3279">
        <v>6588</v>
      </c>
      <c r="B3279" t="s">
        <v>4869</v>
      </c>
      <c r="C3279" t="e">
        <f>+proj=lcc +lat_1=30.2833333333333 +lat_2=28.3833333333333 +lat_0=27.8333333333333 +lon_0=-99 +x_0=600000 +y_0=3999999.9998984 +ellps=GRQ80 +units=us-ft +no_defs</f>
        <v>#NAME?</v>
      </c>
    </row>
    <row r="3280" spans="1:3" x14ac:dyDescent="0.25">
      <c r="A3280">
        <v>6589</v>
      </c>
      <c r="B3280" t="s">
        <v>4870</v>
      </c>
      <c r="C3280" t="e">
        <f>+proj=tmerc +lat_0=42.5 +lon_0=-72.5 +k=0.999964286 +x_0=500000 +y_0=0 +ellps=GRQ80 +units=m +no_defs</f>
        <v>#NAME?</v>
      </c>
    </row>
    <row r="3281" spans="1:3" x14ac:dyDescent="0.25">
      <c r="A3281">
        <v>6590</v>
      </c>
      <c r="B3281" t="s">
        <v>4871</v>
      </c>
      <c r="C3281" t="e">
        <f>+proj=tmerc +lat_0=42.5 +lon_0=-72.5 +k=0.999964286 +x_0=500000.00001016 +y_0=0 +ellps=GRQ80 +units=us-ft +no_defs</f>
        <v>#NAME?</v>
      </c>
    </row>
    <row r="3282" spans="1:3" x14ac:dyDescent="0.25">
      <c r="A3282">
        <v>6591</v>
      </c>
      <c r="B3282" t="s">
        <v>4872</v>
      </c>
      <c r="C3282" t="e">
        <f>+proj=lcc +lat_1=37 +lat_2=39.5 +lat_0=36 +lon_0=-79.5 +x_0=0 +y_0=0 +ellps=GRQ80 +units=m +no_defs</f>
        <v>#NAME?</v>
      </c>
    </row>
    <row r="3283" spans="1:3" x14ac:dyDescent="0.25">
      <c r="A3283">
        <v>6592</v>
      </c>
      <c r="B3283" t="s">
        <v>4873</v>
      </c>
      <c r="C3283" t="e">
        <f>+proj=lcc +lat_1=39.2 +lat_2=38.0333333333333 +lat_0=37.6666666666666 +lon_0=-78.5 +x_0=3500000 +y_0=2000000 +ellps=GRQ80 +units=m +no_defs</f>
        <v>#NAME?</v>
      </c>
    </row>
    <row r="3284" spans="1:3" x14ac:dyDescent="0.25">
      <c r="A3284">
        <v>6593</v>
      </c>
      <c r="B3284" t="s">
        <v>4874</v>
      </c>
      <c r="C3284" t="e">
        <f>+proj=lcc +lat_1=39.2 +lat_2=38.0333333333333 +lat_0=37.6666666666666 +lon_0=-78.5 +x_0=3500000.0001016 +y_0=2000000.0001016 +ellps=GRQ80 +units=us-ft +no_defs</f>
        <v>#NAME?</v>
      </c>
    </row>
    <row r="3285" spans="1:3" x14ac:dyDescent="0.25">
      <c r="A3285">
        <v>6672</v>
      </c>
      <c r="B3285" t="s">
        <v>4875</v>
      </c>
      <c r="C3285" t="e">
        <f>+proj=tmerc +lat_0=33 +lon_0=133.5 +k=0.9999 +x_0=0 +y_0=0 +ellps=GRQ80 +units=m +no_defs</f>
        <v>#NAME?</v>
      </c>
    </row>
    <row r="3286" spans="1:3" x14ac:dyDescent="0.25">
      <c r="A3286">
        <v>6594</v>
      </c>
      <c r="B3286" t="s">
        <v>4876</v>
      </c>
      <c r="C3286" t="e">
        <f>+proj=lcc +lat_1=37.9666666666666 +lat_2=36.7666666666666 +lat_0=36.3333333333333 +lon_0=-78.5 +x_0=3500000 +y_0=1000000 +ellps=GRQ80 +units=m +no_defs</f>
        <v>#NAME?</v>
      </c>
    </row>
    <row r="3287" spans="1:3" x14ac:dyDescent="0.25">
      <c r="A3287">
        <v>6595</v>
      </c>
      <c r="B3287" t="s">
        <v>4877</v>
      </c>
      <c r="C3287" t="e">
        <f>+proj=lcc +lat_1=37.9666666666666 +lat_2=36.7666666666666 +lat_0=36.3333333333333 +lon_0=-78.5 +x_0=3500000.0001016 +y_0=999999.999898399 +ellps=GRQ80 +units=us-ft +no_defs</f>
        <v>#NAME?</v>
      </c>
    </row>
    <row r="3288" spans="1:3" x14ac:dyDescent="0.25">
      <c r="A3288">
        <v>6596</v>
      </c>
      <c r="B3288" t="s">
        <v>4878</v>
      </c>
      <c r="C3288" t="e">
        <f>+proj=lcc +lat_1=48.7333333333333 +lat_2=47.5 +lat_0=47 +lon_0=-120.833333333333 +x_0=500000 +y_0=0 +ellps=GRQ80 +units=m +no_defs</f>
        <v>#NAME?</v>
      </c>
    </row>
    <row r="3289" spans="1:3" x14ac:dyDescent="0.25">
      <c r="A3289">
        <v>6597</v>
      </c>
      <c r="B3289" t="s">
        <v>4879</v>
      </c>
      <c r="C3289" t="e">
        <f>+proj=lcc +lat_1=48.7333333333333 +lat_2=47.5 +lat_0=47 +lon_0=-120.833333333333 +x_0=500000.0001016 +y_0=0 +ellps=GRQ80 +units=us-ft +no_defs</f>
        <v>#NAME?</v>
      </c>
    </row>
    <row r="3290" spans="1:3" x14ac:dyDescent="0.25">
      <c r="A3290">
        <v>6598</v>
      </c>
      <c r="B3290" t="s">
        <v>4880</v>
      </c>
      <c r="C3290" t="e">
        <f>+proj=lcc +lat_1=47.3333333333333 +lat_2=45.8333333333333 +lat_0=45.3333333333333 +lon_0=-120.5 +x_0=500000 +y_0=0 +ellps=GRQ80 +units=m +no_defs</f>
        <v>#NAME?</v>
      </c>
    </row>
    <row r="3291" spans="1:3" x14ac:dyDescent="0.25">
      <c r="A3291">
        <v>6599</v>
      </c>
      <c r="B3291" t="s">
        <v>4881</v>
      </c>
      <c r="C3291" t="e">
        <f>+proj=lcc +lat_1=47.3333333333333 +lat_2=45.8333333333333 +lat_0=45.3333333333333 +lon_0=-120.5 +x_0=500000.0001016 +y_0=0 +ellps=GRQ80 +units=us-ft +no_defs</f>
        <v>#NAME?</v>
      </c>
    </row>
    <row r="3292" spans="1:3" x14ac:dyDescent="0.25">
      <c r="A3292">
        <v>6600</v>
      </c>
      <c r="B3292" t="s">
        <v>4882</v>
      </c>
      <c r="C3292" t="e">
        <f>+proj=lcc +lat_1=40.25 +lat_2=39 +lat_0=38.5 +lon_0=-79.5 +x_0=600000 +y_0=0 +ellps=GRQ80 +units=m +no_defs</f>
        <v>#NAME?</v>
      </c>
    </row>
    <row r="3293" spans="1:3" x14ac:dyDescent="0.25">
      <c r="A3293">
        <v>6601</v>
      </c>
      <c r="B3293" t="s">
        <v>4883</v>
      </c>
      <c r="C3293" t="e">
        <f>+proj=lcc +lat_1=40.25 +lat_2=39 +lat_0=38.5 +lon_0=-79.5 +x_0=600000 +y_0=0 +ellps=GRQ80 +units=us-ft +no_defs</f>
        <v>#NAME?</v>
      </c>
    </row>
    <row r="3294" spans="1:3" x14ac:dyDescent="0.25">
      <c r="A3294">
        <v>4934</v>
      </c>
      <c r="B3294" t="s">
        <v>4884</v>
      </c>
      <c r="C3294" t="e">
        <f>+proj=geocent +ellps=GRQ80 +units=m +no_defs</f>
        <v>#NAME?</v>
      </c>
    </row>
    <row r="3295" spans="1:3" x14ac:dyDescent="0.25">
      <c r="A3295">
        <v>6602</v>
      </c>
      <c r="B3295" t="s">
        <v>4885</v>
      </c>
      <c r="C3295" t="e">
        <f>+proj=lcc +lat_1=38.8833333333333 +lat_2=37.4833333333333 +lat_0=37 +lon_0=-81 +x_0=600000 +y_0=0 +ellps=GRQ80 +units=m +no_defs</f>
        <v>#NAME?</v>
      </c>
    </row>
    <row r="3296" spans="1:3" x14ac:dyDescent="0.25">
      <c r="A3296">
        <v>6603</v>
      </c>
      <c r="B3296" t="s">
        <v>4886</v>
      </c>
      <c r="C3296" t="e">
        <f>+proj=lcc +lat_1=38.8833333333333 +lat_2=37.4833333333333 +lat_0=37 +lon_0=-81 +x_0=600000 +y_0=0 +ellps=GRQ80 +units=us-ft +no_defs</f>
        <v>#NAME?</v>
      </c>
    </row>
    <row r="3297" spans="1:3" x14ac:dyDescent="0.25">
      <c r="A3297">
        <v>6604</v>
      </c>
      <c r="B3297" t="s">
        <v>4887</v>
      </c>
      <c r="C3297" t="s">
        <v>2244</v>
      </c>
    </row>
    <row r="3298" spans="1:3" x14ac:dyDescent="0.25">
      <c r="A3298">
        <v>6605</v>
      </c>
      <c r="B3298" t="s">
        <v>4888</v>
      </c>
      <c r="C3298" t="e">
        <f>+proj=lcc +lat_1=45.5 +lat_2=44.25 +lat_0=43.8333333333333 +lon_0=-90 +x_0=600000 +y_0=0 +ellps=GRQ80 +units=us-ft +no_defs</f>
        <v>#NAME?</v>
      </c>
    </row>
    <row r="3299" spans="1:3" x14ac:dyDescent="0.25">
      <c r="A3299">
        <v>6606</v>
      </c>
      <c r="B3299" t="s">
        <v>4889</v>
      </c>
      <c r="C3299" t="e">
        <f>+proj=lcc +lat_1=46.7666666666666 +lat_2=45.5666666666666 +lat_0=45.1666666666666 +lon_0=-90 +x_0=600000 +y_0=0 +ellps=GRQ80 +units=m +no_defs</f>
        <v>#NAME?</v>
      </c>
    </row>
    <row r="3300" spans="1:3" x14ac:dyDescent="0.25">
      <c r="A3300">
        <v>6607</v>
      </c>
      <c r="B3300" t="s">
        <v>4890</v>
      </c>
      <c r="C3300" t="e">
        <f>+proj=lcc +lat_1=46.7666666666666 +lat_2=45.5666666666666 +lat_0=45.1666666666666 +lon_0=-90 +x_0=600000 +y_0=0 +ellps=GRQ80 +units=us-ft +no_defs</f>
        <v>#NAME?</v>
      </c>
    </row>
    <row r="3301" spans="1:3" x14ac:dyDescent="0.25">
      <c r="A3301">
        <v>6608</v>
      </c>
      <c r="B3301" t="s">
        <v>4891</v>
      </c>
      <c r="C3301" t="e">
        <f>+proj=lcc +lat_1=44.0666666666666 +lat_2=42.7333333333333 +lat_0=42 +lon_0=-90 +x_0=600000 +y_0=0 +ellps=GRQ80 +units=m +no_defs</f>
        <v>#NAME?</v>
      </c>
    </row>
    <row r="3302" spans="1:3" x14ac:dyDescent="0.25">
      <c r="A3302">
        <v>6609</v>
      </c>
      <c r="B3302" t="s">
        <v>4892</v>
      </c>
      <c r="C3302" t="e">
        <f>+proj=lcc +lat_1=44.0666666666666 +lat_2=42.7333333333333 +lat_0=42 +lon_0=-90 +x_0=600000 +y_0=0 +ellps=GRQ80 +units=us-ft +no_defs</f>
        <v>#NAME?</v>
      </c>
    </row>
    <row r="3303" spans="1:3" x14ac:dyDescent="0.25">
      <c r="A3303">
        <v>32606</v>
      </c>
      <c r="B3303" t="s">
        <v>4893</v>
      </c>
      <c r="C3303" t="e">
        <f>+proj=utm +zone=6 +datum=WGQ84 +units=m +no_defs</f>
        <v>#NAME?</v>
      </c>
    </row>
    <row r="3304" spans="1:3" x14ac:dyDescent="0.25">
      <c r="A3304">
        <v>6613</v>
      </c>
      <c r="B3304" t="s">
        <v>4894</v>
      </c>
      <c r="C3304" t="e">
        <f>+proj=tmerc +lat_0=40.5 +lon_0=-107.333333333333 +k=0.9999375 +x_0=400000 +y_0=100000 +ellps=GRQ80 +units=m +no_defs</f>
        <v>#NAME?</v>
      </c>
    </row>
    <row r="3305" spans="1:3" x14ac:dyDescent="0.25">
      <c r="A3305">
        <v>6614</v>
      </c>
      <c r="B3305" t="s">
        <v>4895</v>
      </c>
      <c r="C3305" t="e">
        <f>+proj=tmerc +lat_0=40.5 +lon_0=-107.333333333333 +k=0.9999375 +x_0=399999.99998984 +y_0=99999.9999898399 +ellps=GRQ80 +units=us-ft +no_defs</f>
        <v>#NAME?</v>
      </c>
    </row>
    <row r="3306" spans="1:3" x14ac:dyDescent="0.25">
      <c r="A3306">
        <v>6615</v>
      </c>
      <c r="B3306" t="s">
        <v>4896</v>
      </c>
      <c r="C3306" t="e">
        <f>+proj=tmerc +lat_0=40.5 +lon_0=-110.083333333333 +k=0.9999375 +x_0=800000 +y_0=100000 +ellps=GRQ80 +units=m +no_defs</f>
        <v>#NAME?</v>
      </c>
    </row>
    <row r="3307" spans="1:3" x14ac:dyDescent="0.25">
      <c r="A3307">
        <v>6616</v>
      </c>
      <c r="B3307" t="s">
        <v>4897</v>
      </c>
      <c r="C3307" t="e">
        <f>+proj=tmerc +lat_0=40.5 +lon_0=-110.083333333333 +k=0.9999375 +x_0=800000.000010159 +y_0=99999.9999898399 +ellps=GRQ80 +units=us-ft +no_defs</f>
        <v>#NAME?</v>
      </c>
    </row>
    <row r="3308" spans="1:3" x14ac:dyDescent="0.25">
      <c r="A3308">
        <v>6617</v>
      </c>
      <c r="B3308" t="s">
        <v>4898</v>
      </c>
      <c r="C3308" t="e">
        <f>+proj=tmerc +lat_0=40.5 +lon_0=-108.75 +k=0.9999375 +x_0=600000 +y_0=0 +ellps=GRQ80 +units=m +no_defs</f>
        <v>#NAME?</v>
      </c>
    </row>
    <row r="3309" spans="1:3" x14ac:dyDescent="0.25">
      <c r="A3309">
        <v>6618</v>
      </c>
      <c r="B3309" t="s">
        <v>4899</v>
      </c>
      <c r="C3309" t="e">
        <f>+proj=tmerc +lat_0=40.5 +lon_0=-108.75 +k=0.9999375 +x_0=600000 +y_0=0 +ellps=GRQ80 +units=us-ft +no_defs</f>
        <v>#NAME?</v>
      </c>
    </row>
    <row r="3310" spans="1:3" x14ac:dyDescent="0.25">
      <c r="A3310">
        <v>6619</v>
      </c>
      <c r="B3310" t="s">
        <v>4900</v>
      </c>
      <c r="C3310" t="e">
        <f>+proj=lcc +lat_1=40.65 +lat_2=39.0166666666666 +lat_0=38.3333333333333 +lon_0=-111.5 +x_0=500000 +y_0=2000000 +ellps=GRQ80 +units=m +no_defs</f>
        <v>#NAME?</v>
      </c>
    </row>
    <row r="3311" spans="1:3" x14ac:dyDescent="0.25">
      <c r="A3311">
        <v>6620</v>
      </c>
      <c r="B3311" t="s">
        <v>4901</v>
      </c>
      <c r="C3311" t="e">
        <f>+proj=lcc +lat_1=41.7833333333333 +lat_2=40.7166666666666 +lat_0=40.3333333333333 +lon_0=-111.5 +x_0=500000 +y_0=1000000 +ellps=GRQ80 +units=m +no_defs</f>
        <v>#NAME?</v>
      </c>
    </row>
    <row r="3312" spans="1:3" x14ac:dyDescent="0.25">
      <c r="A3312">
        <v>6621</v>
      </c>
      <c r="B3312" t="s">
        <v>4902</v>
      </c>
      <c r="C3312" t="e">
        <f>+proj=lcc +lat_1=38.35 +lat_2=37.2166666666666 +lat_0=36.6666666666666 +lon_0=-111.5 +x_0=500000 +y_0=3000000 +ellps=GRQ80 +units=m +no_defs</f>
        <v>#NAME?</v>
      </c>
    </row>
    <row r="3313" spans="1:3" x14ac:dyDescent="0.25">
      <c r="A3313">
        <v>6622</v>
      </c>
      <c r="B3313" t="s">
        <v>4903</v>
      </c>
      <c r="C3313" t="s">
        <v>4904</v>
      </c>
    </row>
    <row r="3314" spans="1:3" x14ac:dyDescent="0.25">
      <c r="A3314">
        <v>6623</v>
      </c>
      <c r="B3314" t="s">
        <v>4905</v>
      </c>
      <c r="C3314" t="e">
        <f>+proj=aea +lat_1=60 +lat_2=46 +lat_0=44 +lon_0=-68.5 +x_0=0 +y_0=0 +datum=NAB83 +units=m +no_defs</f>
        <v>#NAME?</v>
      </c>
    </row>
    <row r="3315" spans="1:3" x14ac:dyDescent="0.25">
      <c r="A3315">
        <v>6624</v>
      </c>
      <c r="B3315" t="s">
        <v>4906</v>
      </c>
      <c r="C3315" t="s">
        <v>4907</v>
      </c>
    </row>
    <row r="3316" spans="1:3" x14ac:dyDescent="0.25">
      <c r="A3316">
        <v>6625</v>
      </c>
      <c r="B3316" t="s">
        <v>4908</v>
      </c>
      <c r="C3316" t="e">
        <f>+proj=lcc +lat_1=40.65 +lat_2=39.0166666666666 +lat_0=38.3333333333333 +lon_0=-111.5 +x_0=500000.00001016 +y_0=2000000.00001016 +ellps=GRQ80 +units=us-ft +no_defs</f>
        <v>#NAME?</v>
      </c>
    </row>
    <row r="3317" spans="1:3" x14ac:dyDescent="0.25">
      <c r="A3317">
        <v>6626</v>
      </c>
      <c r="B3317" t="s">
        <v>4909</v>
      </c>
      <c r="C3317" t="e">
        <f>+proj=lcc +lat_1=41.7833333333333 +lat_2=40.7166666666666 +lat_0=40.3333333333333 +lon_0=-111.5 +x_0=500000.00001016 +y_0=999999.99998984 +ellps=GRQ80 +units=us-ft +no_defs</f>
        <v>#NAME?</v>
      </c>
    </row>
    <row r="3318" spans="1:3" x14ac:dyDescent="0.25">
      <c r="A3318">
        <v>6627</v>
      </c>
      <c r="B3318" t="s">
        <v>4910</v>
      </c>
      <c r="C3318" t="e">
        <f>+proj=lcc +lat_1=38.35 +lat_2=37.2166666666666 +lat_0=36.6666666666666 +lon_0=-111.5 +x_0=500000.00001016 +y_0=3000000 +ellps=GRQ80 +units=us-ft +no_defs</f>
        <v>#NAME?</v>
      </c>
    </row>
    <row r="3319" spans="1:3" x14ac:dyDescent="0.25">
      <c r="A3319">
        <v>6628</v>
      </c>
      <c r="B3319" t="s">
        <v>4911</v>
      </c>
      <c r="C3319" t="e">
        <f>+proj=tmerc +lat_0=18.8333333333333 +lon_0=-155.5 +k=0.999966667 +x_0=500000 +y_0=0 +ellps=GRQ80 +units=m +no_defs</f>
        <v>#NAME?</v>
      </c>
    </row>
    <row r="3320" spans="1:3" x14ac:dyDescent="0.25">
      <c r="A3320">
        <v>6629</v>
      </c>
      <c r="B3320" t="s">
        <v>4912</v>
      </c>
      <c r="C3320" t="e">
        <f>+proj=tmerc +lat_0=20.3333333333333 +lon_0=-156.666666666666 +k=0.999966667 +x_0=500000 +y_0=0 +ellps=GRQ80 +units=m +no_defs</f>
        <v>#NAME?</v>
      </c>
    </row>
    <row r="3321" spans="1:3" x14ac:dyDescent="0.25">
      <c r="A3321">
        <v>6630</v>
      </c>
      <c r="B3321" t="s">
        <v>4913</v>
      </c>
      <c r="C3321" t="e">
        <f>+proj=tmerc +lat_0=21.1666666666666 +lon_0=-158 +k=0.99999 +x_0=500000 +y_0=0 +ellps=GRQ80 +units=m +no_defs</f>
        <v>#NAME?</v>
      </c>
    </row>
    <row r="3322" spans="1:3" x14ac:dyDescent="0.25">
      <c r="A3322">
        <v>6631</v>
      </c>
      <c r="B3322" t="s">
        <v>4914</v>
      </c>
      <c r="C3322" t="e">
        <f>+proj=tmerc +lat_0=21.8333333333333 +lon_0=-159.5 +k=0.99999 +x_0=500000 +y_0=0 +ellps=GRQ80 +units=m +no_defs</f>
        <v>#NAME?</v>
      </c>
    </row>
    <row r="3323" spans="1:3" x14ac:dyDescent="0.25">
      <c r="A3323">
        <v>6632</v>
      </c>
      <c r="B3323" t="s">
        <v>4915</v>
      </c>
      <c r="C3323" t="e">
        <f>+proj=tmerc +lat_0=21.6666666666666 +lon_0=-160.166666666666 +k=1 +x_0=500000 +y_0=0 +ellps=GRQ80 +units=m +no_defs</f>
        <v>#NAME?</v>
      </c>
    </row>
    <row r="3324" spans="1:3" x14ac:dyDescent="0.25">
      <c r="A3324">
        <v>6633</v>
      </c>
      <c r="B3324" t="s">
        <v>4916</v>
      </c>
      <c r="C3324" t="e">
        <f>+proj=tmerc +lat_0=21.1666666666666 +lon_0=-158 +k=0.99999 +x_0=500000.00001016 +y_0=0 +ellps=GRQ80 +units=us-ft +no_defs</f>
        <v>#NAME?</v>
      </c>
    </row>
    <row r="3325" spans="1:3" x14ac:dyDescent="0.25">
      <c r="A3325">
        <v>6634</v>
      </c>
      <c r="B3325" t="s">
        <v>4917</v>
      </c>
      <c r="C3325" t="e">
        <f>+proj=utm +zone=4 +ellps=GRQ80 +units=m +no_defs</f>
        <v>#NAME?</v>
      </c>
    </row>
    <row r="3326" spans="1:3" x14ac:dyDescent="0.25">
      <c r="A3326">
        <v>6635</v>
      </c>
      <c r="B3326" t="s">
        <v>4918</v>
      </c>
      <c r="C3326" t="e">
        <f>+proj=utm +zone=5 +ellps=GRQ80 +units=m +no_defs</f>
        <v>#NAME?</v>
      </c>
    </row>
    <row r="3327" spans="1:3" x14ac:dyDescent="0.25">
      <c r="A3327">
        <v>6636</v>
      </c>
      <c r="B3327" t="s">
        <v>4919</v>
      </c>
      <c r="C3327" t="e">
        <f>+proj=utm +zone=2 +south +ellps=GRQ80 +units=m +no_defs</f>
        <v>#NAME?</v>
      </c>
    </row>
    <row r="3328" spans="1:3" x14ac:dyDescent="0.25">
      <c r="A3328">
        <v>6637</v>
      </c>
      <c r="B3328" t="s">
        <v>4920</v>
      </c>
      <c r="C3328" t="e">
        <f>+proj=tmerc +lat_0=13.5 +lon_0=144.75 +k=1 +x_0=100000 +y_0=200000 +ellps=GRQ80 +units=m +no_defs</f>
        <v>#NAME?</v>
      </c>
    </row>
    <row r="3329" spans="1:3" x14ac:dyDescent="0.25">
      <c r="A3329">
        <v>6646</v>
      </c>
      <c r="B3329" t="s">
        <v>4921</v>
      </c>
      <c r="C3329" t="s">
        <v>4922</v>
      </c>
    </row>
    <row r="3330" spans="1:3" x14ac:dyDescent="0.25">
      <c r="A3330">
        <v>6669</v>
      </c>
      <c r="B3330" t="s">
        <v>4923</v>
      </c>
      <c r="C3330" t="e">
        <f>+proj=tmerc +lat_0=33 +lon_0=129.5 +k=0.9999 +x_0=0 +y_0=0 +ellps=GRQ80 +units=m +no_defs</f>
        <v>#NAME?</v>
      </c>
    </row>
    <row r="3331" spans="1:3" x14ac:dyDescent="0.25">
      <c r="A3331">
        <v>6670</v>
      </c>
      <c r="B3331" t="s">
        <v>4924</v>
      </c>
      <c r="C3331" t="e">
        <f>+proj=tmerc +lat_0=33 +lon_0=131 +k=0.9999 +x_0=0 +y_0=0 +ellps=GRQ80 +units=m +no_defs</f>
        <v>#NAME?</v>
      </c>
    </row>
    <row r="3332" spans="1:3" x14ac:dyDescent="0.25">
      <c r="A3332">
        <v>6675</v>
      </c>
      <c r="B3332" t="s">
        <v>4925</v>
      </c>
      <c r="C3332" t="e">
        <f>+proj=tmerc +lat_0=36 +lon_0=137.166666666666 +k=0.9999 +x_0=0 +y_0=0 +ellps=GRQ80 +units=m +no_defs</f>
        <v>#NAME?</v>
      </c>
    </row>
    <row r="3333" spans="1:3" x14ac:dyDescent="0.25">
      <c r="A3333">
        <v>6676</v>
      </c>
      <c r="B3333" t="s">
        <v>4926</v>
      </c>
      <c r="C3333" t="e">
        <f>+proj=tmerc +lat_0=36 +lon_0=138.5 +k=0.9999 +x_0=0 +y_0=0 +ellps=GRQ80 +units=m +no_defs</f>
        <v>#NAME?</v>
      </c>
    </row>
    <row r="3334" spans="1:3" x14ac:dyDescent="0.25">
      <c r="A3334">
        <v>6677</v>
      </c>
      <c r="B3334" t="s">
        <v>4927</v>
      </c>
      <c r="C3334" t="e">
        <f>+proj=tmerc +lat_0=36 +lon_0=139.833333333333 +k=0.9999 +x_0=0 +y_0=0 +ellps=GRQ80 +units=m +no_defs</f>
        <v>#NAME?</v>
      </c>
    </row>
    <row r="3335" spans="1:3" x14ac:dyDescent="0.25">
      <c r="A3335">
        <v>6678</v>
      </c>
      <c r="B3335" t="s">
        <v>4928</v>
      </c>
      <c r="C3335" t="e">
        <f>+proj=tmerc +lat_0=40 +lon_0=140.833333333333 +k=0.9999 +x_0=0 +y_0=0 +ellps=GRQ80 +units=m +no_defs</f>
        <v>#NAME?</v>
      </c>
    </row>
    <row r="3336" spans="1:3" x14ac:dyDescent="0.25">
      <c r="A3336">
        <v>6679</v>
      </c>
      <c r="B3336" t="s">
        <v>4929</v>
      </c>
      <c r="C3336" t="e">
        <f>+proj=tmerc +lat_0=44 +lon_0=140.25 +k=0.9999 +x_0=0 +y_0=0 +ellps=GRQ80 +units=m +no_defs</f>
        <v>#NAME?</v>
      </c>
    </row>
    <row r="3337" spans="1:3" x14ac:dyDescent="0.25">
      <c r="A3337">
        <v>6680</v>
      </c>
      <c r="B3337" t="s">
        <v>4930</v>
      </c>
      <c r="C3337" t="e">
        <f>+proj=tmerc +lat_0=44 +lon_0=142.25 +k=0.9999 +x_0=0 +y_0=0 +ellps=GRQ80 +units=m +no_defs</f>
        <v>#NAME?</v>
      </c>
    </row>
    <row r="3338" spans="1:3" x14ac:dyDescent="0.25">
      <c r="A3338">
        <v>6681</v>
      </c>
      <c r="B3338" t="s">
        <v>4931</v>
      </c>
      <c r="C3338" t="e">
        <f>+proj=tmerc +lat_0=44 +lon_0=144.25 +k=0.9999 +x_0=0 +y_0=0 +ellps=GRQ80 +units=m +no_defs</f>
        <v>#NAME?</v>
      </c>
    </row>
    <row r="3339" spans="1:3" x14ac:dyDescent="0.25">
      <c r="A3339">
        <v>6682</v>
      </c>
      <c r="B3339" t="s">
        <v>4932</v>
      </c>
      <c r="C3339" t="e">
        <f>+proj=tmerc +lat_0=26 +lon_0=142 +k=0.9999 +x_0=0 +y_0=0 +ellps=GRQ80 +units=m +no_defs</f>
        <v>#NAME?</v>
      </c>
    </row>
    <row r="3340" spans="1:3" x14ac:dyDescent="0.25">
      <c r="A3340">
        <v>6683</v>
      </c>
      <c r="B3340" t="s">
        <v>4933</v>
      </c>
      <c r="C3340" t="e">
        <f>+proj=tmerc +lat_0=26 +lon_0=127.5 +k=0.9999 +x_0=0 +y_0=0 +ellps=GRQ80 +units=m +no_defs</f>
        <v>#NAME?</v>
      </c>
    </row>
    <row r="3341" spans="1:3" x14ac:dyDescent="0.25">
      <c r="A3341">
        <v>6684</v>
      </c>
      <c r="B3341" t="s">
        <v>4934</v>
      </c>
      <c r="C3341" t="e">
        <f>+proj=tmerc +lat_0=26 +lon_0=124 +k=0.9999 +x_0=0 +y_0=0 +ellps=GRQ80 +units=m +no_defs</f>
        <v>#NAME?</v>
      </c>
    </row>
    <row r="3342" spans="1:3" x14ac:dyDescent="0.25">
      <c r="A3342">
        <v>6685</v>
      </c>
      <c r="B3342" t="s">
        <v>4935</v>
      </c>
      <c r="C3342" t="e">
        <f>+proj=tmerc +lat_0=26 +lon_0=131 +k=0.9999 +x_0=0 +y_0=0 +ellps=GRQ80 +units=m +no_defs</f>
        <v>#NAME?</v>
      </c>
    </row>
    <row r="3343" spans="1:3" x14ac:dyDescent="0.25">
      <c r="A3343">
        <v>6687</v>
      </c>
      <c r="B3343" t="s">
        <v>4936</v>
      </c>
      <c r="C3343" t="e">
        <f>+proj=tmerc +lat_0=26 +lon_0=154 +k=0.9999 +x_0=0 +y_0=0 +ellps=GRQ80 +units=m +no_defs</f>
        <v>#NAME?</v>
      </c>
    </row>
    <row r="3344" spans="1:3" x14ac:dyDescent="0.25">
      <c r="A3344">
        <v>6688</v>
      </c>
      <c r="B3344" t="s">
        <v>4937</v>
      </c>
      <c r="C3344" t="e">
        <f>+proj=utm +zone=51 +ellps=GRQ80 +units=m +no_defs</f>
        <v>#NAME?</v>
      </c>
    </row>
    <row r="3345" spans="1:3" x14ac:dyDescent="0.25">
      <c r="A3345">
        <v>6689</v>
      </c>
      <c r="B3345" t="s">
        <v>4938</v>
      </c>
      <c r="C3345" t="e">
        <f>+proj=utm +zone=52 +ellps=GRQ80 +units=m +no_defs</f>
        <v>#NAME?</v>
      </c>
    </row>
    <row r="3346" spans="1:3" x14ac:dyDescent="0.25">
      <c r="A3346">
        <v>6690</v>
      </c>
      <c r="B3346" t="s">
        <v>4939</v>
      </c>
      <c r="C3346" t="e">
        <f>+proj=utm +zone=53 +ellps=GRQ80 +units=m +no_defs</f>
        <v>#NAME?</v>
      </c>
    </row>
    <row r="3347" spans="1:3" x14ac:dyDescent="0.25">
      <c r="A3347">
        <v>6691</v>
      </c>
      <c r="B3347" t="s">
        <v>4940</v>
      </c>
      <c r="C3347" t="e">
        <f>+proj=utm +zone=54 +ellps=GRQ80 +units=m +no_defs</f>
        <v>#NAME?</v>
      </c>
    </row>
    <row r="3348" spans="1:3" x14ac:dyDescent="0.25">
      <c r="A3348">
        <v>6692</v>
      </c>
      <c r="B3348" t="s">
        <v>4941</v>
      </c>
      <c r="C3348" t="e">
        <f>+proj=utm +zone=55 +ellps=GRQ80 +units=m +no_defs</f>
        <v>#NAME?</v>
      </c>
    </row>
    <row r="3349" spans="1:3" x14ac:dyDescent="0.25">
      <c r="A3349">
        <v>6703</v>
      </c>
      <c r="B3349" t="s">
        <v>4942</v>
      </c>
      <c r="C3349" t="e">
        <f>+proj=tmerc +lat_0=0 +lon_0=-60 +k=0.9996 +x_0=500000 +y_0=10000000 +datum=WGQ84 +units=m +no_defs</f>
        <v>#NAME?</v>
      </c>
    </row>
    <row r="3350" spans="1:3" x14ac:dyDescent="0.25">
      <c r="A3350">
        <v>6707</v>
      </c>
      <c r="B3350" t="s">
        <v>4943</v>
      </c>
      <c r="C3350" t="s">
        <v>1820</v>
      </c>
    </row>
    <row r="3351" spans="1:3" x14ac:dyDescent="0.25">
      <c r="A3351">
        <v>6708</v>
      </c>
      <c r="B3351" t="s">
        <v>4944</v>
      </c>
      <c r="C3351" t="s">
        <v>1860</v>
      </c>
    </row>
    <row r="3352" spans="1:3" x14ac:dyDescent="0.25">
      <c r="A3352">
        <v>6709</v>
      </c>
      <c r="B3352" t="s">
        <v>4945</v>
      </c>
      <c r="C3352" t="s">
        <v>1880</v>
      </c>
    </row>
    <row r="3353" spans="1:3" x14ac:dyDescent="0.25">
      <c r="A3353">
        <v>6720</v>
      </c>
      <c r="B3353" t="s">
        <v>4946</v>
      </c>
      <c r="C3353" t="e">
        <f>+proj=tmerc +lat_0=0 +lon_0=105.625 +k=1.000024 +x_0=50000 +y_0=1300000 +datum=WGQ84 +units=m +no_defs</f>
        <v>#NAME?</v>
      </c>
    </row>
    <row r="3354" spans="1:3" x14ac:dyDescent="0.25">
      <c r="A3354">
        <v>6721</v>
      </c>
      <c r="B3354" t="s">
        <v>4947</v>
      </c>
      <c r="C3354" t="s">
        <v>4948</v>
      </c>
    </row>
    <row r="3355" spans="1:3" x14ac:dyDescent="0.25">
      <c r="A3355">
        <v>6722</v>
      </c>
      <c r="B3355" t="s">
        <v>4949</v>
      </c>
      <c r="C3355" t="e">
        <f>+proj=tmerc +lat_0=0 +lon_0=96.875 +k=1 +x_0=50000 +y_0=1400000 +datum=WGQ84 +units=m +no_defs</f>
        <v>#NAME?</v>
      </c>
    </row>
    <row r="3356" spans="1:3" x14ac:dyDescent="0.25">
      <c r="A3356">
        <v>6723</v>
      </c>
      <c r="B3356" t="s">
        <v>4950</v>
      </c>
      <c r="C3356" t="s">
        <v>4951</v>
      </c>
    </row>
    <row r="3357" spans="1:3" x14ac:dyDescent="0.25">
      <c r="A3357">
        <v>6732</v>
      </c>
      <c r="B3357" t="s">
        <v>4952</v>
      </c>
      <c r="C3357" t="s">
        <v>4953</v>
      </c>
    </row>
    <row r="3358" spans="1:3" x14ac:dyDescent="0.25">
      <c r="A3358">
        <v>6733</v>
      </c>
      <c r="B3358" t="s">
        <v>4954</v>
      </c>
      <c r="C3358" t="s">
        <v>4955</v>
      </c>
    </row>
    <row r="3359" spans="1:3" x14ac:dyDescent="0.25">
      <c r="A3359">
        <v>6734</v>
      </c>
      <c r="B3359" t="s">
        <v>4956</v>
      </c>
      <c r="C3359" t="s">
        <v>4957</v>
      </c>
    </row>
    <row r="3360" spans="1:3" x14ac:dyDescent="0.25">
      <c r="A3360">
        <v>6735</v>
      </c>
      <c r="B3360" t="s">
        <v>4958</v>
      </c>
      <c r="C3360" t="s">
        <v>4959</v>
      </c>
    </row>
    <row r="3361" spans="1:3" x14ac:dyDescent="0.25">
      <c r="A3361">
        <v>6736</v>
      </c>
      <c r="B3361" t="s">
        <v>4960</v>
      </c>
      <c r="C3361" t="s">
        <v>4961</v>
      </c>
    </row>
    <row r="3362" spans="1:3" x14ac:dyDescent="0.25">
      <c r="A3362">
        <v>6737</v>
      </c>
      <c r="B3362" t="s">
        <v>4962</v>
      </c>
      <c r="C3362" t="s">
        <v>4963</v>
      </c>
    </row>
    <row r="3363" spans="1:3" x14ac:dyDescent="0.25">
      <c r="A3363">
        <v>6738</v>
      </c>
      <c r="B3363" t="s">
        <v>4964</v>
      </c>
      <c r="C3363" t="s">
        <v>1011</v>
      </c>
    </row>
    <row r="3364" spans="1:3" x14ac:dyDescent="0.25">
      <c r="A3364">
        <v>6784</v>
      </c>
      <c r="B3364" t="s">
        <v>4965</v>
      </c>
      <c r="C3364" t="e">
        <f>+proj=tmerc +lat_0=44.5 +lon_0=-117.833333333333 +k=1.00016 +x_0=40000 +y_0=0 +ellps=GRQ80 +units=m +no_defs</f>
        <v>#NAME?</v>
      </c>
    </row>
    <row r="3365" spans="1:3" x14ac:dyDescent="0.25">
      <c r="A3365">
        <v>6785</v>
      </c>
      <c r="B3365" t="s">
        <v>4966</v>
      </c>
      <c r="C3365" t="e">
        <f>+proj=tmerc +lat_0=44.5 +lon_0=-117.833333333333 +k=1.00016 +x_0=39999.99999984 +y_0=0 +ellps=GRQ80 +units=ft +no_defs</f>
        <v>#NAME?</v>
      </c>
    </row>
    <row r="3366" spans="1:3" x14ac:dyDescent="0.25">
      <c r="A3366">
        <v>6786</v>
      </c>
      <c r="B3366" t="s">
        <v>4967</v>
      </c>
      <c r="C3366" t="e">
        <f>+proj=tmerc +lat_0=44.5 +lon_0=-117.833333333333 +k=1.00016 +x_0=40000 +y_0=0 +ellps=GRQ80 +units=m +no_defs</f>
        <v>#NAME?</v>
      </c>
    </row>
    <row r="3367" spans="1:3" x14ac:dyDescent="0.25">
      <c r="A3367">
        <v>6787</v>
      </c>
      <c r="B3367" t="s">
        <v>4968</v>
      </c>
      <c r="C3367" t="e">
        <f>+proj=tmerc +lat_0=44.5 +lon_0=-117.833333333333 +k=1.00016 +x_0=39999.99999984 +y_0=0 +ellps=GRQ80 +units=ft +no_defs</f>
        <v>#NAME?</v>
      </c>
    </row>
    <row r="3368" spans="1:3" x14ac:dyDescent="0.25">
      <c r="A3368">
        <v>6788</v>
      </c>
      <c r="B3368" t="s">
        <v>4969</v>
      </c>
      <c r="C3368" t="e">
        <f>+proj=tmerc +lat_0=41.75 +lon_0=-121.75 +k=1.0002 +x_0=80000 +y_0=0 +ellps=GRQ80 +units=m +no_defs</f>
        <v>#NAME?</v>
      </c>
    </row>
    <row r="3369" spans="1:3" x14ac:dyDescent="0.25">
      <c r="A3369">
        <v>6789</v>
      </c>
      <c r="B3369" t="s">
        <v>4970</v>
      </c>
      <c r="C3369" t="e">
        <f>+proj=tmerc +lat_0=41.75 +lon_0=-121.75 +k=1.0002 +x_0=79999.99999968 +y_0=0 +ellps=GRQ80 +units=ft +no_defs</f>
        <v>#NAME?</v>
      </c>
    </row>
    <row r="3370" spans="1:3" x14ac:dyDescent="0.25">
      <c r="A3370">
        <v>6790</v>
      </c>
      <c r="B3370" t="s">
        <v>4971</v>
      </c>
      <c r="C3370" t="e">
        <f>+proj=tmerc +lat_0=41.75 +lon_0=-121.75 +k=1.0002 +x_0=80000 +y_0=0 +ellps=GRQ80 +units=m +no_defs</f>
        <v>#NAME?</v>
      </c>
    </row>
    <row r="3371" spans="1:3" x14ac:dyDescent="0.25">
      <c r="A3371">
        <v>6791</v>
      </c>
      <c r="B3371" t="s">
        <v>4972</v>
      </c>
      <c r="C3371" t="e">
        <f>+proj=tmerc +lat_0=41.75 +lon_0=-121.75 +k=1.0002 +x_0=79999.99999968 +y_0=0 +ellps=GRQ80 +units=ft +no_defs</f>
        <v>#NAME?</v>
      </c>
    </row>
    <row r="3372" spans="1:3" x14ac:dyDescent="0.25">
      <c r="A3372">
        <v>6792</v>
      </c>
      <c r="B3372" t="s">
        <v>4973</v>
      </c>
      <c r="C3372" t="e">
        <f>+proj=lcc +lat_1=44.6666666666666 +lat_0=44.6666666666666 +lon_0=-121.25 +k_0=1.00012 +x_0=80000 +y_0=130000 +ellps=GRQ80 +units=m +no_defs</f>
        <v>#NAME?</v>
      </c>
    </row>
    <row r="3373" spans="1:3" x14ac:dyDescent="0.25">
      <c r="A3373">
        <v>4936</v>
      </c>
      <c r="B3373" t="s">
        <v>4974</v>
      </c>
      <c r="C3373" t="e">
        <f>+proj=geocent +ellps=GRQ80 +units=m +no_defs</f>
        <v>#NAME?</v>
      </c>
    </row>
    <row r="3374" spans="1:3" x14ac:dyDescent="0.25">
      <c r="A3374">
        <v>6793</v>
      </c>
      <c r="B3374" t="s">
        <v>4975</v>
      </c>
      <c r="C3374" t="e">
        <f>+proj=lcc +lat_1=44.6666666666666 +lat_0=44.6666666666666 +lon_0=-121.25 +k_0=1.00012 +x_0=79999.99999968 +y_0=130000.00001472 +ellps=GRQ80 +units=ft +no_defs</f>
        <v>#NAME?</v>
      </c>
    </row>
    <row r="3375" spans="1:3" x14ac:dyDescent="0.25">
      <c r="A3375">
        <v>6794</v>
      </c>
      <c r="B3375" t="s">
        <v>4976</v>
      </c>
      <c r="C3375" t="e">
        <f>+proj=lcc +lat_1=44.6666666666666 +lat_0=44.6666666666666 +lon_0=-121.25 +k_0=1.00012 +x_0=80000 +y_0=130000 +ellps=GRQ80 +units=m +no_defs</f>
        <v>#NAME?</v>
      </c>
    </row>
    <row r="3376" spans="1:3" x14ac:dyDescent="0.25">
      <c r="A3376">
        <v>6795</v>
      </c>
      <c r="B3376" t="s">
        <v>4977</v>
      </c>
      <c r="C3376" t="e">
        <f>+proj=lcc +lat_1=44.6666666666666 +lat_0=44.6666666666666 +lon_0=-121.25 +k_0=1.00012 +x_0=79999.99999968 +y_0=130000.00001472 +ellps=GRQ80 +units=ft +no_defs</f>
        <v>#NAME?</v>
      </c>
    </row>
    <row r="3377" spans="1:3" x14ac:dyDescent="0.25">
      <c r="A3377">
        <v>6796</v>
      </c>
      <c r="B3377" t="s">
        <v>4978</v>
      </c>
      <c r="C3377" t="e">
        <f>+proj=lcc +lat_1=43.6666666666666 +lat_0=43.6666666666666 +lon_0=-119.75 +k_0=1.0002 +x_0=120000 +y_0=60000 +ellps=GRQ80 +units=m +no_defs</f>
        <v>#NAME?</v>
      </c>
    </row>
    <row r="3378" spans="1:3" x14ac:dyDescent="0.25">
      <c r="A3378">
        <v>6797</v>
      </c>
      <c r="B3378" t="s">
        <v>4979</v>
      </c>
      <c r="C3378" t="e">
        <f>+proj=lcc +lat_1=43.6666666666666 +lat_0=43.6666666666666 +lon_0=-119.75 +k_0=1.0002 +x_0=119999.99999952 +y_0=59999.99999976 +ellps=GRQ80 +units=ft +no_defs</f>
        <v>#NAME?</v>
      </c>
    </row>
    <row r="3379" spans="1:3" x14ac:dyDescent="0.25">
      <c r="A3379">
        <v>6798</v>
      </c>
      <c r="B3379" t="s">
        <v>4980</v>
      </c>
      <c r="C3379" t="e">
        <f>+proj=lcc +lat_1=43.6666666666666 +lat_0=43.6666666666666 +lon_0=-119.75 +k_0=1.0002 +x_0=120000 +y_0=60000 +ellps=GRQ80 +units=m +no_defs</f>
        <v>#NAME?</v>
      </c>
    </row>
    <row r="3380" spans="1:3" x14ac:dyDescent="0.25">
      <c r="A3380">
        <v>6799</v>
      </c>
      <c r="B3380" t="s">
        <v>4981</v>
      </c>
      <c r="C3380" t="e">
        <f>+proj=lcc +lat_1=43.6666666666666 +lat_0=43.6666666666666 +lon_0=-119.75 +k_0=1.0002 +x_0=119999.99999952 +y_0=59999.99999976 +ellps=GRQ80 +units=ft +no_defs</f>
        <v>#NAME?</v>
      </c>
    </row>
    <row r="3381" spans="1:3" x14ac:dyDescent="0.25">
      <c r="A3381">
        <v>6800</v>
      </c>
      <c r="B3381" t="s">
        <v>4982</v>
      </c>
      <c r="C3381" t="e">
        <f>+proj=tmerc +lat_0=42.5 +lon_0=-123.333333333333 +k=1.00007 +x_0=40000 +y_0=0 +ellps=GRQ80 +units=m +no_defs</f>
        <v>#NAME?</v>
      </c>
    </row>
    <row r="3382" spans="1:3" x14ac:dyDescent="0.25">
      <c r="A3382">
        <v>6801</v>
      </c>
      <c r="B3382" t="s">
        <v>4983</v>
      </c>
      <c r="C3382" t="e">
        <f>+proj=tmerc +lat_0=42.5 +lon_0=-123.333333333333 +k=1.00007 +x_0=39999.99999984 +y_0=0 +ellps=GRQ80 +units=ft +no_defs</f>
        <v>#NAME?</v>
      </c>
    </row>
    <row r="3383" spans="1:3" x14ac:dyDescent="0.25">
      <c r="A3383">
        <v>6802</v>
      </c>
      <c r="B3383" t="s">
        <v>4984</v>
      </c>
      <c r="C3383" t="e">
        <f>+proj=tmerc +lat_0=42.5 +lon_0=-123.333333333333 +k=1.00007 +x_0=40000 +y_0=0 +ellps=GRQ80 +units=m +no_defs</f>
        <v>#NAME?</v>
      </c>
    </row>
    <row r="3384" spans="1:3" x14ac:dyDescent="0.25">
      <c r="A3384">
        <v>6803</v>
      </c>
      <c r="B3384" t="s">
        <v>4985</v>
      </c>
      <c r="C3384" t="e">
        <f>+proj=tmerc +lat_0=42.5 +lon_0=-123.333333333333 +k=1.00007 +x_0=39999.99999984 +y_0=0 +ellps=GRQ80 +units=ft +no_defs</f>
        <v>#NAME?</v>
      </c>
    </row>
    <row r="3385" spans="1:3" x14ac:dyDescent="0.25">
      <c r="A3385">
        <v>6804</v>
      </c>
      <c r="B3385" t="s">
        <v>4986</v>
      </c>
      <c r="C3385" t="e">
        <f>+proj=lcc +lat_1=45.6666666666666 +lat_0=45.6666666666666 +lon_0=-120.5 +k_0=1.000008 +x_0=150000 +y_0=30000 +ellps=GRQ80 +units=m +no_defs</f>
        <v>#NAME?</v>
      </c>
    </row>
    <row r="3386" spans="1:3" x14ac:dyDescent="0.25">
      <c r="A3386">
        <v>6805</v>
      </c>
      <c r="B3386" t="s">
        <v>4987</v>
      </c>
      <c r="C3386" t="e">
        <f>+proj=lcc +lat_1=45.6666666666666 +lat_0=45.6666666666666 +lon_0=-120.5 +k_0=1.000008 +x_0=150000.00001464 +y_0=30000.00001512 +ellps=GRQ80 +units=ft +no_defs</f>
        <v>#NAME?</v>
      </c>
    </row>
    <row r="3387" spans="1:3" x14ac:dyDescent="0.25">
      <c r="A3387">
        <v>6806</v>
      </c>
      <c r="B3387" t="s">
        <v>4988</v>
      </c>
      <c r="C3387" t="e">
        <f>+proj=lcc +lat_1=45.6666666666666 +lat_0=45.6666666666666 +lon_0=-120.5 +k_0=1.000008 +x_0=150000 +y_0=30000 +ellps=GRQ80 +units=m +no_defs</f>
        <v>#NAME?</v>
      </c>
    </row>
    <row r="3388" spans="1:3" x14ac:dyDescent="0.25">
      <c r="A3388">
        <v>6807</v>
      </c>
      <c r="B3388" t="s">
        <v>4989</v>
      </c>
      <c r="C3388" t="e">
        <f>+proj=lcc +lat_1=45.6666666666666 +lat_0=45.6666666666666 +lon_0=-120.5 +k_0=1.000008 +x_0=150000.00001464 +y_0=30000.00001512 +ellps=GRQ80 +units=ft +no_defs</f>
        <v>#NAME?</v>
      </c>
    </row>
    <row r="3389" spans="1:3" x14ac:dyDescent="0.25">
      <c r="A3389">
        <v>6808</v>
      </c>
      <c r="B3389" t="s">
        <v>4990</v>
      </c>
      <c r="C3389" t="e">
        <f>+proj=omerc +lat_0=45.9166666666666 +lonc=-123 +alpha=295 +k=1 +x_0=7000000 +y_0=-3000000 +no_uoff +gamma=295 +ellps=GRQ80 +units=m +no_defs</f>
        <v>#NAME?</v>
      </c>
    </row>
    <row r="3390" spans="1:3" x14ac:dyDescent="0.25">
      <c r="A3390">
        <v>6809</v>
      </c>
      <c r="B3390" t="s">
        <v>4991</v>
      </c>
      <c r="C3390" t="e">
        <f>+proj=omerc +lat_0=45.9166666666666 +lonc=-123 +alpha=295 +k=1 +x_0=7000000.00000248 +y_0=-2999999.999988 +no_uoff +gamma=295 +ellps=GRQ80 +units=ft +no_defs</f>
        <v>#NAME?</v>
      </c>
    </row>
    <row r="3391" spans="1:3" x14ac:dyDescent="0.25">
      <c r="A3391">
        <v>6819</v>
      </c>
      <c r="B3391" t="s">
        <v>4992</v>
      </c>
      <c r="C3391" t="e">
        <f>+proj=tmerc +lat_0=44.5 +lon_0=-121 +k=1.00011 +x_0=79999.99999968 +y_0=0 +ellps=GRQ80 +units=ft +no_defs</f>
        <v>#NAME?</v>
      </c>
    </row>
    <row r="3392" spans="1:3" x14ac:dyDescent="0.25">
      <c r="A3392">
        <v>6810</v>
      </c>
      <c r="B3392" t="s">
        <v>4993</v>
      </c>
      <c r="C3392" t="e">
        <f>+proj=omerc +lat_0=45.9166666666666 +lonc=-123 +alpha=295 +k=1 +x_0=7000000 +y_0=-3000000 +no_uoff +gamma=295 +ellps=GRQ80 +units=m +no_defs</f>
        <v>#NAME?</v>
      </c>
    </row>
    <row r="3393" spans="1:3" x14ac:dyDescent="0.25">
      <c r="A3393">
        <v>6811</v>
      </c>
      <c r="B3393" t="s">
        <v>4994</v>
      </c>
      <c r="C3393" t="e">
        <f>+proj=omerc +lat_0=45.9166666666666 +lonc=-123 +alpha=295 +k=1 +x_0=7000000.00000248 +y_0=-2999999.999988 +no_uoff +gamma=295 +ellps=GRQ80 +units=ft +no_defs</f>
        <v>#NAME?</v>
      </c>
    </row>
    <row r="3394" spans="1:3" x14ac:dyDescent="0.25">
      <c r="A3394">
        <v>6812</v>
      </c>
      <c r="B3394" t="s">
        <v>4995</v>
      </c>
      <c r="C3394" t="e">
        <f>+proj=tmerc +lat_0=42.8333333333333 +lon_0=-123.333333333333 +k=1.000023 +x_0=50000 +y_0=0 +ellps=GRQ80 +units=m +no_defs</f>
        <v>#NAME?</v>
      </c>
    </row>
    <row r="3395" spans="1:3" x14ac:dyDescent="0.25">
      <c r="A3395">
        <v>6813</v>
      </c>
      <c r="B3395" t="s">
        <v>4996</v>
      </c>
      <c r="C3395" t="e">
        <f>+proj=tmerc +lat_0=42.8333333333333 +lon_0=-123.333333333333 +k=1.000023 +x_0=50000.00001504 +y_0=0 +ellps=GRQ80 +units=ft +no_defs</f>
        <v>#NAME?</v>
      </c>
    </row>
    <row r="3396" spans="1:3" x14ac:dyDescent="0.25">
      <c r="A3396">
        <v>6814</v>
      </c>
      <c r="B3396" t="s">
        <v>4997</v>
      </c>
      <c r="C3396" t="e">
        <f>+proj=tmerc +lat_0=42.8333333333333 +lon_0=-123.333333333333 +k=1.000023 +x_0=50000 +y_0=0 +ellps=GRQ80 +units=m +no_defs</f>
        <v>#NAME?</v>
      </c>
    </row>
    <row r="3397" spans="1:3" x14ac:dyDescent="0.25">
      <c r="A3397">
        <v>6815</v>
      </c>
      <c r="B3397" t="s">
        <v>4998</v>
      </c>
      <c r="C3397" t="e">
        <f>+proj=tmerc +lat_0=42.8333333333333 +lon_0=-123.333333333333 +k=1.000023 +x_0=50000.00001504 +y_0=0 +ellps=GRQ80 +units=ft +no_defs</f>
        <v>#NAME?</v>
      </c>
    </row>
    <row r="3398" spans="1:3" x14ac:dyDescent="0.25">
      <c r="A3398">
        <v>6816</v>
      </c>
      <c r="B3398" t="s">
        <v>4999</v>
      </c>
      <c r="C3398" t="e">
        <f>+proj=tmerc +lat_0=44.5 +lon_0=-121 +k=1.00011 +x_0=80000 +y_0=0 +ellps=GRQ80 +units=m +no_defs</f>
        <v>#NAME?</v>
      </c>
    </row>
    <row r="3399" spans="1:3" x14ac:dyDescent="0.25">
      <c r="A3399">
        <v>6817</v>
      </c>
      <c r="B3399" t="s">
        <v>5000</v>
      </c>
      <c r="C3399" t="e">
        <f>+proj=tmerc +lat_0=44.5 +lon_0=-121 +k=1.00011 +x_0=79999.99999968 +y_0=0 +ellps=GRQ80 +units=ft +no_defs</f>
        <v>#NAME?</v>
      </c>
    </row>
    <row r="3400" spans="1:3" x14ac:dyDescent="0.25">
      <c r="A3400">
        <v>6818</v>
      </c>
      <c r="B3400" t="s">
        <v>5001</v>
      </c>
      <c r="C3400" t="e">
        <f>+proj=tmerc +lat_0=44.5 +lon_0=-121 +k=1.00011 +x_0=80000 +y_0=0 +ellps=GRQ80 +units=m +no_defs</f>
        <v>#NAME?</v>
      </c>
    </row>
    <row r="3401" spans="1:3" x14ac:dyDescent="0.25">
      <c r="A3401">
        <v>6820</v>
      </c>
      <c r="B3401" t="s">
        <v>5002</v>
      </c>
      <c r="C3401" t="e">
        <f>+proj=tmerc +lat_0=43.75 +lon_0=-123.166666666666 +k=1.000015 +x_0=50000 +y_0=0 +ellps=GRQ80 +units=m +no_defs</f>
        <v>#NAME?</v>
      </c>
    </row>
    <row r="3402" spans="1:3" x14ac:dyDescent="0.25">
      <c r="A3402">
        <v>6821</v>
      </c>
      <c r="B3402" t="s">
        <v>5003</v>
      </c>
      <c r="C3402" t="e">
        <f>+proj=tmerc +lat_0=43.75 +lon_0=-123.166666666666 +k=1.000015 +x_0=50000.00001504 +y_0=0 +ellps=GRQ80 +units=ft +no_defs</f>
        <v>#NAME?</v>
      </c>
    </row>
    <row r="3403" spans="1:3" x14ac:dyDescent="0.25">
      <c r="A3403">
        <v>6822</v>
      </c>
      <c r="B3403" t="s">
        <v>5004</v>
      </c>
      <c r="C3403" t="e">
        <f>+proj=tmerc +lat_0=43.75 +lon_0=-123.166666666666 +k=1.000015 +x_0=50000 +y_0=0 +ellps=GRQ80 +units=m +no_defs</f>
        <v>#NAME?</v>
      </c>
    </row>
    <row r="3404" spans="1:3" x14ac:dyDescent="0.25">
      <c r="A3404">
        <v>6823</v>
      </c>
      <c r="B3404" t="s">
        <v>5005</v>
      </c>
      <c r="C3404" t="e">
        <f>+proj=tmerc +lat_0=43.75 +lon_0=-123.166666666666 +k=1.000015 +x_0=50000.00001504 +y_0=0 +ellps=GRQ80 +units=ft +no_defs</f>
        <v>#NAME?</v>
      </c>
    </row>
    <row r="3405" spans="1:3" x14ac:dyDescent="0.25">
      <c r="A3405">
        <v>6824</v>
      </c>
      <c r="B3405" t="s">
        <v>5006</v>
      </c>
      <c r="C3405" t="e">
        <f>+proj=tmerc +lat_0=41.75 +lon_0=-123.333333333333 +k=1.000043 +x_0=50000 +y_0=0 +ellps=GRQ80 +units=m +no_defs</f>
        <v>#NAME?</v>
      </c>
    </row>
    <row r="3406" spans="1:3" x14ac:dyDescent="0.25">
      <c r="A3406">
        <v>6825</v>
      </c>
      <c r="B3406" t="s">
        <v>5007</v>
      </c>
      <c r="C3406" t="e">
        <f>+proj=tmerc +lat_0=41.75 +lon_0=-123.333333333333 +k=1.000043 +x_0=50000.00001504 +y_0=0 +ellps=GRQ80 +units=ft +no_defs</f>
        <v>#NAME?</v>
      </c>
    </row>
    <row r="3407" spans="1:3" x14ac:dyDescent="0.25">
      <c r="A3407">
        <v>6826</v>
      </c>
      <c r="B3407" t="s">
        <v>5008</v>
      </c>
      <c r="C3407" t="e">
        <f>+proj=tmerc +lat_0=41.75 +lon_0=-123.333333333333 +k=1.000043 +x_0=50000 +y_0=0 +ellps=GRQ80 +units=m +no_defs</f>
        <v>#NAME?</v>
      </c>
    </row>
    <row r="3408" spans="1:3" x14ac:dyDescent="0.25">
      <c r="A3408">
        <v>6827</v>
      </c>
      <c r="B3408" t="s">
        <v>5009</v>
      </c>
      <c r="C3408" t="e">
        <f>+proj=tmerc +lat_0=41.75 +lon_0=-123.333333333333 +k=1.000043 +x_0=50000.00001504 +y_0=0 +ellps=GRQ80 +units=ft +no_defs</f>
        <v>#NAME?</v>
      </c>
    </row>
    <row r="3409" spans="1:3" x14ac:dyDescent="0.25">
      <c r="A3409">
        <v>6828</v>
      </c>
      <c r="B3409" t="s">
        <v>5010</v>
      </c>
      <c r="C3409" t="e">
        <f>+proj=tmerc +lat_0=45 +lon_0=-122.333333333333 +k=1.00005 +x_0=10000 +y_0=0 +ellps=GRQ80 +units=m +no_defs</f>
        <v>#NAME?</v>
      </c>
    </row>
    <row r="3410" spans="1:3" x14ac:dyDescent="0.25">
      <c r="A3410">
        <v>4938</v>
      </c>
      <c r="B3410" t="s">
        <v>5011</v>
      </c>
      <c r="C3410" t="e">
        <f>+proj=geocent +ellps=GRQ80 +units=m +no_defs</f>
        <v>#NAME?</v>
      </c>
    </row>
    <row r="3411" spans="1:3" x14ac:dyDescent="0.25">
      <c r="A3411">
        <v>6829</v>
      </c>
      <c r="B3411" t="s">
        <v>5012</v>
      </c>
      <c r="C3411" t="e">
        <f>+proj=tmerc +lat_0=45 +lon_0=-122.333333333333 +k=1.00005 +x_0=10000.0000152 +y_0=0 +ellps=GRQ80 +units=ft +no_defs</f>
        <v>#NAME?</v>
      </c>
    </row>
    <row r="3412" spans="1:3" x14ac:dyDescent="0.25">
      <c r="A3412">
        <v>6830</v>
      </c>
      <c r="B3412" t="s">
        <v>5013</v>
      </c>
      <c r="C3412" t="e">
        <f>+proj=tmerc +lat_0=45 +lon_0=-122.333333333333 +k=1.00005 +x_0=10000 +y_0=0 +ellps=GRQ80 +units=m +no_defs</f>
        <v>#NAME?</v>
      </c>
    </row>
    <row r="3413" spans="1:3" x14ac:dyDescent="0.25">
      <c r="A3413">
        <v>6831</v>
      </c>
      <c r="B3413" t="s">
        <v>5014</v>
      </c>
      <c r="C3413" t="e">
        <f>+proj=tmerc +lat_0=45 +lon_0=-122.333333333333 +k=1.00005 +x_0=10000.0000152 +y_0=0 +ellps=GRQ80 +units=ft +no_defs</f>
        <v>#NAME?</v>
      </c>
    </row>
    <row r="3414" spans="1:3" x14ac:dyDescent="0.25">
      <c r="A3414">
        <v>6832</v>
      </c>
      <c r="B3414" t="s">
        <v>5015</v>
      </c>
      <c r="C3414" t="e">
        <f>+proj=tmerc +lat_0=45 +lon_0=-118 +k=1.00013 +x_0=40000 +y_0=0 +ellps=GRQ80 +units=m +no_defs</f>
        <v>#NAME?</v>
      </c>
    </row>
    <row r="3415" spans="1:3" x14ac:dyDescent="0.25">
      <c r="A3415">
        <v>6833</v>
      </c>
      <c r="B3415" t="s">
        <v>5016</v>
      </c>
      <c r="C3415" t="e">
        <f>+proj=tmerc +lat_0=45 +lon_0=-118 +k=1.00013 +x_0=39999.99999984 +y_0=0 +ellps=GRQ80 +units=ft +no_defs</f>
        <v>#NAME?</v>
      </c>
    </row>
    <row r="3416" spans="1:3" x14ac:dyDescent="0.25">
      <c r="A3416">
        <v>6834</v>
      </c>
      <c r="B3416" t="s">
        <v>5017</v>
      </c>
      <c r="C3416" t="e">
        <f>+proj=tmerc +lat_0=45 +lon_0=-118 +k=1.00013 +x_0=40000 +y_0=0 +ellps=GRQ80 +units=m +no_defs</f>
        <v>#NAME?</v>
      </c>
    </row>
    <row r="3417" spans="1:3" x14ac:dyDescent="0.25">
      <c r="A3417">
        <v>6835</v>
      </c>
      <c r="B3417" t="s">
        <v>5018</v>
      </c>
      <c r="C3417" t="e">
        <f>+proj=tmerc +lat_0=45 +lon_0=-118 +k=1.00013 +x_0=39999.99999984 +y_0=0 +ellps=GRQ80 +units=ft +no_defs</f>
        <v>#NAME?</v>
      </c>
    </row>
    <row r="3418" spans="1:3" x14ac:dyDescent="0.25">
      <c r="A3418">
        <v>6836</v>
      </c>
      <c r="B3418" t="s">
        <v>5019</v>
      </c>
      <c r="C3418" t="e">
        <f>+proj=tmerc +lat_0=43.25 +lon_0=-117 +k=1.0001 +x_0=80000 +y_0=0 +ellps=GRQ80 +units=m +no_defs</f>
        <v>#NAME?</v>
      </c>
    </row>
    <row r="3419" spans="1:3" x14ac:dyDescent="0.25">
      <c r="A3419">
        <v>6837</v>
      </c>
      <c r="B3419" t="s">
        <v>5020</v>
      </c>
      <c r="C3419" t="e">
        <f>+proj=tmerc +lat_0=43.25 +lon_0=-117 +k=1.0001 +x_0=79999.99999968 +y_0=0 +ellps=GRQ80 +units=ft +no_defs</f>
        <v>#NAME?</v>
      </c>
    </row>
    <row r="3420" spans="1:3" x14ac:dyDescent="0.25">
      <c r="A3420">
        <v>7847</v>
      </c>
      <c r="B3420" t="s">
        <v>5021</v>
      </c>
      <c r="C3420" t="e">
        <f>+proj=utm +zone=47 +south +ellps=GRQ80 +units=m +no_defs</f>
        <v>#NAME?</v>
      </c>
    </row>
    <row r="3421" spans="1:3" x14ac:dyDescent="0.25">
      <c r="A3421">
        <v>6838</v>
      </c>
      <c r="B3421" t="s">
        <v>5022</v>
      </c>
      <c r="C3421" t="e">
        <f>+proj=tmerc +lat_0=43.25 +lon_0=-117 +k=1.0001 +x_0=80000 +y_0=0 +ellps=GRQ80 +units=m +no_defs</f>
        <v>#NAME?</v>
      </c>
    </row>
    <row r="3422" spans="1:3" x14ac:dyDescent="0.25">
      <c r="A3422">
        <v>6839</v>
      </c>
      <c r="B3422" t="s">
        <v>5023</v>
      </c>
      <c r="C3422" t="e">
        <f>+proj=tmerc +lat_0=43.25 +lon_0=-117 +k=1.0001 +x_0=79999.99999968 +y_0=0 +ellps=GRQ80 +units=ft +no_defs</f>
        <v>#NAME?</v>
      </c>
    </row>
    <row r="3423" spans="1:3" x14ac:dyDescent="0.25">
      <c r="A3423">
        <v>6840</v>
      </c>
      <c r="B3423" t="s">
        <v>5024</v>
      </c>
      <c r="C3423" t="e">
        <f>+proj=omerc +lat_0=44.75 +lonc=-124.05 +alpha=5 +k=1 +x_0=-300000 +y_0=-4600000 +no_uoff +gamma=5 +ellps=GRQ80 +units=m +no_defs</f>
        <v>#NAME?</v>
      </c>
    </row>
    <row r="3424" spans="1:3" x14ac:dyDescent="0.25">
      <c r="A3424">
        <v>6841</v>
      </c>
      <c r="B3424" t="s">
        <v>5025</v>
      </c>
      <c r="C3424" t="e">
        <f>+proj=omerc +lat_0=44.75 +lonc=-124.05 +alpha=5 +k=1 +x_0=-299999.9999988 +y_0=-4600000.00001208 +no_uoff +gamma=5 +ellps=GRQ80 +units=ft +no_defs</f>
        <v>#NAME?</v>
      </c>
    </row>
    <row r="3425" spans="1:3" x14ac:dyDescent="0.25">
      <c r="A3425">
        <v>6842</v>
      </c>
      <c r="B3425" t="s">
        <v>5026</v>
      </c>
      <c r="C3425" t="e">
        <f>+proj=omerc +lat_0=44.75 +lonc=-124.05 +alpha=5 +k=1 +x_0=-300000 +y_0=-4600000 +no_uoff +gamma=5 +ellps=GRQ80 +units=m +no_defs</f>
        <v>#NAME?</v>
      </c>
    </row>
    <row r="3426" spans="1:3" x14ac:dyDescent="0.25">
      <c r="A3426">
        <v>6843</v>
      </c>
      <c r="B3426" t="s">
        <v>5027</v>
      </c>
      <c r="C3426" t="e">
        <f>+proj=omerc +lat_0=44.75 +lonc=-124.05 +alpha=5 +k=1 +x_0=-299999.9999988 +y_0=-4600000.00001208 +no_uoff +gamma=5 +ellps=GRQ80 +units=ft +no_defs</f>
        <v>#NAME?</v>
      </c>
    </row>
    <row r="3427" spans="1:3" x14ac:dyDescent="0.25">
      <c r="A3427">
        <v>6844</v>
      </c>
      <c r="B3427" t="s">
        <v>5028</v>
      </c>
      <c r="C3427" t="e">
        <f>+proj=tmerc +lat_0=45.25 +lon_0=-119.166666666666 +k=1.000045 +x_0=60000 +y_0=0 +ellps=GRQ80 +units=m +no_defs</f>
        <v>#NAME?</v>
      </c>
    </row>
    <row r="3428" spans="1:3" x14ac:dyDescent="0.25">
      <c r="A3428">
        <v>6845</v>
      </c>
      <c r="B3428" t="s">
        <v>5029</v>
      </c>
      <c r="C3428" t="e">
        <f>+proj=tmerc +lat_0=45.25 +lon_0=-119.166666666666 +k=1.000045 +x_0=59999.99999976 +y_0=0 +ellps=GRQ80 +units=ft +no_defs</f>
        <v>#NAME?</v>
      </c>
    </row>
    <row r="3429" spans="1:3" x14ac:dyDescent="0.25">
      <c r="A3429">
        <v>6846</v>
      </c>
      <c r="B3429" t="s">
        <v>5030</v>
      </c>
      <c r="C3429" t="e">
        <f>+proj=tmerc +lat_0=45.25 +lon_0=-119.166666666666 +k=1.000045 +x_0=60000 +y_0=0 +ellps=GRQ80 +units=m +no_defs</f>
        <v>#NAME?</v>
      </c>
    </row>
    <row r="3430" spans="1:3" x14ac:dyDescent="0.25">
      <c r="A3430">
        <v>6847</v>
      </c>
      <c r="B3430" t="s">
        <v>5031</v>
      </c>
      <c r="C3430" t="e">
        <f>+proj=tmerc +lat_0=45.25 +lon_0=-119.166666666666 +k=1.000045 +x_0=59999.99999976 +y_0=0 +ellps=GRQ80 +units=ft +no_defs</f>
        <v>#NAME?</v>
      </c>
    </row>
    <row r="3431" spans="1:3" x14ac:dyDescent="0.25">
      <c r="A3431">
        <v>6848</v>
      </c>
      <c r="B3431" t="s">
        <v>5032</v>
      </c>
      <c r="C3431" t="e">
        <f>+proj=tmerc +lat_0=45.0833333333333 +lon_0=-118.333333333333 +k=1.000175 +x_0=30000 +y_0=0 +ellps=GRQ80 +units=m +no_defs</f>
        <v>#NAME?</v>
      </c>
    </row>
    <row r="3432" spans="1:3" x14ac:dyDescent="0.25">
      <c r="A3432">
        <v>6849</v>
      </c>
      <c r="B3432" t="s">
        <v>5033</v>
      </c>
      <c r="C3432" t="e">
        <f>+proj=tmerc +lat_0=45.0833333333333 +lon_0=-118.333333333333 +k=1.000175 +x_0=30000.00001512 +y_0=0 +ellps=GRQ80 +units=ft +no_defs</f>
        <v>#NAME?</v>
      </c>
    </row>
    <row r="3433" spans="1:3" x14ac:dyDescent="0.25">
      <c r="A3433">
        <v>6850</v>
      </c>
      <c r="B3433" t="s">
        <v>5034</v>
      </c>
      <c r="C3433" t="e">
        <f>+proj=tmerc +lat_0=45.0833333333333 +lon_0=-118.333333333333 +k=1.000175 +x_0=30000 +y_0=0 +ellps=GRQ80 +units=m +no_defs</f>
        <v>#NAME?</v>
      </c>
    </row>
    <row r="3434" spans="1:3" x14ac:dyDescent="0.25">
      <c r="A3434">
        <v>6851</v>
      </c>
      <c r="B3434" t="s">
        <v>5035</v>
      </c>
      <c r="C3434" t="e">
        <f>+proj=tmerc +lat_0=45.0833333333333 +lon_0=-118.333333333333 +k=1.000175 +x_0=30000.00001512 +y_0=0 +ellps=GRQ80 +units=ft +no_defs</f>
        <v>#NAME?</v>
      </c>
    </row>
    <row r="3435" spans="1:3" x14ac:dyDescent="0.25">
      <c r="A3435">
        <v>6852</v>
      </c>
      <c r="B3435" t="s">
        <v>5036</v>
      </c>
      <c r="C3435" t="e">
        <f>+proj=lcc +lat_1=45.5 +lat_0=45.5 +lon_0=-122.75 +k_0=1.000002 +x_0=100000 +y_0=50000 +ellps=GRQ80 +units=m +no_defs</f>
        <v>#NAME?</v>
      </c>
    </row>
    <row r="3436" spans="1:3" x14ac:dyDescent="0.25">
      <c r="A3436">
        <v>6853</v>
      </c>
      <c r="B3436" t="s">
        <v>5037</v>
      </c>
      <c r="C3436" t="e">
        <f>+proj=lcc +lat_1=45.5 +lat_0=45.5 +lon_0=-122.75 +k_0=1.000002 +x_0=99999.9999996 +y_0=50000.00001504 +ellps=GRQ80 +units=ft +no_defs</f>
        <v>#NAME?</v>
      </c>
    </row>
    <row r="3437" spans="1:3" x14ac:dyDescent="0.25">
      <c r="A3437">
        <v>6854</v>
      </c>
      <c r="B3437" t="s">
        <v>5038</v>
      </c>
      <c r="C3437" t="e">
        <f>+proj=lcc +lat_1=45.5 +lat_0=45.5 +lon_0=-122.75 +k_0=1.000002 +x_0=100000 +y_0=50000 +ellps=GRQ80 +units=m +no_defs</f>
        <v>#NAME?</v>
      </c>
    </row>
    <row r="3438" spans="1:3" x14ac:dyDescent="0.25">
      <c r="A3438">
        <v>6855</v>
      </c>
      <c r="B3438" t="s">
        <v>5039</v>
      </c>
      <c r="C3438" t="e">
        <f>+proj=lcc +lat_1=45.5 +lat_0=45.5 +lon_0=-122.75 +k_0=1.000002 +x_0=99999.9999996 +y_0=50000.00001504 +ellps=GRQ80 +units=ft +no_defs</f>
        <v>#NAME?</v>
      </c>
    </row>
    <row r="3439" spans="1:3" x14ac:dyDescent="0.25">
      <c r="A3439">
        <v>6856</v>
      </c>
      <c r="B3439" t="s">
        <v>5040</v>
      </c>
      <c r="C3439" t="e">
        <f>+proj=tmerc +lat_0=44.3333333333333 +lon_0=-123.083333333333 +k=1.00001 +x_0=50000 +y_0=0 +ellps=GRQ80 +units=m +no_defs</f>
        <v>#NAME?</v>
      </c>
    </row>
    <row r="3440" spans="1:3" x14ac:dyDescent="0.25">
      <c r="A3440">
        <v>6857</v>
      </c>
      <c r="B3440" t="s">
        <v>5041</v>
      </c>
      <c r="C3440" t="e">
        <f>+proj=tmerc +lat_0=44.3333333333333 +lon_0=-123.083333333333 +k=1.00001 +x_0=50000.00001504 +y_0=0 +ellps=GRQ80 +units=ft +no_defs</f>
        <v>#NAME?</v>
      </c>
    </row>
    <row r="3441" spans="1:3" x14ac:dyDescent="0.25">
      <c r="A3441">
        <v>6858</v>
      </c>
      <c r="B3441" t="s">
        <v>5042</v>
      </c>
      <c r="C3441" t="e">
        <f>+proj=tmerc +lat_0=44.3333333333333 +lon_0=-123.083333333333 +k=1.00001 +x_0=50000 +y_0=0 +ellps=GRQ80 +units=m +no_defs</f>
        <v>#NAME?</v>
      </c>
    </row>
    <row r="3442" spans="1:3" x14ac:dyDescent="0.25">
      <c r="A3442">
        <v>6859</v>
      </c>
      <c r="B3442" t="s">
        <v>5043</v>
      </c>
      <c r="C3442" t="e">
        <f>+proj=tmerc +lat_0=44.3333333333333 +lon_0=-123.083333333333 +k=1.00001 +x_0=50000.00001504 +y_0=0 +ellps=GRQ80 +units=ft +no_defs</f>
        <v>#NAME?</v>
      </c>
    </row>
    <row r="3443" spans="1:3" x14ac:dyDescent="0.25">
      <c r="A3443">
        <v>6860</v>
      </c>
      <c r="B3443" t="s">
        <v>5044</v>
      </c>
      <c r="C3443" t="e">
        <f>+proj=tmerc +lat_0=44.0833333333333 +lon_0=-122.5 +k=1.000155 +x_0=0 +y_0=0 +ellps=GRQ80 +units=m +no_defs</f>
        <v>#NAME?</v>
      </c>
    </row>
    <row r="3444" spans="1:3" x14ac:dyDescent="0.25">
      <c r="A3444">
        <v>6861</v>
      </c>
      <c r="B3444" t="s">
        <v>5045</v>
      </c>
      <c r="C3444" t="e">
        <f>+proj=tmerc +lat_0=44.0833333333333 +lon_0=-122.5 +k=1.000155 +x_0=0 +y_0=0 +ellps=GRQ80 +units=ft +no_defs</f>
        <v>#NAME?</v>
      </c>
    </row>
    <row r="3445" spans="1:3" x14ac:dyDescent="0.25">
      <c r="A3445">
        <v>6862</v>
      </c>
      <c r="B3445" t="s">
        <v>5046</v>
      </c>
      <c r="C3445" t="e">
        <f>+proj=tmerc +lat_0=44.0833333333333 +lon_0=-122.5 +k=1.000155 +x_0=0 +y_0=0 +ellps=GRQ80 +units=m +no_defs</f>
        <v>#NAME?</v>
      </c>
    </row>
    <row r="3446" spans="1:3" x14ac:dyDescent="0.25">
      <c r="A3446">
        <v>6863</v>
      </c>
      <c r="B3446" t="s">
        <v>5047</v>
      </c>
      <c r="C3446" t="e">
        <f>+proj=tmerc +lat_0=44.0833333333333 +lon_0=-122.5 +k=1.000155 +x_0=0 +y_0=0 +ellps=GRQ80 +units=ft +no_defs</f>
        <v>#NAME?</v>
      </c>
    </row>
    <row r="3447" spans="1:3" x14ac:dyDescent="0.25">
      <c r="A3447">
        <v>6867</v>
      </c>
      <c r="B3447" t="s">
        <v>5048</v>
      </c>
      <c r="C3447" t="e">
        <f>+proj=lcc +lat_1=43 +lat_2=45.5 +lat_0=41.75 +lon_0=-120.5 +x_0=400000 +y_0=0 +ellps=GRQ80 +units=m +no_defs</f>
        <v>#NAME?</v>
      </c>
    </row>
    <row r="3448" spans="1:3" x14ac:dyDescent="0.25">
      <c r="A3448">
        <v>4940</v>
      </c>
      <c r="B3448" t="s">
        <v>5049</v>
      </c>
      <c r="C3448" t="e">
        <f>+proj=geocent +ellps=WGQ84 +units=m +no_defs</f>
        <v>#NAME?</v>
      </c>
    </row>
    <row r="3449" spans="1:3" x14ac:dyDescent="0.25">
      <c r="A3449">
        <v>6868</v>
      </c>
      <c r="B3449" t="s">
        <v>5050</v>
      </c>
      <c r="C3449" t="e">
        <f>+proj=lcc +lat_1=43 +lat_2=45.5 +lat_0=41.75 +lon_0=-120.5 +x_0=399999.9999984 +y_0=0 +ellps=GRQ80 +units=ft +no_defs</f>
        <v>#NAME?</v>
      </c>
    </row>
    <row r="3450" spans="1:3" x14ac:dyDescent="0.25">
      <c r="A3450">
        <v>6870</v>
      </c>
      <c r="B3450" t="s">
        <v>5051</v>
      </c>
      <c r="C3450" t="s">
        <v>2683</v>
      </c>
    </row>
    <row r="3451" spans="1:3" x14ac:dyDescent="0.25">
      <c r="A3451">
        <v>6875</v>
      </c>
      <c r="B3451" t="s">
        <v>5052</v>
      </c>
      <c r="C3451" t="s">
        <v>5053</v>
      </c>
    </row>
    <row r="3452" spans="1:3" x14ac:dyDescent="0.25">
      <c r="A3452">
        <v>6876</v>
      </c>
      <c r="B3452" t="s">
        <v>5054</v>
      </c>
      <c r="C3452" t="s">
        <v>5055</v>
      </c>
    </row>
    <row r="3453" spans="1:3" x14ac:dyDescent="0.25">
      <c r="A3453">
        <v>6879</v>
      </c>
      <c r="B3453" t="s">
        <v>5056</v>
      </c>
      <c r="C3453" t="e">
        <f>+proj=lcc +lat_1=45.5 +lat_2=44.25 +lat_0=43.8333333333333 +lon_0=-90 +x_0=600000 +y_0=0 +ellps=GRQ80 +units=m +no_defs</f>
        <v>#NAME?</v>
      </c>
    </row>
    <row r="3454" spans="1:3" x14ac:dyDescent="0.25">
      <c r="A3454">
        <v>6880</v>
      </c>
      <c r="B3454" t="s">
        <v>5057</v>
      </c>
      <c r="C3454" t="e">
        <f>+proj=lcc +lat_1=43 +lat_2=40 +lat_0=39.8333333333333 +lon_0=-100 +x_0=500000.00001016 +y_0=0 +ellps=GRQ80 +units=us-ft +no_defs</f>
        <v>#NAME?</v>
      </c>
    </row>
    <row r="3455" spans="1:3" x14ac:dyDescent="0.25">
      <c r="A3455">
        <v>6884</v>
      </c>
      <c r="B3455" t="s">
        <v>5058</v>
      </c>
      <c r="C3455" t="e">
        <f>+proj=lcc +lat_1=46 +lat_2=44.3333333333333 +lat_0=43.6666666666666 +lon_0=-120.5 +x_0=2500000 +y_0=0 +ellps=GRQ80 +units=m +no_defs</f>
        <v>#NAME?</v>
      </c>
    </row>
    <row r="3456" spans="1:3" x14ac:dyDescent="0.25">
      <c r="A3456">
        <v>6885</v>
      </c>
      <c r="B3456" t="s">
        <v>5059</v>
      </c>
      <c r="C3456" t="e">
        <f>+proj=lcc +lat_1=46 +lat_2=44.3333333333333 +lat_0=43.6666666666666 +lon_0=-120.5 +x_0=2500000.0001424 +y_0=0 +ellps=GRQ80 +units=ft +no_defs</f>
        <v>#NAME?</v>
      </c>
    </row>
    <row r="3457" spans="1:3" x14ac:dyDescent="0.25">
      <c r="A3457">
        <v>6886</v>
      </c>
      <c r="B3457" t="s">
        <v>5060</v>
      </c>
      <c r="C3457" t="e">
        <f>+proj=lcc +lat_1=44 +lat_2=42.3333333333333 +lat_0=41.6666666666666 +lon_0=-120.5 +x_0=1500000 +y_0=0 +ellps=GRQ80 +units=m +no_defs</f>
        <v>#NAME?</v>
      </c>
    </row>
    <row r="3458" spans="1:3" x14ac:dyDescent="0.25">
      <c r="A3458">
        <v>6887</v>
      </c>
      <c r="B3458" t="s">
        <v>5061</v>
      </c>
      <c r="C3458" t="e">
        <f>+proj=lcc +lat_1=44 +lat_2=42.3333333333333 +lat_0=41.6666666666666 +lon_0=-120.5 +x_0=1500000.0001464 +y_0=0 +ellps=GRQ80 +units=ft +no_defs</f>
        <v>#NAME?</v>
      </c>
    </row>
    <row r="3459" spans="1:3" x14ac:dyDescent="0.25">
      <c r="A3459">
        <v>6915</v>
      </c>
      <c r="B3459" t="s">
        <v>5062</v>
      </c>
      <c r="C3459" t="s">
        <v>5063</v>
      </c>
    </row>
    <row r="3460" spans="1:3" x14ac:dyDescent="0.25">
      <c r="A3460">
        <v>6922</v>
      </c>
      <c r="B3460" t="s">
        <v>5064</v>
      </c>
      <c r="C3460" t="e">
        <f>+proj=lcc +lat_1=39.5 +lat_2=37.5 +lat_0=36 +lon_0=-98.25 +x_0=400000 +y_0=0 +datum=NAB83 +units=m +no_defs</f>
        <v>#NAME?</v>
      </c>
    </row>
    <row r="3461" spans="1:3" x14ac:dyDescent="0.25">
      <c r="A3461">
        <v>6923</v>
      </c>
      <c r="B3461" t="s">
        <v>5065</v>
      </c>
      <c r="C3461" t="e">
        <f>+proj=lcc +lat_1=39.5 +lat_2=37.5 +lat_0=36 +lon_0=-98.25 +x_0=399999.99998984 +y_0=0 +datum=NAB83 +units=us-ft +no_defs</f>
        <v>#NAME?</v>
      </c>
    </row>
    <row r="3462" spans="1:3" x14ac:dyDescent="0.25">
      <c r="A3462">
        <v>6924</v>
      </c>
      <c r="B3462" t="s">
        <v>5066</v>
      </c>
      <c r="C3462" t="e">
        <f>+proj=lcc +lat_1=39.5 +lat_2=37.5 +lat_0=36 +lon_0=-98.25 +x_0=400000 +y_0=0 +ellps=GRQ80 +units=m +no_defs</f>
        <v>#NAME?</v>
      </c>
    </row>
    <row r="3463" spans="1:3" x14ac:dyDescent="0.25">
      <c r="A3463">
        <v>6925</v>
      </c>
      <c r="B3463" t="s">
        <v>5067</v>
      </c>
      <c r="C3463" t="e">
        <f>+proj=lcc +lat_1=39.5 +lat_2=37.5 +lat_0=36 +lon_0=-98.25 +x_0=399999.99998984 +y_0=0 +ellps=GRQ80 +units=us-ft +no_defs</f>
        <v>#NAME?</v>
      </c>
    </row>
    <row r="3464" spans="1:3" x14ac:dyDescent="0.25">
      <c r="A3464">
        <v>6931</v>
      </c>
      <c r="B3464" t="s">
        <v>5068</v>
      </c>
      <c r="C3464" t="e">
        <f>+proj=laea +lat_0=90 +lon_0=0 +x_0=0 +y_0=0 +datum=WGQ84 +units=m +no_defs</f>
        <v>#NAME?</v>
      </c>
    </row>
    <row r="3465" spans="1:3" x14ac:dyDescent="0.25">
      <c r="A3465">
        <v>6932</v>
      </c>
      <c r="B3465" t="s">
        <v>5069</v>
      </c>
      <c r="C3465" t="e">
        <f>+proj=laea +lat_0=-90 +lon_0=0 +x_0=0 +y_0=0 +datum=WGQ84 +units=m +no_defs</f>
        <v>#NAME?</v>
      </c>
    </row>
    <row r="3466" spans="1:3" x14ac:dyDescent="0.25">
      <c r="A3466">
        <v>6933</v>
      </c>
      <c r="B3466" t="s">
        <v>5070</v>
      </c>
      <c r="C3466" t="e">
        <f>+proj=cea +lon_0=0 +lat_ts=30 +x_0=0 +y_0=0 +datum=WGQ84 +units=m +no_defs</f>
        <v>#NAME?</v>
      </c>
    </row>
    <row r="3467" spans="1:3" x14ac:dyDescent="0.25">
      <c r="A3467">
        <v>7005</v>
      </c>
      <c r="B3467" t="s">
        <v>5071</v>
      </c>
      <c r="C3467" t="s">
        <v>5072</v>
      </c>
    </row>
    <row r="3468" spans="1:3" x14ac:dyDescent="0.25">
      <c r="A3468">
        <v>6956</v>
      </c>
      <c r="B3468" t="s">
        <v>5073</v>
      </c>
      <c r="C3468" t="s">
        <v>5074</v>
      </c>
    </row>
    <row r="3469" spans="1:3" x14ac:dyDescent="0.25">
      <c r="A3469">
        <v>6957</v>
      </c>
      <c r="B3469" t="s">
        <v>5075</v>
      </c>
      <c r="C3469" t="s">
        <v>5076</v>
      </c>
    </row>
    <row r="3470" spans="1:3" x14ac:dyDescent="0.25">
      <c r="A3470">
        <v>6958</v>
      </c>
      <c r="B3470" t="s">
        <v>5077</v>
      </c>
      <c r="C3470" t="s">
        <v>5078</v>
      </c>
    </row>
    <row r="3471" spans="1:3" x14ac:dyDescent="0.25">
      <c r="A3471">
        <v>6959</v>
      </c>
      <c r="B3471" t="s">
        <v>5079</v>
      </c>
      <c r="C3471" t="s">
        <v>5080</v>
      </c>
    </row>
    <row r="3472" spans="1:3" x14ac:dyDescent="0.25">
      <c r="A3472">
        <v>6962</v>
      </c>
      <c r="B3472" t="s">
        <v>5081</v>
      </c>
      <c r="C3472" t="s">
        <v>5082</v>
      </c>
    </row>
    <row r="3473" spans="1:3" x14ac:dyDescent="0.25">
      <c r="A3473">
        <v>6984</v>
      </c>
      <c r="B3473" t="s">
        <v>5083</v>
      </c>
      <c r="C3473" t="e">
        <f>+proj=tmerc +lat_0=31.7343936111111 +lon_0=35.2045169444444 +k=1.0000067 +x_0=219529.584 +y_0=626907.39 +ellps=GRQ80 +units=m +no_defs</f>
        <v>#NAME?</v>
      </c>
    </row>
    <row r="3474" spans="1:3" x14ac:dyDescent="0.25">
      <c r="A3474">
        <v>6991</v>
      </c>
      <c r="B3474" t="s">
        <v>5084</v>
      </c>
      <c r="C3474" t="e">
        <f>+proj=tmerc +lat_0=31.7343936111111 +lon_0=35.2045169444444 +k=1.0000067 +x_0=219529.584 +y_0=626907.39 +ellps=GRQ80 +units=m +no_defs</f>
        <v>#NAME?</v>
      </c>
    </row>
    <row r="3475" spans="1:3" x14ac:dyDescent="0.25">
      <c r="A3475">
        <v>6996</v>
      </c>
      <c r="B3475" t="s">
        <v>5085</v>
      </c>
      <c r="C3475" t="e">
        <f>+proj=tmerc +lat_0=37.75 +lon_0=-122.45 +k=1.000007 +x_0=48000 +y_0=24000 +ellps=GRQ80 +units=m +no_defs</f>
        <v>#NAME?</v>
      </c>
    </row>
    <row r="3476" spans="1:3" x14ac:dyDescent="0.25">
      <c r="A3476">
        <v>6997</v>
      </c>
      <c r="B3476" t="s">
        <v>5086</v>
      </c>
      <c r="C3476" t="e">
        <f>+proj=tmerc +lat_0=37.75 +lon_0=-122.45 +k=1.000007 +x_0=48000 +y_0=24000 +ellps=GRQ80 +units=us-ft +no_defs</f>
        <v>#NAME?</v>
      </c>
    </row>
    <row r="3477" spans="1:3" x14ac:dyDescent="0.25">
      <c r="A3477">
        <v>7006</v>
      </c>
      <c r="B3477" t="s">
        <v>5087</v>
      </c>
      <c r="C3477" t="s">
        <v>5088</v>
      </c>
    </row>
    <row r="3478" spans="1:3" x14ac:dyDescent="0.25">
      <c r="A3478">
        <v>7007</v>
      </c>
      <c r="B3478" t="s">
        <v>5089</v>
      </c>
      <c r="C3478" t="s">
        <v>5090</v>
      </c>
    </row>
    <row r="3479" spans="1:3" x14ac:dyDescent="0.25">
      <c r="A3479">
        <v>7057</v>
      </c>
      <c r="B3479" t="s">
        <v>5091</v>
      </c>
      <c r="C3479" t="e">
        <f>+proj=lcc +lat_1=43.2 +lat_0=43.2 +lon_0=-95.25 +k_0=1.000052 +x_0=3505207.01041402 +y_0=2926085.8521717 +ellps=GRQ80 +units=us-ft +no_defs</f>
        <v>#NAME?</v>
      </c>
    </row>
    <row r="3480" spans="1:3" x14ac:dyDescent="0.25">
      <c r="A3480">
        <v>7058</v>
      </c>
      <c r="B3480" t="s">
        <v>5092</v>
      </c>
      <c r="C3480" t="e">
        <f>+proj=lcc +lat_1=43.1666666666666 +lat_0=43.1666666666666 +lon_0=-92.75 +k_0=1.000043 +x_0=3810007.62001524 +y_0=2987045.97409194 +ellps=GRQ80 +units=us-ft +no_defs</f>
        <v>#NAME?</v>
      </c>
    </row>
    <row r="3481" spans="1:3" x14ac:dyDescent="0.25">
      <c r="A3481">
        <v>7059</v>
      </c>
      <c r="B3481" t="s">
        <v>5093</v>
      </c>
      <c r="C3481" t="e">
        <f>+proj=tmerc +lat_0=40.25 +lon_0=-91.2 +k=1.000035 +x_0=4114808.22961645 +y_0=2529845.05969012 +ellps=GRQ80 +units=us-ft +no_defs</f>
        <v>#NAME?</v>
      </c>
    </row>
    <row r="3482" spans="1:3" x14ac:dyDescent="0.25">
      <c r="A3482">
        <v>7060</v>
      </c>
      <c r="B3482" t="s">
        <v>5094</v>
      </c>
      <c r="C3482" t="e">
        <f>+proj=lcc +lat_1=42.5333333333333 +lat_0=42.5333333333333 +lon_0=-94.8333333333333 +k_0=1.000045 +x_0=4419608.83921767 +y_0=2621285.24257048 +ellps=GRQ80 +units=us-ft +no_defs</f>
        <v>#NAME?</v>
      </c>
    </row>
    <row r="3483" spans="1:3" x14ac:dyDescent="0.25">
      <c r="A3483">
        <v>7061</v>
      </c>
      <c r="B3483" t="s">
        <v>5095</v>
      </c>
      <c r="C3483" t="e">
        <f>+proj=lcc +lat_1=42.65 +lat_0=42.65 +lon_0=-92.25 +k_0=1.000032 +x_0=4724409.44881889 +y_0=2712725.42545085 +ellps=GRQ80 +units=us-ft +no_defs</f>
        <v>#NAME?</v>
      </c>
    </row>
    <row r="3484" spans="1:3" x14ac:dyDescent="0.25">
      <c r="A3484">
        <v>7062</v>
      </c>
      <c r="B3484" t="s">
        <v>5096</v>
      </c>
      <c r="C3484" t="e">
        <f>+proj=tmerc +lat_0=40.25 +lon_0=-95.7333333333333 +k=1.000039 +x_0=5029210.05842011 +y_0=2011684.02336804 +ellps=GRQ80 +units=us-ft +no_defs</f>
        <v>#NAME?</v>
      </c>
    </row>
    <row r="3485" spans="1:3" x14ac:dyDescent="0.25">
      <c r="A3485">
        <v>7063</v>
      </c>
      <c r="B3485" t="s">
        <v>5097</v>
      </c>
      <c r="C3485" t="e">
        <f>+proj=tmerc +lat_0=40.25 +lon_0=-94.6333333333333 +k=1.000045 +x_0=5334010.66802133 +y_0=2072644.14528829 +ellps=GRQ80 +units=us-ft +no_defs</f>
        <v>#NAME?</v>
      </c>
    </row>
    <row r="3486" spans="1:3" x14ac:dyDescent="0.25">
      <c r="A3486">
        <v>7064</v>
      </c>
      <c r="B3486" t="s">
        <v>5098</v>
      </c>
      <c r="C3486" t="e">
        <f>+proj=tmerc +lat_0=40.25 +lon_0=-93.7166666666666 +k=1.000033 +x_0=5638811.27762255 +y_0=2133604.26720853 +ellps=GRQ80 +units=us-ft +no_defs</f>
        <v>#NAME?</v>
      </c>
    </row>
    <row r="3487" spans="1:3" x14ac:dyDescent="0.25">
      <c r="A3487">
        <v>7065</v>
      </c>
      <c r="B3487" t="s">
        <v>5099</v>
      </c>
      <c r="C3487" t="e">
        <f>+proj=tmerc +lat_0=40.25 +lon_0=-92.8166666666666 +k=1.000027 +x_0=5943611.88722377 +y_0=2194564.38912877 +ellps=GRQ80 +units=us-ft +no_defs</f>
        <v>#NAME?</v>
      </c>
    </row>
    <row r="3488" spans="1:3" x14ac:dyDescent="0.25">
      <c r="A3488">
        <v>7066</v>
      </c>
      <c r="B3488" t="s">
        <v>5100</v>
      </c>
      <c r="C3488" t="e">
        <f>+proj=lcc +lat_1=41.8333333333333 +lat_0=41.8333333333333 +lon_0=-91.6666666666666 +k_0=1.00002 +x_0=6248412.49682499 +y_0=2438404.87680975 +ellps=GRQ80 +units=us-ft +no_defs</f>
        <v>#NAME?</v>
      </c>
    </row>
    <row r="3489" spans="1:3" x14ac:dyDescent="0.25">
      <c r="A3489">
        <v>7067</v>
      </c>
      <c r="B3489" t="s">
        <v>5101</v>
      </c>
      <c r="C3489" t="e">
        <f>+proj=tmerc +lat_0=40.25 +lon_0=-90.5333333333333 +k=1.000027 +x_0=6553213.10642621 +y_0=2316484.63296926 +ellps=GRQ80 +units=us-ft +no_defs</f>
        <v>#NAME?</v>
      </c>
    </row>
    <row r="3490" spans="1:3" x14ac:dyDescent="0.25">
      <c r="A3490">
        <v>7068</v>
      </c>
      <c r="B3490" t="s">
        <v>5102</v>
      </c>
      <c r="C3490" t="e">
        <f>+proj=lcc +lat_1=40.9166666666666 +lat_0=40.9166666666666 +lon_0=-93.75 +k_0=1.000037 +x_0=6858013.71602743 +y_0=1889763.77952755 +ellps=GRQ80 +units=us-ft +no_defs</f>
        <v>#NAME?</v>
      </c>
    </row>
    <row r="3491" spans="1:3" x14ac:dyDescent="0.25">
      <c r="A3491">
        <v>7069</v>
      </c>
      <c r="B3491" t="s">
        <v>5103</v>
      </c>
      <c r="C3491" t="e">
        <f>+proj=tmerc +lat_0=40.25 +lon_0=-91.9166666666666 +k=1.00002 +x_0=7162814.32562865 +y_0=1950723.9014478 +ellps=GRQ80 +units=us-ft +no_defs</f>
        <v>#NAME?</v>
      </c>
    </row>
    <row r="3492" spans="1:3" x14ac:dyDescent="0.25">
      <c r="A3492">
        <v>7070</v>
      </c>
      <c r="B3492" t="s">
        <v>5104</v>
      </c>
      <c r="C3492" t="e">
        <f>+proj=tmerc +lat_0=40.25 +lon_0=-91.25 +k=1.000018 +x_0=7467614.93522987 +y_0=1889763.77952755 +ellps=GRQ80 +units=us-ft +no_defs</f>
        <v>#NAME?</v>
      </c>
    </row>
    <row r="3493" spans="1:3" x14ac:dyDescent="0.25">
      <c r="A3493">
        <v>7074</v>
      </c>
      <c r="B3493" t="s">
        <v>5105</v>
      </c>
      <c r="C3493" t="e">
        <f>+proj=utm +zone=37 +south +ellps=GRQ80 +units=m +no_defs</f>
        <v>#NAME?</v>
      </c>
    </row>
    <row r="3494" spans="1:3" x14ac:dyDescent="0.25">
      <c r="A3494">
        <v>7075</v>
      </c>
      <c r="B3494" t="s">
        <v>5106</v>
      </c>
      <c r="C3494" t="e">
        <f>+proj=utm +zone=38 +south +ellps=GRQ80 +units=m +no_defs</f>
        <v>#NAME?</v>
      </c>
    </row>
    <row r="3495" spans="1:3" x14ac:dyDescent="0.25">
      <c r="A3495">
        <v>7076</v>
      </c>
      <c r="B3495" t="s">
        <v>5107</v>
      </c>
      <c r="C3495" t="e">
        <f>+proj=utm +zone=39 +south +ellps=GRQ80 +units=m +no_defs</f>
        <v>#NAME?</v>
      </c>
    </row>
    <row r="3496" spans="1:3" x14ac:dyDescent="0.25">
      <c r="A3496">
        <v>7077</v>
      </c>
      <c r="B3496" t="s">
        <v>5108</v>
      </c>
      <c r="C3496" t="e">
        <f>+proj=utm +zone=40 +south +ellps=GRQ80 +units=m +no_defs</f>
        <v>#NAME?</v>
      </c>
    </row>
    <row r="3497" spans="1:3" x14ac:dyDescent="0.25">
      <c r="A3497">
        <v>7078</v>
      </c>
      <c r="B3497" t="s">
        <v>5109</v>
      </c>
      <c r="C3497" t="e">
        <f>+proj=utm +zone=41 +south +ellps=GRQ80 +units=m +no_defs</f>
        <v>#NAME?</v>
      </c>
    </row>
    <row r="3498" spans="1:3" x14ac:dyDescent="0.25">
      <c r="A3498">
        <v>7079</v>
      </c>
      <c r="B3498" t="s">
        <v>5110</v>
      </c>
      <c r="C3498" t="e">
        <f>+proj=utm +zone=42 +south +ellps=GRQ80 +units=m +no_defs</f>
        <v>#NAME?</v>
      </c>
    </row>
    <row r="3499" spans="1:3" x14ac:dyDescent="0.25">
      <c r="A3499">
        <v>7080</v>
      </c>
      <c r="B3499" t="s">
        <v>5111</v>
      </c>
      <c r="C3499" t="e">
        <f>+proj=utm +zone=43 +south +ellps=GRQ80 +units=m +no_defs</f>
        <v>#NAME?</v>
      </c>
    </row>
    <row r="3500" spans="1:3" x14ac:dyDescent="0.25">
      <c r="A3500">
        <v>7081</v>
      </c>
      <c r="B3500" t="s">
        <v>5112</v>
      </c>
      <c r="C3500" t="e">
        <f>+proj=utm +zone=44 +south +ellps=GRQ80 +units=m +no_defs</f>
        <v>#NAME?</v>
      </c>
    </row>
    <row r="3501" spans="1:3" x14ac:dyDescent="0.25">
      <c r="A3501">
        <v>7109</v>
      </c>
      <c r="B3501" t="s">
        <v>5113</v>
      </c>
      <c r="C3501" t="e">
        <f>+proj=tmerc +lat_0=48.5 +lon_0=-112.5 +k=1.00016 +x_0=150000 +y_0=0 +ellps=GRQ80 +units=m +no_defs</f>
        <v>#NAME?</v>
      </c>
    </row>
    <row r="3502" spans="1:3" x14ac:dyDescent="0.25">
      <c r="A3502">
        <v>7110</v>
      </c>
      <c r="B3502" t="s">
        <v>5114</v>
      </c>
      <c r="C3502" t="e">
        <f>+proj=tmerc +lat_0=48 +lon_0=-112.5 +k=1.00019 +x_0=100000 +y_0=0 +ellps=GRQ80 +units=m +no_defs</f>
        <v>#NAME?</v>
      </c>
    </row>
    <row r="3503" spans="1:3" x14ac:dyDescent="0.25">
      <c r="A3503">
        <v>7111</v>
      </c>
      <c r="B3503" t="s">
        <v>5115</v>
      </c>
      <c r="C3503" t="e">
        <f>+proj=lcc +lat_1=48.5 +lat_0=48.5 +lon_0=-111 +k_0=1.000145 +x_0=150000 +y_0=200000 +ellps=GRQ80 +units=m +no_defs</f>
        <v>#NAME?</v>
      </c>
    </row>
    <row r="3504" spans="1:3" x14ac:dyDescent="0.25">
      <c r="A3504">
        <v>7112</v>
      </c>
      <c r="B3504" t="s">
        <v>5116</v>
      </c>
      <c r="C3504" t="e">
        <f>+proj=lcc +lat_1=48.5 +lat_0=48.5 +lon_0=-108.5 +k_0=1.00012 +x_0=200000 +y_0=150000 +ellps=GRQ80 +units=m +no_defs</f>
        <v>#NAME?</v>
      </c>
    </row>
    <row r="3505" spans="1:3" x14ac:dyDescent="0.25">
      <c r="A3505">
        <v>7113</v>
      </c>
      <c r="B3505" t="s">
        <v>5117</v>
      </c>
      <c r="C3505" t="e">
        <f>+proj=lcc +lat_1=48.3333333333333 +lat_0=48.3333333333333 +lon_0=-105.5 +k_0=1.00012 +x_0=200000 +y_0=100000 +ellps=GRQ80 +units=m +no_defs</f>
        <v>#NAME?</v>
      </c>
    </row>
    <row r="3506" spans="1:3" x14ac:dyDescent="0.25">
      <c r="A3506">
        <v>7114</v>
      </c>
      <c r="B3506" t="s">
        <v>5118</v>
      </c>
      <c r="C3506" t="e">
        <f>+proj=lcc +lat_1=48.3333333333333 +lat_0=48.3333333333333 +lon_0=-105.5 +k_0=1.00009 +x_0=100000 +y_0=50000 +ellps=GRQ80 +units=m +no_defs</f>
        <v>#NAME?</v>
      </c>
    </row>
    <row r="3507" spans="1:3" x14ac:dyDescent="0.25">
      <c r="A3507">
        <v>7115</v>
      </c>
      <c r="B3507" t="s">
        <v>5119</v>
      </c>
      <c r="C3507" t="e">
        <f>+proj=tmerc +lat_0=44.75 +lon_0=-107.75 +k=1.000148 +x_0=200000 +y_0=0 +ellps=GRQ80 +units=m +no_defs</f>
        <v>#NAME?</v>
      </c>
    </row>
    <row r="3508" spans="1:3" x14ac:dyDescent="0.25">
      <c r="A3508">
        <v>7116</v>
      </c>
      <c r="B3508" t="s">
        <v>5120</v>
      </c>
      <c r="C3508" t="e">
        <f>+proj=lcc +lat_1=46.25 +lat_0=46.25 +lon_0=-111.25 +k_0=1.000185 +x_0=100000 +y_0=100000 +ellps=GRQ80 +units=m +no_defs</f>
        <v>#NAME?</v>
      </c>
    </row>
    <row r="3509" spans="1:3" x14ac:dyDescent="0.25">
      <c r="A3509">
        <v>7117</v>
      </c>
      <c r="B3509" t="s">
        <v>5121</v>
      </c>
      <c r="C3509" t="e">
        <f>+proj=lcc +lat_1=45.7833333333333 +lat_0=45.7833333333333 +lon_0=-108.416666666666 +k_0=1.0001515 +x_0=200000 +y_0=50000 +ellps=GRQ80 +units=m +no_defs</f>
        <v>#NAME?</v>
      </c>
    </row>
    <row r="3510" spans="1:3" x14ac:dyDescent="0.25">
      <c r="A3510">
        <v>7118</v>
      </c>
      <c r="B3510" t="s">
        <v>5122</v>
      </c>
      <c r="C3510" t="e">
        <f>+proj=tmerc +lat_0=42.6666666666666 +lon_0=-108.333333333333 +k=1.00024 +x_0=100000 +y_0=0 +ellps=GRQ80 +units=m +no_defs</f>
        <v>#NAME?</v>
      </c>
    </row>
    <row r="3511" spans="1:3" x14ac:dyDescent="0.25">
      <c r="A3511">
        <v>7119</v>
      </c>
      <c r="B3511" t="s">
        <v>5123</v>
      </c>
      <c r="C3511" t="e">
        <f>+proj=tmerc +lat_0=48.5 +lon_0=-112.5 +k=1.00016 +x_0=150000.00001464 +y_0=0 +ellps=GRQ80 +units=ft +no_defs</f>
        <v>#NAME?</v>
      </c>
    </row>
    <row r="3512" spans="1:3" x14ac:dyDescent="0.25">
      <c r="A3512">
        <v>7120</v>
      </c>
      <c r="B3512" t="s">
        <v>5124</v>
      </c>
      <c r="C3512" t="e">
        <f>+proj=tmerc +lat_0=48 +lon_0=-112.5 +k=1.00019 +x_0=99999.9999996 +y_0=0 +ellps=GRQ80 +units=ft +no_defs</f>
        <v>#NAME?</v>
      </c>
    </row>
    <row r="3513" spans="1:3" x14ac:dyDescent="0.25">
      <c r="A3513">
        <v>7121</v>
      </c>
      <c r="B3513" t="s">
        <v>5125</v>
      </c>
      <c r="C3513" t="e">
        <f>+proj=lcc +lat_1=48.5 +lat_0=48.5 +lon_0=-111 +k_0=1.000145 +x_0=150000.00001464 +y_0=199999.9999992 +ellps=GRQ80 +units=ft +no_defs</f>
        <v>#NAME?</v>
      </c>
    </row>
    <row r="3514" spans="1:3" x14ac:dyDescent="0.25">
      <c r="A3514">
        <v>4942</v>
      </c>
      <c r="B3514" t="s">
        <v>5126</v>
      </c>
      <c r="C3514" t="e">
        <f>+proj=geocent +ellps=GRQ80 +units=m +no_defs</f>
        <v>#NAME?</v>
      </c>
    </row>
    <row r="3515" spans="1:3" x14ac:dyDescent="0.25">
      <c r="A3515">
        <v>7122</v>
      </c>
      <c r="B3515" t="s">
        <v>5127</v>
      </c>
      <c r="C3515" t="e">
        <f>+proj=lcc +lat_1=48.5 +lat_0=48.5 +lon_0=-108.5 +k_0=1.00012 +x_0=199999.9999992 +y_0=150000.00001464 +ellps=GRQ80 +units=ft +no_defs</f>
        <v>#NAME?</v>
      </c>
    </row>
    <row r="3516" spans="1:3" x14ac:dyDescent="0.25">
      <c r="A3516">
        <v>7123</v>
      </c>
      <c r="B3516" t="s">
        <v>5128</v>
      </c>
      <c r="C3516" t="e">
        <f>+proj=lcc +lat_1=48.3333333333333 +lat_0=48.3333333333333 +lon_0=-105.5 +k_0=1.00012 +x_0=199999.9999992 +y_0=99999.9999996 +ellps=GRQ80 +units=ft +no_defs</f>
        <v>#NAME?</v>
      </c>
    </row>
    <row r="3517" spans="1:3" x14ac:dyDescent="0.25">
      <c r="A3517">
        <v>7124</v>
      </c>
      <c r="B3517" t="s">
        <v>5129</v>
      </c>
      <c r="C3517" t="e">
        <f>+proj=lcc +lat_1=48.3333333333333 +lat_0=48.3333333333333 +lon_0=-105.5 +k_0=1.00009 +x_0=99999.9999996 +y_0=49999.99971024 +ellps=GRQ80 +units=ft +no_defs</f>
        <v>#NAME?</v>
      </c>
    </row>
    <row r="3518" spans="1:3" x14ac:dyDescent="0.25">
      <c r="A3518">
        <v>7125</v>
      </c>
      <c r="B3518" t="s">
        <v>5130</v>
      </c>
      <c r="C3518" t="e">
        <f>+proj=tmerc +lat_0=44.75 +lon_0=-107.75 +k=1.000148 +x_0=199999.9999992 +y_0=0 +ellps=GRQ80 +units=ft +no_defs</f>
        <v>#NAME?</v>
      </c>
    </row>
    <row r="3519" spans="1:3" x14ac:dyDescent="0.25">
      <c r="A3519">
        <v>7126</v>
      </c>
      <c r="B3519" t="s">
        <v>5131</v>
      </c>
      <c r="C3519" t="e">
        <f>+proj=lcc +lat_1=46.25 +lat_0=46.25 +lon_0=-111.25 +k_0=1.000185 +x_0=99999.9999996 +y_0=99999.9999996 +ellps=GRQ80 +units=ft +no_defs</f>
        <v>#NAME?</v>
      </c>
    </row>
    <row r="3520" spans="1:3" x14ac:dyDescent="0.25">
      <c r="A3520">
        <v>7127</v>
      </c>
      <c r="B3520" t="s">
        <v>5132</v>
      </c>
      <c r="C3520" t="e">
        <f>+proj=lcc +lat_1=45.7833333333333 +lat_0=45.7833333333333 +lon_0=-108.416666666666 +k_0=1.0001515 +x_0=199999.9999992 +y_0=50000.00001504 +ellps=GRQ80 +units=ft +no_defs</f>
        <v>#NAME?</v>
      </c>
    </row>
    <row r="3521" spans="1:3" x14ac:dyDescent="0.25">
      <c r="A3521">
        <v>7128</v>
      </c>
      <c r="B3521" t="s">
        <v>5133</v>
      </c>
      <c r="C3521" t="e">
        <f>+proj=tmerc +lat_0=42.6666666666666 +lon_0=-108.333333333333 +k=1.00024 +x_0=99999.9999898399 +y_0=0 +ellps=GRQ80 +units=us-ft +no_defs</f>
        <v>#NAME?</v>
      </c>
    </row>
    <row r="3522" spans="1:3" x14ac:dyDescent="0.25">
      <c r="A3522">
        <v>7131</v>
      </c>
      <c r="B3522" t="s">
        <v>5134</v>
      </c>
      <c r="C3522" t="e">
        <f>+proj=tmerc +lat_0=37.75 +lon_0=-122.45 +k=1.000007 +x_0=48000 +y_0=24000 +ellps=GRQ80 +units=m +no_defs</f>
        <v>#NAME?</v>
      </c>
    </row>
    <row r="3523" spans="1:3" x14ac:dyDescent="0.25">
      <c r="A3523">
        <v>7132</v>
      </c>
      <c r="B3523" t="s">
        <v>5135</v>
      </c>
      <c r="C3523" t="e">
        <f>+proj=tmerc +lat_0=37.75 +lon_0=-122.45 +k=1.000007 +x_0=48000 +y_0=24000 +ellps=GRQ80 +units=us-ft +no_defs</f>
        <v>#NAME?</v>
      </c>
    </row>
    <row r="3524" spans="1:3" x14ac:dyDescent="0.25">
      <c r="A3524">
        <v>7142</v>
      </c>
      <c r="B3524" t="s">
        <v>5136</v>
      </c>
      <c r="C3524" t="s">
        <v>5137</v>
      </c>
    </row>
    <row r="3525" spans="1:3" x14ac:dyDescent="0.25">
      <c r="A3525">
        <v>7257</v>
      </c>
      <c r="B3525" t="s">
        <v>5138</v>
      </c>
      <c r="C3525" t="e">
        <f>+proj=tmerc +lat_0=40.55 +lon_0=-84.95 +k=1.000034 +x_0=240000 +y_0=36000 +ellps=GRQ80 +units=m +no_defs</f>
        <v>#NAME?</v>
      </c>
    </row>
    <row r="3526" spans="1:3" x14ac:dyDescent="0.25">
      <c r="A3526">
        <v>7258</v>
      </c>
      <c r="B3526" t="s">
        <v>5139</v>
      </c>
      <c r="C3526" t="e">
        <f>+proj=tmerc +lat_0=40.55 +lon_0=-84.95 +k=1.000034 +x_0=240000 +y_0=36000 +ellps=GRQ80 +units=us-ft +no_defs</f>
        <v>#NAME?</v>
      </c>
    </row>
    <row r="3527" spans="1:3" x14ac:dyDescent="0.25">
      <c r="A3527">
        <v>7259</v>
      </c>
      <c r="B3527" t="s">
        <v>5140</v>
      </c>
      <c r="C3527" t="e">
        <f>+proj=tmerc +lat_0=40.9 +lon_0=-85.05 +k=1.000031 +x_0=240000 +y_0=36000 +ellps=GRQ80 +units=m +no_defs</f>
        <v>#NAME?</v>
      </c>
    </row>
    <row r="3528" spans="1:3" x14ac:dyDescent="0.25">
      <c r="A3528">
        <v>7260</v>
      </c>
      <c r="B3528" t="s">
        <v>5141</v>
      </c>
      <c r="C3528" t="e">
        <f>+proj=tmerc +lat_0=40.9 +lon_0=-85.05 +k=1.000031 +x_0=240000 +y_0=36000 +ellps=GRQ80 +units=us-ft +no_defs</f>
        <v>#NAME?</v>
      </c>
    </row>
    <row r="3529" spans="1:3" x14ac:dyDescent="0.25">
      <c r="A3529">
        <v>7261</v>
      </c>
      <c r="B3529" t="s">
        <v>5142</v>
      </c>
      <c r="C3529" t="e">
        <f>+proj=tmerc +lat_0=39 +lon_0=-85.8499999999999 +k=1.000026 +x_0=240000 +y_0=36000 +ellps=GRQ80 +units=m +no_defs</f>
        <v>#NAME?</v>
      </c>
    </row>
    <row r="3530" spans="1:3" x14ac:dyDescent="0.25">
      <c r="A3530">
        <v>7262</v>
      </c>
      <c r="B3530" t="s">
        <v>5143</v>
      </c>
      <c r="C3530" t="e">
        <f>+proj=tmerc +lat_0=39 +lon_0=-85.8499999999999 +k=1.000026 +x_0=240000 +y_0=36000 +ellps=GRQ80 +units=us-ft +no_defs</f>
        <v>#NAME?</v>
      </c>
    </row>
    <row r="3531" spans="1:3" x14ac:dyDescent="0.25">
      <c r="A3531">
        <v>7263</v>
      </c>
      <c r="B3531" t="s">
        <v>5144</v>
      </c>
      <c r="C3531" t="e">
        <f>+proj=tmerc +lat_0=40.45 +lon_0=-87.3 +k=1.000029 +x_0=240000 +y_0=36000 +ellps=GRQ80 +units=m +no_defs</f>
        <v>#NAME?</v>
      </c>
    </row>
    <row r="3532" spans="1:3" x14ac:dyDescent="0.25">
      <c r="A3532">
        <v>7264</v>
      </c>
      <c r="B3532" t="s">
        <v>5145</v>
      </c>
      <c r="C3532" t="e">
        <f>+proj=tmerc +lat_0=40.45 +lon_0=-87.3 +k=1.000029 +x_0=240000 +y_0=36000 +ellps=GRQ80 +units=us-ft +no_defs</f>
        <v>#NAME?</v>
      </c>
    </row>
    <row r="3533" spans="1:3" x14ac:dyDescent="0.25">
      <c r="A3533">
        <v>4944</v>
      </c>
      <c r="B3533" t="s">
        <v>5146</v>
      </c>
      <c r="C3533" t="e">
        <f>+proj=geocent +ellps=GRQ80 +units=m +no_defs</f>
        <v>#NAME?</v>
      </c>
    </row>
    <row r="3534" spans="1:3" x14ac:dyDescent="0.25">
      <c r="A3534">
        <v>7265</v>
      </c>
      <c r="B3534" t="s">
        <v>5147</v>
      </c>
      <c r="C3534" t="e">
        <f>+proj=tmerc +lat_0=40.05 +lon_0=-85.4 +k=1.000038 +x_0=240000 +y_0=36000 +ellps=GRQ80 +units=m +no_defs</f>
        <v>#NAME?</v>
      </c>
    </row>
    <row r="3535" spans="1:3" x14ac:dyDescent="0.25">
      <c r="A3535">
        <v>7266</v>
      </c>
      <c r="B3535" t="s">
        <v>5148</v>
      </c>
      <c r="C3535" t="e">
        <f>+proj=tmerc +lat_0=40.05 +lon_0=-85.4 +k=1.000038 +x_0=240000 +y_0=36000 +ellps=GRQ80 +units=us-ft +no_defs</f>
        <v>#NAME?</v>
      </c>
    </row>
    <row r="3536" spans="1:3" x14ac:dyDescent="0.25">
      <c r="A3536">
        <v>7267</v>
      </c>
      <c r="B3536" t="s">
        <v>5149</v>
      </c>
      <c r="C3536" t="e">
        <f>+proj=tmerc +lat_0=39.6 +lon_0=-86.5 +k=1.000036 +x_0=240000 +y_0=36000 +ellps=GRQ80 +units=m +no_defs</f>
        <v>#NAME?</v>
      </c>
    </row>
    <row r="3537" spans="1:3" x14ac:dyDescent="0.25">
      <c r="A3537">
        <v>7268</v>
      </c>
      <c r="B3537" t="s">
        <v>5150</v>
      </c>
      <c r="C3537" t="e">
        <f>+proj=tmerc +lat_0=39.6 +lon_0=-86.5 +k=1.000036 +x_0=240000 +y_0=36000 +ellps=GRQ80 +units=us-ft +no_defs</f>
        <v>#NAME?</v>
      </c>
    </row>
    <row r="3538" spans="1:3" x14ac:dyDescent="0.25">
      <c r="A3538">
        <v>7269</v>
      </c>
      <c r="B3538" t="s">
        <v>5151</v>
      </c>
      <c r="C3538" t="e">
        <f>+proj=tmerc +lat_0=39 +lon_0=-86.3 +k=1.00003 +x_0=240000 +y_0=36000 +ellps=GRQ80 +units=m +no_defs</f>
        <v>#NAME?</v>
      </c>
    </row>
    <row r="3539" spans="1:3" x14ac:dyDescent="0.25">
      <c r="A3539">
        <v>7270</v>
      </c>
      <c r="B3539" t="s">
        <v>5152</v>
      </c>
      <c r="C3539" t="e">
        <f>+proj=tmerc +lat_0=39 +lon_0=-86.3 +k=1.00003 +x_0=240000 +y_0=36000 +ellps=GRQ80 +units=us-ft +no_defs</f>
        <v>#NAME?</v>
      </c>
    </row>
    <row r="3540" spans="1:3" x14ac:dyDescent="0.25">
      <c r="A3540">
        <v>7271</v>
      </c>
      <c r="B3540" t="s">
        <v>5153</v>
      </c>
      <c r="C3540" t="e">
        <f>+proj=tmerc +lat_0=40.4 +lon_0=-86.65 +k=1.000026 +x_0=240000 +y_0=36000 +ellps=GRQ80 +units=m +no_defs</f>
        <v>#NAME?</v>
      </c>
    </row>
    <row r="3541" spans="1:3" x14ac:dyDescent="0.25">
      <c r="A3541">
        <v>7272</v>
      </c>
      <c r="B3541" t="s">
        <v>5154</v>
      </c>
      <c r="C3541" t="e">
        <f>+proj=tmerc +lat_0=40.4 +lon_0=-86.65 +k=1.000026 +x_0=240000 +y_0=36000 +ellps=GRQ80 +units=us-ft +no_defs</f>
        <v>#NAME?</v>
      </c>
    </row>
    <row r="3542" spans="1:3" x14ac:dyDescent="0.25">
      <c r="A3542">
        <v>7273</v>
      </c>
      <c r="B3542" t="s">
        <v>5155</v>
      </c>
      <c r="C3542" t="e">
        <f>+proj=tmerc +lat_0=40.55 +lon_0=-86.4 +k=1.000028 +x_0=240000 +y_0=36000 +ellps=GRQ80 +units=m +no_defs</f>
        <v>#NAME?</v>
      </c>
    </row>
    <row r="3543" spans="1:3" x14ac:dyDescent="0.25">
      <c r="A3543">
        <v>32607</v>
      </c>
      <c r="B3543" t="s">
        <v>5156</v>
      </c>
      <c r="C3543" t="e">
        <f>+proj=utm +zone=7 +datum=WGQ84 +units=m +no_defs</f>
        <v>#NAME?</v>
      </c>
    </row>
    <row r="3544" spans="1:3" x14ac:dyDescent="0.25">
      <c r="A3544">
        <v>7274</v>
      </c>
      <c r="B3544" t="s">
        <v>5157</v>
      </c>
      <c r="C3544" t="e">
        <f>+proj=tmerc +lat_0=40.55 +lon_0=-86.4 +k=1.000028 +x_0=240000 +y_0=36000 +ellps=GRQ80 +units=us-ft +no_defs</f>
        <v>#NAME?</v>
      </c>
    </row>
    <row r="3545" spans="1:3" x14ac:dyDescent="0.25">
      <c r="A3545">
        <v>7275</v>
      </c>
      <c r="B3545" t="s">
        <v>5158</v>
      </c>
      <c r="C3545" t="e">
        <f>+proj=tmerc +lat_0=38.15 +lon_0=-85.5999999999999 +k=1.000021 +x_0=240000 +y_0=36000 +ellps=GRQ80 +units=m +no_defs</f>
        <v>#NAME?</v>
      </c>
    </row>
    <row r="3546" spans="1:3" x14ac:dyDescent="0.25">
      <c r="A3546">
        <v>7276</v>
      </c>
      <c r="B3546" t="s">
        <v>5159</v>
      </c>
      <c r="C3546" t="e">
        <f>+proj=tmerc +lat_0=38.15 +lon_0=-85.5999999999999 +k=1.000021 +x_0=240000 +y_0=36000 +ellps=GRQ80 +units=us-ft +no_defs</f>
        <v>#NAME?</v>
      </c>
    </row>
    <row r="3547" spans="1:3" x14ac:dyDescent="0.25">
      <c r="A3547">
        <v>7277</v>
      </c>
      <c r="B3547" t="s">
        <v>5160</v>
      </c>
      <c r="C3547" t="e">
        <f>+proj=tmerc +lat_0=39.15 +lon_0=-87.15 +k=1.000024 +x_0=240000 +y_0=36000 +ellps=GRQ80 +units=m +no_defs</f>
        <v>#NAME?</v>
      </c>
    </row>
    <row r="3548" spans="1:3" x14ac:dyDescent="0.25">
      <c r="A3548">
        <v>7278</v>
      </c>
      <c r="B3548" t="s">
        <v>5161</v>
      </c>
      <c r="C3548" t="e">
        <f>+proj=tmerc +lat_0=39.15 +lon_0=-87.15 +k=1.000024 +x_0=240000 +y_0=36000 +ellps=GRQ80 +units=us-ft +no_defs</f>
        <v>#NAME?</v>
      </c>
    </row>
    <row r="3549" spans="1:3" x14ac:dyDescent="0.25">
      <c r="A3549">
        <v>7279</v>
      </c>
      <c r="B3549" t="s">
        <v>5162</v>
      </c>
      <c r="C3549" t="e">
        <f>+proj=tmerc +lat_0=40.15 +lon_0=-86.5999999999999 +k=1.000032 +x_0=240000 +y_0=36000 +ellps=GRQ80 +units=m +no_defs</f>
        <v>#NAME?</v>
      </c>
    </row>
    <row r="3550" spans="1:3" x14ac:dyDescent="0.25">
      <c r="A3550">
        <v>7280</v>
      </c>
      <c r="B3550" t="s">
        <v>5163</v>
      </c>
      <c r="C3550" t="e">
        <f>+proj=tmerc +lat_0=40.15 +lon_0=-86.5999999999999 +k=1.000032 +x_0=240000 +y_0=36000 +ellps=GRQ80 +units=us-ft +no_defs</f>
        <v>#NAME?</v>
      </c>
    </row>
    <row r="3551" spans="1:3" x14ac:dyDescent="0.25">
      <c r="A3551">
        <v>7281</v>
      </c>
      <c r="B3551" t="s">
        <v>5164</v>
      </c>
      <c r="C3551" t="e">
        <f>+proj=tmerc +lat_0=38.1 +lon_0=-86.5 +k=1.000025 +x_0=240000 +y_0=36000 +ellps=GRQ80 +units=m +no_defs</f>
        <v>#NAME?</v>
      </c>
    </row>
    <row r="3552" spans="1:3" x14ac:dyDescent="0.25">
      <c r="A3552">
        <v>7282</v>
      </c>
      <c r="B3552" t="s">
        <v>5165</v>
      </c>
      <c r="C3552" t="e">
        <f>+proj=tmerc +lat_0=38.1 +lon_0=-86.5 +k=1.000025 +x_0=240000 +y_0=36000 +ellps=GRQ80 +units=us-ft +no_defs</f>
        <v>#NAME?</v>
      </c>
    </row>
    <row r="3553" spans="1:3" x14ac:dyDescent="0.25">
      <c r="A3553">
        <v>4946</v>
      </c>
      <c r="B3553" t="s">
        <v>5166</v>
      </c>
      <c r="C3553" t="e">
        <f>+proj=geocent +ellps=GRQ80 +units=m +no_defs</f>
        <v>#NAME?</v>
      </c>
    </row>
    <row r="3554" spans="1:3" x14ac:dyDescent="0.25">
      <c r="A3554">
        <v>7283</v>
      </c>
      <c r="B3554" t="s">
        <v>5167</v>
      </c>
      <c r="C3554" t="e">
        <f>+proj=tmerc +lat_0=38.45 +lon_0=-87.0999999999999 +k=1.000018 +x_0=240000 +y_0=36000 +ellps=GRQ80 +units=m +no_defs</f>
        <v>#NAME?</v>
      </c>
    </row>
    <row r="3555" spans="1:3" x14ac:dyDescent="0.25">
      <c r="A3555">
        <v>7284</v>
      </c>
      <c r="B3555" t="s">
        <v>5168</v>
      </c>
      <c r="C3555" t="e">
        <f>+proj=tmerc +lat_0=38.45 +lon_0=-87.0999999999999 +k=1.000018 +x_0=240000 +y_0=36000 +ellps=GRQ80 +units=us-ft +no_defs</f>
        <v>#NAME?</v>
      </c>
    </row>
    <row r="3556" spans="1:3" x14ac:dyDescent="0.25">
      <c r="A3556">
        <v>7285</v>
      </c>
      <c r="B3556" t="s">
        <v>5169</v>
      </c>
      <c r="C3556" t="e">
        <f>+proj=tmerc +lat_0=38.65 +lon_0=-84.9 +k=1.000029 +x_0=240000 +y_0=36000 +ellps=GRQ80 +units=m +no_defs</f>
        <v>#NAME?</v>
      </c>
    </row>
    <row r="3557" spans="1:3" x14ac:dyDescent="0.25">
      <c r="A3557">
        <v>7286</v>
      </c>
      <c r="B3557" t="s">
        <v>5170</v>
      </c>
      <c r="C3557" t="e">
        <f>+proj=tmerc +lat_0=38.65 +lon_0=-84.9 +k=1.000029 +x_0=240000 +y_0=36000 +ellps=GRQ80 +units=us-ft +no_defs</f>
        <v>#NAME?</v>
      </c>
    </row>
    <row r="3558" spans="1:3" x14ac:dyDescent="0.25">
      <c r="A3558">
        <v>7287</v>
      </c>
      <c r="B3558" t="s">
        <v>5171</v>
      </c>
      <c r="C3558" t="e">
        <f>+proj=tmerc +lat_0=39.1 +lon_0=-85.65 +k=1.000036 +x_0=240000 +y_0=36000 +ellps=GRQ80 +units=m +no_defs</f>
        <v>#NAME?</v>
      </c>
    </row>
    <row r="3559" spans="1:3" x14ac:dyDescent="0.25">
      <c r="A3559">
        <v>7288</v>
      </c>
      <c r="B3559" t="s">
        <v>5172</v>
      </c>
      <c r="C3559" t="e">
        <f>+proj=tmerc +lat_0=39.1 +lon_0=-85.65 +k=1.000036 +x_0=240000 +y_0=36000 +ellps=GRQ80 +units=us-ft +no_defs</f>
        <v>#NAME?</v>
      </c>
    </row>
    <row r="3560" spans="1:3" x14ac:dyDescent="0.25">
      <c r="A3560">
        <v>7289</v>
      </c>
      <c r="B3560" t="s">
        <v>5173</v>
      </c>
      <c r="C3560" t="e">
        <f>+proj=tmerc +lat_0=41.25 +lon_0=-84.95 +k=1.000036 +x_0=240000 +y_0=36000 +ellps=GRQ80 +units=m +no_defs</f>
        <v>#NAME?</v>
      </c>
    </row>
    <row r="3561" spans="1:3" x14ac:dyDescent="0.25">
      <c r="A3561">
        <v>7290</v>
      </c>
      <c r="B3561" t="s">
        <v>5174</v>
      </c>
      <c r="C3561" t="e">
        <f>+proj=tmerc +lat_0=41.25 +lon_0=-84.95 +k=1.000036 +x_0=240000 +y_0=36000 +ellps=GRQ80 +units=us-ft +no_defs</f>
        <v>#NAME?</v>
      </c>
    </row>
    <row r="3562" spans="1:3" x14ac:dyDescent="0.25">
      <c r="A3562">
        <v>7291</v>
      </c>
      <c r="B3562" t="s">
        <v>5175</v>
      </c>
      <c r="C3562" t="e">
        <f>+proj=tmerc +lat_0=38.2 +lon_0=-86.95 +k=1.00002 +x_0=240000 +y_0=36000 +ellps=GRQ80 +units=m +no_defs</f>
        <v>#NAME?</v>
      </c>
    </row>
    <row r="3563" spans="1:3" x14ac:dyDescent="0.25">
      <c r="A3563">
        <v>4948</v>
      </c>
      <c r="B3563" t="s">
        <v>5176</v>
      </c>
      <c r="C3563" t="e">
        <f>+proj=geocent +ellps=GRQ80 +units=m +no_defs</f>
        <v>#NAME?</v>
      </c>
    </row>
    <row r="3564" spans="1:3" x14ac:dyDescent="0.25">
      <c r="A3564">
        <v>7292</v>
      </c>
      <c r="B3564" t="s">
        <v>5177</v>
      </c>
      <c r="C3564" t="e">
        <f>+proj=tmerc +lat_0=38.2 +lon_0=-86.95 +k=1.00002 +x_0=240000 +y_0=36000 +ellps=GRQ80 +units=us-ft +no_defs</f>
        <v>#NAME?</v>
      </c>
    </row>
    <row r="3565" spans="1:3" x14ac:dyDescent="0.25">
      <c r="A3565">
        <v>7293</v>
      </c>
      <c r="B3565" t="s">
        <v>5178</v>
      </c>
      <c r="C3565" t="e">
        <f>+proj=tmerc +lat_0=40.65 +lon_0=-85.8499999999999 +k=1.000033 +x_0=240000 +y_0=36000 +ellps=GRQ80 +units=m +no_defs</f>
        <v>#NAME?</v>
      </c>
    </row>
    <row r="3566" spans="1:3" x14ac:dyDescent="0.25">
      <c r="A3566">
        <v>7294</v>
      </c>
      <c r="B3566" t="s">
        <v>5179</v>
      </c>
      <c r="C3566" t="e">
        <f>+proj=tmerc +lat_0=40.65 +lon_0=-85.8499999999999 +k=1.000033 +x_0=240000 +y_0=36000 +ellps=GRQ80 +units=us-ft +no_defs</f>
        <v>#NAME?</v>
      </c>
    </row>
    <row r="3567" spans="1:3" x14ac:dyDescent="0.25">
      <c r="A3567">
        <v>7295</v>
      </c>
      <c r="B3567" t="s">
        <v>5180</v>
      </c>
      <c r="C3567" t="e">
        <f>+proj=tmerc +lat_0=39.25 +lon_0=-85.05 +k=1.000038 +x_0=240000 +y_0=36000 +ellps=GRQ80 +units=m +no_defs</f>
        <v>#NAME?</v>
      </c>
    </row>
    <row r="3568" spans="1:3" x14ac:dyDescent="0.25">
      <c r="A3568">
        <v>7296</v>
      </c>
      <c r="B3568" t="s">
        <v>5181</v>
      </c>
      <c r="C3568" t="e">
        <f>+proj=tmerc +lat_0=39.25 +lon_0=-85.05 +k=1.000038 +x_0=240000 +y_0=36000 +ellps=GRQ80 +units=us-ft +no_defs</f>
        <v>#NAME?</v>
      </c>
    </row>
    <row r="3569" spans="1:3" x14ac:dyDescent="0.25">
      <c r="A3569">
        <v>7297</v>
      </c>
      <c r="B3569" t="s">
        <v>5182</v>
      </c>
      <c r="C3569" t="e">
        <f>+proj=tmerc +lat_0=39.95 +lon_0=-87.3 +k=1.000025 +x_0=240000 +y_0=36000 +ellps=GRQ80 +units=m +no_defs</f>
        <v>#NAME?</v>
      </c>
    </row>
    <row r="3570" spans="1:3" x14ac:dyDescent="0.25">
      <c r="A3570">
        <v>7298</v>
      </c>
      <c r="B3570" t="s">
        <v>5183</v>
      </c>
      <c r="C3570" t="e">
        <f>+proj=tmerc +lat_0=39.95 +lon_0=-87.3 +k=1.000025 +x_0=240000 +y_0=36000 +ellps=GRQ80 +units=us-ft +no_defs</f>
        <v>#NAME?</v>
      </c>
    </row>
    <row r="3571" spans="1:3" x14ac:dyDescent="0.25">
      <c r="A3571">
        <v>7299</v>
      </c>
      <c r="B3571" t="s">
        <v>5184</v>
      </c>
      <c r="C3571" t="e">
        <f>+proj=tmerc +lat_0=40.9 +lon_0=-86.3 +k=1.000031 +x_0=240000 +y_0=36000 +ellps=GRQ80 +units=m +no_defs</f>
        <v>#NAME?</v>
      </c>
    </row>
    <row r="3572" spans="1:3" x14ac:dyDescent="0.25">
      <c r="A3572">
        <v>7300</v>
      </c>
      <c r="B3572" t="s">
        <v>5185</v>
      </c>
      <c r="C3572" t="e">
        <f>+proj=tmerc +lat_0=40.9 +lon_0=-86.3 +k=1.000031 +x_0=240000 +y_0=36000 +ellps=GRQ80 +units=us-ft +no_defs</f>
        <v>#NAME?</v>
      </c>
    </row>
    <row r="3573" spans="1:3" x14ac:dyDescent="0.25">
      <c r="A3573">
        <v>4950</v>
      </c>
      <c r="B3573" t="s">
        <v>5186</v>
      </c>
      <c r="C3573" t="e">
        <f>+proj=geocent +ellps=GRQ80 +units=m +no_defs</f>
        <v>#NAME?</v>
      </c>
    </row>
    <row r="3574" spans="1:3" x14ac:dyDescent="0.25">
      <c r="A3574">
        <v>7301</v>
      </c>
      <c r="B3574" t="s">
        <v>5187</v>
      </c>
      <c r="C3574" t="e">
        <f>+proj=tmerc +lat_0=38.15 +lon_0=-87.65 +k=1.000013 +x_0=240000 +y_0=36000 +ellps=GRQ80 +units=m +no_defs</f>
        <v>#NAME?</v>
      </c>
    </row>
    <row r="3575" spans="1:3" x14ac:dyDescent="0.25">
      <c r="A3575">
        <v>7302</v>
      </c>
      <c r="B3575" t="s">
        <v>5188</v>
      </c>
      <c r="C3575" t="e">
        <f>+proj=tmerc +lat_0=38.15 +lon_0=-87.65 +k=1.000013 +x_0=240000 +y_0=36000 +ellps=GRQ80 +units=us-ft +no_defs</f>
        <v>#NAME?</v>
      </c>
    </row>
    <row r="3576" spans="1:3" x14ac:dyDescent="0.25">
      <c r="A3576">
        <v>7303</v>
      </c>
      <c r="B3576" t="s">
        <v>5189</v>
      </c>
      <c r="C3576" t="e">
        <f>+proj=tmerc +lat_0=40.35 +lon_0=-85.7 +k=1.000034 +x_0=240000 +y_0=36000 +ellps=GRQ80 +units=m +no_defs</f>
        <v>#NAME?</v>
      </c>
    </row>
    <row r="3577" spans="1:3" x14ac:dyDescent="0.25">
      <c r="A3577">
        <v>7304</v>
      </c>
      <c r="B3577" t="s">
        <v>5190</v>
      </c>
      <c r="C3577" t="e">
        <f>+proj=tmerc +lat_0=40.35 +lon_0=-85.7 +k=1.000034 +x_0=240000 +y_0=36000 +ellps=GRQ80 +units=us-ft +no_defs</f>
        <v>#NAME?</v>
      </c>
    </row>
    <row r="3578" spans="1:3" x14ac:dyDescent="0.25">
      <c r="A3578">
        <v>7305</v>
      </c>
      <c r="B3578" t="s">
        <v>5191</v>
      </c>
      <c r="C3578" t="e">
        <f>+proj=tmerc +lat_0=39.9 +lon_0=-86 +k=1.000034 +x_0=240000 +y_0=36000 +ellps=GRQ80 +units=m +no_defs</f>
        <v>#NAME?</v>
      </c>
    </row>
    <row r="3579" spans="1:3" x14ac:dyDescent="0.25">
      <c r="A3579">
        <v>7306</v>
      </c>
      <c r="B3579" t="s">
        <v>5192</v>
      </c>
      <c r="C3579" t="e">
        <f>+proj=tmerc +lat_0=39.9 +lon_0=-86 +k=1.000034 +x_0=240000 +y_0=36000 +ellps=GRQ80 +units=us-ft +no_defs</f>
        <v>#NAME?</v>
      </c>
    </row>
    <row r="3580" spans="1:3" x14ac:dyDescent="0.25">
      <c r="A3580">
        <v>7307</v>
      </c>
      <c r="B3580" t="s">
        <v>5193</v>
      </c>
      <c r="C3580" t="e">
        <f>+proj=tmerc +lat_0=39.65 +lon_0=-85.8 +k=1.000036 +x_0=240000 +y_0=36000 +ellps=GRQ80 +units=m +no_defs</f>
        <v>#NAME?</v>
      </c>
    </row>
    <row r="3581" spans="1:3" x14ac:dyDescent="0.25">
      <c r="A3581">
        <v>7308</v>
      </c>
      <c r="B3581" t="s">
        <v>5194</v>
      </c>
      <c r="C3581" t="e">
        <f>+proj=tmerc +lat_0=39.65 +lon_0=-85.8 +k=1.000036 +x_0=240000 +y_0=36000 +ellps=GRQ80 +units=us-ft +no_defs</f>
        <v>#NAME?</v>
      </c>
    </row>
    <row r="3582" spans="1:3" x14ac:dyDescent="0.25">
      <c r="A3582">
        <v>7309</v>
      </c>
      <c r="B3582" t="s">
        <v>5195</v>
      </c>
      <c r="C3582" t="e">
        <f>+proj=tmerc +lat_0=37.95 +lon_0=-86.15 +k=1.000027 +x_0=240000 +y_0=36000 +ellps=GRQ80 +units=m +no_defs</f>
        <v>#NAME?</v>
      </c>
    </row>
    <row r="3583" spans="1:3" x14ac:dyDescent="0.25">
      <c r="A3583">
        <v>32608</v>
      </c>
      <c r="B3583" t="s">
        <v>5196</v>
      </c>
      <c r="C3583" t="e">
        <f>+proj=utm +zone=8 +datum=WGQ84 +units=m +no_defs</f>
        <v>#NAME?</v>
      </c>
    </row>
    <row r="3584" spans="1:3" x14ac:dyDescent="0.25">
      <c r="A3584">
        <v>7310</v>
      </c>
      <c r="B3584" t="s">
        <v>5197</v>
      </c>
      <c r="C3584" t="e">
        <f>+proj=tmerc +lat_0=37.95 +lon_0=-86.15 +k=1.000027 +x_0=240000 +y_0=36000 +ellps=GRQ80 +units=us-ft +no_defs</f>
        <v>#NAME?</v>
      </c>
    </row>
    <row r="3585" spans="1:3" x14ac:dyDescent="0.25">
      <c r="A3585">
        <v>7311</v>
      </c>
      <c r="B3585" t="s">
        <v>5198</v>
      </c>
      <c r="C3585" t="e">
        <f>+proj=tmerc +lat_0=39.75 +lon_0=-85.45 +k=1.000043 +x_0=240000 +y_0=36000 +ellps=GRQ80 +units=m +no_defs</f>
        <v>#NAME?</v>
      </c>
    </row>
    <row r="3586" spans="1:3" x14ac:dyDescent="0.25">
      <c r="A3586">
        <v>7312</v>
      </c>
      <c r="B3586" t="s">
        <v>5199</v>
      </c>
      <c r="C3586" t="e">
        <f>+proj=tmerc +lat_0=39.75 +lon_0=-85.45 +k=1.000043 +x_0=240000 +y_0=36000 +ellps=GRQ80 +units=us-ft +no_defs</f>
        <v>#NAME?</v>
      </c>
    </row>
    <row r="3587" spans="1:3" x14ac:dyDescent="0.25">
      <c r="A3587">
        <v>7313</v>
      </c>
      <c r="B3587" t="s">
        <v>5200</v>
      </c>
      <c r="C3587" t="e">
        <f>+proj=tmerc +lat_0=40.35 +lon_0=-86.15 +k=1.000031 +x_0=240000 +y_0=36000 +ellps=GRQ80 +units=m +no_defs</f>
        <v>#NAME?</v>
      </c>
    </row>
    <row r="3588" spans="1:3" x14ac:dyDescent="0.25">
      <c r="A3588">
        <v>7314</v>
      </c>
      <c r="B3588" t="s">
        <v>5201</v>
      </c>
      <c r="C3588" t="e">
        <f>+proj=tmerc +lat_0=40.35 +lon_0=-86.15 +k=1.000031 +x_0=240000 +y_0=36000 +ellps=GRQ80 +units=us-ft +no_defs</f>
        <v>#NAME?</v>
      </c>
    </row>
    <row r="3589" spans="1:3" x14ac:dyDescent="0.25">
      <c r="A3589">
        <v>7315</v>
      </c>
      <c r="B3589" t="s">
        <v>5202</v>
      </c>
      <c r="C3589" t="e">
        <f>+proj=tmerc +lat_0=40.65 +lon_0=-85.5 +k=1.000034 +x_0=240000 +y_0=36000 +ellps=GRQ80 +units=m +no_defs</f>
        <v>#NAME?</v>
      </c>
    </row>
    <row r="3590" spans="1:3" x14ac:dyDescent="0.25">
      <c r="A3590">
        <v>7316</v>
      </c>
      <c r="B3590" t="s">
        <v>5203</v>
      </c>
      <c r="C3590" t="e">
        <f>+proj=tmerc +lat_0=40.65 +lon_0=-85.5 +k=1.000034 +x_0=240000 +y_0=36000 +ellps=GRQ80 +units=us-ft +no_defs</f>
        <v>#NAME?</v>
      </c>
    </row>
    <row r="3591" spans="1:3" x14ac:dyDescent="0.25">
      <c r="A3591">
        <v>7317</v>
      </c>
      <c r="B3591" t="s">
        <v>5204</v>
      </c>
      <c r="C3591" t="e">
        <f>+proj=tmerc +lat_0=38.7 +lon_0=-85.95 +k=1.000022 +x_0=240000 +y_0=36000 +ellps=GRQ80 +units=m +no_defs</f>
        <v>#NAME?</v>
      </c>
    </row>
    <row r="3592" spans="1:3" x14ac:dyDescent="0.25">
      <c r="A3592">
        <v>7318</v>
      </c>
      <c r="B3592" t="s">
        <v>5205</v>
      </c>
      <c r="C3592" t="e">
        <f>+proj=tmerc +lat_0=38.7 +lon_0=-85.95 +k=1.000022 +x_0=240000 +y_0=36000 +ellps=GRQ80 +units=us-ft +no_defs</f>
        <v>#NAME?</v>
      </c>
    </row>
    <row r="3593" spans="1:3" x14ac:dyDescent="0.25">
      <c r="A3593">
        <v>4952</v>
      </c>
      <c r="B3593" t="s">
        <v>5206</v>
      </c>
      <c r="C3593" t="e">
        <f>+proj=geocent +ellps=WGQ84 +units=m +no_defs</f>
        <v>#NAME?</v>
      </c>
    </row>
    <row r="3594" spans="1:3" x14ac:dyDescent="0.25">
      <c r="A3594">
        <v>7319</v>
      </c>
      <c r="B3594" t="s">
        <v>5207</v>
      </c>
      <c r="C3594" t="e">
        <f>+proj=tmerc +lat_0=40.7 +lon_0=-87.0999999999999 +k=1.000027 +x_0=240000 +y_0=36000 +ellps=GRQ80 +units=m +no_defs</f>
        <v>#NAME?</v>
      </c>
    </row>
    <row r="3595" spans="1:3" x14ac:dyDescent="0.25">
      <c r="A3595">
        <v>7320</v>
      </c>
      <c r="B3595" t="s">
        <v>5208</v>
      </c>
      <c r="C3595" t="e">
        <f>+proj=tmerc +lat_0=40.7 +lon_0=-87.0999999999999 +k=1.000027 +x_0=240000 +y_0=36000 +ellps=GRQ80 +units=us-ft +no_defs</f>
        <v>#NAME?</v>
      </c>
    </row>
    <row r="3596" spans="1:3" x14ac:dyDescent="0.25">
      <c r="A3596">
        <v>7321</v>
      </c>
      <c r="B3596" t="s">
        <v>5209</v>
      </c>
      <c r="C3596" t="e">
        <f>+proj=tmerc +lat_0=40.3 +lon_0=-85 +k=1.000038 +x_0=240000 +y_0=36000 +ellps=GRQ80 +units=m +no_defs</f>
        <v>#NAME?</v>
      </c>
    </row>
    <row r="3597" spans="1:3" x14ac:dyDescent="0.25">
      <c r="A3597">
        <v>7322</v>
      </c>
      <c r="B3597" t="s">
        <v>5210</v>
      </c>
      <c r="C3597" t="e">
        <f>+proj=tmerc +lat_0=40.3 +lon_0=-85 +k=1.000038 +x_0=240000 +y_0=36000 +ellps=GRQ80 +units=us-ft +no_defs</f>
        <v>#NAME?</v>
      </c>
    </row>
    <row r="3598" spans="1:3" x14ac:dyDescent="0.25">
      <c r="A3598">
        <v>7323</v>
      </c>
      <c r="B3598" t="s">
        <v>5211</v>
      </c>
      <c r="C3598" t="e">
        <f>+proj=tmerc +lat_0=38.55 +lon_0=-85.3499999999999 +k=1.000028 +x_0=240000 +y_0=36000 +ellps=GRQ80 +units=m +no_defs</f>
        <v>#NAME?</v>
      </c>
    </row>
    <row r="3599" spans="1:3" x14ac:dyDescent="0.25">
      <c r="A3599">
        <v>7324</v>
      </c>
      <c r="B3599" t="s">
        <v>5212</v>
      </c>
      <c r="C3599" t="e">
        <f>+proj=tmerc +lat_0=38.55 +lon_0=-85.3499999999999 +k=1.000028 +x_0=240000 +y_0=36000 +ellps=GRQ80 +units=us-ft +no_defs</f>
        <v>#NAME?</v>
      </c>
    </row>
    <row r="3600" spans="1:3" x14ac:dyDescent="0.25">
      <c r="A3600">
        <v>7325</v>
      </c>
      <c r="B3600" t="s">
        <v>5213</v>
      </c>
      <c r="C3600" t="e">
        <f>+proj=tmerc +lat_0=38.8 +lon_0=-85.8 +k=1.000025 +x_0=240000 +y_0=36000 +ellps=GRQ80 +units=m +no_defs</f>
        <v>#NAME?</v>
      </c>
    </row>
    <row r="3601" spans="1:3" x14ac:dyDescent="0.25">
      <c r="A3601">
        <v>7326</v>
      </c>
      <c r="B3601" t="s">
        <v>5214</v>
      </c>
      <c r="C3601" t="e">
        <f>+proj=tmerc +lat_0=38.8 +lon_0=-85.8 +k=1.000025 +x_0=240000 +y_0=36000 +ellps=GRQ80 +units=us-ft +no_defs</f>
        <v>#NAME?</v>
      </c>
    </row>
    <row r="3602" spans="1:3" x14ac:dyDescent="0.25">
      <c r="A3602">
        <v>7327</v>
      </c>
      <c r="B3602" t="s">
        <v>5215</v>
      </c>
      <c r="C3602" t="e">
        <f>+proj=tmerc +lat_0=39.3 +lon_0=-86.15 +k=1.000031 +x_0=240000 +y_0=36000 +ellps=GRQ80 +units=m +no_defs</f>
        <v>#NAME?</v>
      </c>
    </row>
    <row r="3603" spans="1:3" x14ac:dyDescent="0.25">
      <c r="A3603">
        <v>32609</v>
      </c>
      <c r="B3603" t="s">
        <v>5216</v>
      </c>
      <c r="C3603" t="e">
        <f>+proj=utm +zone=9 +datum=WGQ84 +units=m +no_defs</f>
        <v>#NAME?</v>
      </c>
    </row>
    <row r="3604" spans="1:3" x14ac:dyDescent="0.25">
      <c r="A3604">
        <v>7328</v>
      </c>
      <c r="B3604" t="s">
        <v>5217</v>
      </c>
      <c r="C3604" t="e">
        <f>+proj=tmerc +lat_0=39.3 +lon_0=-86.15 +k=1.000031 +x_0=240000 +y_0=36000 +ellps=GRQ80 +units=us-ft +no_defs</f>
        <v>#NAME?</v>
      </c>
    </row>
    <row r="3605" spans="1:3" x14ac:dyDescent="0.25">
      <c r="A3605">
        <v>7329</v>
      </c>
      <c r="B3605" t="s">
        <v>5218</v>
      </c>
      <c r="C3605" t="e">
        <f>+proj=tmerc +lat_0=38.4 +lon_0=-87.45 +k=1.000015 +x_0=240000 +y_0=36000 +ellps=GRQ80 +units=m +no_defs</f>
        <v>#NAME?</v>
      </c>
    </row>
    <row r="3606" spans="1:3" x14ac:dyDescent="0.25">
      <c r="A3606">
        <v>7330</v>
      </c>
      <c r="B3606" t="s">
        <v>5219</v>
      </c>
      <c r="C3606" t="e">
        <f>+proj=tmerc +lat_0=38.4 +lon_0=-87.45 +k=1.000015 +x_0=240000 +y_0=36000 +ellps=GRQ80 +units=us-ft +no_defs</f>
        <v>#NAME?</v>
      </c>
    </row>
    <row r="3607" spans="1:3" x14ac:dyDescent="0.25">
      <c r="A3607">
        <v>7331</v>
      </c>
      <c r="B3607" t="s">
        <v>5220</v>
      </c>
      <c r="C3607" t="e">
        <f>+proj=tmerc +lat_0=41.25 +lon_0=-85.45 +k=1.000037 +x_0=240000 +y_0=36000 +ellps=GRQ80 +units=m +no_defs</f>
        <v>#NAME?</v>
      </c>
    </row>
    <row r="3608" spans="1:3" x14ac:dyDescent="0.25">
      <c r="A3608">
        <v>7332</v>
      </c>
      <c r="B3608" t="s">
        <v>5221</v>
      </c>
      <c r="C3608" t="e">
        <f>+proj=tmerc +lat_0=41.25 +lon_0=-85.45 +k=1.000037 +x_0=240000 +y_0=36000 +ellps=GRQ80 +units=us-ft +no_defs</f>
        <v>#NAME?</v>
      </c>
    </row>
    <row r="3609" spans="1:3" x14ac:dyDescent="0.25">
      <c r="A3609">
        <v>7333</v>
      </c>
      <c r="B3609" t="s">
        <v>5222</v>
      </c>
      <c r="C3609" t="e">
        <f>+proj=tmerc +lat_0=40.7 +lon_0=-87.4 +k=1.000026 +x_0=240000 +y_0=36000 +ellps=GRQ80 +units=m +no_defs</f>
        <v>#NAME?</v>
      </c>
    </row>
    <row r="3610" spans="1:3" x14ac:dyDescent="0.25">
      <c r="A3610">
        <v>7334</v>
      </c>
      <c r="B3610" t="s">
        <v>5223</v>
      </c>
      <c r="C3610" t="e">
        <f>+proj=tmerc +lat_0=40.7 +lon_0=-87.4 +k=1.000026 +x_0=240000 +y_0=36000 +ellps=GRQ80 +units=us-ft +no_defs</f>
        <v>#NAME?</v>
      </c>
    </row>
    <row r="3611" spans="1:3" x14ac:dyDescent="0.25">
      <c r="A3611">
        <v>7335</v>
      </c>
      <c r="B3611" t="s">
        <v>5224</v>
      </c>
      <c r="C3611" t="e">
        <f>+proj=tmerc +lat_0=40.9 +lon_0=-86.75 +k=1.000027 +x_0=240000 +y_0=36000 +ellps=GRQ80 +units=m +no_defs</f>
        <v>#NAME?</v>
      </c>
    </row>
    <row r="3612" spans="1:3" x14ac:dyDescent="0.25">
      <c r="A3612">
        <v>7336</v>
      </c>
      <c r="B3612" t="s">
        <v>5225</v>
      </c>
      <c r="C3612" t="e">
        <f>+proj=tmerc +lat_0=40.9 +lon_0=-86.75 +k=1.000027 +x_0=240000 +y_0=36000 +ellps=GRQ80 +units=us-ft +no_defs</f>
        <v>#NAME?</v>
      </c>
    </row>
    <row r="3613" spans="1:3" x14ac:dyDescent="0.25">
      <c r="A3613">
        <v>4954</v>
      </c>
      <c r="B3613" t="s">
        <v>5226</v>
      </c>
      <c r="C3613" t="e">
        <f>+proj=geocent +ellps=GRQ80 +units=m +no_defs</f>
        <v>#NAME?</v>
      </c>
    </row>
    <row r="3614" spans="1:3" x14ac:dyDescent="0.25">
      <c r="A3614">
        <v>7337</v>
      </c>
      <c r="B3614" t="s">
        <v>5227</v>
      </c>
      <c r="C3614" t="e">
        <f>+proj=tmerc +lat_0=38.95 +lon_0=-86.5 +k=1.000028 +x_0=240000 +y_0=36000 +ellps=GRQ80 +units=m +no_defs</f>
        <v>#NAME?</v>
      </c>
    </row>
    <row r="3615" spans="1:3" x14ac:dyDescent="0.25">
      <c r="A3615">
        <v>7338</v>
      </c>
      <c r="B3615" t="s">
        <v>5228</v>
      </c>
      <c r="C3615" t="e">
        <f>+proj=tmerc +lat_0=38.95 +lon_0=-86.5 +k=1.000028 +x_0=240000 +y_0=36000 +ellps=GRQ80 +units=us-ft +no_defs</f>
        <v>#NAME?</v>
      </c>
    </row>
    <row r="3616" spans="1:3" x14ac:dyDescent="0.25">
      <c r="A3616">
        <v>7339</v>
      </c>
      <c r="B3616" t="s">
        <v>5229</v>
      </c>
      <c r="C3616" t="e">
        <f>+proj=tmerc +lat_0=39.45 +lon_0=-86.95 +k=1.000031 +x_0=240000 +y_0=36000 +ellps=GRQ80 +units=m +no_defs</f>
        <v>#NAME?</v>
      </c>
    </row>
    <row r="3617" spans="1:3" x14ac:dyDescent="0.25">
      <c r="A3617">
        <v>7340</v>
      </c>
      <c r="B3617" t="s">
        <v>5230</v>
      </c>
      <c r="C3617" t="e">
        <f>+proj=tmerc +lat_0=39.45 +lon_0=-86.95 +k=1.000031 +x_0=240000 +y_0=36000 +ellps=GRQ80 +units=us-ft +no_defs</f>
        <v>#NAME?</v>
      </c>
    </row>
    <row r="3618" spans="1:3" x14ac:dyDescent="0.25">
      <c r="A3618">
        <v>7341</v>
      </c>
      <c r="B3618" t="s">
        <v>5231</v>
      </c>
      <c r="C3618" t="e">
        <f>+proj=tmerc +lat_0=39.15 +lon_0=-86.9 +k=1.000026 +x_0=240000 +y_0=36000 +ellps=GRQ80 +units=m +no_defs</f>
        <v>#NAME?</v>
      </c>
    </row>
    <row r="3619" spans="1:3" x14ac:dyDescent="0.25">
      <c r="A3619">
        <v>7342</v>
      </c>
      <c r="B3619" t="s">
        <v>5232</v>
      </c>
      <c r="C3619" t="e">
        <f>+proj=tmerc +lat_0=39.15 +lon_0=-86.9 +k=1.000026 +x_0=240000 +y_0=36000 +ellps=GRQ80 +units=us-ft +no_defs</f>
        <v>#NAME?</v>
      </c>
    </row>
    <row r="3620" spans="1:3" x14ac:dyDescent="0.25">
      <c r="A3620">
        <v>7343</v>
      </c>
      <c r="B3620" t="s">
        <v>5233</v>
      </c>
      <c r="C3620" t="e">
        <f>+proj=tmerc +lat_0=39.6 +lon_0=-87.3499999999999 +k=1.000022 +x_0=240000 +y_0=36000 +ellps=GRQ80 +units=m +no_defs</f>
        <v>#NAME?</v>
      </c>
    </row>
    <row r="3621" spans="1:3" x14ac:dyDescent="0.25">
      <c r="A3621">
        <v>7344</v>
      </c>
      <c r="B3621" t="s">
        <v>5234</v>
      </c>
      <c r="C3621" t="e">
        <f>+proj=tmerc +lat_0=39.6 +lon_0=-87.3499999999999 +k=1.000022 +x_0=240000 +y_0=36000 +ellps=GRQ80 +units=us-ft +no_defs</f>
        <v>#NAME?</v>
      </c>
    </row>
    <row r="3622" spans="1:3" x14ac:dyDescent="0.25">
      <c r="A3622">
        <v>7345</v>
      </c>
      <c r="B3622" t="s">
        <v>5235</v>
      </c>
      <c r="C3622" t="e">
        <f>+proj=tmerc +lat_0=37.8 +lon_0=-86.7 +k=1.00002 +x_0=240000 +y_0=36000 +ellps=GRQ80 +units=m +no_defs</f>
        <v>#NAME?</v>
      </c>
    </row>
    <row r="3623" spans="1:3" x14ac:dyDescent="0.25">
      <c r="A3623">
        <v>4956</v>
      </c>
      <c r="B3623" t="s">
        <v>5236</v>
      </c>
      <c r="C3623" t="e">
        <f>+proj=geocent +ellps=GRQ80 +units=m +no_defs</f>
        <v>#NAME?</v>
      </c>
    </row>
    <row r="3624" spans="1:3" x14ac:dyDescent="0.25">
      <c r="A3624">
        <v>7346</v>
      </c>
      <c r="B3624" t="s">
        <v>5237</v>
      </c>
      <c r="C3624" t="e">
        <f>+proj=tmerc +lat_0=37.8 +lon_0=-86.7 +k=1.00002 +x_0=240000 +y_0=36000 +ellps=GRQ80 +units=us-ft +no_defs</f>
        <v>#NAME?</v>
      </c>
    </row>
    <row r="3625" spans="1:3" x14ac:dyDescent="0.25">
      <c r="A3625">
        <v>7347</v>
      </c>
      <c r="B3625" t="s">
        <v>5238</v>
      </c>
      <c r="C3625" t="e">
        <f>+proj=tmerc +lat_0=37.85 +lon_0=-87.3 +k=1.000015 +x_0=240000 +y_0=36000 +ellps=GRQ80 +units=m +no_defs</f>
        <v>#NAME?</v>
      </c>
    </row>
    <row r="3626" spans="1:3" x14ac:dyDescent="0.25">
      <c r="A3626">
        <v>7348</v>
      </c>
      <c r="B3626" t="s">
        <v>5239</v>
      </c>
      <c r="C3626" t="e">
        <f>+proj=tmerc +lat_0=37.85 +lon_0=-87.3 +k=1.000015 +x_0=240000 +y_0=36000 +ellps=GRQ80 +units=us-ft +no_defs</f>
        <v>#NAME?</v>
      </c>
    </row>
    <row r="3627" spans="1:3" x14ac:dyDescent="0.25">
      <c r="A3627">
        <v>7349</v>
      </c>
      <c r="B3627" t="s">
        <v>5240</v>
      </c>
      <c r="C3627" t="e">
        <f>+proj=tmerc +lat_0=37.75 +lon_0=-87.95 +k=1.000013 +x_0=240000 +y_0=36000 +ellps=GRQ80 +units=m +no_defs</f>
        <v>#NAME?</v>
      </c>
    </row>
    <row r="3628" spans="1:3" x14ac:dyDescent="0.25">
      <c r="A3628">
        <v>7350</v>
      </c>
      <c r="B3628" t="s">
        <v>5241</v>
      </c>
      <c r="C3628" t="e">
        <f>+proj=tmerc +lat_0=37.75 +lon_0=-87.95 +k=1.000013 +x_0=240000 +y_0=36000 +ellps=GRQ80 +units=us-ft +no_defs</f>
        <v>#NAME?</v>
      </c>
    </row>
    <row r="3629" spans="1:3" x14ac:dyDescent="0.25">
      <c r="A3629">
        <v>7351</v>
      </c>
      <c r="B3629" t="s">
        <v>5242</v>
      </c>
      <c r="C3629" t="e">
        <f>+proj=tmerc +lat_0=39.7 +lon_0=-85.05 +k=1.000044 +x_0=240000 +y_0=36000 +ellps=GRQ80 +units=m +no_defs</f>
        <v>#NAME?</v>
      </c>
    </row>
    <row r="3630" spans="1:3" x14ac:dyDescent="0.25">
      <c r="A3630">
        <v>7352</v>
      </c>
      <c r="B3630" t="s">
        <v>5243</v>
      </c>
      <c r="C3630" t="e">
        <f>+proj=tmerc +lat_0=39.7 +lon_0=-85.05 +k=1.000044 +x_0=240000 +y_0=36000 +ellps=GRQ80 +units=us-ft +no_defs</f>
        <v>#NAME?</v>
      </c>
    </row>
    <row r="3631" spans="1:3" x14ac:dyDescent="0.25">
      <c r="A3631">
        <v>7353</v>
      </c>
      <c r="B3631" t="s">
        <v>5244</v>
      </c>
      <c r="C3631" t="e">
        <f>+proj=tmerc +lat_0=38.9 +lon_0=-85.3 +k=1.000038 +x_0=240000 +y_0=36000 +ellps=GRQ80 +units=m +no_defs</f>
        <v>#NAME?</v>
      </c>
    </row>
    <row r="3632" spans="1:3" x14ac:dyDescent="0.25">
      <c r="A3632">
        <v>7354</v>
      </c>
      <c r="B3632" t="s">
        <v>5245</v>
      </c>
      <c r="C3632" t="e">
        <f>+proj=tmerc +lat_0=38.9 +lon_0=-85.3 +k=1.000038 +x_0=240000 +y_0=36000 +ellps=GRQ80 +units=us-ft +no_defs</f>
        <v>#NAME?</v>
      </c>
    </row>
    <row r="3633" spans="1:3" x14ac:dyDescent="0.25">
      <c r="A3633">
        <v>7848</v>
      </c>
      <c r="B3633" t="s">
        <v>5246</v>
      </c>
      <c r="C3633" t="e">
        <f>+proj=utm +zone=48 +south +ellps=GRQ80 +units=m +no_defs</f>
        <v>#NAME?</v>
      </c>
    </row>
    <row r="3634" spans="1:3" x14ac:dyDescent="0.25">
      <c r="A3634">
        <v>7355</v>
      </c>
      <c r="B3634" t="s">
        <v>5247</v>
      </c>
      <c r="C3634" t="e">
        <f>+proj=tmerc +lat_0=39.3 +lon_0=-85.9 +k=1.00003 +x_0=240000 +y_0=36000 +ellps=GRQ80 +units=m +no_defs</f>
        <v>#NAME?</v>
      </c>
    </row>
    <row r="3635" spans="1:3" x14ac:dyDescent="0.25">
      <c r="A3635">
        <v>7356</v>
      </c>
      <c r="B3635" t="s">
        <v>5248</v>
      </c>
      <c r="C3635" t="e">
        <f>+proj=tmerc +lat_0=39.3 +lon_0=-85.9 +k=1.00003 +x_0=240000 +y_0=36000 +ellps=GRQ80 +units=us-ft +no_defs</f>
        <v>#NAME?</v>
      </c>
    </row>
    <row r="3636" spans="1:3" x14ac:dyDescent="0.25">
      <c r="A3636">
        <v>7357</v>
      </c>
      <c r="B3636" t="s">
        <v>5249</v>
      </c>
      <c r="C3636" t="e">
        <f>+proj=tmerc +lat_0=37.75 +lon_0=-87.05 +k=1.000014 +x_0=240000 +y_0=36000 +ellps=GRQ80 +units=m +no_defs</f>
        <v>#NAME?</v>
      </c>
    </row>
    <row r="3637" spans="1:3" x14ac:dyDescent="0.25">
      <c r="A3637">
        <v>7358</v>
      </c>
      <c r="B3637" t="s">
        <v>5250</v>
      </c>
      <c r="C3637" t="e">
        <f>+proj=tmerc +lat_0=37.75 +lon_0=-87.05 +k=1.000014 +x_0=240000 +y_0=36000 +ellps=GRQ80 +units=us-ft +no_defs</f>
        <v>#NAME?</v>
      </c>
    </row>
    <row r="3638" spans="1:3" x14ac:dyDescent="0.25">
      <c r="A3638">
        <v>7359</v>
      </c>
      <c r="B3638" t="s">
        <v>5251</v>
      </c>
      <c r="C3638" t="e">
        <f>+proj=tmerc +lat_0=41.5 +lon_0=-85 +k=1.000041 +x_0=240000 +y_0=36000 +ellps=GRQ80 +units=m +no_defs</f>
        <v>#NAME?</v>
      </c>
    </row>
    <row r="3639" spans="1:3" x14ac:dyDescent="0.25">
      <c r="A3639">
        <v>7360</v>
      </c>
      <c r="B3639" t="s">
        <v>5252</v>
      </c>
      <c r="C3639" t="e">
        <f>+proj=tmerc +lat_0=41.5 +lon_0=-85 +k=1.000041 +x_0=240000 +y_0=36000 +ellps=GRQ80 +units=us-ft +no_defs</f>
        <v>#NAME?</v>
      </c>
    </row>
    <row r="3640" spans="1:3" x14ac:dyDescent="0.25">
      <c r="A3640">
        <v>7361</v>
      </c>
      <c r="B3640" t="s">
        <v>5253</v>
      </c>
      <c r="C3640" t="e">
        <f>+proj=tmerc +lat_0=38.9 +lon_0=-87.5 +k=1.000017 +x_0=240000 +y_0=36000 +ellps=GRQ80 +units=m +no_defs</f>
        <v>#NAME?</v>
      </c>
    </row>
    <row r="3641" spans="1:3" x14ac:dyDescent="0.25">
      <c r="A3641">
        <v>7362</v>
      </c>
      <c r="B3641" t="s">
        <v>5254</v>
      </c>
      <c r="C3641" t="e">
        <f>+proj=tmerc +lat_0=38.9 +lon_0=-87.5 +k=1.000017 +x_0=240000 +y_0=36000 +ellps=GRQ80 +units=us-ft +no_defs</f>
        <v>#NAME?</v>
      </c>
    </row>
    <row r="3642" spans="1:3" x14ac:dyDescent="0.25">
      <c r="A3642">
        <v>7363</v>
      </c>
      <c r="B3642" t="s">
        <v>5255</v>
      </c>
      <c r="C3642" t="e">
        <f>+proj=tmerc +lat_0=40.2 +lon_0=-86.9 +k=1.000026 +x_0=240000 +y_0=36000 +ellps=GRQ80 +units=m +no_defs</f>
        <v>#NAME?</v>
      </c>
    </row>
    <row r="3643" spans="1:3" x14ac:dyDescent="0.25">
      <c r="A3643">
        <v>7849</v>
      </c>
      <c r="B3643" t="s">
        <v>5256</v>
      </c>
      <c r="C3643" t="e">
        <f>+proj=utm +zone=49 +south +ellps=GRQ80 +units=m +no_defs</f>
        <v>#NAME?</v>
      </c>
    </row>
    <row r="3644" spans="1:3" x14ac:dyDescent="0.25">
      <c r="A3644">
        <v>7364</v>
      </c>
      <c r="B3644" t="s">
        <v>5257</v>
      </c>
      <c r="C3644" t="e">
        <f>+proj=tmerc +lat_0=40.2 +lon_0=-86.9 +k=1.000026 +x_0=240000 +y_0=36000 +ellps=GRQ80 +units=us-ft +no_defs</f>
        <v>#NAME?</v>
      </c>
    </row>
    <row r="3645" spans="1:3" x14ac:dyDescent="0.25">
      <c r="A3645">
        <v>7365</v>
      </c>
      <c r="B3645" t="s">
        <v>5258</v>
      </c>
      <c r="C3645" t="e">
        <f>+proj=tmerc +lat_0=37.8 +lon_0=-87.55 +k=1.000015 +x_0=240000 +y_0=36000 +ellps=GRQ80 +units=m +no_defs</f>
        <v>#NAME?</v>
      </c>
    </row>
    <row r="3646" spans="1:3" x14ac:dyDescent="0.25">
      <c r="A3646">
        <v>7366</v>
      </c>
      <c r="B3646" t="s">
        <v>5259</v>
      </c>
      <c r="C3646" t="e">
        <f>+proj=tmerc +lat_0=37.8 +lon_0=-87.55 +k=1.000015 +x_0=240000 +y_0=36000 +ellps=GRQ80 +units=us-ft +no_defs</f>
        <v>#NAME?</v>
      </c>
    </row>
    <row r="3647" spans="1:3" x14ac:dyDescent="0.25">
      <c r="A3647">
        <v>7367</v>
      </c>
      <c r="B3647" t="s">
        <v>5260</v>
      </c>
      <c r="C3647" t="e">
        <f>+proj=tmerc +lat_0=39.25 +lon_0=-87.45 +k=1.00002 +x_0=240000 +y_0=36000 +ellps=GRQ80 +units=m +no_defs</f>
        <v>#NAME?</v>
      </c>
    </row>
    <row r="3648" spans="1:3" x14ac:dyDescent="0.25">
      <c r="A3648">
        <v>7368</v>
      </c>
      <c r="B3648" t="s">
        <v>5261</v>
      </c>
      <c r="C3648" t="e">
        <f>+proj=tmerc +lat_0=39.25 +lon_0=-87.45 +k=1.00002 +x_0=240000 +y_0=36000 +ellps=GRQ80 +units=us-ft +no_defs</f>
        <v>#NAME?</v>
      </c>
    </row>
    <row r="3649" spans="1:3" x14ac:dyDescent="0.25">
      <c r="A3649">
        <v>7369</v>
      </c>
      <c r="B3649" t="s">
        <v>5262</v>
      </c>
      <c r="C3649" t="e">
        <f>+proj=tmerc +lat_0=40.55 +lon_0=-85.25 +k=1.000034 +x_0=240000 +y_0=36000 +ellps=GRQ80 +units=m +no_defs</f>
        <v>#NAME?</v>
      </c>
    </row>
    <row r="3650" spans="1:3" x14ac:dyDescent="0.25">
      <c r="A3650">
        <v>7370</v>
      </c>
      <c r="B3650" t="s">
        <v>5263</v>
      </c>
      <c r="C3650" t="e">
        <f>+proj=tmerc +lat_0=40.55 +lon_0=-85.25 +k=1.000034 +x_0=240000 +y_0=36000 +ellps=GRQ80 +units=us-ft +no_defs</f>
        <v>#NAME?</v>
      </c>
    </row>
    <row r="3651" spans="1:3" x14ac:dyDescent="0.25">
      <c r="A3651">
        <v>7374</v>
      </c>
      <c r="B3651" t="s">
        <v>5264</v>
      </c>
      <c r="C3651" t="s">
        <v>2552</v>
      </c>
    </row>
    <row r="3652" spans="1:3" x14ac:dyDescent="0.25">
      <c r="A3652">
        <v>7375</v>
      </c>
      <c r="B3652" t="s">
        <v>5265</v>
      </c>
      <c r="C3652" t="s">
        <v>5266</v>
      </c>
    </row>
    <row r="3653" spans="1:3" x14ac:dyDescent="0.25">
      <c r="A3653">
        <v>7376</v>
      </c>
      <c r="B3653" t="s">
        <v>5267</v>
      </c>
      <c r="C3653" t="s">
        <v>5268</v>
      </c>
    </row>
    <row r="3654" spans="1:3" x14ac:dyDescent="0.25">
      <c r="A3654">
        <v>7528</v>
      </c>
      <c r="B3654" t="s">
        <v>5269</v>
      </c>
      <c r="C3654" t="e">
        <f>+proj=tmerc +lat_0=43.3666666666666 +lon_0=-90 +k=1.0000365285 +x_0=147218.6942 +y_0=0.0037 +ellps=GRQ80 +units=m +no_defs</f>
        <v>#NAME?</v>
      </c>
    </row>
    <row r="3655" spans="1:3" x14ac:dyDescent="0.25">
      <c r="A3655">
        <v>7529</v>
      </c>
      <c r="B3655" t="s">
        <v>5270</v>
      </c>
      <c r="C3655" t="e">
        <f>+proj=tmerc +lat_0=45.7061111111111 +lon_0=-90.6222222222222 +k=1.0000495683 +x_0=172821.9461 +y_0=0.0017 +ellps=GRQ80 +units=m +no_defs</f>
        <v>#NAME?</v>
      </c>
    </row>
    <row r="3656" spans="1:3" x14ac:dyDescent="0.25">
      <c r="A3656">
        <v>7530</v>
      </c>
      <c r="B3656" t="s">
        <v>5271</v>
      </c>
      <c r="C3656" t="e">
        <f>+proj=tmerc +lat_0=45.1333333333333 +lon_0=-91.8499999999999 +k=1.0000486665 +x_0=93150 +y_0=0.0029 +ellps=GRQ80 +units=m +no_defs</f>
        <v>#NAME?</v>
      </c>
    </row>
    <row r="3657" spans="1:3" x14ac:dyDescent="0.25">
      <c r="A3657">
        <v>7531</v>
      </c>
      <c r="B3657" t="s">
        <v>5272</v>
      </c>
      <c r="C3657" t="e">
        <f>+proj=lcc +lat_1=46.6696483772222 +lat_0=46.6696483772222 +lon_0=-91.1527777777777 +k_0=1.0000331195 +x_0=228600.4575 +y_0=148551.4837 +ellps=GRQ80 +units=m +no_defs</f>
        <v>#NAME?</v>
      </c>
    </row>
    <row r="3658" spans="1:3" x14ac:dyDescent="0.25">
      <c r="A3658">
        <v>7532</v>
      </c>
      <c r="B3658" t="s">
        <v>5273</v>
      </c>
      <c r="C3658" t="e">
        <f>+proj=tmerc +lat_0=43 +lon_0=-88 +k=1.00002 +x_0=31600 +y_0=4600 +ellps=GRQ80 +units=m +no_defs</f>
        <v>#NAME?</v>
      </c>
    </row>
    <row r="3659" spans="1:3" x14ac:dyDescent="0.25">
      <c r="A3659">
        <v>7533</v>
      </c>
      <c r="B3659" t="s">
        <v>5274</v>
      </c>
      <c r="C3659" t="e">
        <f>+proj=tmerc +lat_0=43.4813888888888 +lon_0=-91.7972222222222 +k=1.0000382778 +x_0=175260.3502 +y_0=0.0048 +ellps=GRQ80 +units=m +no_defs</f>
        <v>#NAME?</v>
      </c>
    </row>
    <row r="3660" spans="1:3" x14ac:dyDescent="0.25">
      <c r="A3660">
        <v>7534</v>
      </c>
      <c r="B3660" t="s">
        <v>5275</v>
      </c>
      <c r="C3660" t="e">
        <f>+proj=lcc +lat_1=45.8987148658333 +lat_0=45.8987148658333 +lon_0=-92.4577777777777 +k_0=1.0000383841 +x_0=64008.1276 +y_0=59445.9043 +ellps=GRQ80 +units=m +no_defs</f>
        <v>#NAME?</v>
      </c>
    </row>
    <row r="3661" spans="1:3" x14ac:dyDescent="0.25">
      <c r="A3661">
        <v>7535</v>
      </c>
      <c r="B3661" t="s">
        <v>5276</v>
      </c>
      <c r="C3661" t="e">
        <f>+proj=tmerc +lat_0=42.7194444444444 +lon_0=-88.5 +k=1.0000286569 +x_0=244754.8893 +y_0=0.0049 +ellps=GRQ80 +units=m +no_defs</f>
        <v>#NAME?</v>
      </c>
    </row>
    <row r="3662" spans="1:3" x14ac:dyDescent="0.25">
      <c r="A3662">
        <v>7536</v>
      </c>
      <c r="B3662" t="s">
        <v>5277</v>
      </c>
      <c r="C3662" t="e">
        <f>+proj=lcc +lat_1=44.9778568986111 +lat_0=44.9778568986111 +lon_0=-91.2944444444444 +k_0=1.0000391127 +x_0=60045.72 +y_0=44091.4346 +ellps=GRQ80 +units=m +no_defs</f>
        <v>#NAME?</v>
      </c>
    </row>
    <row r="3663" spans="1:3" x14ac:dyDescent="0.25">
      <c r="A3663">
        <v>7537</v>
      </c>
      <c r="B3663" t="s">
        <v>5278</v>
      </c>
      <c r="C3663" t="e">
        <f>+proj=tmerc +lat_0=43.6 +lon_0=-90.7083333333333 +k=1.0000463003 +x_0=199949.1989 +y_0=0.0086 +ellps=GRQ80 +units=m +no_defs</f>
        <v>#NAME?</v>
      </c>
    </row>
    <row r="3664" spans="1:3" x14ac:dyDescent="0.25">
      <c r="A3664">
        <v>7538</v>
      </c>
      <c r="B3664" t="s">
        <v>5279</v>
      </c>
      <c r="C3664" t="e">
        <f>+proj=lcc +lat_1=43.4625466458333 +lat_0=43.4625466458333 +lon_0=-89.3944444444444 +k_0=1.00003498 +x_0=169164.3381 +y_0=111569.6134 +ellps=GRQ80 +units=m +no_defs</f>
        <v>#NAME?</v>
      </c>
    </row>
    <row r="3665" spans="1:3" x14ac:dyDescent="0.25">
      <c r="A3665">
        <v>7539</v>
      </c>
      <c r="B3665" t="s">
        <v>5280</v>
      </c>
      <c r="C3665" t="e">
        <f>+proj=lcc +lat_1=43.200055605 +lat_0=43.200055605 +lon_0=-90.9388888888889 +k_0=1.0000349151 +x_0=113690.6274 +y_0=53703.1201 +ellps=GRQ80 +units=m +no_defs</f>
        <v>#NAME?</v>
      </c>
    </row>
    <row r="3666" spans="1:3" x14ac:dyDescent="0.25">
      <c r="A3666">
        <v>7540</v>
      </c>
      <c r="B3666" t="s">
        <v>5281</v>
      </c>
      <c r="C3666" t="e">
        <f>+proj=lcc +lat_1=43.0695160375 +lat_0=43.0695160375 +lon_0=-89.4222222222222 +k_0=1.0000384786 +x_0=247193.2944 +y_0=146591.9896 +ellps=GRQ80 +units=m +no_defs</f>
        <v>#NAME?</v>
      </c>
    </row>
    <row r="3667" spans="1:3" x14ac:dyDescent="0.25">
      <c r="A3667">
        <v>7541</v>
      </c>
      <c r="B3667" t="s">
        <v>5282</v>
      </c>
      <c r="C3667" t="e">
        <f>+proj=tmerc +lat_0=41.4722222222222 +lon_0=-88.775 +k=1.0000346418 +x_0=263347.7263 +y_0=0.0076 +ellps=GRQ80 +units=m +no_defs</f>
        <v>#NAME?</v>
      </c>
    </row>
    <row r="3668" spans="1:3" x14ac:dyDescent="0.25">
      <c r="A3668">
        <v>7542</v>
      </c>
      <c r="B3668" t="s">
        <v>5283</v>
      </c>
      <c r="C3668" t="e">
        <f>+proj=tmerc +lat_0=44.4 +lon_0=-87.2722222222222 +k=1.0000187521 +x_0=158801.1176 +y_0=0.0023 +ellps=GRQ80 +units=m +no_defs</f>
        <v>#NAME?</v>
      </c>
    </row>
    <row r="3669" spans="1:3" x14ac:dyDescent="0.25">
      <c r="A3669">
        <v>7543</v>
      </c>
      <c r="B3669" t="s">
        <v>5284</v>
      </c>
      <c r="C3669" t="e">
        <f>+proj=tmerc +lat_0=45.8833333333333 +lon_0=-91.9166666666666 +k=1.0000385418 +x_0=59131.3183 +y_0=0.0041 +ellps=GRQ80 +units=m +no_defs</f>
        <v>#NAME?</v>
      </c>
    </row>
    <row r="3670" spans="1:3" x14ac:dyDescent="0.25">
      <c r="A3670">
        <v>7544</v>
      </c>
      <c r="B3670" t="s">
        <v>5285</v>
      </c>
      <c r="C3670" t="e">
        <f>+proj=tmerc +lat_0=44.4083333333333 +lon_0=-91.8944444444444 +k=1.0000410324 +x_0=51816.104 +y_0=0.003 +ellps=GRQ80 +units=m +no_defs</f>
        <v>#NAME?</v>
      </c>
    </row>
    <row r="3671" spans="1:3" x14ac:dyDescent="0.25">
      <c r="A3671">
        <v>7545</v>
      </c>
      <c r="B3671" t="s">
        <v>5286</v>
      </c>
      <c r="C3671" t="e">
        <f>+proj=lcc +lat_1=44.8722811263888 +lat_0=44.8722811263888 +lon_0=-91.2888888888888 +k_0=1.000035079 +x_0=120091.4402 +y_0=91687.9238999999 +ellps=GRQ80 +units=m +no_defs</f>
        <v>#NAME?</v>
      </c>
    </row>
    <row r="3672" spans="1:3" x14ac:dyDescent="0.25">
      <c r="A3672">
        <v>7546</v>
      </c>
      <c r="B3672" t="s">
        <v>5287</v>
      </c>
      <c r="C3672" t="e">
        <f>+proj=tmerc +lat_0=45.4388888888888 +lon_0=-88.1416666666666 +k=1.0000552095 +x_0=133502.6683 +y_0=0.0063 +ellps=GRQ80 +units=m +no_defs</f>
        <v>#NAME?</v>
      </c>
    </row>
    <row r="3673" spans="1:3" x14ac:dyDescent="0.25">
      <c r="A3673">
        <v>7547</v>
      </c>
      <c r="B3673" t="s">
        <v>5288</v>
      </c>
      <c r="C3673" t="e">
        <f>+proj=tmerc +lat_0=44.0055555555555 +lon_0=-88.6333333333333 +k=1.0000673004 +x_0=275844.5533 +y_0=0.0157 +ellps=GRQ80 +units=m +no_defs</f>
        <v>#NAME?</v>
      </c>
    </row>
    <row r="3674" spans="1:3" x14ac:dyDescent="0.25">
      <c r="A3674">
        <v>7548</v>
      </c>
      <c r="B3674" t="s">
        <v>5289</v>
      </c>
      <c r="C3674" t="e">
        <f>+proj=tmerc +lat_0=41.4111111111111 +lon_0=-90.8 +k=1.0000349452 +x_0=242316.4841 +y_0=0.01 +ellps=GRQ80 +units=m +no_defs</f>
        <v>#NAME?</v>
      </c>
    </row>
    <row r="3675" spans="1:3" x14ac:dyDescent="0.25">
      <c r="A3675">
        <v>7549</v>
      </c>
      <c r="B3675" t="s">
        <v>5290</v>
      </c>
      <c r="C3675" t="e">
        <f>+proj=lcc +lat_1=42.6375622769444 +lat_0=42.6375622769444 +lon_0=-89.8388888888888 +k_0=1.0000390487 +x_0=170078.7403 +y_0=45830.2947 +ellps=GRQ80 +units=m +no_defs</f>
        <v>#NAME?</v>
      </c>
    </row>
    <row r="3676" spans="1:3" x14ac:dyDescent="0.25">
      <c r="A3676">
        <v>7550</v>
      </c>
      <c r="B3676" t="s">
        <v>5291</v>
      </c>
      <c r="C3676" t="e">
        <f>+proj=lcc +lat_1=43.8070001177777 +lat_0=43.8070001177777 +lon_0=-89.2416666666666 +k_0=1.0000344057 +x_0=150876.3018 +y_0=79170.7795 +ellps=GRQ80 +units=m +no_defs</f>
        <v>#NAME?</v>
      </c>
    </row>
    <row r="3677" spans="1:3" x14ac:dyDescent="0.25">
      <c r="A3677">
        <v>7551</v>
      </c>
      <c r="B3677" t="s">
        <v>5292</v>
      </c>
      <c r="C3677" t="e">
        <f>+proj=tmerc +lat_0=42.5388888888888 +lon_0=-90.1611111111111 +k=1.0000394961 +x_0=113081.0261 +y_0=0.0045 +ellps=GRQ80 +units=m +no_defs</f>
        <v>#NAME?</v>
      </c>
    </row>
    <row r="3678" spans="1:3" x14ac:dyDescent="0.25">
      <c r="A3678">
        <v>7552</v>
      </c>
      <c r="B3678" t="s">
        <v>5293</v>
      </c>
      <c r="C3678" t="e">
        <f>+proj=tmerc +lat_0=45.4333333333333 +lon_0=-90.2555555555555 +k=1.0000677153 +x_0=220980.4419 +y_0=0.0085 +ellps=GRQ80 +units=m +no_defs</f>
        <v>#NAME?</v>
      </c>
    </row>
    <row r="3679" spans="1:3" x14ac:dyDescent="0.25">
      <c r="A3679">
        <v>7553</v>
      </c>
      <c r="B3679" t="s">
        <v>5294</v>
      </c>
      <c r="C3679" t="e">
        <f>+proj=tmerc +lat_0=44.2533351277777 +lon_0=-90.8442965194444 +k=1.0000353 +x_0=27000 +y_0=25000 +ellps=GRQ80 +units=m +no_defs</f>
        <v>#NAME?</v>
      </c>
    </row>
    <row r="3680" spans="1:3" x14ac:dyDescent="0.25">
      <c r="A3680">
        <v>7554</v>
      </c>
      <c r="B3680" t="s">
        <v>5295</v>
      </c>
      <c r="C3680" t="e">
        <f>+proj=tmerc +lat_0=42.2166666666666 +lon_0=-87.8944444444444 +k=1.0000260649 +x_0=185928.3728 +y_0=0.0009 +ellps=GRQ80 +units=m +no_defs</f>
        <v>#NAME?</v>
      </c>
    </row>
    <row r="3681" spans="1:3" x14ac:dyDescent="0.25">
      <c r="A3681">
        <v>7555</v>
      </c>
      <c r="B3681" t="s">
        <v>5296</v>
      </c>
      <c r="C3681" t="e">
        <f>+proj=tmerc +lat_0=43.2666666666666 +lon_0=-87.55 +k=1.0000233704 +x_0=79857.7614 +y_0=0.0012 +ellps=GRQ80 +units=m +no_defs</f>
        <v>#NAME?</v>
      </c>
    </row>
    <row r="3682" spans="1:3" x14ac:dyDescent="0.25">
      <c r="A3682">
        <v>7556</v>
      </c>
      <c r="B3682" t="s">
        <v>5297</v>
      </c>
      <c r="C3682" t="e">
        <f>+proj=tmerc +lat_0=43.4511111111111 +lon_0=-91.3166666666666 +k=1.0000319985 +x_0=130454.6598 +y_0=0.0033 +ellps=GRQ80 +units=m +no_defs</f>
        <v>#NAME?</v>
      </c>
    </row>
    <row r="3683" spans="1:3" x14ac:dyDescent="0.25">
      <c r="A3683">
        <v>7557</v>
      </c>
      <c r="B3683" t="s">
        <v>5298</v>
      </c>
      <c r="C3683" t="e">
        <f>+proj=lcc +lat_1=45.1542371052777 +lat_0=45.1542371052777 +lon_0=-89.0333333333333 +k_0=1.0000627024 +x_0=198425.197 +y_0=105279.7829 +ellps=GRQ80 +units=m +no_defs</f>
        <v>#NAME?</v>
      </c>
    </row>
    <row r="3684" spans="1:3" x14ac:dyDescent="0.25">
      <c r="A3684">
        <v>7558</v>
      </c>
      <c r="B3684" t="s">
        <v>5299</v>
      </c>
      <c r="C3684" t="e">
        <f>+proj=tmerc +lat_0=44.8444444444444 +lon_0=-89.7333333333333 +k=1.0000599003 +x_0=116129.0323 +y_0=0.0058 +ellps=GRQ80 +units=m +no_defs</f>
        <v>#NAME?</v>
      </c>
    </row>
    <row r="3685" spans="1:3" x14ac:dyDescent="0.25">
      <c r="A3685">
        <v>7559</v>
      </c>
      <c r="B3685" t="s">
        <v>5300</v>
      </c>
      <c r="C3685" t="e">
        <f>+proj=lcc +lat_1=44.9009044236111 +lat_0=44.9009044236111 +lon_0=-89.77 +k_0=1.000053289 +x_0=74676.1493 +y_0=55049.2669 +ellps=GRQ80 +units=m +no_defs</f>
        <v>#NAME?</v>
      </c>
    </row>
    <row r="3686" spans="1:3" x14ac:dyDescent="0.25">
      <c r="A3686">
        <v>7560</v>
      </c>
      <c r="B3686" t="s">
        <v>5301</v>
      </c>
      <c r="C3686" t="e">
        <f>+proj=tmerc +lat_0=44.6916666666666 +lon_0=-87.7111111111111 +k=1.0000234982 +x_0=238658.8794 +y_0=0.0032 +ellps=GRQ80 +units=m +no_defs</f>
        <v>#NAME?</v>
      </c>
    </row>
    <row r="3687" spans="1:3" x14ac:dyDescent="0.25">
      <c r="A3687">
        <v>7561</v>
      </c>
      <c r="B3687" t="s">
        <v>5302</v>
      </c>
      <c r="C3687" t="e">
        <f>+proj=tmerc +lat_0=44.7166666666666 +lon_0=-88.4166666666666 +k=1.0000362499 +x_0=105461.0121 +y_0=0.0029 +ellps=GRQ80 +units=m +no_defs</f>
        <v>#NAME?</v>
      </c>
    </row>
    <row r="3688" spans="1:3" x14ac:dyDescent="0.25">
      <c r="A3688">
        <v>7562</v>
      </c>
      <c r="B3688" t="s">
        <v>5303</v>
      </c>
      <c r="C3688" t="e">
        <f>+proj=lcc +lat_1=44.0000739286111 +lat_0=44.0000739286111 +lon_0=-90.6416666666666 +k_0=1.0000434122 +x_0=204521.209 +y_0=121923.9861 +ellps=GRQ80 +units=m +no_defs</f>
        <v>#NAME?</v>
      </c>
    </row>
    <row r="3689" spans="1:3" x14ac:dyDescent="0.25">
      <c r="A3689">
        <v>7563</v>
      </c>
      <c r="B3689" t="s">
        <v>5304</v>
      </c>
      <c r="C3689" t="e">
        <f>+proj=tmerc +lat_0=44.3972222222222 +lon_0=-87.9083333333333 +k=1.0000236869 +x_0=182880.3676 +y_0=0.0033 +ellps=GRQ80 +units=m +no_defs</f>
        <v>#NAME?</v>
      </c>
    </row>
    <row r="3690" spans="1:3" x14ac:dyDescent="0.25">
      <c r="A3690">
        <v>7564</v>
      </c>
      <c r="B3690" t="s">
        <v>5305</v>
      </c>
      <c r="C3690" t="e">
        <f>+proj=lcc +lat_1=45.7042237702777 +lat_0=45.7042237702777 +lon_0=-89.5444444444444 +k_0=1.0000686968 +x_0=70104.1401 +y_0=57588.0346 +ellps=GRQ80 +units=m +no_defs</f>
        <v>#NAME?</v>
      </c>
    </row>
    <row r="3691" spans="1:3" x14ac:dyDescent="0.25">
      <c r="A3691">
        <v>7565</v>
      </c>
      <c r="B3691" t="s">
        <v>5306</v>
      </c>
      <c r="C3691" t="e">
        <f>+proj=lcc +lat_1=44.6361488719444 +lat_0=44.6361488719444 +lon_0=-92.2277777777777 +k_0=1.0000362977 +x_0=167640.3354 +y_0=86033.0876 +ellps=GRQ80 +units=m +no_defs</f>
        <v>#NAME?</v>
      </c>
    </row>
    <row r="3692" spans="1:3" x14ac:dyDescent="0.25">
      <c r="A3692">
        <v>7566</v>
      </c>
      <c r="B3692" t="s">
        <v>5307</v>
      </c>
      <c r="C3692" t="e">
        <f>+proj=tmerc +lat_0=44.6611111111111 +lon_0=-92.6333333333333 +k=1.0000433849 +x_0=141732.2823 +y_0=0.0059 +ellps=GRQ80 +units=m +no_defs</f>
        <v>#NAME?</v>
      </c>
    </row>
    <row r="3693" spans="1:3" x14ac:dyDescent="0.25">
      <c r="A3693">
        <v>7567</v>
      </c>
      <c r="B3693" t="s">
        <v>5308</v>
      </c>
      <c r="C3693" t="e">
        <f>+proj=lcc +lat_1=44.4168239752777 +lat_0=44.4168239752777 +lon_0=-89.5 +k_0=1.000039936 +x_0=56388.1128 +y_0=50022.1874 +ellps=GRQ80 +units=m +no_defs</f>
        <v>#NAME?</v>
      </c>
    </row>
    <row r="3694" spans="1:3" x14ac:dyDescent="0.25">
      <c r="A3694">
        <v>7568</v>
      </c>
      <c r="B3694" t="s">
        <v>5309</v>
      </c>
      <c r="C3694" t="e">
        <f>+proj=tmerc +lat_0=44.5555555555555 +lon_0=-90.4888888888888 +k=1.0000649554 +x_0=227990.8546 +y_0=0.0109 +ellps=GRQ80 +units=m +no_defs</f>
        <v>#NAME?</v>
      </c>
    </row>
    <row r="3695" spans="1:3" x14ac:dyDescent="0.25">
      <c r="A3695">
        <v>7569</v>
      </c>
      <c r="B3695" t="s">
        <v>5310</v>
      </c>
      <c r="C3695" t="e">
        <f>+proj=lcc +lat_1=43.3223129275 +lat_0=43.3223129275 +lon_0=-90.4305555555555 +k_0=1.0000375653 +x_0=202387.6048 +y_0=134255.4253 +ellps=GRQ80 +units=m +no_defs</f>
        <v>#NAME?</v>
      </c>
    </row>
    <row r="3696" spans="1:3" x14ac:dyDescent="0.25">
      <c r="A3696">
        <v>7570</v>
      </c>
      <c r="B3696" t="s">
        <v>5311</v>
      </c>
      <c r="C3696" t="e">
        <f>+proj=tmerc +lat_0=41.9444444444444 +lon_0=-89.0722222222222 +k=1.0000337311 +x_0=146304.2926 +y_0=0.0068 +ellps=GRQ80 +units=m +no_defs</f>
        <v>#NAME?</v>
      </c>
    </row>
    <row r="3697" spans="1:3" x14ac:dyDescent="0.25">
      <c r="A3697">
        <v>7571</v>
      </c>
      <c r="B3697" t="s">
        <v>5312</v>
      </c>
      <c r="C3697" t="e">
        <f>+proj=tmerc +lat_0=43.9194444444444 +lon_0=-91.0666666666666 +k=1.0000495976 +x_0=250546.1013 +y_0=0.0234 +ellps=GRQ80 +units=m +no_defs</f>
        <v>#NAME?</v>
      </c>
    </row>
    <row r="3698" spans="1:3" x14ac:dyDescent="0.25">
      <c r="A3698">
        <v>7572</v>
      </c>
      <c r="B3698" t="s">
        <v>5313</v>
      </c>
      <c r="C3698" t="e">
        <f>+proj=tmerc +lat_0=42.8194444444444 +lon_0=-89.9 +k=1.0000373868 +x_0=185623.5716 +y_0=0.0051 +ellps=GRQ80 +units=m +no_defs</f>
        <v>#NAME?</v>
      </c>
    </row>
    <row r="3699" spans="1:3" x14ac:dyDescent="0.25">
      <c r="A3699">
        <v>7573</v>
      </c>
      <c r="B3699" t="s">
        <v>5314</v>
      </c>
      <c r="C3699" t="e">
        <f>+proj=lcc +lat_1=45.9000991313888 +lat_0=45.9000991313888 +lon_0=-91.1166666666666 +k_0=1.0000573461 +x_0=216713.2336 +y_0=120734.1631 +ellps=GRQ80 +units=m +no_defs</f>
        <v>#NAME?</v>
      </c>
    </row>
    <row r="3700" spans="1:3" x14ac:dyDescent="0.25">
      <c r="A3700">
        <v>7574</v>
      </c>
      <c r="B3700" t="s">
        <v>5315</v>
      </c>
      <c r="C3700" t="e">
        <f>+proj=tmerc +lat_0=44.0361111111111 +lon_0=-88.6055555555555 +k=1.000032144 +x_0=262433.3253 +y_0=0.00959999999999999 +ellps=GRQ80 +units=m +no_defs</f>
        <v>#NAME?</v>
      </c>
    </row>
    <row r="3701" spans="1:3" x14ac:dyDescent="0.25">
      <c r="A3701">
        <v>7575</v>
      </c>
      <c r="B3701" t="s">
        <v>5316</v>
      </c>
      <c r="C3701" t="e">
        <f>+proj=tmerc +lat_0=44.0361111111111 +lon_0=-92.6333333333333 +k=1.0000381803 +x_0=165506.7302 +y_0=0.0103 +ellps=GRQ80 +units=m +no_defs</f>
        <v>#NAME?</v>
      </c>
    </row>
    <row r="3702" spans="1:3" x14ac:dyDescent="0.25">
      <c r="A3702">
        <v>7576</v>
      </c>
      <c r="B3702" t="s">
        <v>5317</v>
      </c>
      <c r="C3702" t="e">
        <f>+proj=lcc +lat_1=45.1778220858333 +lat_0=45.1778220858333 +lon_0=-90.4833333333333 +k_0=1.0000597566 +x_0=187147.5744 +y_0=107746.7522 +ellps=GRQ80 +units=m +no_defs</f>
        <v>#NAME?</v>
      </c>
    </row>
    <row r="3703" spans="1:3" x14ac:dyDescent="0.25">
      <c r="A3703">
        <v>7577</v>
      </c>
      <c r="B3703" t="s">
        <v>5318</v>
      </c>
      <c r="C3703" t="e">
        <f>+proj=tmerc +lat_0=43.1611111111111 +lon_0=-91.3666666666666 +k=1.0000361538 +x_0=256946.9138 +y_0=0.0041 +ellps=GRQ80 +units=m +no_defs</f>
        <v>#NAME?</v>
      </c>
    </row>
    <row r="3704" spans="1:3" x14ac:dyDescent="0.25">
      <c r="A3704">
        <v>7578</v>
      </c>
      <c r="B3704" t="s">
        <v>5319</v>
      </c>
      <c r="C3704" t="e">
        <f>+proj=lcc +lat_1=43.5750329397222 +lat_0=43.5750329397222 +lon_0=-90.7833333333333 +k_0=1.0000408158 +x_0=222504.4451 +y_0=47532.0602 +ellps=GRQ80 +units=m +no_defs</f>
        <v>#NAME?</v>
      </c>
    </row>
    <row r="3705" spans="1:3" x14ac:dyDescent="0.25">
      <c r="A3705">
        <v>7579</v>
      </c>
      <c r="B3705" t="s">
        <v>5320</v>
      </c>
      <c r="C3705" t="e">
        <f>+proj=lcc +lat_1=46.0778440905555 +lat_0=46.0778440905555 +lon_0=-89.4888888888888 +k_0=1.0000730142 +x_0=134417.0689 +y_0=50337.1092 +ellps=GRQ80 +units=m +no_defs</f>
        <v>#NAME?</v>
      </c>
    </row>
    <row r="3706" spans="1:3" x14ac:dyDescent="0.25">
      <c r="A3706">
        <v>7580</v>
      </c>
      <c r="B3706" t="s">
        <v>5321</v>
      </c>
      <c r="C3706" t="e">
        <f>+proj=lcc +lat_1=42.6694620969444 +lat_0=42.6694620969444 +lon_0=-88.5416666666666 +k_0=1.0000367192 +x_0=232562.8651 +y_0=111088.2224 +ellps=GRQ80 +units=m +no_defs</f>
        <v>#NAME?</v>
      </c>
    </row>
    <row r="3707" spans="1:3" x14ac:dyDescent="0.25">
      <c r="A3707">
        <v>7692</v>
      </c>
      <c r="B3707" t="s">
        <v>5322</v>
      </c>
      <c r="C3707" t="e">
        <f>+proj=tmerc +lat_0=0 +lon_0=68.5166666666666 +k=1 +x_0=1300000 +y_0=14743.5 +ellps=GRQ80 +units=m +no_defs</f>
        <v>#NAME?</v>
      </c>
    </row>
    <row r="3708" spans="1:3" x14ac:dyDescent="0.25">
      <c r="A3708">
        <v>7581</v>
      </c>
      <c r="B3708" t="s">
        <v>5323</v>
      </c>
      <c r="C3708" t="e">
        <f>+proj=lcc +lat_1=45.9612198333333 +lat_0=45.9612198333333 +lon_0=-91.7833333333333 +k_0=1.0000475376 +x_0=234086.8682 +y_0=188358.6058 +ellps=GRQ80 +units=m +no_defs</f>
        <v>#NAME?</v>
      </c>
    </row>
    <row r="3709" spans="1:3" x14ac:dyDescent="0.25">
      <c r="A3709">
        <v>7582</v>
      </c>
      <c r="B3709" t="s">
        <v>5324</v>
      </c>
      <c r="C3709" t="e">
        <f>+proj=tmerc +lat_0=42.9180555555555 +lon_0=-88.0638888888888 +k=1.00003738 +x_0=120091.4415 +y_0=0.003 +ellps=GRQ80 +units=m +no_defs</f>
        <v>#NAME?</v>
      </c>
    </row>
    <row r="3710" spans="1:3" x14ac:dyDescent="0.25">
      <c r="A3710">
        <v>7583</v>
      </c>
      <c r="B3710" t="s">
        <v>5325</v>
      </c>
      <c r="C3710" t="e">
        <f>+proj=tmerc +lat_0=42.5694444444444 +lon_0=-88.2249999999999 +k=1.0000346179 +x_0=208788.418 +y_0=0.0034 +ellps=GRQ80 +units=m +no_defs</f>
        <v>#NAME?</v>
      </c>
    </row>
    <row r="3711" spans="1:3" x14ac:dyDescent="0.25">
      <c r="A3711">
        <v>7584</v>
      </c>
      <c r="B3711" t="s">
        <v>5326</v>
      </c>
      <c r="C3711" t="e">
        <f>+proj=tmerc +lat_0=43.4202777777777 +lon_0=-88.8166666666666 +k=1.0000333645 +x_0=185013.9709 +y_0=0.007 +ellps=GRQ80 +units=m +no_defs</f>
        <v>#NAME?</v>
      </c>
    </row>
    <row r="3712" spans="1:3" x14ac:dyDescent="0.25">
      <c r="A3712">
        <v>7585</v>
      </c>
      <c r="B3712" t="s">
        <v>5327</v>
      </c>
      <c r="C3712" t="e">
        <f>+proj=lcc +lat_1=44.1139440458333 +lat_0=44.1139440458333 +lon_0=-89.2416666666666 +k_0=1.0000392096 +x_0=120091.4402 +y_0=45069.7587 +ellps=GRQ80 +units=m +no_defs</f>
        <v>#NAME?</v>
      </c>
    </row>
    <row r="3713" spans="1:3" x14ac:dyDescent="0.25">
      <c r="A3713">
        <v>7586</v>
      </c>
      <c r="B3713" t="s">
        <v>5328</v>
      </c>
      <c r="C3713" t="e">
        <f>+proj=lcc +lat_1=44.3625954694444 +lat_0=44.3625954694444 +lon_0=-90 +k_0=1.0000421209 +x_0=208483.6173 +y_0=134589.754 +ellps=GRQ80 +units=m +no_defs</f>
        <v>#NAME?</v>
      </c>
    </row>
    <row r="3714" spans="1:3" x14ac:dyDescent="0.25">
      <c r="A3714">
        <v>7587</v>
      </c>
      <c r="B3714" t="s">
        <v>5329</v>
      </c>
      <c r="C3714" t="e">
        <f>+proj=tmerc +lat_0=43.3666666666666 +lon_0=-90 +k=1.0000365285 +x_0=147218.694132588 +y_0=0.00365760731521463 +ellps=GRQ80 +units=us-ft +no_defs</f>
        <v>#NAME?</v>
      </c>
    </row>
    <row r="3715" spans="1:3" x14ac:dyDescent="0.25">
      <c r="A3715">
        <v>7588</v>
      </c>
      <c r="B3715" t="s">
        <v>5330</v>
      </c>
      <c r="C3715" t="e">
        <f>+proj=tmerc +lat_0=45.7061111111111 +lon_0=-90.6222222222222 +k=1.0000495683 +x_0=172821.945948692 +y_0=0.00182880365760731 +ellps=GRQ80 +units=us-ft +no_defs</f>
        <v>#NAME?</v>
      </c>
    </row>
    <row r="3716" spans="1:3" x14ac:dyDescent="0.25">
      <c r="A3716">
        <v>7589</v>
      </c>
      <c r="B3716" t="s">
        <v>5331</v>
      </c>
      <c r="C3716" t="e">
        <f>+proj=tmerc +lat_0=45.1333333333333 +lon_0=-91.8499999999999 +k=1.0000486665 +x_0=93150 +y_0=0.00304800609601219 +ellps=GRQ80 +units=us-ft +no_defs</f>
        <v>#NAME?</v>
      </c>
    </row>
    <row r="3717" spans="1:3" x14ac:dyDescent="0.25">
      <c r="A3717">
        <v>7590</v>
      </c>
      <c r="B3717" t="s">
        <v>5332</v>
      </c>
      <c r="C3717" t="e">
        <f>+proj=lcc +lat_1=46.6696483772222 +lat_0=46.6696483772222 +lon_0=-91.1527777777777 +k_0=1.0000331195 +x_0=228600.457505715 +y_0=148551.483566167 +ellps=GRQ80 +units=us-ft +no_defs</f>
        <v>#NAME?</v>
      </c>
    </row>
    <row r="3718" spans="1:3" x14ac:dyDescent="0.25">
      <c r="A3718">
        <v>7591</v>
      </c>
      <c r="B3718" t="s">
        <v>5333</v>
      </c>
      <c r="C3718" t="e">
        <f>+proj=tmerc +lat_0=43 +lon_0=-88 +k=1.00002 +x_0=31599.9998983997 +y_0=4599.99989839979 +ellps=GRQ80 +units=us-ft +no_defs</f>
        <v>#NAME?</v>
      </c>
    </row>
    <row r="3719" spans="1:3" x14ac:dyDescent="0.25">
      <c r="A3719">
        <v>7592</v>
      </c>
      <c r="B3719" t="s">
        <v>5334</v>
      </c>
      <c r="C3719" t="e">
        <f>+proj=tmerc +lat_0=43.4813888888888 +lon_0=-91.7972222222222 +k=1.0000382778 +x_0=175260.3502159 +y_0=0.0048768097536195 +ellps=GRQ80 +units=us-ft +no_defs</f>
        <v>#NAME?</v>
      </c>
    </row>
    <row r="3720" spans="1:3" x14ac:dyDescent="0.25">
      <c r="A3720">
        <v>7593</v>
      </c>
      <c r="B3720" t="s">
        <v>5335</v>
      </c>
      <c r="C3720" t="e">
        <f>+proj=lcc +lat_1=45.8987148658333 +lat_0=45.8987148658333 +lon_0=-92.4577777777777 +k_0=1.0000383841 +x_0=64008.1277114554 +y_0=59445.9041910083 +ellps=GRQ80 +units=us-ft +no_defs</f>
        <v>#NAME?</v>
      </c>
    </row>
    <row r="3721" spans="1:3" x14ac:dyDescent="0.25">
      <c r="A3721">
        <v>7594</v>
      </c>
      <c r="B3721" t="s">
        <v>5336</v>
      </c>
      <c r="C3721" t="e">
        <f>+proj=tmerc +lat_0=42.7194444444444 +lon_0=-88.5 +k=1.0000286569 +x_0=244754.889204978 +y_0=0.0048768097536195 +ellps=GRQ80 +units=us-ft +no_defs</f>
        <v>#NAME?</v>
      </c>
    </row>
    <row r="3722" spans="1:3" x14ac:dyDescent="0.25">
      <c r="A3722">
        <v>7595</v>
      </c>
      <c r="B3722" t="s">
        <v>5337</v>
      </c>
      <c r="C3722" t="e">
        <f>+proj=lcc +lat_1=44.9778568986111 +lat_0=44.9778568986111 +lon_0=-91.2944444444444 +k_0=1.0000391127 +x_0=60045.7200914401 +y_0=44091.4344932689 +ellps=GRQ80 +units=us-ft +no_defs</f>
        <v>#NAME?</v>
      </c>
    </row>
    <row r="3723" spans="1:3" x14ac:dyDescent="0.25">
      <c r="A3723">
        <v>7596</v>
      </c>
      <c r="B3723" t="s">
        <v>5338</v>
      </c>
      <c r="C3723" t="e">
        <f>+proj=tmerc +lat_0=43.6 +lon_0=-90.7083333333333 +k=1.0000463003 +x_0=199949.198983998 +y_0=0.00853441706883413 +ellps=GRQ80 +units=us-ft +no_defs</f>
        <v>#NAME?</v>
      </c>
    </row>
    <row r="3724" spans="1:3" x14ac:dyDescent="0.25">
      <c r="A3724">
        <v>7597</v>
      </c>
      <c r="B3724" t="s">
        <v>5339</v>
      </c>
      <c r="C3724" t="e">
        <f>+proj=lcc +lat_1=43.4625466458333 +lat_0=43.4625466458333 +lon_0=-89.3944444444444 +k_0=1.00003498 +x_0=169164.338023876 +y_0=111569.613512827 +ellps=GRQ80 +units=us-ft +no_defs</f>
        <v>#NAME?</v>
      </c>
    </row>
    <row r="3725" spans="1:3" x14ac:dyDescent="0.25">
      <c r="A3725">
        <v>4958</v>
      </c>
      <c r="B3725" t="s">
        <v>5340</v>
      </c>
      <c r="C3725" t="e">
        <f>+proj=geocent +ellps=GRQ80 +units=m +no_defs</f>
        <v>#NAME?</v>
      </c>
    </row>
    <row r="3726" spans="1:3" x14ac:dyDescent="0.25">
      <c r="A3726">
        <v>7598</v>
      </c>
      <c r="B3726" t="s">
        <v>5341</v>
      </c>
      <c r="C3726" t="e">
        <f>+proj=lcc +lat_1=43.200055605 +lat_0=43.200055605 +lon_0=-90.9388888888889 +k_0=1.0000349151 +x_0=113690.627381254 +y_0=53703.1202438404 +ellps=GRQ80 +units=us-ft +no_defs</f>
        <v>#NAME?</v>
      </c>
    </row>
    <row r="3727" spans="1:3" x14ac:dyDescent="0.25">
      <c r="A3727">
        <v>7599</v>
      </c>
      <c r="B3727" t="s">
        <v>5342</v>
      </c>
      <c r="C3727" t="e">
        <f>+proj=lcc +lat_1=43.0695160375 +lat_0=43.0695160375 +lon_0=-89.4222222222222 +k_0=1.0000384786 +x_0=247193.294386588 +y_0=146591.989636779 +ellps=GRQ80 +units=us-ft +no_defs</f>
        <v>#NAME?</v>
      </c>
    </row>
    <row r="3728" spans="1:3" x14ac:dyDescent="0.25">
      <c r="A3728">
        <v>7600</v>
      </c>
      <c r="B3728" t="s">
        <v>5343</v>
      </c>
      <c r="C3728" t="e">
        <f>+proj=tmerc +lat_0=41.4722222222222 +lon_0=-88.775 +k=1.0000346418 +x_0=263347.726390652 +y_0=0.00762001524003048 +ellps=GRQ80 +units=us-ft +no_defs</f>
        <v>#NAME?</v>
      </c>
    </row>
    <row r="3729" spans="1:3" x14ac:dyDescent="0.25">
      <c r="A3729">
        <v>7601</v>
      </c>
      <c r="B3729" t="s">
        <v>5344</v>
      </c>
      <c r="C3729" t="e">
        <f>+proj=tmerc +lat_0=44.4 +lon_0=-87.2722222222222 +k=1.0000187521 +x_0=158801.117602235 +y_0=0.00243840487680975 +ellps=GRQ80 +units=us-ft +no_defs</f>
        <v>#NAME?</v>
      </c>
    </row>
    <row r="3730" spans="1:3" x14ac:dyDescent="0.25">
      <c r="A3730">
        <v>7602</v>
      </c>
      <c r="B3730" t="s">
        <v>5345</v>
      </c>
      <c r="C3730" t="e">
        <f>+proj=tmerc +lat_0=45.8833333333333 +lon_0=-91.9166666666666 +k=1.0000385418 +x_0=59131.3182626365 +y_0=0.00396240792481584 +ellps=GRQ80 +units=us-ft +no_defs</f>
        <v>#NAME?</v>
      </c>
    </row>
    <row r="3731" spans="1:3" x14ac:dyDescent="0.25">
      <c r="A3731">
        <v>7603</v>
      </c>
      <c r="B3731" t="s">
        <v>5346</v>
      </c>
      <c r="C3731" t="e">
        <f>+proj=tmerc +lat_0=44.4083333333333 +lon_0=-91.8944444444444 +k=1.0000410324 +x_0=51816.1039370078 +y_0=0.00304800609601219 +ellps=GRQ80 +units=us-ft +no_defs</f>
        <v>#NAME?</v>
      </c>
    </row>
    <row r="3732" spans="1:3" x14ac:dyDescent="0.25">
      <c r="A3732">
        <v>7604</v>
      </c>
      <c r="B3732" t="s">
        <v>5347</v>
      </c>
      <c r="C3732" t="e">
        <f>+proj=lcc +lat_1=44.8722811263888 +lat_0=44.8722811263888 +lon_0=-91.2888888888888 +k_0=1.000035079 +x_0=120091.44018288 +y_0=91687.9239014478 +ellps=GRQ80 +units=us-ft +no_defs</f>
        <v>#NAME?</v>
      </c>
    </row>
    <row r="3733" spans="1:3" x14ac:dyDescent="0.25">
      <c r="A3733">
        <v>7605</v>
      </c>
      <c r="B3733" t="s">
        <v>5348</v>
      </c>
      <c r="C3733" t="e">
        <f>+proj=tmerc +lat_0=45.4388888888888 +lon_0=-88.1416666666666 +k=1.0000552095 +x_0=133502.668224536 +y_0=0.0064008128016256 +ellps=GRQ80 +units=us-ft +no_defs</f>
        <v>#NAME?</v>
      </c>
    </row>
    <row r="3734" spans="1:3" x14ac:dyDescent="0.25">
      <c r="A3734">
        <v>4960</v>
      </c>
      <c r="B3734" t="s">
        <v>5349</v>
      </c>
      <c r="C3734" t="e">
        <f>+proj=geocent +ellps=GRQ80 +units=m +no_defs</f>
        <v>#NAME?</v>
      </c>
    </row>
    <row r="3735" spans="1:3" x14ac:dyDescent="0.25">
      <c r="A3735">
        <v>7606</v>
      </c>
      <c r="B3735" t="s">
        <v>5350</v>
      </c>
      <c r="C3735" t="e">
        <f>+proj=tmerc +lat_0=44.0055555555555 +lon_0=-88.6333333333333 +k=1.0000673004 +x_0=275844.553213106 +y_0=0.0158496316992634 +ellps=GRQ80 +units=us-ft +no_defs</f>
        <v>#NAME?</v>
      </c>
    </row>
    <row r="3736" spans="1:3" x14ac:dyDescent="0.25">
      <c r="A3736">
        <v>7607</v>
      </c>
      <c r="B3736" t="s">
        <v>5351</v>
      </c>
      <c r="C3736" t="e">
        <f>+proj=tmerc +lat_0=41.4111111111111 +lon_0=-90.8 +k=1.0000349452 +x_0=242316.484023368 +y_0=0.0100584201168402 +ellps=GRQ80 +units=us-ft +no_defs</f>
        <v>#NAME?</v>
      </c>
    </row>
    <row r="3737" spans="1:3" x14ac:dyDescent="0.25">
      <c r="A3737">
        <v>7608</v>
      </c>
      <c r="B3737" t="s">
        <v>5352</v>
      </c>
      <c r="C3737" t="e">
        <f>+proj=lcc +lat_1=42.6375622769444 +lat_0=42.6375622769444 +lon_0=-89.8388888888888 +k_0=1.0000390487 +x_0=170078.74015748 +y_0=45830.2948437896 +ellps=GRQ80 +units=us-ft +no_defs</f>
        <v>#NAME?</v>
      </c>
    </row>
    <row r="3738" spans="1:3" x14ac:dyDescent="0.25">
      <c r="A3738">
        <v>7609</v>
      </c>
      <c r="B3738" t="s">
        <v>5353</v>
      </c>
      <c r="C3738" t="e">
        <f>+proj=lcc +lat_1=43.8070001177777 +lat_0=43.8070001177777 +lon_0=-89.2416666666666 +k_0=1.0000344057 +x_0=150876.301752603 +y_0=79170.7793751587 +ellps=GRQ80 +units=us-ft +no_defs</f>
        <v>#NAME?</v>
      </c>
    </row>
    <row r="3739" spans="1:3" x14ac:dyDescent="0.25">
      <c r="A3739">
        <v>7610</v>
      </c>
      <c r="B3739" t="s">
        <v>5354</v>
      </c>
      <c r="C3739" t="e">
        <f>+proj=tmerc +lat_0=42.5388888888888 +lon_0=-90.1611111111111 +k=1.0000394961 +x_0=113081.026162052 +y_0=0.00457200914401828 +ellps=GRQ80 +units=us-ft +no_defs</f>
        <v>#NAME?</v>
      </c>
    </row>
    <row r="3740" spans="1:3" x14ac:dyDescent="0.25">
      <c r="A3740">
        <v>7611</v>
      </c>
      <c r="B3740" t="s">
        <v>5355</v>
      </c>
      <c r="C3740" t="e">
        <f>+proj=tmerc +lat_0=45.4333333333333 +lon_0=-90.2555555555555 +k=1.0000677153 +x_0=220980.441960883 +y_0=0.00853441706883413 +ellps=GRQ80 +units=us-ft +no_defs</f>
        <v>#NAME?</v>
      </c>
    </row>
    <row r="3741" spans="1:3" x14ac:dyDescent="0.25">
      <c r="A3741">
        <v>7612</v>
      </c>
      <c r="B3741" t="s">
        <v>5356</v>
      </c>
      <c r="C3741" t="e">
        <f>+proj=tmerc +lat_0=44.2533351277777 +lon_0=-90.8442965194444 +k=1.0000353 +x_0=27000 +y_0=24999.9998983997 +ellps=GRQ80 +units=us-ft +no_defs</f>
        <v>#NAME?</v>
      </c>
    </row>
    <row r="3742" spans="1:3" x14ac:dyDescent="0.25">
      <c r="A3742">
        <v>7613</v>
      </c>
      <c r="B3742" t="s">
        <v>5357</v>
      </c>
      <c r="C3742" t="e">
        <f>+proj=tmerc +lat_0=42.2166666666666 +lon_0=-87.8944444444444 +k=1.0000260649 +x_0=185928.372771145 +y_0=0.000914401828803657 +ellps=GRQ80 +units=us-ft +no_defs</f>
        <v>#NAME?</v>
      </c>
    </row>
    <row r="3743" spans="1:3" x14ac:dyDescent="0.25">
      <c r="A3743">
        <v>4962</v>
      </c>
      <c r="B3743" t="s">
        <v>5358</v>
      </c>
      <c r="C3743" t="e">
        <f>+proj=geocent +ellps=GRQ80 +units=m +no_defs</f>
        <v>#NAME?</v>
      </c>
    </row>
    <row r="3744" spans="1:3" x14ac:dyDescent="0.25">
      <c r="A3744">
        <v>7614</v>
      </c>
      <c r="B3744" t="s">
        <v>5359</v>
      </c>
      <c r="C3744" t="e">
        <f>+proj=tmerc +lat_0=43.2666666666666 +lon_0=-87.55 +k=1.0000233704 +x_0=79857.761544323 +y_0=0.00121920243840487 +ellps=GRQ80 +units=us-ft +no_defs</f>
        <v>#NAME?</v>
      </c>
    </row>
    <row r="3745" spans="1:3" x14ac:dyDescent="0.25">
      <c r="A3745">
        <v>7615</v>
      </c>
      <c r="B3745" t="s">
        <v>5360</v>
      </c>
      <c r="C3745" t="e">
        <f>+proj=tmerc +lat_0=43.4511111111111 +lon_0=-91.3166666666666 +k=1.0000319985 +x_0=130454.659690119 +y_0=0.00335280670561341 +ellps=GRQ80 +units=us-ft +no_defs</f>
        <v>#NAME?</v>
      </c>
    </row>
    <row r="3746" spans="1:3" x14ac:dyDescent="0.25">
      <c r="A3746">
        <v>7616</v>
      </c>
      <c r="B3746" t="s">
        <v>5361</v>
      </c>
      <c r="C3746" t="e">
        <f>+proj=lcc +lat_1=45.1542371052777 +lat_0=45.1542371052777 +lon_0=-89.0333333333333 +k_0=1.0000627024 +x_0=198425.196850393 +y_0=105279.782880365 +ellps=GRQ80 +units=us-ft +no_defs</f>
        <v>#NAME?</v>
      </c>
    </row>
    <row r="3747" spans="1:3" x14ac:dyDescent="0.25">
      <c r="A3747">
        <v>7617</v>
      </c>
      <c r="B3747" t="s">
        <v>5362</v>
      </c>
      <c r="C3747" t="e">
        <f>+proj=tmerc +lat_0=44.8444444444444 +lon_0=-89.7333333333333 +k=1.0000599003 +x_0=116129.032258064 +y_0=0.00579121158242316 +ellps=GRQ80 +units=us-ft +no_defs</f>
        <v>#NAME?</v>
      </c>
    </row>
    <row r="3748" spans="1:3" x14ac:dyDescent="0.25">
      <c r="A3748">
        <v>7618</v>
      </c>
      <c r="B3748" t="s">
        <v>5363</v>
      </c>
      <c r="C3748" t="e">
        <f>+proj=lcc +lat_1=44.9009044236111 +lat_0=44.9009044236111 +lon_0=-89.77 +k_0=1.000053289 +x_0=74676.1493522987 +y_0=55049.2669545339 +ellps=GRQ80 +units=us-ft +no_defs</f>
        <v>#NAME?</v>
      </c>
    </row>
    <row r="3749" spans="1:3" x14ac:dyDescent="0.25">
      <c r="A3749">
        <v>7619</v>
      </c>
      <c r="B3749" t="s">
        <v>5364</v>
      </c>
      <c r="C3749" t="e">
        <f>+proj=tmerc +lat_0=44.6916666666666 +lon_0=-87.7111111111111 +k=1.0000234982 +x_0=238658.879451358 +y_0=0.00304800609601219 +ellps=GRQ80 +units=us-ft +no_defs</f>
        <v>#NAME?</v>
      </c>
    </row>
    <row r="3750" spans="1:3" x14ac:dyDescent="0.25">
      <c r="A3750">
        <v>7620</v>
      </c>
      <c r="B3750" t="s">
        <v>5365</v>
      </c>
      <c r="C3750" t="e">
        <f>+proj=tmerc +lat_0=44.7166666666666 +lon_0=-88.4166666666666 +k=1.0000362499 +x_0=105461.012141224 +y_0=0.00304800609601219 +ellps=GRQ80 +units=us-ft +no_defs</f>
        <v>#NAME?</v>
      </c>
    </row>
    <row r="3751" spans="1:3" x14ac:dyDescent="0.25">
      <c r="A3751">
        <v>7621</v>
      </c>
      <c r="B3751" t="s">
        <v>5366</v>
      </c>
      <c r="C3751" t="e">
        <f>+proj=lcc +lat_1=44.0000739286111 +lat_0=44.0000739286111 +lon_0=-90.6416666666666 +k_0=1.0000434122 +x_0=204521.209042418 +y_0=121923.986182372 +ellps=GRQ80 +units=us-ft +no_defs</f>
        <v>#NAME?</v>
      </c>
    </row>
    <row r="3752" spans="1:3" x14ac:dyDescent="0.25">
      <c r="A3752">
        <v>4964</v>
      </c>
      <c r="B3752" t="s">
        <v>5367</v>
      </c>
      <c r="C3752" t="e">
        <f>+proj=geocent +ellps=GRQ80 +units=m +no_defs</f>
        <v>#NAME?</v>
      </c>
    </row>
    <row r="3753" spans="1:3" x14ac:dyDescent="0.25">
      <c r="A3753">
        <v>7622</v>
      </c>
      <c r="B3753" t="s">
        <v>5368</v>
      </c>
      <c r="C3753" t="e">
        <f>+proj=tmerc +lat_0=44.3972222222222 +lon_0=-87.9083333333333 +k=1.0000236869 +x_0=182880.367589535 +y_0=0.00335280670561341 +ellps=GRQ80 +units=us-ft +no_defs</f>
        <v>#NAME?</v>
      </c>
    </row>
    <row r="3754" spans="1:3" x14ac:dyDescent="0.25">
      <c r="A3754">
        <v>7623</v>
      </c>
      <c r="B3754" t="s">
        <v>5369</v>
      </c>
      <c r="C3754" t="e">
        <f>+proj=lcc +lat_1=45.7042237702777 +lat_0=45.7042237702777 +lon_0=-89.5444444444444 +k_0=1.0000686968 +x_0=70104.1402082804 +y_0=57588.0347472694 +ellps=GRQ80 +units=us-ft +no_defs</f>
        <v>#NAME?</v>
      </c>
    </row>
    <row r="3755" spans="1:3" x14ac:dyDescent="0.25">
      <c r="A3755">
        <v>7624</v>
      </c>
      <c r="B3755" t="s">
        <v>5370</v>
      </c>
      <c r="C3755" t="e">
        <f>+proj=lcc +lat_1=44.6361488719444 +lat_0=44.6361488719444 +lon_0=-92.2277777777777 +k_0=1.0000362977 +x_0=167640.33528067 +y_0=86033.0877317754 +ellps=GRQ80 +units=us-ft +no_defs</f>
        <v>#NAME?</v>
      </c>
    </row>
    <row r="3756" spans="1:3" x14ac:dyDescent="0.25">
      <c r="A3756">
        <v>7625</v>
      </c>
      <c r="B3756" t="s">
        <v>5371</v>
      </c>
      <c r="C3756" t="e">
        <f>+proj=tmerc +lat_0=44.6611111111111 +lon_0=-92.6333333333333 +k=1.0000433849 +x_0=141732.282245364 +y_0=0.00579121158242316 +ellps=GRQ80 +units=us-ft +no_defs</f>
        <v>#NAME?</v>
      </c>
    </row>
    <row r="3757" spans="1:3" x14ac:dyDescent="0.25">
      <c r="A3757">
        <v>7626</v>
      </c>
      <c r="B3757" t="s">
        <v>5372</v>
      </c>
      <c r="C3757" t="e">
        <f>+proj=lcc +lat_1=44.4168239752777 +lat_0=44.4168239752777 +lon_0=-89.5 +k_0=1.000039936 +x_0=56388.1127762255 +y_0=50022.1874523749 +ellps=GRQ80 +units=us-ft +no_defs</f>
        <v>#NAME?</v>
      </c>
    </row>
    <row r="3758" spans="1:3" x14ac:dyDescent="0.25">
      <c r="A3758">
        <v>7627</v>
      </c>
      <c r="B3758" t="s">
        <v>5373</v>
      </c>
      <c r="C3758" t="e">
        <f>+proj=tmerc +lat_0=44.5555555555555 +lon_0=-90.4888888888888 +k=1.0000649554 +x_0=227990.854457708 +y_0=0.0109728219456438 +ellps=GRQ80 +units=us-ft +no_defs</f>
        <v>#NAME?</v>
      </c>
    </row>
    <row r="3759" spans="1:3" x14ac:dyDescent="0.25">
      <c r="A3759">
        <v>7628</v>
      </c>
      <c r="B3759" t="s">
        <v>5374</v>
      </c>
      <c r="C3759" t="e">
        <f>+proj=lcc +lat_1=43.3223129275 +lat_0=43.3223129275 +lon_0=-90.4305555555555 +k_0=1.0000375653 +x_0=202387.604775209 +y_0=134255.42545085 +ellps=GRQ80 +units=us-ft +no_defs</f>
        <v>#NAME?</v>
      </c>
    </row>
    <row r="3760" spans="1:3" x14ac:dyDescent="0.25">
      <c r="A3760">
        <v>7629</v>
      </c>
      <c r="B3760" t="s">
        <v>5375</v>
      </c>
      <c r="C3760" t="e">
        <f>+proj=tmerc +lat_0=41.9444444444444 +lon_0=-89.0722222222222 +k=1.0000337311 +x_0=146304.292608585 +y_0=0.00670561341122682 +ellps=GRQ80 +units=us-ft +no_defs</f>
        <v>#NAME?</v>
      </c>
    </row>
    <row r="3761" spans="1:3" x14ac:dyDescent="0.25">
      <c r="A3761">
        <v>4966</v>
      </c>
      <c r="B3761" t="s">
        <v>5376</v>
      </c>
      <c r="C3761" t="e">
        <f>+proj=geocent +ellps=GRQ80 +units=m +no_defs</f>
        <v>#NAME?</v>
      </c>
    </row>
    <row r="3762" spans="1:3" x14ac:dyDescent="0.25">
      <c r="A3762">
        <v>7630</v>
      </c>
      <c r="B3762" t="s">
        <v>5377</v>
      </c>
      <c r="C3762" t="e">
        <f>+proj=tmerc +lat_0=43.9194444444444 +lon_0=-91.0666666666666 +k=1.0000495976 +x_0=250546.101397002 +y_0=0.0234696469392938 +ellps=GRQ80 +units=us-ft +no_defs</f>
        <v>#NAME?</v>
      </c>
    </row>
    <row r="3763" spans="1:3" x14ac:dyDescent="0.25">
      <c r="A3763">
        <v>7631</v>
      </c>
      <c r="B3763" t="s">
        <v>5378</v>
      </c>
      <c r="C3763" t="e">
        <f>+proj=tmerc +lat_0=42.8194444444444 +lon_0=-89.9 +k=1.0000373868 +x_0=185623.571551943 +y_0=0.00518161036322072 +ellps=GRQ80 +units=us-ft +no_defs</f>
        <v>#NAME?</v>
      </c>
    </row>
    <row r="3764" spans="1:3" x14ac:dyDescent="0.25">
      <c r="A3764">
        <v>7632</v>
      </c>
      <c r="B3764" t="s">
        <v>5379</v>
      </c>
      <c r="C3764" t="e">
        <f>+proj=lcc +lat_1=45.9000991313888 +lat_0=45.9000991313888 +lon_0=-91.1166666666666 +k_0=1.0000573461 +x_0=216713.233731267 +y_0=120734.163169926 +ellps=GRQ80 +units=us-ft +no_defs</f>
        <v>#NAME?</v>
      </c>
    </row>
    <row r="3765" spans="1:3" x14ac:dyDescent="0.25">
      <c r="A3765">
        <v>7633</v>
      </c>
      <c r="B3765" t="s">
        <v>5380</v>
      </c>
      <c r="C3765" t="e">
        <f>+proj=tmerc +lat_0=44.0361111111111 +lon_0=-88.6055555555555 +k=1.000032144 +x_0=262433.32517145 +y_0=0.00944881889763779 +ellps=GRQ80 +units=us-ft +no_defs</f>
        <v>#NAME?</v>
      </c>
    </row>
    <row r="3766" spans="1:3" x14ac:dyDescent="0.25">
      <c r="A3766">
        <v>7634</v>
      </c>
      <c r="B3766" t="s">
        <v>5381</v>
      </c>
      <c r="C3766" t="e">
        <f>+proj=tmerc +lat_0=44.0361111111111 +lon_0=-92.6333333333333 +k=1.0000381803 +x_0=165506.73009906 +y_0=0.0103632207264414 +ellps=GRQ80 +units=us-ft +no_defs</f>
        <v>#NAME?</v>
      </c>
    </row>
    <row r="3767" spans="1:3" x14ac:dyDescent="0.25">
      <c r="A3767">
        <v>7635</v>
      </c>
      <c r="B3767" t="s">
        <v>5382</v>
      </c>
      <c r="C3767" t="e">
        <f>+proj=lcc +lat_1=45.1778220858333 +lat_0=45.1778220858333 +lon_0=-90.4833333333333 +k_0=1.0000597566 +x_0=187147.574295148 +y_0=107746.752146304 +ellps=GRQ80 +units=us-ft +no_defs</f>
        <v>#NAME?</v>
      </c>
    </row>
    <row r="3768" spans="1:3" x14ac:dyDescent="0.25">
      <c r="A3768">
        <v>7636</v>
      </c>
      <c r="B3768" t="s">
        <v>5383</v>
      </c>
      <c r="C3768" t="e">
        <f>+proj=tmerc +lat_0=43.1611111111111 +lon_0=-91.3666666666666 +k=1.0000361538 +x_0=256946.913893827 +y_0=0.00396240792481584 +ellps=GRQ80 +units=us-ft +no_defs</f>
        <v>#NAME?</v>
      </c>
    </row>
    <row r="3769" spans="1:3" x14ac:dyDescent="0.25">
      <c r="A3769">
        <v>7637</v>
      </c>
      <c r="B3769" t="s">
        <v>5384</v>
      </c>
      <c r="C3769" t="e">
        <f>+proj=lcc +lat_1=43.5750329397222 +lat_0=43.5750329397222 +lon_0=-90.7833333333333 +k_0=1.0000408158 +x_0=222504.44500889 +y_0=47532.0603505207 +ellps=GRQ80 +units=us-ft +no_defs</f>
        <v>#NAME?</v>
      </c>
    </row>
    <row r="3770" spans="1:3" x14ac:dyDescent="0.25">
      <c r="A3770">
        <v>4968</v>
      </c>
      <c r="B3770" t="s">
        <v>5385</v>
      </c>
      <c r="C3770" t="e">
        <f>+proj=geocent +ellps=intl +units=m +no_defs</f>
        <v>#NAME?</v>
      </c>
    </row>
    <row r="3771" spans="1:3" x14ac:dyDescent="0.25">
      <c r="A3771">
        <v>7638</v>
      </c>
      <c r="B3771" t="s">
        <v>5386</v>
      </c>
      <c r="C3771" t="e">
        <f>+proj=lcc +lat_1=46.0778440905555 +lat_0=46.0778440905555 +lon_0=-89.4888888888888 +k_0=1.0000730142 +x_0=134417.068834137 +y_0=50337.1092710185 +ellps=GRQ80 +units=us-ft +no_defs</f>
        <v>#NAME?</v>
      </c>
    </row>
    <row r="3772" spans="1:3" x14ac:dyDescent="0.25">
      <c r="A3772">
        <v>7639</v>
      </c>
      <c r="B3772" t="s">
        <v>5387</v>
      </c>
      <c r="C3772" t="e">
        <f>+proj=lcc +lat_1=42.6694620969444 +lat_0=42.6694620969444 +lon_0=-88.5416666666666 +k_0=1.0000367192 +x_0=232562.86512573 +y_0=111088.222402844 +ellps=GRQ80 +units=us-ft +no_defs</f>
        <v>#NAME?</v>
      </c>
    </row>
    <row r="3773" spans="1:3" x14ac:dyDescent="0.25">
      <c r="A3773">
        <v>7640</v>
      </c>
      <c r="B3773" t="s">
        <v>5388</v>
      </c>
      <c r="C3773" t="e">
        <f>+proj=lcc +lat_1=45.9612198333333 +lat_0=45.9612198333333 +lon_0=-91.7833333333333 +k_0=1.0000475376 +x_0=234086.868173736 +y_0=188358.605943611 +ellps=GRQ80 +units=us-ft +no_defs</f>
        <v>#NAME?</v>
      </c>
    </row>
    <row r="3774" spans="1:3" x14ac:dyDescent="0.25">
      <c r="A3774">
        <v>7641</v>
      </c>
      <c r="B3774" t="s">
        <v>5389</v>
      </c>
      <c r="C3774" t="e">
        <f>+proj=tmerc +lat_0=42.9180555555555 +lon_0=-88.0638888888888 +k=1.00003738 +x_0=120091.441402082 +y_0=0.00304800609601219 +ellps=GRQ80 +units=us-ft +no_defs</f>
        <v>#NAME?</v>
      </c>
    </row>
    <row r="3775" spans="1:3" x14ac:dyDescent="0.25">
      <c r="A3775">
        <v>7642</v>
      </c>
      <c r="B3775" t="s">
        <v>5390</v>
      </c>
      <c r="C3775" t="e">
        <f>+proj=tmerc +lat_0=42.5694444444444 +lon_0=-88.2249999999999 +k=1.0000346179 +x_0=208788.417881635 +y_0=0.00335280670561341 +ellps=GRQ80 +units=us-ft +no_defs</f>
        <v>#NAME?</v>
      </c>
    </row>
    <row r="3776" spans="1:3" x14ac:dyDescent="0.25">
      <c r="A3776">
        <v>7643</v>
      </c>
      <c r="B3776" t="s">
        <v>5391</v>
      </c>
      <c r="C3776" t="e">
        <f>+proj=tmerc +lat_0=43.4202777777777 +lon_0=-88.8166666666666 +k=1.0000333645 +x_0=185013.970942341 +y_0=0.00701041402082804 +ellps=GRQ80 +units=us-ft +no_defs</f>
        <v>#NAME?</v>
      </c>
    </row>
    <row r="3777" spans="1:3" x14ac:dyDescent="0.25">
      <c r="A3777">
        <v>7644</v>
      </c>
      <c r="B3777" t="s">
        <v>5392</v>
      </c>
      <c r="C3777" t="e">
        <f>+proj=lcc +lat_1=44.1139440458333 +lat_0=44.1139440458333 +lon_0=-89.2416666666666 +k_0=1.0000392096 +x_0=120091.44018288 +y_0=45069.7588011176 +ellps=GRQ80 +units=us-ft +no_defs</f>
        <v>#NAME?</v>
      </c>
    </row>
    <row r="3778" spans="1:3" x14ac:dyDescent="0.25">
      <c r="A3778">
        <v>7645</v>
      </c>
      <c r="B3778" t="s">
        <v>5393</v>
      </c>
      <c r="C3778" t="e">
        <f>+proj=lcc +lat_1=44.3625954694444 +lat_0=44.3625954694444 +lon_0=-90 +k_0=1.0000421209 +x_0=208483.617272034 +y_0=134589.753924307 +ellps=GRQ80 +units=us-ft +no_defs</f>
        <v>#NAME?</v>
      </c>
    </row>
    <row r="3779" spans="1:3" x14ac:dyDescent="0.25">
      <c r="A3779">
        <v>4970</v>
      </c>
      <c r="B3779" t="s">
        <v>5394</v>
      </c>
      <c r="C3779" t="e">
        <f>+proj=geocent +ellps=GRQ80 +units=m +no_defs</f>
        <v>#NAME?</v>
      </c>
    </row>
    <row r="3780" spans="1:3" x14ac:dyDescent="0.25">
      <c r="A3780">
        <v>7693</v>
      </c>
      <c r="B3780" t="s">
        <v>5395</v>
      </c>
      <c r="C3780" t="e">
        <f>+proj=tmerc +lat_0=0 +lon_0=71.5166666666666 +k=1 +x_0=2300000 +y_0=14743.5 +ellps=GRQ80 +units=m +no_defs</f>
        <v>#NAME?</v>
      </c>
    </row>
    <row r="3781" spans="1:3" x14ac:dyDescent="0.25">
      <c r="A3781">
        <v>7694</v>
      </c>
      <c r="B3781" t="s">
        <v>5396</v>
      </c>
      <c r="C3781" t="e">
        <f>+proj=tmerc +lat_0=0 +lon_0=74.5166666666666 +k=1 +x_0=3300000 +y_0=14743.5 +ellps=GRQ80 +units=m +no_defs</f>
        <v>#NAME?</v>
      </c>
    </row>
    <row r="3782" spans="1:3" x14ac:dyDescent="0.25">
      <c r="A3782">
        <v>7695</v>
      </c>
      <c r="B3782" t="s">
        <v>5397</v>
      </c>
      <c r="C3782" t="e">
        <f>+proj=tmerc +lat_0=0 +lon_0=77.5166666666666 +k=1 +x_0=4300000 +y_0=14743.5 +ellps=GRQ80 +units=m +no_defs</f>
        <v>#NAME?</v>
      </c>
    </row>
    <row r="3783" spans="1:3" x14ac:dyDescent="0.25">
      <c r="A3783">
        <v>7696</v>
      </c>
      <c r="B3783" t="s">
        <v>5398</v>
      </c>
      <c r="C3783" t="e">
        <f>+proj=tmerc +lat_0=0 +lon_0=80.5166666666666 +k=1 +x_0=5300000 +y_0=14743.5 +ellps=GRQ80 +units=m +no_defs</f>
        <v>#NAME?</v>
      </c>
    </row>
    <row r="3784" spans="1:3" x14ac:dyDescent="0.25">
      <c r="A3784">
        <v>7755</v>
      </c>
      <c r="B3784" t="s">
        <v>5399</v>
      </c>
      <c r="C3784" t="e">
        <f>+proj=lcc +lat_1=12.472955 +lat_2=35.1728044444444 +lat_0=24 +lon_0=80 +x_0=4000000 +y_0=4000000 +datum=WGQ84 +units=m +no_defs</f>
        <v>#NAME?</v>
      </c>
    </row>
    <row r="3785" spans="1:3" x14ac:dyDescent="0.25">
      <c r="A3785">
        <v>7756</v>
      </c>
      <c r="B3785" t="s">
        <v>5400</v>
      </c>
      <c r="C3785" t="e">
        <f>+proj=lcc +lat_1=13.75 +lat_2=18.75 +lat_0=16.25543298 +lon_0=80.875 +x_0=1000000 +y_0=1000000 +datum=WGQ84 +units=m +no_defs</f>
        <v>#NAME?</v>
      </c>
    </row>
    <row r="3786" spans="1:3" x14ac:dyDescent="0.25">
      <c r="A3786">
        <v>7757</v>
      </c>
      <c r="B3786" t="s">
        <v>5401</v>
      </c>
      <c r="C3786" t="e">
        <f>+proj=lcc +lat_1=27 +lat_2=29 +lat_0=28.00157897 +lon_0=94.5 +x_0=1000000 +y_0=1000000 +datum=WGQ84 +units=m +no_defs</f>
        <v>#NAME?</v>
      </c>
    </row>
    <row r="3787" spans="1:3" x14ac:dyDescent="0.25">
      <c r="A3787">
        <v>7758</v>
      </c>
      <c r="B3787" t="s">
        <v>5402</v>
      </c>
      <c r="C3787" t="e">
        <f>+proj=lcc +lat_1=24.6666666666666 +lat_2=27.3333333333333 +lat_0=26.00257703 +lon_0=92.75 +x_0=1000000 +y_0=1000000 +datum=WGQ84 +units=m +no_defs</f>
        <v>#NAME?</v>
      </c>
    </row>
    <row r="3788" spans="1:3" x14ac:dyDescent="0.25">
      <c r="A3788">
        <v>7759</v>
      </c>
      <c r="B3788" t="s">
        <v>5403</v>
      </c>
      <c r="C3788" t="e">
        <f>+proj=lcc +lat_1=24.625 +lat_2=27.125 +lat_0=25.87725247 +lon_0=85.875 +x_0=1000000 +y_0=1000000 +datum=WGQ84 +units=m +no_defs</f>
        <v>#NAME?</v>
      </c>
    </row>
    <row r="3789" spans="1:3" x14ac:dyDescent="0.25">
      <c r="A3789">
        <v>7805</v>
      </c>
      <c r="B3789" t="s">
        <v>5404</v>
      </c>
      <c r="C3789" t="e">
        <f>+proj=utm +zone=36 +ellps=GRQ80 +units=m +no_defs</f>
        <v>#NAME?</v>
      </c>
    </row>
    <row r="3790" spans="1:3" x14ac:dyDescent="0.25">
      <c r="A3790">
        <v>7760</v>
      </c>
      <c r="B3790" t="s">
        <v>5405</v>
      </c>
      <c r="C3790" t="e">
        <f>+proj=lcc +lat_1=28.375 +lat_2=28.875 +lat_0=28.62510126 +lon_0=77 +x_0=1000000 +y_0=1000000 +datum=WGQ84 +units=m +no_defs</f>
        <v>#NAME?</v>
      </c>
    </row>
    <row r="3791" spans="1:3" x14ac:dyDescent="0.25">
      <c r="A3791">
        <v>7761</v>
      </c>
      <c r="B3791" t="s">
        <v>5406</v>
      </c>
      <c r="C3791" t="e">
        <f>+proj=lcc +lat_1=20.7916666666666 +lat_2=23.9583333333333 +lat_0=22.37807121 +lon_0=71.375 +x_0=1000000 +y_0=1000000 +datum=WGQ84 +units=m +no_defs</f>
        <v>#NAME?</v>
      </c>
    </row>
    <row r="3792" spans="1:3" x14ac:dyDescent="0.25">
      <c r="A3792">
        <v>7762</v>
      </c>
      <c r="B3792" t="s">
        <v>5407</v>
      </c>
      <c r="C3792" t="e">
        <f>+proj=lcc +lat_1=28.0833333333333 +lat_2=30.4166666666666 +lat_0=29.25226266 +lon_0=76 +x_0=1000000 +y_0=1000000 +datum=WGQ84 +units=m +no_defs</f>
        <v>#NAME?</v>
      </c>
    </row>
    <row r="3793" spans="1:3" x14ac:dyDescent="0.25">
      <c r="A3793">
        <v>7763</v>
      </c>
      <c r="B3793" t="s">
        <v>5408</v>
      </c>
      <c r="C3793" t="e">
        <f>+proj=lcc +lat_1=30.75 +lat_2=32.75 +lat_0=31.75183497 +lon_0=77.375 +x_0=1000000 +y_0=1000000 +datum=WGQ84 +units=m +no_defs</f>
        <v>#NAME?</v>
      </c>
    </row>
    <row r="3794" spans="1:3" x14ac:dyDescent="0.25">
      <c r="A3794">
        <v>7764</v>
      </c>
      <c r="B3794" t="s">
        <v>5409</v>
      </c>
      <c r="C3794" t="e">
        <f>+proj=lcc +lat_1=33.0833333333333 +lat_2=36.4166666666666 +lat_0=34.75570874 +lon_0=76.5 +x_0=1000000 +y_0=1000000 +datum=WGQ84 +units=m +no_defs</f>
        <v>#NAME?</v>
      </c>
    </row>
    <row r="3795" spans="1:3" x14ac:dyDescent="0.25">
      <c r="A3795">
        <v>7765</v>
      </c>
      <c r="B3795" t="s">
        <v>5410</v>
      </c>
      <c r="C3795" t="e">
        <f>+proj=lcc +lat_1=22.5416666666666 +lat_2=24.7083333333333 +lat_0=23.62652682 +lon_0=85.625 +x_0=1000000 +y_0=1000000 +datum=WGQ84 +units=m +no_defs</f>
        <v>#NAME?</v>
      </c>
    </row>
    <row r="3796" spans="1:3" x14ac:dyDescent="0.25">
      <c r="A3796">
        <v>7766</v>
      </c>
      <c r="B3796" t="s">
        <v>5411</v>
      </c>
      <c r="C3796" t="e">
        <f>+proj=lcc +lat_1=22 +lat_2=26 +lat_0=24.00529821 +lon_0=78.375 +x_0=1000000 +y_0=1000000 +datum=WGQ84 +units=m +no_defs</f>
        <v>#NAME?</v>
      </c>
    </row>
    <row r="3797" spans="1:3" x14ac:dyDescent="0.25">
      <c r="A3797">
        <v>7767</v>
      </c>
      <c r="B3797" t="s">
        <v>5412</v>
      </c>
      <c r="C3797" t="e">
        <f>+proj=lcc +lat_1=16.625 +lat_2=21.125 +lat_0=18.88015774 +lon_0=76.75 +x_0=1000000 +y_0=1000000 +datum=WGQ84 +units=m +no_defs</f>
        <v>#NAME?</v>
      </c>
    </row>
    <row r="3798" spans="1:3" x14ac:dyDescent="0.25">
      <c r="A3798">
        <v>7768</v>
      </c>
      <c r="B3798" t="s">
        <v>5413</v>
      </c>
      <c r="C3798" t="e">
        <f>+proj=lcc +lat_1=24.0833333333333 +lat_2=25.4166666666666 +lat_0=24.75060911 +lon_0=94 +x_0=1000000 +y_0=1000000 +datum=WGQ84 +units=m +no_defs</f>
        <v>#NAME?</v>
      </c>
    </row>
    <row r="3799" spans="1:3" x14ac:dyDescent="0.25">
      <c r="A3799">
        <v>7769</v>
      </c>
      <c r="B3799" t="s">
        <v>5414</v>
      </c>
      <c r="C3799" t="e">
        <f>+proj=lcc +lat_1=25.2083333333333 +lat_2=26.0416666666666 +lat_0=25.62524747 +lon_0=91.375 +x_0=1000000 +y_0=1000000 +datum=WGQ84 +units=m +no_defs</f>
        <v>#NAME?</v>
      </c>
    </row>
    <row r="3800" spans="1:3" x14ac:dyDescent="0.25">
      <c r="A3800">
        <v>7770</v>
      </c>
      <c r="B3800" t="s">
        <v>5415</v>
      </c>
      <c r="C3800" t="e">
        <f>+proj=lcc +lat_1=25.375 +lat_2=26.875 +lat_0=26.12581974 +lon_0=94.375 +x_0=1000000 +y_0=1000000 +datum=WGQ84 +units=m +no_defs</f>
        <v>#NAME?</v>
      </c>
    </row>
    <row r="3801" spans="1:3" x14ac:dyDescent="0.25">
      <c r="A3801">
        <v>7771</v>
      </c>
      <c r="B3801" t="s">
        <v>5416</v>
      </c>
      <c r="C3801" t="e">
        <f>+proj=lcc +lat_1=23.0416666666666 +lat_2=28.2083333333333 +lat_0=25.63452135 +lon_0=93.5 +x_0=1000000 +y_0=1000000 +datum=WGQ84 +units=m +no_defs</f>
        <v>#NAME?</v>
      </c>
    </row>
    <row r="3802" spans="1:3" x14ac:dyDescent="0.25">
      <c r="A3802">
        <v>7772</v>
      </c>
      <c r="B3802" t="s">
        <v>5417</v>
      </c>
      <c r="C3802" t="e">
        <f>+proj=lcc +lat_1=18.5833333333333 +lat_2=21.9166666666666 +lat_0=20.25305174 +lon_0=84.375 +x_0=1000000 +y_0=1000000 +datum=WGQ84 +units=m +no_defs</f>
        <v>#NAME?</v>
      </c>
    </row>
    <row r="3803" spans="1:3" x14ac:dyDescent="0.25">
      <c r="A3803">
        <v>7773</v>
      </c>
      <c r="B3803" t="s">
        <v>5418</v>
      </c>
      <c r="C3803" t="e">
        <f>+proj=lcc +lat_1=30 +lat_2=32 +lat_0=31.00178226 +lon_0=75.375 +x_0=1000000 +y_0=1000000 +datum=WGQ84 +units=m +no_defs</f>
        <v>#NAME?</v>
      </c>
    </row>
    <row r="3804" spans="1:3" x14ac:dyDescent="0.25">
      <c r="A3804">
        <v>7774</v>
      </c>
      <c r="B3804" t="s">
        <v>5419</v>
      </c>
      <c r="C3804" t="e">
        <f>+proj=lcc +lat_1=24.2916666666666 +lat_2=29.4583333333333 +lat_0=26.88505546 +lon_0=73.875 +x_0=1000000 +y_0=1000000 +datum=WGQ84 +units=m +no_defs</f>
        <v>#NAME?</v>
      </c>
    </row>
    <row r="3805" spans="1:3" x14ac:dyDescent="0.25">
      <c r="A3805">
        <v>7775</v>
      </c>
      <c r="B3805" t="s">
        <v>5420</v>
      </c>
      <c r="C3805" t="e">
        <f>+proj=lcc +lat_1=24.875 +lat_2=29.375 +lat_0=27.13270823 +lon_0=80.875 +x_0=1000000 +y_0=1000000 +datum=WGQ84 +units=m +no_defs</f>
        <v>#NAME?</v>
      </c>
    </row>
    <row r="3806" spans="1:3" x14ac:dyDescent="0.25">
      <c r="A3806">
        <v>7776</v>
      </c>
      <c r="B3806" t="s">
        <v>5421</v>
      </c>
      <c r="C3806" t="e">
        <f>+proj=lcc +lat_1=29 +lat_2=31 +lat_0=30.0017132 +lon_0=79.375 +x_0=1000000 +y_0=1000000 +datum=WGQ84 +units=m +no_defs</f>
        <v>#NAME?</v>
      </c>
    </row>
    <row r="3807" spans="1:3" x14ac:dyDescent="0.25">
      <c r="A3807">
        <v>7777</v>
      </c>
      <c r="B3807" t="s">
        <v>5422</v>
      </c>
      <c r="C3807" t="e">
        <f>+proj=tmerc +lat_0=10.25 +lon_0=93.25 +k=0.9999428 +x_0=1000000 +y_0=1000000 +datum=WGQ84 +units=m +no_defs</f>
        <v>#NAME?</v>
      </c>
    </row>
    <row r="3808" spans="1:3" x14ac:dyDescent="0.25">
      <c r="A3808">
        <v>4972</v>
      </c>
      <c r="B3808" t="s">
        <v>5423</v>
      </c>
      <c r="C3808" t="e">
        <f>+proj=geocent +ellps=WGQ84 +units=m +no_defs</f>
        <v>#NAME?</v>
      </c>
    </row>
    <row r="3809" spans="1:3" x14ac:dyDescent="0.25">
      <c r="A3809">
        <v>7778</v>
      </c>
      <c r="B3809" t="s">
        <v>5424</v>
      </c>
      <c r="C3809" t="e">
        <f>+proj=tmerc +lat_0=21 +lon_0=82.25 +k=0.9998332 +x_0=1000000 +y_0=1000000 +datum=WGQ84 +units=m +no_defs</f>
        <v>#NAME?</v>
      </c>
    </row>
    <row r="3810" spans="1:3" x14ac:dyDescent="0.25">
      <c r="A3810">
        <v>7779</v>
      </c>
      <c r="B3810" t="s">
        <v>5425</v>
      </c>
      <c r="C3810" t="e">
        <f>+proj=tmerc +lat_0=15.375 +lon_0=74 +k=0.9999913 +x_0=1000000 +y_0=1000000 +datum=WGQ84 +units=m +no_defs</f>
        <v>#NAME?</v>
      </c>
    </row>
    <row r="3811" spans="1:3" x14ac:dyDescent="0.25">
      <c r="A3811">
        <v>7780</v>
      </c>
      <c r="B3811" t="s">
        <v>5426</v>
      </c>
      <c r="C3811" t="e">
        <f>+proj=tmerc +lat_0=15.125 +lon_0=76.375 +k=0.999801199999999 +x_0=1000000 +y_0=1000000 +datum=WGQ84 +units=m +no_defs</f>
        <v>#NAME?</v>
      </c>
    </row>
    <row r="3812" spans="1:3" x14ac:dyDescent="0.25">
      <c r="A3812">
        <v>7781</v>
      </c>
      <c r="B3812" t="s">
        <v>5427</v>
      </c>
      <c r="C3812" t="e">
        <f>+proj=tmerc +lat_0=10.5 +lon_0=76 +k=0.9999177 +x_0=1000000 +y_0=1000000 +datum=WGQ84 +units=m +no_defs</f>
        <v>#NAME?</v>
      </c>
    </row>
    <row r="3813" spans="1:3" x14ac:dyDescent="0.25">
      <c r="A3813">
        <v>7782</v>
      </c>
      <c r="B3813" t="s">
        <v>5428</v>
      </c>
      <c r="C3813" t="e">
        <f>+proj=tmerc +lat_0=10 +lon_0=73.125 +k=0.9999536 +x_0=1000000 +y_0=1000000 +datum=WGQ84 +units=m +no_defs</f>
        <v>#NAME?</v>
      </c>
    </row>
    <row r="3814" spans="1:3" x14ac:dyDescent="0.25">
      <c r="A3814">
        <v>7783</v>
      </c>
      <c r="B3814" t="s">
        <v>5429</v>
      </c>
      <c r="C3814" t="e">
        <f>+proj=tmerc +lat_0=23.125 +lon_0=92.75 +k=0.9999821 +x_0=1000000 +y_0=1000000 +datum=WGQ84 +units=m +no_defs</f>
        <v>#NAME?</v>
      </c>
    </row>
    <row r="3815" spans="1:3" x14ac:dyDescent="0.25">
      <c r="A3815">
        <v>7784</v>
      </c>
      <c r="B3815" t="s">
        <v>5430</v>
      </c>
      <c r="C3815" t="e">
        <f>+proj=tmerc +lat_0=27.625 +lon_0=88.5 +k=0.9999926 +x_0=1000000 +y_0=1000000 +datum=WGQ84 +units=m +no_defs</f>
        <v>#NAME?</v>
      </c>
    </row>
    <row r="3816" spans="1:3" x14ac:dyDescent="0.25">
      <c r="A3816">
        <v>7785</v>
      </c>
      <c r="B3816" t="s">
        <v>5431</v>
      </c>
      <c r="C3816" t="e">
        <f>+proj=tmerc +lat_0=10.875 +lon_0=78.375 +k=0.9997942 +x_0=1000000 +y_0=1000000 +datum=WGQ84 +units=m +no_defs</f>
        <v>#NAME?</v>
      </c>
    </row>
    <row r="3817" spans="1:3" x14ac:dyDescent="0.25">
      <c r="A3817">
        <v>7786</v>
      </c>
      <c r="B3817" t="s">
        <v>5432</v>
      </c>
      <c r="C3817" t="e">
        <f>+proj=tmerc +lat_0=23.75 +lon_0=91.75 +k=0.9999822 +x_0=1000000 +y_0=1000000 +datum=WGQ84 +units=m +no_defs</f>
        <v>#NAME?</v>
      </c>
    </row>
    <row r="3818" spans="1:3" x14ac:dyDescent="0.25">
      <c r="A3818">
        <v>7787</v>
      </c>
      <c r="B3818" t="s">
        <v>5433</v>
      </c>
      <c r="C3818" t="e">
        <f>+proj=tmerc +lat_0=24.375 +lon_0=87.875 +k=0.9998584 +x_0=1000000 +y_0=1000000 +datum=WGQ84 +units=m +no_defs</f>
        <v>#NAME?</v>
      </c>
    </row>
    <row r="3819" spans="1:3" x14ac:dyDescent="0.25">
      <c r="A3819">
        <v>4974</v>
      </c>
      <c r="B3819" t="s">
        <v>5434</v>
      </c>
      <c r="C3819" t="e">
        <f>+proj=geocent +ellps=GRQ80 +units=m +no_defs</f>
        <v>#NAME?</v>
      </c>
    </row>
    <row r="3820" spans="1:3" x14ac:dyDescent="0.25">
      <c r="A3820">
        <v>7791</v>
      </c>
      <c r="B3820" t="s">
        <v>5435</v>
      </c>
      <c r="C3820" t="s">
        <v>1820</v>
      </c>
    </row>
    <row r="3821" spans="1:3" x14ac:dyDescent="0.25">
      <c r="A3821">
        <v>7792</v>
      </c>
      <c r="B3821" t="s">
        <v>5436</v>
      </c>
      <c r="C3821" t="s">
        <v>1860</v>
      </c>
    </row>
    <row r="3822" spans="1:3" x14ac:dyDescent="0.25">
      <c r="A3822">
        <v>7793</v>
      </c>
      <c r="B3822" t="s">
        <v>5437</v>
      </c>
      <c r="C3822" t="s">
        <v>1880</v>
      </c>
    </row>
    <row r="3823" spans="1:3" x14ac:dyDescent="0.25">
      <c r="A3823">
        <v>7794</v>
      </c>
      <c r="B3823" t="s">
        <v>5438</v>
      </c>
      <c r="C3823" t="s">
        <v>5053</v>
      </c>
    </row>
    <row r="3824" spans="1:3" x14ac:dyDescent="0.25">
      <c r="A3824">
        <v>7795</v>
      </c>
      <c r="B3824" t="s">
        <v>5439</v>
      </c>
      <c r="C3824" t="s">
        <v>5055</v>
      </c>
    </row>
    <row r="3825" spans="1:3" x14ac:dyDescent="0.25">
      <c r="A3825">
        <v>7799</v>
      </c>
      <c r="B3825" t="s">
        <v>5440</v>
      </c>
      <c r="C3825" t="e">
        <f>+proj=utm +zone=34 +ellps=GRQ80 +units=m +no_defs</f>
        <v>#NAME?</v>
      </c>
    </row>
    <row r="3826" spans="1:3" x14ac:dyDescent="0.25">
      <c r="A3826">
        <v>7800</v>
      </c>
      <c r="B3826" t="s">
        <v>5441</v>
      </c>
      <c r="C3826" t="e">
        <f>+proj=utm +zone=35 +ellps=GRQ80 +units=m +no_defs</f>
        <v>#NAME?</v>
      </c>
    </row>
    <row r="3827" spans="1:3" x14ac:dyDescent="0.25">
      <c r="A3827">
        <v>7801</v>
      </c>
      <c r="B3827" t="s">
        <v>5442</v>
      </c>
      <c r="C3827" t="e">
        <f>+proj=lcc +lat_1=42 +lat_2=43.3333333333333 +lat_0=42.6678756833333 +lon_0=25.5 +x_0=500000 +y_0=4725824.3591 +ellps=GRQ80 +units=m +no_defs</f>
        <v>#NAME?</v>
      </c>
    </row>
    <row r="3828" spans="1:3" x14ac:dyDescent="0.25">
      <c r="A3828">
        <v>7803</v>
      </c>
      <c r="B3828" t="s">
        <v>5443</v>
      </c>
      <c r="C3828" t="e">
        <f>+proj=utm +zone=34 +ellps=GRQ80 +units=m +no_defs</f>
        <v>#NAME?</v>
      </c>
    </row>
    <row r="3829" spans="1:3" x14ac:dyDescent="0.25">
      <c r="A3829">
        <v>7804</v>
      </c>
      <c r="B3829" t="s">
        <v>5444</v>
      </c>
      <c r="C3829" t="e">
        <f>+proj=utm +zone=34 +ellps=GRQ80 +units=m +no_defs</f>
        <v>#NAME?</v>
      </c>
    </row>
    <row r="3830" spans="1:3" x14ac:dyDescent="0.25">
      <c r="A3830">
        <v>4976</v>
      </c>
      <c r="B3830" t="s">
        <v>5445</v>
      </c>
      <c r="C3830" t="e">
        <f>+proj=geocent +ellps=GRQ80 +units=m +no_defs</f>
        <v>#NAME?</v>
      </c>
    </row>
    <row r="3831" spans="1:3" x14ac:dyDescent="0.25">
      <c r="A3831">
        <v>7825</v>
      </c>
      <c r="B3831" t="s">
        <v>5446</v>
      </c>
      <c r="C3831" t="s">
        <v>5447</v>
      </c>
    </row>
    <row r="3832" spans="1:3" x14ac:dyDescent="0.25">
      <c r="A3832">
        <v>7826</v>
      </c>
      <c r="B3832" t="s">
        <v>5448</v>
      </c>
      <c r="C3832" t="s">
        <v>5449</v>
      </c>
    </row>
    <row r="3833" spans="1:3" x14ac:dyDescent="0.25">
      <c r="A3833">
        <v>7827</v>
      </c>
      <c r="B3833" t="s">
        <v>5450</v>
      </c>
      <c r="C3833" t="s">
        <v>5451</v>
      </c>
    </row>
    <row r="3834" spans="1:3" x14ac:dyDescent="0.25">
      <c r="A3834">
        <v>7828</v>
      </c>
      <c r="B3834" t="s">
        <v>5452</v>
      </c>
      <c r="C3834" t="s">
        <v>5453</v>
      </c>
    </row>
    <row r="3835" spans="1:3" x14ac:dyDescent="0.25">
      <c r="A3835">
        <v>7829</v>
      </c>
      <c r="B3835" t="s">
        <v>5454</v>
      </c>
      <c r="C3835" t="s">
        <v>5455</v>
      </c>
    </row>
    <row r="3836" spans="1:3" x14ac:dyDescent="0.25">
      <c r="A3836">
        <v>7830</v>
      </c>
      <c r="B3836" t="s">
        <v>5456</v>
      </c>
      <c r="C3836" t="s">
        <v>5457</v>
      </c>
    </row>
    <row r="3837" spans="1:3" x14ac:dyDescent="0.25">
      <c r="A3837">
        <v>7831</v>
      </c>
      <c r="B3837" t="s">
        <v>5458</v>
      </c>
      <c r="C3837" t="s">
        <v>5459</v>
      </c>
    </row>
    <row r="3838" spans="1:3" x14ac:dyDescent="0.25">
      <c r="A3838">
        <v>7845</v>
      </c>
      <c r="B3838" t="s">
        <v>5460</v>
      </c>
      <c r="C3838" t="e">
        <f>+proj=lcc +lat_1=-18 +lat_2=-36 +lat_0=0 +lon_0=134 +x_0=0 +y_0=0 +ellps=GRQ80 +units=m +no_defs</f>
        <v>#NAME?</v>
      </c>
    </row>
    <row r="3839" spans="1:3" x14ac:dyDescent="0.25">
      <c r="A3839">
        <v>7846</v>
      </c>
      <c r="B3839" t="s">
        <v>5461</v>
      </c>
      <c r="C3839" t="e">
        <f>+proj=utm +zone=46 +south +ellps=GRQ80 +units=m +no_defs</f>
        <v>#NAME?</v>
      </c>
    </row>
    <row r="3840" spans="1:3" x14ac:dyDescent="0.25">
      <c r="A3840">
        <v>32610</v>
      </c>
      <c r="B3840" t="s">
        <v>5462</v>
      </c>
      <c r="C3840" t="e">
        <f>+proj=utm +zone=10 +datum=WGQ84 +units=m +no_defs</f>
        <v>#NAME?</v>
      </c>
    </row>
    <row r="3841" spans="1:3" x14ac:dyDescent="0.25">
      <c r="A3841">
        <v>7850</v>
      </c>
      <c r="B3841" t="s">
        <v>5463</v>
      </c>
      <c r="C3841" t="e">
        <f>+proj=utm +zone=50 +south +ellps=GRQ80 +units=m +no_defs</f>
        <v>#NAME?</v>
      </c>
    </row>
    <row r="3842" spans="1:3" x14ac:dyDescent="0.25">
      <c r="A3842">
        <v>7851</v>
      </c>
      <c r="B3842" t="s">
        <v>5464</v>
      </c>
      <c r="C3842" t="e">
        <f>+proj=utm +zone=51 +south +ellps=GRQ80 +units=m +no_defs</f>
        <v>#NAME?</v>
      </c>
    </row>
    <row r="3843" spans="1:3" x14ac:dyDescent="0.25">
      <c r="A3843">
        <v>7852</v>
      </c>
      <c r="B3843" t="s">
        <v>5465</v>
      </c>
      <c r="C3843" t="e">
        <f>+proj=utm +zone=52 +south +ellps=GRQ80 +units=m +no_defs</f>
        <v>#NAME?</v>
      </c>
    </row>
    <row r="3844" spans="1:3" x14ac:dyDescent="0.25">
      <c r="A3844">
        <v>7853</v>
      </c>
      <c r="B3844" t="s">
        <v>5466</v>
      </c>
      <c r="C3844" t="e">
        <f>+proj=utm +zone=53 +south +ellps=GRQ80 +units=m +no_defs</f>
        <v>#NAME?</v>
      </c>
    </row>
    <row r="3845" spans="1:3" x14ac:dyDescent="0.25">
      <c r="A3845">
        <v>7854</v>
      </c>
      <c r="B3845" t="s">
        <v>5467</v>
      </c>
      <c r="C3845" t="e">
        <f>+proj=utm +zone=54 +south +ellps=GRQ80 +units=m +no_defs</f>
        <v>#NAME?</v>
      </c>
    </row>
    <row r="3846" spans="1:3" x14ac:dyDescent="0.25">
      <c r="A3846">
        <v>7855</v>
      </c>
      <c r="B3846" t="s">
        <v>5468</v>
      </c>
      <c r="C3846" t="e">
        <f>+proj=utm +zone=55 +south +ellps=GRQ80 +units=m +no_defs</f>
        <v>#NAME?</v>
      </c>
    </row>
    <row r="3847" spans="1:3" x14ac:dyDescent="0.25">
      <c r="A3847">
        <v>7856</v>
      </c>
      <c r="B3847" t="s">
        <v>5469</v>
      </c>
      <c r="C3847" t="e">
        <f>+proj=utm +zone=56 +south +ellps=GRQ80 +units=m +no_defs</f>
        <v>#NAME?</v>
      </c>
    </row>
    <row r="3848" spans="1:3" x14ac:dyDescent="0.25">
      <c r="A3848">
        <v>7857</v>
      </c>
      <c r="B3848" t="s">
        <v>5470</v>
      </c>
      <c r="C3848" t="e">
        <f>+proj=utm +zone=57 +south +ellps=GRQ80 +units=m +no_defs</f>
        <v>#NAME?</v>
      </c>
    </row>
    <row r="3849" spans="1:3" x14ac:dyDescent="0.25">
      <c r="A3849">
        <v>7858</v>
      </c>
      <c r="B3849" t="s">
        <v>5471</v>
      </c>
      <c r="C3849" t="e">
        <f>+proj=utm +zone=58 +south +ellps=GRQ80 +units=m +no_defs</f>
        <v>#NAME?</v>
      </c>
    </row>
    <row r="3850" spans="1:3" x14ac:dyDescent="0.25">
      <c r="A3850">
        <v>7859</v>
      </c>
      <c r="B3850" t="s">
        <v>5472</v>
      </c>
      <c r="C3850" t="e">
        <f>+proj=utm +zone=59 +south +ellps=GRQ80 +units=m +no_defs</f>
        <v>#NAME?</v>
      </c>
    </row>
    <row r="3851" spans="1:3" x14ac:dyDescent="0.25">
      <c r="A3851">
        <v>8036</v>
      </c>
      <c r="B3851" t="s">
        <v>5473</v>
      </c>
      <c r="C3851" t="e">
        <f>+proj=utm +zone=21 +datum=WGQ84 +units=us-ft +no_defs</f>
        <v>#NAME?</v>
      </c>
    </row>
    <row r="3852" spans="1:3" x14ac:dyDescent="0.25">
      <c r="A3852">
        <v>7877</v>
      </c>
      <c r="B3852" t="s">
        <v>5474</v>
      </c>
      <c r="C3852" t="s">
        <v>5475</v>
      </c>
    </row>
    <row r="3853" spans="1:3" x14ac:dyDescent="0.25">
      <c r="A3853">
        <v>7878</v>
      </c>
      <c r="B3853" t="s">
        <v>5476</v>
      </c>
      <c r="C3853" t="s">
        <v>5477</v>
      </c>
    </row>
    <row r="3854" spans="1:3" x14ac:dyDescent="0.25">
      <c r="A3854">
        <v>7882</v>
      </c>
      <c r="B3854" t="s">
        <v>5478</v>
      </c>
      <c r="C3854" t="s">
        <v>5479</v>
      </c>
    </row>
    <row r="3855" spans="1:3" x14ac:dyDescent="0.25">
      <c r="A3855">
        <v>7883</v>
      </c>
      <c r="B3855" t="s">
        <v>5480</v>
      </c>
      <c r="C3855" t="s">
        <v>5481</v>
      </c>
    </row>
    <row r="3856" spans="1:3" x14ac:dyDescent="0.25">
      <c r="A3856">
        <v>7887</v>
      </c>
      <c r="B3856" t="s">
        <v>5482</v>
      </c>
      <c r="C3856" t="s">
        <v>5483</v>
      </c>
    </row>
    <row r="3857" spans="1:3" x14ac:dyDescent="0.25">
      <c r="A3857">
        <v>7899</v>
      </c>
      <c r="B3857" t="s">
        <v>5484</v>
      </c>
      <c r="C3857" t="e">
        <f>+proj=lcc +lat_1=-36 +lat_2=-38 +lat_0=-37 +lon_0=145 +x_0=2500000 +y_0=2500000 +ellps=GRQ80 +units=m +no_defs</f>
        <v>#NAME?</v>
      </c>
    </row>
    <row r="3858" spans="1:3" x14ac:dyDescent="0.25">
      <c r="A3858">
        <v>7991</v>
      </c>
      <c r="B3858" t="s">
        <v>5485</v>
      </c>
      <c r="C3858" t="e">
        <f>+proj=tmerc +lat_0=0 +lon_0=-79.5 +k=0.9999 +x_0=304800 +y_0=0 +datum=NAB27 +units=m +no_defs</f>
        <v>#NAME?</v>
      </c>
    </row>
    <row r="3859" spans="1:3" x14ac:dyDescent="0.25">
      <c r="A3859">
        <v>7992</v>
      </c>
      <c r="B3859" t="s">
        <v>5486</v>
      </c>
      <c r="C3859" t="s">
        <v>5487</v>
      </c>
    </row>
    <row r="3860" spans="1:3" x14ac:dyDescent="0.25">
      <c r="A3860">
        <v>8013</v>
      </c>
      <c r="B3860" t="s">
        <v>5488</v>
      </c>
      <c r="C3860" t="e">
        <f>+proj=tmerc +lat_0=0 +lon_0=117.883333333333 +k=1.0000044 +x_0=50000 +y_0=4100000 +ellps=GRQ80 +units=m +no_defs</f>
        <v>#NAME?</v>
      </c>
    </row>
    <row r="3861" spans="1:3" x14ac:dyDescent="0.25">
      <c r="A3861">
        <v>26707</v>
      </c>
      <c r="B3861" t="s">
        <v>5489</v>
      </c>
      <c r="C3861" t="e">
        <f>+proj=utm +zone=7 +datum=NAB27 +units=m +no_defs</f>
        <v>#NAME?</v>
      </c>
    </row>
    <row r="3862" spans="1:3" x14ac:dyDescent="0.25">
      <c r="A3862">
        <v>8014</v>
      </c>
      <c r="B3862" t="s">
        <v>5490</v>
      </c>
      <c r="C3862" t="e">
        <f>+proj=tmerc +lat_0=0 +lon_0=115.25 +k=1.0000022 +x_0=60000 +y_0=2700000 +ellps=GRQ80 +units=m +no_defs</f>
        <v>#NAME?</v>
      </c>
    </row>
    <row r="3863" spans="1:3" x14ac:dyDescent="0.25">
      <c r="A3863">
        <v>8015</v>
      </c>
      <c r="B3863" t="s">
        <v>5491</v>
      </c>
      <c r="C3863" t="e">
        <f>+proj=tmerc +lat_0=0 +lon_0=122.333333333333 +k=1.00000298 +x_0=50000 +y_0=2300000 +ellps=GRQ80 +units=m +no_defs</f>
        <v>#NAME?</v>
      </c>
    </row>
    <row r="3864" spans="1:3" x14ac:dyDescent="0.25">
      <c r="A3864">
        <v>8016</v>
      </c>
      <c r="B3864" t="s">
        <v>5492</v>
      </c>
      <c r="C3864" t="e">
        <f>+proj=tmerc +lat_0=0 +lon_0=115.433333333333 +k=0.99999592 +x_0=50000 +y_0=4000000 +ellps=GRQ80 +units=m +no_defs</f>
        <v>#NAME?</v>
      </c>
    </row>
    <row r="3865" spans="1:3" x14ac:dyDescent="0.25">
      <c r="A3865">
        <v>8017</v>
      </c>
      <c r="B3865" t="s">
        <v>5493</v>
      </c>
      <c r="C3865" t="e">
        <f>+proj=tmerc +lat_0=0 +lon_0=113.666666666666 +k=0.99999796 +x_0=50000 +y_0=3050000 +ellps=GRQ80 +units=m +no_defs</f>
        <v>#NAME?</v>
      </c>
    </row>
    <row r="3866" spans="1:3" x14ac:dyDescent="0.25">
      <c r="A3866">
        <v>8018</v>
      </c>
      <c r="B3866" t="s">
        <v>5494</v>
      </c>
      <c r="C3866" t="e">
        <f>+proj=tmerc +lat_0=0 +lon_0=105.625 +k=1.00002514 +x_0=50000 +y_0=1400000 +ellps=GRQ80 +units=m +no_defs</f>
        <v>#NAME?</v>
      </c>
    </row>
    <row r="3867" spans="1:3" x14ac:dyDescent="0.25">
      <c r="A3867">
        <v>8019</v>
      </c>
      <c r="B3867" t="s">
        <v>5495</v>
      </c>
      <c r="C3867" t="e">
        <f>+proj=tmerc +lat_0=0 +lon_0=96.875 +k=0.99999387 +x_0=50000 +y_0=1600000 +ellps=GRQ80 +units=m +no_defs</f>
        <v>#NAME?</v>
      </c>
    </row>
    <row r="3868" spans="1:3" x14ac:dyDescent="0.25">
      <c r="A3868">
        <v>8020</v>
      </c>
      <c r="B3868" t="s">
        <v>5496</v>
      </c>
      <c r="C3868" t="e">
        <f>+proj=tmerc +lat_0=0 +lon_0=115.933333333333 +k=1.000019 +x_0=40000 +y_0=4100000 +ellps=GRQ80 +units=m +no_defs</f>
        <v>#NAME?</v>
      </c>
    </row>
    <row r="3869" spans="1:3" x14ac:dyDescent="0.25">
      <c r="A3869">
        <v>8021</v>
      </c>
      <c r="B3869" t="s">
        <v>5497</v>
      </c>
      <c r="C3869" t="e">
        <f>+proj=tmerc +lat_0=0 +lon_0=121.883333333333 +k=1.0000055 +x_0=50000 +y_0=4050000 +ellps=GRQ80 +units=m +no_defs</f>
        <v>#NAME?</v>
      </c>
    </row>
    <row r="3870" spans="1:3" x14ac:dyDescent="0.25">
      <c r="A3870">
        <v>8022</v>
      </c>
      <c r="B3870" t="s">
        <v>5498</v>
      </c>
      <c r="C3870" t="e">
        <f>+proj=tmerc +lat_0=0 +lon_0=114.066666666666 +k=1.00000236 +x_0=50000 +y_0=2750000 +ellps=GRQ80 +units=m +no_defs</f>
        <v>#NAME?</v>
      </c>
    </row>
    <row r="3871" spans="1:3" x14ac:dyDescent="0.25">
      <c r="A3871">
        <v>8023</v>
      </c>
      <c r="B3871" t="s">
        <v>5499</v>
      </c>
      <c r="C3871" t="e">
        <f>+proj=tmerc +lat_0=0 +lon_0=114.583333333333 +k=1.00000628 +x_0=50000 +y_0=3450000 +ellps=GRQ80 +units=m +no_defs</f>
        <v>#NAME?</v>
      </c>
    </row>
    <row r="3872" spans="1:3" x14ac:dyDescent="0.25">
      <c r="A3872">
        <v>8024</v>
      </c>
      <c r="B3872" t="s">
        <v>5500</v>
      </c>
      <c r="C3872" t="e">
        <f>+proj=tmerc +lat_0=0 +lon_0=121.5 +k=1.00004949 +x_0=60000 +y_0=3800000 +ellps=GRQ80 +units=m +no_defs</f>
        <v>#NAME?</v>
      </c>
    </row>
    <row r="3873" spans="1:3" x14ac:dyDescent="0.25">
      <c r="A3873">
        <v>8025</v>
      </c>
      <c r="B3873" t="s">
        <v>5501</v>
      </c>
      <c r="C3873" t="e">
        <f>+proj=tmerc +lat_0=0 +lon_0=114.983333333333 +k=1.00000314 +x_0=50000 +y_0=3650000 +ellps=GRQ80 +units=m +no_defs</f>
        <v>#NAME?</v>
      </c>
    </row>
    <row r="3874" spans="1:3" x14ac:dyDescent="0.25">
      <c r="A3874">
        <v>8026</v>
      </c>
      <c r="B3874" t="s">
        <v>5502</v>
      </c>
      <c r="C3874" t="e">
        <f>+proj=tmerc +lat_0=0 +lon_0=114.315277777777 +k=1.000014 +x_0=55000 +y_0=3700000 +ellps=GRQ80 +units=m +no_defs</f>
        <v>#NAME?</v>
      </c>
    </row>
    <row r="3875" spans="1:3" x14ac:dyDescent="0.25">
      <c r="A3875">
        <v>8027</v>
      </c>
      <c r="B3875" t="s">
        <v>5503</v>
      </c>
      <c r="C3875" t="e">
        <f>+proj=tmerc +lat_0=0 +lon_0=116.933333333333 +k=0.9999989 +x_0=50000 +y_0=2550000 +ellps=GRQ80 +units=m +no_defs</f>
        <v>#NAME?</v>
      </c>
    </row>
    <row r="3876" spans="1:3" x14ac:dyDescent="0.25">
      <c r="A3876">
        <v>8028</v>
      </c>
      <c r="B3876" t="s">
        <v>5504</v>
      </c>
      <c r="C3876" t="e">
        <f>+proj=tmerc +lat_0=0 +lon_0=128.75 +k=1.0000165 +x_0=50000 +y_0=2100000 +ellps=GRQ80 +units=m +no_defs</f>
        <v>#NAME?</v>
      </c>
    </row>
    <row r="3877" spans="1:3" x14ac:dyDescent="0.25">
      <c r="A3877">
        <v>8029</v>
      </c>
      <c r="B3877" t="s">
        <v>5505</v>
      </c>
      <c r="C3877" t="e">
        <f>+proj=tmerc +lat_0=0 +lon_0=115.366666666666 +k=1.00000157 +x_0=50000 +y_0=3750000 +ellps=GRQ80 +units=m +no_defs</f>
        <v>#NAME?</v>
      </c>
    </row>
    <row r="3878" spans="1:3" x14ac:dyDescent="0.25">
      <c r="A3878">
        <v>8030</v>
      </c>
      <c r="B3878" t="s">
        <v>5506</v>
      </c>
      <c r="C3878" t="e">
        <f>+proj=tmerc +lat_0=0 +lon_0=115.166666666666 +k=1.0000055 +x_0=50000 +y_0=4050000 +ellps=GRQ80 +units=m +no_defs</f>
        <v>#NAME?</v>
      </c>
    </row>
    <row r="3879" spans="1:3" x14ac:dyDescent="0.25">
      <c r="A3879">
        <v>8031</v>
      </c>
      <c r="B3879" t="s">
        <v>5507</v>
      </c>
      <c r="C3879" t="e">
        <f>+proj=tmerc +lat_0=0 +lon_0=115.816666666666 +k=0.99999906 +x_0=50000 +y_0=3900000 +ellps=GRQ80 +units=m +no_defs</f>
        <v>#NAME?</v>
      </c>
    </row>
    <row r="3880" spans="1:3" x14ac:dyDescent="0.25">
      <c r="A3880">
        <v>8032</v>
      </c>
      <c r="B3880" t="s">
        <v>5508</v>
      </c>
      <c r="C3880" t="e">
        <f>+proj=tmerc +lat_0=0 +lon_0=118.6 +k=1.00000135 +x_0=50000 +y_0=2500000 +ellps=GRQ80 +units=m +no_defs</f>
        <v>#NAME?</v>
      </c>
    </row>
    <row r="3881" spans="1:3" x14ac:dyDescent="0.25">
      <c r="A3881">
        <v>8035</v>
      </c>
      <c r="B3881" t="s">
        <v>5509</v>
      </c>
      <c r="C3881" t="e">
        <f>+proj=utm +zone=20 +datum=WGQ84 +units=us-ft +no_defs</f>
        <v>#NAME?</v>
      </c>
    </row>
    <row r="3882" spans="1:3" x14ac:dyDescent="0.25">
      <c r="A3882">
        <v>8044</v>
      </c>
      <c r="B3882" t="s">
        <v>5510</v>
      </c>
      <c r="C3882" t="e">
        <f>+proj=cass +lat_0=48.0384638888888 +lon_0=31.8041805555555 +x_0=0 +y_0=0 +a=6376045 +b=6355477.11290322 +pm=ferro +units=m +no_defs</f>
        <v>#NAME?</v>
      </c>
    </row>
    <row r="3883" spans="1:3" x14ac:dyDescent="0.25">
      <c r="A3883">
        <v>8045</v>
      </c>
      <c r="B3883" t="s">
        <v>5511</v>
      </c>
      <c r="C3883" t="e">
        <f>+proj=cass +lat_0=48.2087611111111 +lon_0=34.0409222222222 +x_0=0 +y_0=0 +a=6376045 +b=6355477.11290322 +pm=ferro +units=m +no_defs</f>
        <v>#NAME?</v>
      </c>
    </row>
    <row r="3884" spans="1:3" x14ac:dyDescent="0.25">
      <c r="A3884">
        <v>8058</v>
      </c>
      <c r="B3884" t="s">
        <v>5512</v>
      </c>
      <c r="C3884" t="e">
        <f>+proj=lcc +lat_1=-30.75 +lat_2=-35.75 +lat_0=-33.25 +lon_0=147 +x_0=9300000 +y_0=4500000 +ellps=GRQ80 +units=m +no_defs</f>
        <v>#NAME?</v>
      </c>
    </row>
    <row r="3885" spans="1:3" x14ac:dyDescent="0.25">
      <c r="A3885">
        <v>8059</v>
      </c>
      <c r="B3885" t="s">
        <v>5513</v>
      </c>
      <c r="C3885" t="e">
        <f>+proj=lcc +lat_1=-28 +lat_2=-36 +lat_0=-32 +lon_0=135 +x_0=1000000 +y_0=2000000 +ellps=GRQ80 +units=m +no_defs</f>
        <v>#NAME?</v>
      </c>
    </row>
    <row r="3886" spans="1:3" x14ac:dyDescent="0.25">
      <c r="A3886">
        <v>8065</v>
      </c>
      <c r="B3886" t="s">
        <v>5514</v>
      </c>
      <c r="C3886" t="e">
        <f>+proj=omerc +lat_0=32.25 +lonc=-111.4 +alpha=45 +k=1.00011 +x_0=48768 +y_0=243840 +gamma=45 +ellps=GRQ80 +units=ft +no_defs</f>
        <v>#NAME?</v>
      </c>
    </row>
    <row r="3887" spans="1:3" x14ac:dyDescent="0.25">
      <c r="A3887">
        <v>8066</v>
      </c>
      <c r="B3887" t="s">
        <v>5515</v>
      </c>
      <c r="C3887" t="e">
        <f>+proj=tmerc +lat_0=31.25 +lon_0=-112.166666666666 +k=1.00009 +x_0=548640 +y_0=304800 +ellps=GRQ80 +units=ft +no_defs</f>
        <v>#NAME?</v>
      </c>
    </row>
    <row r="3888" spans="1:3" x14ac:dyDescent="0.25">
      <c r="A3888">
        <v>8067</v>
      </c>
      <c r="B3888" t="s">
        <v>5516</v>
      </c>
      <c r="C3888" t="e">
        <f>+proj=tmerc +lat_0=31.5 +lon_0=-113.166666666666 +k=1.000055 +x_0=182880 +y_0=0 +ellps=GRQ80 +units=ft +no_defs</f>
        <v>#NAME?</v>
      </c>
    </row>
    <row r="3889" spans="1:3" x14ac:dyDescent="0.25">
      <c r="A3889">
        <v>8068</v>
      </c>
      <c r="B3889" t="s">
        <v>5517</v>
      </c>
      <c r="C3889" t="e">
        <f>+proj=lcc +lat_1=30.5 +lat_0=30.5 +lon_0=-110.75 +k_0=0.9998 +x_0=9144 +y_0=-188976 +ellps=GRQ80 +units=ft +no_defs</f>
        <v>#NAME?</v>
      </c>
    </row>
    <row r="3890" spans="1:3" x14ac:dyDescent="0.25">
      <c r="A3890">
        <v>8082</v>
      </c>
      <c r="B3890" t="s">
        <v>5518</v>
      </c>
      <c r="C3890" t="e">
        <f>+proj=tmerc +lat_0=0 +lon_0=-61.5 +k=0.9999 +x_0=24500000 +y_0=0 +ellps=GRQ80 +units=m +no_defs</f>
        <v>#NAME?</v>
      </c>
    </row>
    <row r="3891" spans="1:3" x14ac:dyDescent="0.25">
      <c r="A3891">
        <v>4978</v>
      </c>
      <c r="B3891" t="s">
        <v>5519</v>
      </c>
      <c r="C3891" t="e">
        <f>+proj=geocent +datum=WGQ84 +units=m +no_defs</f>
        <v>#NAME?</v>
      </c>
    </row>
    <row r="3892" spans="1:3" x14ac:dyDescent="0.25">
      <c r="A3892">
        <v>8083</v>
      </c>
      <c r="B3892" t="s">
        <v>5520</v>
      </c>
      <c r="C3892" t="e">
        <f>+proj=tmerc +lat_0=0 +lon_0=-64.5 +k=0.9999 +x_0=25500000 +y_0=0 +ellps=GRQ80 +units=m +no_defs</f>
        <v>#NAME?</v>
      </c>
    </row>
    <row r="3893" spans="1:3" x14ac:dyDescent="0.25">
      <c r="A3893">
        <v>8088</v>
      </c>
      <c r="B3893" t="s">
        <v>5521</v>
      </c>
      <c r="C3893" t="e">
        <f>+proj=lcc +lat_1=64.25 +lat_2=65.75 +lat_0=65 +lon_0=-19 +x_0=2700000 +y_0=300000 +ellps=GRQ80 +units=m +no_defs</f>
        <v>#NAME?</v>
      </c>
    </row>
    <row r="3894" spans="1:3" x14ac:dyDescent="0.25">
      <c r="A3894">
        <v>8090</v>
      </c>
      <c r="B3894" t="s">
        <v>5522</v>
      </c>
      <c r="C3894" t="s">
        <v>5523</v>
      </c>
    </row>
    <row r="3895" spans="1:3" x14ac:dyDescent="0.25">
      <c r="A3895">
        <v>8091</v>
      </c>
      <c r="B3895" t="s">
        <v>5524</v>
      </c>
      <c r="C3895" t="s">
        <v>5525</v>
      </c>
    </row>
    <row r="3896" spans="1:3" x14ac:dyDescent="0.25">
      <c r="A3896">
        <v>8092</v>
      </c>
      <c r="B3896" t="s">
        <v>5526</v>
      </c>
      <c r="C3896" t="s">
        <v>5527</v>
      </c>
    </row>
    <row r="3897" spans="1:3" x14ac:dyDescent="0.25">
      <c r="A3897">
        <v>8093</v>
      </c>
      <c r="B3897" t="s">
        <v>5528</v>
      </c>
      <c r="C3897" t="s">
        <v>5529</v>
      </c>
    </row>
    <row r="3898" spans="1:3" x14ac:dyDescent="0.25">
      <c r="A3898">
        <v>8095</v>
      </c>
      <c r="B3898" t="s">
        <v>5530</v>
      </c>
      <c r="C3898" t="s">
        <v>5531</v>
      </c>
    </row>
    <row r="3899" spans="1:3" x14ac:dyDescent="0.25">
      <c r="A3899">
        <v>8096</v>
      </c>
      <c r="B3899" t="s">
        <v>5532</v>
      </c>
      <c r="C3899" t="s">
        <v>5533</v>
      </c>
    </row>
    <row r="3900" spans="1:3" x14ac:dyDescent="0.25">
      <c r="A3900">
        <v>26708</v>
      </c>
      <c r="B3900" t="s">
        <v>5534</v>
      </c>
      <c r="C3900" t="e">
        <f>+proj=utm +zone=8 +datum=NAB27 +units=m +no_defs</f>
        <v>#NAME?</v>
      </c>
    </row>
    <row r="3901" spans="1:3" x14ac:dyDescent="0.25">
      <c r="A3901">
        <v>8097</v>
      </c>
      <c r="B3901" t="s">
        <v>5535</v>
      </c>
      <c r="C3901" t="s">
        <v>5536</v>
      </c>
    </row>
    <row r="3902" spans="1:3" x14ac:dyDescent="0.25">
      <c r="A3902">
        <v>8098</v>
      </c>
      <c r="B3902" t="s">
        <v>5537</v>
      </c>
      <c r="C3902" t="s">
        <v>5538</v>
      </c>
    </row>
    <row r="3903" spans="1:3" x14ac:dyDescent="0.25">
      <c r="A3903">
        <v>8099</v>
      </c>
      <c r="B3903" t="s">
        <v>5539</v>
      </c>
      <c r="C3903" t="s">
        <v>5540</v>
      </c>
    </row>
    <row r="3904" spans="1:3" x14ac:dyDescent="0.25">
      <c r="A3904">
        <v>8100</v>
      </c>
      <c r="B3904" t="s">
        <v>5541</v>
      </c>
      <c r="C3904" t="s">
        <v>5542</v>
      </c>
    </row>
    <row r="3905" spans="1:3" x14ac:dyDescent="0.25">
      <c r="A3905">
        <v>8101</v>
      </c>
      <c r="B3905" t="s">
        <v>5543</v>
      </c>
      <c r="C3905" t="s">
        <v>5544</v>
      </c>
    </row>
    <row r="3906" spans="1:3" x14ac:dyDescent="0.25">
      <c r="A3906">
        <v>8102</v>
      </c>
      <c r="B3906" t="s">
        <v>5545</v>
      </c>
      <c r="C3906" t="s">
        <v>5546</v>
      </c>
    </row>
    <row r="3907" spans="1:3" x14ac:dyDescent="0.25">
      <c r="A3907">
        <v>8103</v>
      </c>
      <c r="B3907" t="s">
        <v>5547</v>
      </c>
      <c r="C3907" t="s">
        <v>5548</v>
      </c>
    </row>
    <row r="3908" spans="1:3" x14ac:dyDescent="0.25">
      <c r="A3908">
        <v>8104</v>
      </c>
      <c r="B3908" t="s">
        <v>5549</v>
      </c>
      <c r="C3908" t="s">
        <v>5550</v>
      </c>
    </row>
    <row r="3909" spans="1:3" x14ac:dyDescent="0.25">
      <c r="A3909">
        <v>4980</v>
      </c>
      <c r="B3909" t="s">
        <v>5551</v>
      </c>
      <c r="C3909" t="e">
        <f>+proj=geocent +ellps=WGQ84 +units=m +no_defs</f>
        <v>#NAME?</v>
      </c>
    </row>
    <row r="3910" spans="1:3" x14ac:dyDescent="0.25">
      <c r="A3910">
        <v>8105</v>
      </c>
      <c r="B3910" t="s">
        <v>5552</v>
      </c>
      <c r="C3910" t="s">
        <v>5553</v>
      </c>
    </row>
    <row r="3911" spans="1:3" x14ac:dyDescent="0.25">
      <c r="A3911">
        <v>8106</v>
      </c>
      <c r="B3911" t="s">
        <v>5554</v>
      </c>
      <c r="C3911" t="s">
        <v>5555</v>
      </c>
    </row>
    <row r="3912" spans="1:3" x14ac:dyDescent="0.25">
      <c r="A3912">
        <v>8107</v>
      </c>
      <c r="B3912" t="s">
        <v>5556</v>
      </c>
      <c r="C3912" t="s">
        <v>5557</v>
      </c>
    </row>
    <row r="3913" spans="1:3" x14ac:dyDescent="0.25">
      <c r="A3913">
        <v>8108</v>
      </c>
      <c r="B3913" t="s">
        <v>5558</v>
      </c>
      <c r="C3913" t="s">
        <v>5559</v>
      </c>
    </row>
    <row r="3914" spans="1:3" x14ac:dyDescent="0.25">
      <c r="A3914">
        <v>8109</v>
      </c>
      <c r="B3914" t="s">
        <v>5560</v>
      </c>
      <c r="C3914" t="s">
        <v>5561</v>
      </c>
    </row>
    <row r="3915" spans="1:3" x14ac:dyDescent="0.25">
      <c r="A3915">
        <v>8110</v>
      </c>
      <c r="B3915" t="s">
        <v>5562</v>
      </c>
      <c r="C3915" t="s">
        <v>5563</v>
      </c>
    </row>
    <row r="3916" spans="1:3" x14ac:dyDescent="0.25">
      <c r="A3916">
        <v>8111</v>
      </c>
      <c r="B3916" t="s">
        <v>5564</v>
      </c>
      <c r="C3916" t="s">
        <v>5565</v>
      </c>
    </row>
    <row r="3917" spans="1:3" x14ac:dyDescent="0.25">
      <c r="A3917">
        <v>8112</v>
      </c>
      <c r="B3917" t="s">
        <v>5566</v>
      </c>
      <c r="C3917" t="s">
        <v>5567</v>
      </c>
    </row>
    <row r="3918" spans="1:3" x14ac:dyDescent="0.25">
      <c r="A3918">
        <v>8113</v>
      </c>
      <c r="B3918" t="s">
        <v>5568</v>
      </c>
      <c r="C3918" t="s">
        <v>5569</v>
      </c>
    </row>
    <row r="3919" spans="1:3" x14ac:dyDescent="0.25">
      <c r="A3919">
        <v>8114</v>
      </c>
      <c r="B3919" t="s">
        <v>5570</v>
      </c>
      <c r="C3919" t="s">
        <v>5571</v>
      </c>
    </row>
    <row r="3920" spans="1:3" x14ac:dyDescent="0.25">
      <c r="A3920">
        <v>8115</v>
      </c>
      <c r="B3920" t="s">
        <v>5572</v>
      </c>
      <c r="C3920" t="s">
        <v>5573</v>
      </c>
    </row>
    <row r="3921" spans="1:3" x14ac:dyDescent="0.25">
      <c r="A3921">
        <v>8116</v>
      </c>
      <c r="B3921" t="s">
        <v>5574</v>
      </c>
      <c r="C3921" t="s">
        <v>5575</v>
      </c>
    </row>
    <row r="3922" spans="1:3" x14ac:dyDescent="0.25">
      <c r="A3922">
        <v>8117</v>
      </c>
      <c r="B3922" t="s">
        <v>5576</v>
      </c>
      <c r="C3922" t="s">
        <v>5577</v>
      </c>
    </row>
    <row r="3923" spans="1:3" x14ac:dyDescent="0.25">
      <c r="A3923">
        <v>8118</v>
      </c>
      <c r="B3923" t="s">
        <v>5578</v>
      </c>
      <c r="C3923" t="s">
        <v>5579</v>
      </c>
    </row>
    <row r="3924" spans="1:3" x14ac:dyDescent="0.25">
      <c r="A3924">
        <v>8119</v>
      </c>
      <c r="B3924" t="s">
        <v>5580</v>
      </c>
      <c r="C3924" t="s">
        <v>5581</v>
      </c>
    </row>
    <row r="3925" spans="1:3" x14ac:dyDescent="0.25">
      <c r="A3925">
        <v>8120</v>
      </c>
      <c r="B3925" t="s">
        <v>5582</v>
      </c>
      <c r="C3925" t="s">
        <v>5583</v>
      </c>
    </row>
    <row r="3926" spans="1:3" x14ac:dyDescent="0.25">
      <c r="A3926">
        <v>4982</v>
      </c>
      <c r="B3926" t="s">
        <v>5584</v>
      </c>
      <c r="C3926" t="e">
        <f>+proj=geocent +ellps=WGQ84 +units=m +no_defs</f>
        <v>#NAME?</v>
      </c>
    </row>
    <row r="3927" spans="1:3" x14ac:dyDescent="0.25">
      <c r="A3927">
        <v>8121</v>
      </c>
      <c r="B3927" t="s">
        <v>5585</v>
      </c>
      <c r="C3927" t="s">
        <v>5586</v>
      </c>
    </row>
    <row r="3928" spans="1:3" x14ac:dyDescent="0.25">
      <c r="A3928">
        <v>8122</v>
      </c>
      <c r="B3928" t="s">
        <v>5587</v>
      </c>
      <c r="C3928" t="s">
        <v>5588</v>
      </c>
    </row>
    <row r="3929" spans="1:3" x14ac:dyDescent="0.25">
      <c r="A3929">
        <v>8123</v>
      </c>
      <c r="B3929" t="s">
        <v>5589</v>
      </c>
      <c r="C3929" t="s">
        <v>5590</v>
      </c>
    </row>
    <row r="3930" spans="1:3" x14ac:dyDescent="0.25">
      <c r="A3930">
        <v>8124</v>
      </c>
      <c r="B3930" t="s">
        <v>5591</v>
      </c>
      <c r="C3930" t="s">
        <v>5592</v>
      </c>
    </row>
    <row r="3931" spans="1:3" x14ac:dyDescent="0.25">
      <c r="A3931">
        <v>8125</v>
      </c>
      <c r="B3931" t="s">
        <v>5593</v>
      </c>
      <c r="C3931" t="s">
        <v>5594</v>
      </c>
    </row>
    <row r="3932" spans="1:3" x14ac:dyDescent="0.25">
      <c r="A3932">
        <v>8126</v>
      </c>
      <c r="B3932" t="s">
        <v>5595</v>
      </c>
      <c r="C3932" t="s">
        <v>5596</v>
      </c>
    </row>
    <row r="3933" spans="1:3" x14ac:dyDescent="0.25">
      <c r="A3933">
        <v>8127</v>
      </c>
      <c r="B3933" t="s">
        <v>5597</v>
      </c>
      <c r="C3933" t="s">
        <v>5598</v>
      </c>
    </row>
    <row r="3934" spans="1:3" x14ac:dyDescent="0.25">
      <c r="A3934">
        <v>8128</v>
      </c>
      <c r="B3934" t="s">
        <v>5599</v>
      </c>
      <c r="C3934" t="s">
        <v>5600</v>
      </c>
    </row>
    <row r="3935" spans="1:3" x14ac:dyDescent="0.25">
      <c r="A3935">
        <v>4984</v>
      </c>
      <c r="B3935" t="s">
        <v>5601</v>
      </c>
      <c r="C3935" t="e">
        <f>+proj=geocent +ellps=WGQ72 +units=m +no_defs</f>
        <v>#NAME?</v>
      </c>
    </row>
    <row r="3936" spans="1:3" x14ac:dyDescent="0.25">
      <c r="A3936">
        <v>8129</v>
      </c>
      <c r="B3936" t="s">
        <v>5602</v>
      </c>
      <c r="C3936" t="s">
        <v>5603</v>
      </c>
    </row>
    <row r="3937" spans="1:3" x14ac:dyDescent="0.25">
      <c r="A3937">
        <v>8130</v>
      </c>
      <c r="B3937" t="s">
        <v>5604</v>
      </c>
      <c r="C3937" t="s">
        <v>5605</v>
      </c>
    </row>
    <row r="3938" spans="1:3" x14ac:dyDescent="0.25">
      <c r="A3938">
        <v>8131</v>
      </c>
      <c r="B3938" t="s">
        <v>5606</v>
      </c>
      <c r="C3938" t="s">
        <v>5607</v>
      </c>
    </row>
    <row r="3939" spans="1:3" x14ac:dyDescent="0.25">
      <c r="A3939">
        <v>8132</v>
      </c>
      <c r="B3939" t="s">
        <v>5608</v>
      </c>
      <c r="C3939" t="s">
        <v>5609</v>
      </c>
    </row>
    <row r="3940" spans="1:3" x14ac:dyDescent="0.25">
      <c r="A3940">
        <v>8133</v>
      </c>
      <c r="B3940" t="s">
        <v>5610</v>
      </c>
      <c r="C3940" t="s">
        <v>5611</v>
      </c>
    </row>
    <row r="3941" spans="1:3" x14ac:dyDescent="0.25">
      <c r="A3941">
        <v>8134</v>
      </c>
      <c r="B3941" t="s">
        <v>5612</v>
      </c>
      <c r="C3941" t="s">
        <v>5613</v>
      </c>
    </row>
    <row r="3942" spans="1:3" x14ac:dyDescent="0.25">
      <c r="A3942">
        <v>8135</v>
      </c>
      <c r="B3942" t="s">
        <v>5614</v>
      </c>
      <c r="C3942" t="s">
        <v>5615</v>
      </c>
    </row>
    <row r="3943" spans="1:3" x14ac:dyDescent="0.25">
      <c r="A3943">
        <v>8136</v>
      </c>
      <c r="B3943" t="s">
        <v>5616</v>
      </c>
      <c r="C3943" t="s">
        <v>5617</v>
      </c>
    </row>
    <row r="3944" spans="1:3" x14ac:dyDescent="0.25">
      <c r="A3944">
        <v>4986</v>
      </c>
      <c r="B3944" t="s">
        <v>5618</v>
      </c>
      <c r="C3944" t="e">
        <f>+proj=geocent +ellps=WGQ72 +units=m +no_defs</f>
        <v>#NAME?</v>
      </c>
    </row>
    <row r="3945" spans="1:3" x14ac:dyDescent="0.25">
      <c r="A3945">
        <v>8137</v>
      </c>
      <c r="B3945" t="s">
        <v>5619</v>
      </c>
      <c r="C3945" t="s">
        <v>5620</v>
      </c>
    </row>
    <row r="3946" spans="1:3" x14ac:dyDescent="0.25">
      <c r="A3946">
        <v>8138</v>
      </c>
      <c r="B3946" t="s">
        <v>5621</v>
      </c>
      <c r="C3946" t="s">
        <v>5622</v>
      </c>
    </row>
    <row r="3947" spans="1:3" x14ac:dyDescent="0.25">
      <c r="A3947">
        <v>8139</v>
      </c>
      <c r="B3947" t="s">
        <v>5623</v>
      </c>
      <c r="C3947" t="s">
        <v>5624</v>
      </c>
    </row>
    <row r="3948" spans="1:3" x14ac:dyDescent="0.25">
      <c r="A3948">
        <v>8140</v>
      </c>
      <c r="B3948" t="s">
        <v>5625</v>
      </c>
      <c r="C3948" t="s">
        <v>5626</v>
      </c>
    </row>
    <row r="3949" spans="1:3" x14ac:dyDescent="0.25">
      <c r="A3949">
        <v>8141</v>
      </c>
      <c r="B3949" t="s">
        <v>5627</v>
      </c>
      <c r="C3949" t="s">
        <v>5628</v>
      </c>
    </row>
    <row r="3950" spans="1:3" x14ac:dyDescent="0.25">
      <c r="A3950">
        <v>8142</v>
      </c>
      <c r="B3950" t="s">
        <v>5629</v>
      </c>
      <c r="C3950" t="s">
        <v>5630</v>
      </c>
    </row>
    <row r="3951" spans="1:3" x14ac:dyDescent="0.25">
      <c r="A3951">
        <v>8143</v>
      </c>
      <c r="B3951" t="s">
        <v>5631</v>
      </c>
      <c r="C3951" t="s">
        <v>5632</v>
      </c>
    </row>
    <row r="3952" spans="1:3" x14ac:dyDescent="0.25">
      <c r="A3952">
        <v>8144</v>
      </c>
      <c r="B3952" t="s">
        <v>5633</v>
      </c>
      <c r="C3952" t="s">
        <v>5634</v>
      </c>
    </row>
    <row r="3953" spans="1:3" x14ac:dyDescent="0.25">
      <c r="A3953">
        <v>8145</v>
      </c>
      <c r="B3953" t="s">
        <v>5635</v>
      </c>
      <c r="C3953" t="s">
        <v>5636</v>
      </c>
    </row>
    <row r="3954" spans="1:3" x14ac:dyDescent="0.25">
      <c r="A3954">
        <v>8146</v>
      </c>
      <c r="B3954" t="s">
        <v>5637</v>
      </c>
      <c r="C3954" t="s">
        <v>5638</v>
      </c>
    </row>
    <row r="3955" spans="1:3" x14ac:dyDescent="0.25">
      <c r="A3955">
        <v>8147</v>
      </c>
      <c r="B3955" t="s">
        <v>5639</v>
      </c>
      <c r="C3955" t="s">
        <v>5640</v>
      </c>
    </row>
    <row r="3956" spans="1:3" x14ac:dyDescent="0.25">
      <c r="A3956">
        <v>8148</v>
      </c>
      <c r="B3956" t="s">
        <v>5641</v>
      </c>
      <c r="C3956" t="s">
        <v>5642</v>
      </c>
    </row>
    <row r="3957" spans="1:3" x14ac:dyDescent="0.25">
      <c r="A3957">
        <v>8149</v>
      </c>
      <c r="B3957" t="s">
        <v>5643</v>
      </c>
      <c r="C3957" t="s">
        <v>5644</v>
      </c>
    </row>
    <row r="3958" spans="1:3" x14ac:dyDescent="0.25">
      <c r="A3958">
        <v>8150</v>
      </c>
      <c r="B3958" t="s">
        <v>5645</v>
      </c>
      <c r="C3958" t="s">
        <v>5646</v>
      </c>
    </row>
    <row r="3959" spans="1:3" x14ac:dyDescent="0.25">
      <c r="A3959">
        <v>8151</v>
      </c>
      <c r="B3959" t="s">
        <v>5647</v>
      </c>
      <c r="C3959" t="s">
        <v>5648</v>
      </c>
    </row>
    <row r="3960" spans="1:3" x14ac:dyDescent="0.25">
      <c r="A3960">
        <v>8152</v>
      </c>
      <c r="B3960" t="s">
        <v>5649</v>
      </c>
      <c r="C3960" t="s">
        <v>5650</v>
      </c>
    </row>
    <row r="3961" spans="1:3" x14ac:dyDescent="0.25">
      <c r="A3961">
        <v>4988</v>
      </c>
      <c r="B3961" t="s">
        <v>5651</v>
      </c>
      <c r="C3961" t="e">
        <f>+proj=geocent +ellps=GRQ80 +units=m +no_defs</f>
        <v>#NAME?</v>
      </c>
    </row>
    <row r="3962" spans="1:3" x14ac:dyDescent="0.25">
      <c r="A3962">
        <v>8153</v>
      </c>
      <c r="B3962" t="s">
        <v>5652</v>
      </c>
      <c r="C3962" t="s">
        <v>5653</v>
      </c>
    </row>
    <row r="3963" spans="1:3" x14ac:dyDescent="0.25">
      <c r="A3963">
        <v>8154</v>
      </c>
      <c r="B3963" t="s">
        <v>5654</v>
      </c>
      <c r="C3963" t="s">
        <v>5655</v>
      </c>
    </row>
    <row r="3964" spans="1:3" x14ac:dyDescent="0.25">
      <c r="A3964">
        <v>8155</v>
      </c>
      <c r="B3964" t="s">
        <v>5656</v>
      </c>
      <c r="C3964" t="s">
        <v>5657</v>
      </c>
    </row>
    <row r="3965" spans="1:3" x14ac:dyDescent="0.25">
      <c r="A3965">
        <v>8156</v>
      </c>
      <c r="B3965" t="s">
        <v>5658</v>
      </c>
      <c r="C3965" t="s">
        <v>5659</v>
      </c>
    </row>
    <row r="3966" spans="1:3" x14ac:dyDescent="0.25">
      <c r="A3966">
        <v>8157</v>
      </c>
      <c r="B3966" t="s">
        <v>5660</v>
      </c>
      <c r="C3966" t="s">
        <v>5661</v>
      </c>
    </row>
    <row r="3967" spans="1:3" x14ac:dyDescent="0.25">
      <c r="A3967">
        <v>8158</v>
      </c>
      <c r="B3967" t="s">
        <v>5662</v>
      </c>
      <c r="C3967" t="s">
        <v>5663</v>
      </c>
    </row>
    <row r="3968" spans="1:3" x14ac:dyDescent="0.25">
      <c r="A3968">
        <v>8159</v>
      </c>
      <c r="B3968" t="s">
        <v>5664</v>
      </c>
      <c r="C3968" t="s">
        <v>5665</v>
      </c>
    </row>
    <row r="3969" spans="1:3" x14ac:dyDescent="0.25">
      <c r="A3969">
        <v>8160</v>
      </c>
      <c r="B3969" t="s">
        <v>5666</v>
      </c>
      <c r="C3969" t="s">
        <v>5667</v>
      </c>
    </row>
    <row r="3970" spans="1:3" x14ac:dyDescent="0.25">
      <c r="A3970">
        <v>4990</v>
      </c>
      <c r="B3970" t="s">
        <v>5668</v>
      </c>
      <c r="C3970" t="e">
        <f>+proj=geocent +ellps=krass +units=m +no_defs</f>
        <v>#NAME?</v>
      </c>
    </row>
    <row r="3971" spans="1:3" x14ac:dyDescent="0.25">
      <c r="A3971">
        <v>8161</v>
      </c>
      <c r="B3971" t="s">
        <v>5669</v>
      </c>
      <c r="C3971" t="s">
        <v>5670</v>
      </c>
    </row>
    <row r="3972" spans="1:3" x14ac:dyDescent="0.25">
      <c r="A3972">
        <v>8162</v>
      </c>
      <c r="B3972" t="s">
        <v>5671</v>
      </c>
      <c r="C3972" t="s">
        <v>5672</v>
      </c>
    </row>
    <row r="3973" spans="1:3" x14ac:dyDescent="0.25">
      <c r="A3973">
        <v>8163</v>
      </c>
      <c r="B3973" t="s">
        <v>5673</v>
      </c>
      <c r="C3973" t="s">
        <v>5674</v>
      </c>
    </row>
    <row r="3974" spans="1:3" x14ac:dyDescent="0.25">
      <c r="A3974">
        <v>8164</v>
      </c>
      <c r="B3974" t="s">
        <v>5675</v>
      </c>
      <c r="C3974" t="s">
        <v>5676</v>
      </c>
    </row>
    <row r="3975" spans="1:3" x14ac:dyDescent="0.25">
      <c r="A3975">
        <v>8165</v>
      </c>
      <c r="B3975" t="s">
        <v>5677</v>
      </c>
      <c r="C3975" t="s">
        <v>5678</v>
      </c>
    </row>
    <row r="3976" spans="1:3" x14ac:dyDescent="0.25">
      <c r="A3976">
        <v>8166</v>
      </c>
      <c r="B3976" t="s">
        <v>5679</v>
      </c>
      <c r="C3976" t="s">
        <v>5680</v>
      </c>
    </row>
    <row r="3977" spans="1:3" x14ac:dyDescent="0.25">
      <c r="A3977">
        <v>8167</v>
      </c>
      <c r="B3977" t="s">
        <v>5681</v>
      </c>
      <c r="C3977" t="s">
        <v>5682</v>
      </c>
    </row>
    <row r="3978" spans="1:3" x14ac:dyDescent="0.25">
      <c r="A3978">
        <v>8168</v>
      </c>
      <c r="B3978" t="s">
        <v>5683</v>
      </c>
      <c r="C3978" t="s">
        <v>5684</v>
      </c>
    </row>
    <row r="3979" spans="1:3" x14ac:dyDescent="0.25">
      <c r="A3979">
        <v>4992</v>
      </c>
      <c r="B3979" t="s">
        <v>5685</v>
      </c>
      <c r="C3979" t="e">
        <f>+proj=geocent +ellps=krass +units=m +no_defs</f>
        <v>#NAME?</v>
      </c>
    </row>
    <row r="3980" spans="1:3" x14ac:dyDescent="0.25">
      <c r="A3980">
        <v>8169</v>
      </c>
      <c r="B3980" t="s">
        <v>5686</v>
      </c>
      <c r="C3980" t="s">
        <v>5687</v>
      </c>
    </row>
    <row r="3981" spans="1:3" x14ac:dyDescent="0.25">
      <c r="A3981">
        <v>8170</v>
      </c>
      <c r="B3981" t="s">
        <v>5688</v>
      </c>
      <c r="C3981" t="s">
        <v>5689</v>
      </c>
    </row>
    <row r="3982" spans="1:3" x14ac:dyDescent="0.25">
      <c r="A3982">
        <v>8171</v>
      </c>
      <c r="B3982" t="s">
        <v>5690</v>
      </c>
      <c r="C3982" t="s">
        <v>5691</v>
      </c>
    </row>
    <row r="3983" spans="1:3" x14ac:dyDescent="0.25">
      <c r="A3983">
        <v>8172</v>
      </c>
      <c r="B3983" t="s">
        <v>5692</v>
      </c>
      <c r="C3983" t="s">
        <v>5693</v>
      </c>
    </row>
    <row r="3984" spans="1:3" x14ac:dyDescent="0.25">
      <c r="A3984">
        <v>8173</v>
      </c>
      <c r="B3984" t="s">
        <v>5694</v>
      </c>
      <c r="C3984" t="s">
        <v>5695</v>
      </c>
    </row>
    <row r="3985" spans="1:3" x14ac:dyDescent="0.25">
      <c r="A3985">
        <v>8177</v>
      </c>
      <c r="B3985" t="s">
        <v>5696</v>
      </c>
      <c r="C3985" t="s">
        <v>5697</v>
      </c>
    </row>
    <row r="3986" spans="1:3" x14ac:dyDescent="0.25">
      <c r="A3986">
        <v>8179</v>
      </c>
      <c r="B3986" t="s">
        <v>5698</v>
      </c>
      <c r="C3986" t="s">
        <v>5699</v>
      </c>
    </row>
    <row r="3987" spans="1:3" x14ac:dyDescent="0.25">
      <c r="A3987">
        <v>8180</v>
      </c>
      <c r="B3987" t="s">
        <v>5700</v>
      </c>
      <c r="C3987" t="s">
        <v>5701</v>
      </c>
    </row>
    <row r="3988" spans="1:3" x14ac:dyDescent="0.25">
      <c r="A3988">
        <v>4994</v>
      </c>
      <c r="B3988" t="s">
        <v>5702</v>
      </c>
      <c r="C3988" t="e">
        <f>+proj=geocent +ellps=clrk66 +units=m +no_defs</f>
        <v>#NAME?</v>
      </c>
    </row>
    <row r="3989" spans="1:3" x14ac:dyDescent="0.25">
      <c r="A3989">
        <v>8181</v>
      </c>
      <c r="B3989" t="s">
        <v>5703</v>
      </c>
      <c r="C3989" t="s">
        <v>5704</v>
      </c>
    </row>
    <row r="3990" spans="1:3" x14ac:dyDescent="0.25">
      <c r="A3990">
        <v>8182</v>
      </c>
      <c r="B3990" t="s">
        <v>5705</v>
      </c>
      <c r="C3990" t="s">
        <v>5706</v>
      </c>
    </row>
    <row r="3991" spans="1:3" x14ac:dyDescent="0.25">
      <c r="A3991">
        <v>8184</v>
      </c>
      <c r="B3991" t="s">
        <v>5707</v>
      </c>
      <c r="C3991" t="s">
        <v>5708</v>
      </c>
    </row>
    <row r="3992" spans="1:3" x14ac:dyDescent="0.25">
      <c r="A3992">
        <v>8185</v>
      </c>
      <c r="B3992" t="s">
        <v>5709</v>
      </c>
      <c r="C3992" t="s">
        <v>5710</v>
      </c>
    </row>
    <row r="3993" spans="1:3" x14ac:dyDescent="0.25">
      <c r="A3993">
        <v>8187</v>
      </c>
      <c r="B3993" t="s">
        <v>5711</v>
      </c>
      <c r="C3993" t="s">
        <v>5712</v>
      </c>
    </row>
    <row r="3994" spans="1:3" x14ac:dyDescent="0.25">
      <c r="A3994">
        <v>8189</v>
      </c>
      <c r="B3994" t="s">
        <v>5713</v>
      </c>
      <c r="C3994" t="s">
        <v>5714</v>
      </c>
    </row>
    <row r="3995" spans="1:3" x14ac:dyDescent="0.25">
      <c r="A3995">
        <v>8191</v>
      </c>
      <c r="B3995" t="s">
        <v>5715</v>
      </c>
      <c r="C3995" t="s">
        <v>5716</v>
      </c>
    </row>
    <row r="3996" spans="1:3" x14ac:dyDescent="0.25">
      <c r="A3996">
        <v>8193</v>
      </c>
      <c r="B3996" t="s">
        <v>5717</v>
      </c>
      <c r="C3996" t="s">
        <v>5718</v>
      </c>
    </row>
    <row r="3997" spans="1:3" x14ac:dyDescent="0.25">
      <c r="A3997">
        <v>4996</v>
      </c>
      <c r="B3997" t="s">
        <v>5719</v>
      </c>
      <c r="C3997" t="e">
        <f>+proj=geocent +ellps=GRQ80 +units=m +no_defs</f>
        <v>#NAME?</v>
      </c>
    </row>
    <row r="3998" spans="1:3" x14ac:dyDescent="0.25">
      <c r="A3998">
        <v>8196</v>
      </c>
      <c r="B3998" t="s">
        <v>5720</v>
      </c>
      <c r="C3998" t="s">
        <v>5721</v>
      </c>
    </row>
    <row r="3999" spans="1:3" x14ac:dyDescent="0.25">
      <c r="A3999">
        <v>8197</v>
      </c>
      <c r="B3999" t="s">
        <v>5722</v>
      </c>
      <c r="C3999" t="s">
        <v>5723</v>
      </c>
    </row>
    <row r="4000" spans="1:3" x14ac:dyDescent="0.25">
      <c r="A4000">
        <v>8198</v>
      </c>
      <c r="B4000" t="s">
        <v>5724</v>
      </c>
      <c r="C4000" t="s">
        <v>5725</v>
      </c>
    </row>
    <row r="4001" spans="1:3" x14ac:dyDescent="0.25">
      <c r="A4001">
        <v>8200</v>
      </c>
      <c r="B4001" t="s">
        <v>5726</v>
      </c>
      <c r="C4001" t="s">
        <v>5727</v>
      </c>
    </row>
    <row r="4002" spans="1:3" x14ac:dyDescent="0.25">
      <c r="A4002">
        <v>8201</v>
      </c>
      <c r="B4002" t="s">
        <v>5728</v>
      </c>
      <c r="C4002" t="s">
        <v>5729</v>
      </c>
    </row>
    <row r="4003" spans="1:3" x14ac:dyDescent="0.25">
      <c r="A4003">
        <v>8202</v>
      </c>
      <c r="B4003" t="s">
        <v>5730</v>
      </c>
      <c r="C4003" t="s">
        <v>5731</v>
      </c>
    </row>
    <row r="4004" spans="1:3" x14ac:dyDescent="0.25">
      <c r="A4004">
        <v>8203</v>
      </c>
      <c r="B4004" t="s">
        <v>5732</v>
      </c>
      <c r="C4004" t="s">
        <v>5733</v>
      </c>
    </row>
    <row r="4005" spans="1:3" x14ac:dyDescent="0.25">
      <c r="A4005">
        <v>8204</v>
      </c>
      <c r="B4005" t="s">
        <v>5734</v>
      </c>
      <c r="C4005" t="s">
        <v>5735</v>
      </c>
    </row>
    <row r="4006" spans="1:3" x14ac:dyDescent="0.25">
      <c r="A4006">
        <v>4998</v>
      </c>
      <c r="B4006" t="s">
        <v>5736</v>
      </c>
      <c r="C4006" t="e">
        <f>+proj=geocent +ellps=GRQ80 +units=m +no_defs</f>
        <v>#NAME?</v>
      </c>
    </row>
    <row r="4007" spans="1:3" x14ac:dyDescent="0.25">
      <c r="A4007">
        <v>8205</v>
      </c>
      <c r="B4007" t="s">
        <v>5737</v>
      </c>
      <c r="C4007" t="s">
        <v>5738</v>
      </c>
    </row>
    <row r="4008" spans="1:3" x14ac:dyDescent="0.25">
      <c r="A4008">
        <v>8206</v>
      </c>
      <c r="B4008" t="s">
        <v>5739</v>
      </c>
      <c r="C4008" t="s">
        <v>5740</v>
      </c>
    </row>
    <row r="4009" spans="1:3" x14ac:dyDescent="0.25">
      <c r="A4009">
        <v>8207</v>
      </c>
      <c r="B4009" t="s">
        <v>5741</v>
      </c>
      <c r="C4009" t="s">
        <v>5742</v>
      </c>
    </row>
    <row r="4010" spans="1:3" x14ac:dyDescent="0.25">
      <c r="A4010">
        <v>8208</v>
      </c>
      <c r="B4010" t="s">
        <v>5743</v>
      </c>
      <c r="C4010" t="s">
        <v>5744</v>
      </c>
    </row>
    <row r="4011" spans="1:3" x14ac:dyDescent="0.25">
      <c r="A4011">
        <v>8209</v>
      </c>
      <c r="B4011" t="s">
        <v>5745</v>
      </c>
      <c r="C4011" t="s">
        <v>5746</v>
      </c>
    </row>
    <row r="4012" spans="1:3" x14ac:dyDescent="0.25">
      <c r="A4012">
        <v>8210</v>
      </c>
      <c r="B4012" t="s">
        <v>5747</v>
      </c>
      <c r="C4012" t="s">
        <v>5748</v>
      </c>
    </row>
    <row r="4013" spans="1:3" x14ac:dyDescent="0.25">
      <c r="A4013">
        <v>8212</v>
      </c>
      <c r="B4013" t="s">
        <v>5749</v>
      </c>
      <c r="C4013" t="s">
        <v>5750</v>
      </c>
    </row>
    <row r="4014" spans="1:3" x14ac:dyDescent="0.25">
      <c r="A4014">
        <v>8213</v>
      </c>
      <c r="B4014" t="s">
        <v>5751</v>
      </c>
      <c r="C4014" t="s">
        <v>5752</v>
      </c>
    </row>
    <row r="4015" spans="1:3" x14ac:dyDescent="0.25">
      <c r="A4015">
        <v>5011</v>
      </c>
      <c r="B4015" t="s">
        <v>5753</v>
      </c>
      <c r="C4015" t="e">
        <f>+proj=geocent +ellps=GRQ80 +units=m +no_defs</f>
        <v>#NAME?</v>
      </c>
    </row>
    <row r="4016" spans="1:3" x14ac:dyDescent="0.25">
      <c r="A4016">
        <v>8214</v>
      </c>
      <c r="B4016" t="s">
        <v>5754</v>
      </c>
      <c r="C4016" t="s">
        <v>5755</v>
      </c>
    </row>
    <row r="4017" spans="1:3" x14ac:dyDescent="0.25">
      <c r="A4017">
        <v>8216</v>
      </c>
      <c r="B4017" t="s">
        <v>5756</v>
      </c>
      <c r="C4017" t="s">
        <v>5757</v>
      </c>
    </row>
    <row r="4018" spans="1:3" x14ac:dyDescent="0.25">
      <c r="A4018">
        <v>8218</v>
      </c>
      <c r="B4018" t="s">
        <v>5758</v>
      </c>
      <c r="C4018" t="s">
        <v>5759</v>
      </c>
    </row>
    <row r="4019" spans="1:3" x14ac:dyDescent="0.25">
      <c r="A4019">
        <v>8220</v>
      </c>
      <c r="B4019" t="s">
        <v>5760</v>
      </c>
      <c r="C4019" t="s">
        <v>5761</v>
      </c>
    </row>
    <row r="4020" spans="1:3" x14ac:dyDescent="0.25">
      <c r="A4020">
        <v>8222</v>
      </c>
      <c r="B4020" t="s">
        <v>5762</v>
      </c>
      <c r="C4020" t="s">
        <v>5763</v>
      </c>
    </row>
    <row r="4021" spans="1:3" x14ac:dyDescent="0.25">
      <c r="A4021">
        <v>8224</v>
      </c>
      <c r="B4021" t="s">
        <v>5764</v>
      </c>
      <c r="C4021" t="s">
        <v>5765</v>
      </c>
    </row>
    <row r="4022" spans="1:3" x14ac:dyDescent="0.25">
      <c r="A4022">
        <v>8225</v>
      </c>
      <c r="B4022" t="s">
        <v>5766</v>
      </c>
      <c r="C4022" t="s">
        <v>5767</v>
      </c>
    </row>
    <row r="4023" spans="1:3" x14ac:dyDescent="0.25">
      <c r="A4023">
        <v>8226</v>
      </c>
      <c r="B4023" t="s">
        <v>5768</v>
      </c>
      <c r="C4023" t="s">
        <v>5769</v>
      </c>
    </row>
    <row r="4024" spans="1:3" x14ac:dyDescent="0.25">
      <c r="A4024">
        <v>5244</v>
      </c>
      <c r="B4024" t="s">
        <v>5770</v>
      </c>
      <c r="C4024" t="e">
        <f>+proj=geocent +ellps=GRQ80 +units=m +no_defs</f>
        <v>#NAME?</v>
      </c>
    </row>
    <row r="4025" spans="1:3" x14ac:dyDescent="0.25">
      <c r="A4025">
        <v>8311</v>
      </c>
      <c r="B4025" t="s">
        <v>5771</v>
      </c>
      <c r="C4025" t="e">
        <f>+proj=tmerc +lat_0=43.5 +lon_0=-117.666666666666 +k=1.00014 +x_0=90000 +y_0=0 +ellps=GRQ80 +units=m +no_defs</f>
        <v>#NAME?</v>
      </c>
    </row>
    <row r="4026" spans="1:3" x14ac:dyDescent="0.25">
      <c r="A4026">
        <v>8312</v>
      </c>
      <c r="B4026" t="s">
        <v>5772</v>
      </c>
      <c r="C4026" t="e">
        <f>+proj=tmerc +lat_0=43.5 +lon_0=-117.666666666666 +k=1.00014 +x_0=90000.00001488 +y_0=0 +ellps=GRQ80 +units=ft +no_defs</f>
        <v>#NAME?</v>
      </c>
    </row>
    <row r="4027" spans="1:3" x14ac:dyDescent="0.25">
      <c r="A4027">
        <v>8313</v>
      </c>
      <c r="B4027" t="s">
        <v>5773</v>
      </c>
      <c r="C4027" t="e">
        <f>+proj=tmerc +lat_0=43.5 +lon_0=-119 +k=1.00022 +x_0=20000 +y_0=0 +ellps=GRQ80 +units=m +no_defs</f>
        <v>#NAME?</v>
      </c>
    </row>
    <row r="4028" spans="1:3" x14ac:dyDescent="0.25">
      <c r="A4028">
        <v>8314</v>
      </c>
      <c r="B4028" t="s">
        <v>5774</v>
      </c>
      <c r="C4028" t="e">
        <f>+proj=tmerc +lat_0=43.5 +lon_0=-119 +k=1.00022 +x_0=19999.99999992 +y_0=0 +ellps=GRQ80 +units=ft +no_defs</f>
        <v>#NAME?</v>
      </c>
    </row>
    <row r="4029" spans="1:3" x14ac:dyDescent="0.25">
      <c r="A4029">
        <v>8315</v>
      </c>
      <c r="B4029" t="s">
        <v>5775</v>
      </c>
      <c r="C4029" t="e">
        <f>+proj=lcc +lat_1=45.5833333333333 +lat_0=45.5833333333333 +lon_0=-123.416666666666 +k_0=1.000045 +x_0=30000 +y_0=20000 +ellps=GRQ80 +units=m +no_defs</f>
        <v>#NAME?</v>
      </c>
    </row>
    <row r="4030" spans="1:3" x14ac:dyDescent="0.25">
      <c r="A4030">
        <v>8316</v>
      </c>
      <c r="B4030" t="s">
        <v>5776</v>
      </c>
      <c r="C4030" t="e">
        <f>+proj=lcc +lat_1=45.5833333333333 +lat_0=45.5833333333333 +lon_0=-123.416666666666 +k_0=1.000045 +x_0=30000.00001512 +y_0=19999.99999992 +ellps=GRQ80 +units=ft +no_defs</f>
        <v>#NAME?</v>
      </c>
    </row>
    <row r="4031" spans="1:3" x14ac:dyDescent="0.25">
      <c r="A4031">
        <v>8317</v>
      </c>
      <c r="B4031" t="s">
        <v>5777</v>
      </c>
      <c r="C4031" t="e">
        <f>+proj=tmerc +lat_0=44.25 +lon_0=-119.633333333333 +k=1.00012 +x_0=20000 +y_0=0 +ellps=GRQ80 +units=m +no_defs</f>
        <v>#NAME?</v>
      </c>
    </row>
    <row r="4032" spans="1:3" x14ac:dyDescent="0.25">
      <c r="A4032">
        <v>8318</v>
      </c>
      <c r="B4032" t="s">
        <v>5778</v>
      </c>
      <c r="C4032" t="e">
        <f>+proj=tmerc +lat_0=44.25 +lon_0=-119.633333333333 +k=1.00012 +x_0=19999.99999992 +y_0=0 +ellps=GRQ80 +units=ft +no_defs</f>
        <v>#NAME?</v>
      </c>
    </row>
    <row r="4033" spans="1:3" x14ac:dyDescent="0.25">
      <c r="A4033">
        <v>8319</v>
      </c>
      <c r="B4033" t="s">
        <v>5779</v>
      </c>
      <c r="C4033" t="e">
        <f>+proj=tmerc +lat_0=41.75 +lon_0=-118.416666666666 +k=1.00019 +x_0=80000 +y_0=0 +ellps=GRQ80 +units=m +no_defs</f>
        <v>#NAME?</v>
      </c>
    </row>
    <row r="4034" spans="1:3" x14ac:dyDescent="0.25">
      <c r="A4034">
        <v>5250</v>
      </c>
      <c r="B4034" t="s">
        <v>5780</v>
      </c>
      <c r="C4034" t="e">
        <f>+proj=geocent +ellps=GRQ80 +units=m +no_defs</f>
        <v>#NAME?</v>
      </c>
    </row>
    <row r="4035" spans="1:3" x14ac:dyDescent="0.25">
      <c r="A4035">
        <v>8320</v>
      </c>
      <c r="B4035" t="s">
        <v>5781</v>
      </c>
      <c r="C4035" t="e">
        <f>+proj=tmerc +lat_0=41.75 +lon_0=-118.416666666666 +k=1.00019 +x_0=79999.99999968 +y_0=0 +ellps=GRQ80 +units=ft +no_defs</f>
        <v>#NAME?</v>
      </c>
    </row>
    <row r="4036" spans="1:3" x14ac:dyDescent="0.25">
      <c r="A4036">
        <v>8321</v>
      </c>
      <c r="B4036" t="s">
        <v>5782</v>
      </c>
      <c r="C4036" t="e">
        <f>+proj=lcc +lat_1=45.25 +lat_0=45.25 +lon_0=-117.25 +k_0=1.000085 +x_0=40000 +y_0=70000 +ellps=GRQ80 +units=m +no_defs</f>
        <v>#NAME?</v>
      </c>
    </row>
    <row r="4037" spans="1:3" x14ac:dyDescent="0.25">
      <c r="A4037">
        <v>8322</v>
      </c>
      <c r="B4037" t="s">
        <v>5783</v>
      </c>
      <c r="C4037" t="e">
        <f>+proj=lcc +lat_1=45.25 +lat_0=45.25 +lon_0=-117.25 +k_0=1.000085 +x_0=39999.99999984 +y_0=70000.0000149599 +ellps=GRQ80 +units=ft +no_defs</f>
        <v>#NAME?</v>
      </c>
    </row>
    <row r="4038" spans="1:3" x14ac:dyDescent="0.25">
      <c r="A4038">
        <v>8323</v>
      </c>
      <c r="B4038" t="s">
        <v>5784</v>
      </c>
      <c r="C4038" t="e">
        <f>+proj=lcc +lat_1=42 +lat_0=42 +lon_0=-122.25 +k_0=1.00004 +x_0=60000 +y_0=-60000 +ellps=GRQ80 +units=m +no_defs</f>
        <v>#NAME?</v>
      </c>
    </row>
    <row r="4039" spans="1:3" x14ac:dyDescent="0.25">
      <c r="A4039">
        <v>8324</v>
      </c>
      <c r="B4039" t="s">
        <v>5785</v>
      </c>
      <c r="C4039" t="e">
        <f>+proj=lcc +lat_1=42 +lat_0=42 +lon_0=-122.25 +k_0=1.00004 +x_0=59999.99999976 +y_0=-59999.99999976 +ellps=GRQ80 +units=ft +no_defs</f>
        <v>#NAME?</v>
      </c>
    </row>
    <row r="4040" spans="1:3" x14ac:dyDescent="0.25">
      <c r="A4040">
        <v>8325</v>
      </c>
      <c r="B4040" t="s">
        <v>5786</v>
      </c>
      <c r="C4040" t="e">
        <f>+proj=lcc +lat_1=47 +lat_0=47 +lon_0=-120.25 +k_0=0.99927 +x_0=30000 +y_0=290000 +ellps=GRQ80 +units=m +no_defs</f>
        <v>#NAME?</v>
      </c>
    </row>
    <row r="4041" spans="1:3" x14ac:dyDescent="0.25">
      <c r="A4041">
        <v>8326</v>
      </c>
      <c r="B4041" t="s">
        <v>5787</v>
      </c>
      <c r="C4041" t="e">
        <f>+proj=lcc +lat_1=47 +lat_0=47 +lon_0=-120.25 +k_0=0.99927 +x_0=30000.00001512 +y_0=290000.00001408 +ellps=GRQ80 +units=ft +no_defs</f>
        <v>#NAME?</v>
      </c>
    </row>
    <row r="4042" spans="1:3" x14ac:dyDescent="0.25">
      <c r="A4042">
        <v>8327</v>
      </c>
      <c r="B4042" t="s">
        <v>5788</v>
      </c>
      <c r="C4042" t="e">
        <f>+proj=lcc +lat_1=46.1666666666666 +lat_0=46.1666666666666 +lon_0=-120.5 +k_0=1 +x_0=100000 +y_0=140000 +ellps=GRQ80 +units=m +no_defs</f>
        <v>#NAME?</v>
      </c>
    </row>
    <row r="4043" spans="1:3" x14ac:dyDescent="0.25">
      <c r="A4043">
        <v>8328</v>
      </c>
      <c r="B4043" t="s">
        <v>5789</v>
      </c>
      <c r="C4043" t="e">
        <f>+proj=lcc +lat_1=46.1666666666666 +lat_0=46.1666666666666 +lon_0=-120.5 +k_0=1 +x_0=99999.9999996 +y_0=139999.99999944 +ellps=GRQ80 +units=ft +no_defs</f>
        <v>#NAME?</v>
      </c>
    </row>
    <row r="4044" spans="1:3" x14ac:dyDescent="0.25">
      <c r="A4044">
        <v>8329</v>
      </c>
      <c r="B4044" t="s">
        <v>5790</v>
      </c>
      <c r="C4044" t="e">
        <f>+proj=lcc +lat_1=43.5 +lat_0=43.5 +lon_0=-120.5 +k_0=1.00006 +x_0=40000 +y_0=-80000 +ellps=GRQ80 +units=m +no_defs</f>
        <v>#NAME?</v>
      </c>
    </row>
    <row r="4045" spans="1:3" x14ac:dyDescent="0.25">
      <c r="A4045">
        <v>8330</v>
      </c>
      <c r="B4045" t="s">
        <v>5791</v>
      </c>
      <c r="C4045" t="e">
        <f>+proj=lcc +lat_1=43.5 +lat_0=43.5 +lon_0=-120.5 +k_0=1.00006 +x_0=39999.99999984 +y_0=-79999.99999968 +ellps=GRQ80 +units=ft +no_defs</f>
        <v>#NAME?</v>
      </c>
    </row>
    <row r="4046" spans="1:3" x14ac:dyDescent="0.25">
      <c r="A4046">
        <v>8331</v>
      </c>
      <c r="B4046" t="s">
        <v>5792</v>
      </c>
      <c r="C4046" t="e">
        <f>+proj=tmerc +lat_0=41.75 +lon_0=-117.583333333333 +k=1.00018 +x_0=70000 +y_0=0 +ellps=GRQ80 +units=m +no_defs</f>
        <v>#NAME?</v>
      </c>
    </row>
    <row r="4047" spans="1:3" x14ac:dyDescent="0.25">
      <c r="A4047">
        <v>8332</v>
      </c>
      <c r="B4047" t="s">
        <v>5793</v>
      </c>
      <c r="C4047" t="e">
        <f>+proj=tmerc +lat_0=41.75 +lon_0=-117.583333333333 +k=1.00018 +x_0=70000.0000149599 +y_0=0 +ellps=GRQ80 +units=ft +no_defs</f>
        <v>#NAME?</v>
      </c>
    </row>
    <row r="4048" spans="1:3" x14ac:dyDescent="0.25">
      <c r="A4048">
        <v>8333</v>
      </c>
      <c r="B4048" t="s">
        <v>5794</v>
      </c>
      <c r="C4048" t="e">
        <f>+proj=lcc +lat_1=46.1666666666666 +lat_0=46.1666666666666 +lon_0=-119 +k_0=1.000025 +x_0=50000 +y_0=130000 +ellps=GRQ80 +units=m +no_defs</f>
        <v>#NAME?</v>
      </c>
    </row>
    <row r="4049" spans="1:3" x14ac:dyDescent="0.25">
      <c r="A4049">
        <v>8334</v>
      </c>
      <c r="B4049" t="s">
        <v>5795</v>
      </c>
      <c r="C4049" t="e">
        <f>+proj=lcc +lat_1=46.1666666666666 +lat_0=46.1666666666666 +lon_0=-119 +k_0=1.000025 +x_0=50000.00001504 +y_0=130000.00001472 +ellps=GRQ80 +units=ft +no_defs</f>
        <v>#NAME?</v>
      </c>
    </row>
    <row r="4050" spans="1:3" x14ac:dyDescent="0.25">
      <c r="A4050">
        <v>8335</v>
      </c>
      <c r="B4050" t="s">
        <v>5796</v>
      </c>
      <c r="C4050" t="e">
        <f>+proj=lcc +lat_1=44 +lat_0=44 +lon_0=-118 +k_0=1.00017 +x_0=60000 +y_0=0 +ellps=GRQ80 +units=m +no_defs</f>
        <v>#NAME?</v>
      </c>
    </row>
    <row r="4051" spans="1:3" x14ac:dyDescent="0.25">
      <c r="A4051">
        <v>8336</v>
      </c>
      <c r="B4051" t="s">
        <v>5797</v>
      </c>
      <c r="C4051" t="e">
        <f>+proj=lcc +lat_1=44 +lat_0=44 +lon_0=-118 +k_0=1.00017 +x_0=59999.99999976 +y_0=0 +ellps=GRQ80 +units=ft +no_defs</f>
        <v>#NAME?</v>
      </c>
    </row>
    <row r="4052" spans="1:3" x14ac:dyDescent="0.25">
      <c r="A4052">
        <v>8337</v>
      </c>
      <c r="B4052" t="s">
        <v>5798</v>
      </c>
      <c r="C4052" t="e">
        <f>+proj=tmerc +lat_0=41.75 +lon_0=-120.333333333333 +k=1.000215 +x_0=70000 +y_0=0 +ellps=GRQ80 +units=m +no_defs</f>
        <v>#NAME?</v>
      </c>
    </row>
    <row r="4053" spans="1:3" x14ac:dyDescent="0.25">
      <c r="A4053">
        <v>5262</v>
      </c>
      <c r="B4053" t="s">
        <v>5799</v>
      </c>
      <c r="C4053" t="e">
        <f>+proj=geocent +ellps=GRQ80 +units=m +no_defs</f>
        <v>#NAME?</v>
      </c>
    </row>
    <row r="4054" spans="1:3" x14ac:dyDescent="0.25">
      <c r="A4054">
        <v>8338</v>
      </c>
      <c r="B4054" t="s">
        <v>5800</v>
      </c>
      <c r="C4054" t="e">
        <f>+proj=tmerc +lat_0=41.75 +lon_0=-120.333333333333 +k=1.000215 +x_0=70000.0000149599 +y_0=0 +ellps=GRQ80 +units=ft +no_defs</f>
        <v>#NAME?</v>
      </c>
    </row>
    <row r="4055" spans="1:3" x14ac:dyDescent="0.25">
      <c r="A4055">
        <v>8339</v>
      </c>
      <c r="B4055" t="s">
        <v>5801</v>
      </c>
      <c r="C4055" t="e">
        <f>+proj=lcc +lat_1=42.5 +lat_0=42.5 +lon_0=-122.583333333333 +k_0=1.00015 +x_0=10000 +y_0=60000 +ellps=GRQ80 +units=m +no_defs</f>
        <v>#NAME?</v>
      </c>
    </row>
    <row r="4056" spans="1:3" x14ac:dyDescent="0.25">
      <c r="A4056">
        <v>8340</v>
      </c>
      <c r="B4056" t="s">
        <v>5802</v>
      </c>
      <c r="C4056" t="e">
        <f>+proj=lcc +lat_1=42.5 +lat_0=42.5 +lon_0=-122.583333333333 +k_0=1.00015 +x_0=10000.0000152 +y_0=59999.99999976 +ellps=GRQ80 +units=ft +no_defs</f>
        <v>#NAME?</v>
      </c>
    </row>
    <row r="4057" spans="1:3" x14ac:dyDescent="0.25">
      <c r="A4057">
        <v>8341</v>
      </c>
      <c r="B4057" t="s">
        <v>5803</v>
      </c>
      <c r="C4057" t="e">
        <f>+proj=lcc +lat_1=45.25 +lat_0=45.25 +lon_0=-119 +k_0=1.00014 +x_0=30000 +y_0=90000 +ellps=GRQ80 +units=m +no_defs</f>
        <v>#NAME?</v>
      </c>
    </row>
    <row r="4058" spans="1:3" x14ac:dyDescent="0.25">
      <c r="A4058">
        <v>8342</v>
      </c>
      <c r="B4058" t="s">
        <v>5804</v>
      </c>
      <c r="C4058" t="e">
        <f>+proj=lcc +lat_1=45.25 +lat_0=45.25 +lon_0=-119 +k_0=1.00014 +x_0=30000.00001512 +y_0=90000.00001488 +ellps=GRQ80 +units=ft +no_defs</f>
        <v>#NAME?</v>
      </c>
    </row>
    <row r="4059" spans="1:3" x14ac:dyDescent="0.25">
      <c r="A4059">
        <v>8343</v>
      </c>
      <c r="B4059" t="s">
        <v>5805</v>
      </c>
      <c r="C4059" t="e">
        <f>+proj=tmerc +lat_0=45.25 +lon_0=-117.5 +k=1.000195 +x_0=60000 +y_0=0 +ellps=GRQ80 +units=m +no_defs</f>
        <v>#NAME?</v>
      </c>
    </row>
    <row r="4060" spans="1:3" x14ac:dyDescent="0.25">
      <c r="A4060">
        <v>8344</v>
      </c>
      <c r="B4060" t="s">
        <v>5806</v>
      </c>
      <c r="C4060" t="e">
        <f>+proj=tmerc +lat_0=45.25 +lon_0=-117.5 +k=1.000195 +x_0=59999.99999976 +y_0=0 +ellps=GRQ80 +units=ft +no_defs</f>
        <v>#NAME?</v>
      </c>
    </row>
    <row r="4061" spans="1:3" x14ac:dyDescent="0.25">
      <c r="A4061">
        <v>8345</v>
      </c>
      <c r="B4061" t="s">
        <v>5807</v>
      </c>
      <c r="C4061" t="e">
        <f>+proj=lcc +lat_1=42.5 +lat_0=42.5 +lon_0=-120 +k_0=1.000245 +x_0=40000 +y_0=60000 +ellps=GRQ80 +units=m +no_defs</f>
        <v>#NAME?</v>
      </c>
    </row>
    <row r="4062" spans="1:3" x14ac:dyDescent="0.25">
      <c r="A4062">
        <v>8346</v>
      </c>
      <c r="B4062" t="s">
        <v>5808</v>
      </c>
      <c r="C4062" t="e">
        <f>+proj=lcc +lat_1=42.5 +lat_0=42.5 +lon_0=-120 +k_0=1.000245 +x_0=39999.99999984 +y_0=59999.99999976 +ellps=GRQ80 +units=ft +no_defs</f>
        <v>#NAME?</v>
      </c>
    </row>
    <row r="4063" spans="1:3" x14ac:dyDescent="0.25">
      <c r="A4063">
        <v>5322</v>
      </c>
      <c r="B4063" t="s">
        <v>5809</v>
      </c>
      <c r="C4063" t="e">
        <f>+proj=geocent +ellps=GRQ80 +units=m +no_defs</f>
        <v>#NAME?</v>
      </c>
    </row>
    <row r="4064" spans="1:3" x14ac:dyDescent="0.25">
      <c r="A4064">
        <v>8347</v>
      </c>
      <c r="B4064" t="s">
        <v>5810</v>
      </c>
      <c r="C4064" t="e">
        <f>+proj=tmerc +lat_0=43 +lon_0=-122 +k=1.000223 +x_0=20000 +y_0=0 +ellps=GRQ80 +units=m +no_defs</f>
        <v>#NAME?</v>
      </c>
    </row>
    <row r="4065" spans="1:3" x14ac:dyDescent="0.25">
      <c r="A4065">
        <v>8348</v>
      </c>
      <c r="B4065" t="s">
        <v>5811</v>
      </c>
      <c r="C4065" t="e">
        <f>+proj=tmerc +lat_0=43 +lon_0=-122 +k=1.000223 +x_0=19999.99999992 +y_0=0 +ellps=GRQ80 +units=ft +no_defs</f>
        <v>#NAME?</v>
      </c>
    </row>
    <row r="4066" spans="1:3" x14ac:dyDescent="0.25">
      <c r="A4066">
        <v>20004</v>
      </c>
      <c r="B4066" t="s">
        <v>5812</v>
      </c>
      <c r="C4066" t="s">
        <v>5813</v>
      </c>
    </row>
    <row r="4067" spans="1:3" x14ac:dyDescent="0.25">
      <c r="A4067">
        <v>20005</v>
      </c>
      <c r="B4067" t="s">
        <v>5814</v>
      </c>
      <c r="C4067" t="s">
        <v>5815</v>
      </c>
    </row>
    <row r="4068" spans="1:3" x14ac:dyDescent="0.25">
      <c r="A4068">
        <v>20006</v>
      </c>
      <c r="B4068" t="s">
        <v>5816</v>
      </c>
      <c r="C4068" t="s">
        <v>5817</v>
      </c>
    </row>
    <row r="4069" spans="1:3" x14ac:dyDescent="0.25">
      <c r="A4069">
        <v>20007</v>
      </c>
      <c r="B4069" t="s">
        <v>5818</v>
      </c>
      <c r="C4069" t="s">
        <v>5819</v>
      </c>
    </row>
    <row r="4070" spans="1:3" x14ac:dyDescent="0.25">
      <c r="A4070">
        <v>20008</v>
      </c>
      <c r="B4070" t="s">
        <v>5820</v>
      </c>
      <c r="C4070" t="s">
        <v>5821</v>
      </c>
    </row>
    <row r="4071" spans="1:3" x14ac:dyDescent="0.25">
      <c r="A4071">
        <v>20009</v>
      </c>
      <c r="B4071" t="s">
        <v>5822</v>
      </c>
      <c r="C4071" t="s">
        <v>5823</v>
      </c>
    </row>
    <row r="4072" spans="1:3" x14ac:dyDescent="0.25">
      <c r="A4072">
        <v>20010</v>
      </c>
      <c r="B4072" t="s">
        <v>5824</v>
      </c>
      <c r="C4072" t="s">
        <v>5825</v>
      </c>
    </row>
    <row r="4073" spans="1:3" x14ac:dyDescent="0.25">
      <c r="A4073">
        <v>20011</v>
      </c>
      <c r="B4073" t="s">
        <v>5826</v>
      </c>
      <c r="C4073" t="s">
        <v>5827</v>
      </c>
    </row>
    <row r="4074" spans="1:3" x14ac:dyDescent="0.25">
      <c r="A4074">
        <v>20012</v>
      </c>
      <c r="B4074" t="s">
        <v>5828</v>
      </c>
      <c r="C4074" t="s">
        <v>5829</v>
      </c>
    </row>
    <row r="4075" spans="1:3" x14ac:dyDescent="0.25">
      <c r="A4075">
        <v>20013</v>
      </c>
      <c r="B4075" t="s">
        <v>5830</v>
      </c>
      <c r="C4075" t="s">
        <v>5831</v>
      </c>
    </row>
    <row r="4076" spans="1:3" x14ac:dyDescent="0.25">
      <c r="A4076">
        <v>20014</v>
      </c>
      <c r="B4076" t="s">
        <v>5832</v>
      </c>
      <c r="C4076" t="s">
        <v>5833</v>
      </c>
    </row>
    <row r="4077" spans="1:3" x14ac:dyDescent="0.25">
      <c r="A4077">
        <v>20015</v>
      </c>
      <c r="B4077" t="s">
        <v>5834</v>
      </c>
      <c r="C4077" t="s">
        <v>5835</v>
      </c>
    </row>
    <row r="4078" spans="1:3" x14ac:dyDescent="0.25">
      <c r="A4078">
        <v>20016</v>
      </c>
      <c r="B4078" t="s">
        <v>5836</v>
      </c>
      <c r="C4078" t="s">
        <v>5837</v>
      </c>
    </row>
    <row r="4079" spans="1:3" x14ac:dyDescent="0.25">
      <c r="A4079">
        <v>20017</v>
      </c>
      <c r="B4079" t="s">
        <v>5838</v>
      </c>
      <c r="C4079" t="s">
        <v>5839</v>
      </c>
    </row>
    <row r="4080" spans="1:3" x14ac:dyDescent="0.25">
      <c r="A4080">
        <v>20018</v>
      </c>
      <c r="B4080" t="s">
        <v>5840</v>
      </c>
      <c r="C4080" t="s">
        <v>5841</v>
      </c>
    </row>
    <row r="4081" spans="1:3" x14ac:dyDescent="0.25">
      <c r="A4081">
        <v>20019</v>
      </c>
      <c r="B4081" t="s">
        <v>5842</v>
      </c>
      <c r="C4081" t="s">
        <v>5843</v>
      </c>
    </row>
    <row r="4082" spans="1:3" x14ac:dyDescent="0.25">
      <c r="A4082">
        <v>20020</v>
      </c>
      <c r="B4082" t="s">
        <v>5844</v>
      </c>
      <c r="C4082" t="s">
        <v>5845</v>
      </c>
    </row>
    <row r="4083" spans="1:3" x14ac:dyDescent="0.25">
      <c r="A4083">
        <v>20021</v>
      </c>
      <c r="B4083" t="s">
        <v>5846</v>
      </c>
      <c r="C4083" t="s">
        <v>5847</v>
      </c>
    </row>
    <row r="4084" spans="1:3" x14ac:dyDescent="0.25">
      <c r="A4084">
        <v>20022</v>
      </c>
      <c r="B4084" t="s">
        <v>5848</v>
      </c>
      <c r="C4084" t="s">
        <v>5849</v>
      </c>
    </row>
    <row r="4085" spans="1:3" x14ac:dyDescent="0.25">
      <c r="A4085">
        <v>20023</v>
      </c>
      <c r="B4085" t="s">
        <v>5850</v>
      </c>
      <c r="C4085" t="s">
        <v>5851</v>
      </c>
    </row>
    <row r="4086" spans="1:3" x14ac:dyDescent="0.25">
      <c r="A4086">
        <v>20024</v>
      </c>
      <c r="B4086" t="s">
        <v>5852</v>
      </c>
      <c r="C4086" t="s">
        <v>5853</v>
      </c>
    </row>
    <row r="4087" spans="1:3" x14ac:dyDescent="0.25">
      <c r="A4087">
        <v>20025</v>
      </c>
      <c r="B4087" t="s">
        <v>5854</v>
      </c>
      <c r="C4087" t="s">
        <v>5855</v>
      </c>
    </row>
    <row r="4088" spans="1:3" x14ac:dyDescent="0.25">
      <c r="A4088">
        <v>20026</v>
      </c>
      <c r="B4088" t="s">
        <v>5856</v>
      </c>
      <c r="C4088" t="s">
        <v>5857</v>
      </c>
    </row>
    <row r="4089" spans="1:3" x14ac:dyDescent="0.25">
      <c r="A4089">
        <v>20027</v>
      </c>
      <c r="B4089" t="s">
        <v>5858</v>
      </c>
      <c r="C4089" t="s">
        <v>5859</v>
      </c>
    </row>
    <row r="4090" spans="1:3" x14ac:dyDescent="0.25">
      <c r="A4090">
        <v>20028</v>
      </c>
      <c r="B4090" t="s">
        <v>5860</v>
      </c>
      <c r="C4090" t="s">
        <v>5861</v>
      </c>
    </row>
    <row r="4091" spans="1:3" x14ac:dyDescent="0.25">
      <c r="A4091">
        <v>20029</v>
      </c>
      <c r="B4091" t="s">
        <v>5862</v>
      </c>
      <c r="C4091" t="s">
        <v>5863</v>
      </c>
    </row>
    <row r="4092" spans="1:3" x14ac:dyDescent="0.25">
      <c r="A4092">
        <v>20030</v>
      </c>
      <c r="B4092" t="s">
        <v>5864</v>
      </c>
      <c r="C4092" t="s">
        <v>5865</v>
      </c>
    </row>
    <row r="4093" spans="1:3" x14ac:dyDescent="0.25">
      <c r="A4093">
        <v>20031</v>
      </c>
      <c r="B4093" t="s">
        <v>5866</v>
      </c>
      <c r="C4093" t="s">
        <v>5867</v>
      </c>
    </row>
    <row r="4094" spans="1:3" x14ac:dyDescent="0.25">
      <c r="A4094">
        <v>20032</v>
      </c>
      <c r="B4094" t="s">
        <v>5868</v>
      </c>
      <c r="C4094" t="s">
        <v>5869</v>
      </c>
    </row>
    <row r="4095" spans="1:3" x14ac:dyDescent="0.25">
      <c r="A4095">
        <v>20064</v>
      </c>
      <c r="B4095" t="s">
        <v>5870</v>
      </c>
      <c r="C4095" t="s">
        <v>1472</v>
      </c>
    </row>
    <row r="4096" spans="1:3" x14ac:dyDescent="0.25">
      <c r="A4096">
        <v>20065</v>
      </c>
      <c r="B4096" t="s">
        <v>5871</v>
      </c>
      <c r="C4096" t="s">
        <v>1474</v>
      </c>
    </row>
    <row r="4097" spans="1:3" x14ac:dyDescent="0.25">
      <c r="A4097">
        <v>20066</v>
      </c>
      <c r="B4097" t="s">
        <v>5872</v>
      </c>
      <c r="C4097" t="s">
        <v>1476</v>
      </c>
    </row>
    <row r="4098" spans="1:3" x14ac:dyDescent="0.25">
      <c r="A4098">
        <v>20067</v>
      </c>
      <c r="B4098" t="s">
        <v>5873</v>
      </c>
      <c r="C4098" t="s">
        <v>1478</v>
      </c>
    </row>
    <row r="4099" spans="1:3" x14ac:dyDescent="0.25">
      <c r="A4099">
        <v>20068</v>
      </c>
      <c r="B4099" t="s">
        <v>5874</v>
      </c>
      <c r="C4099" t="s">
        <v>1480</v>
      </c>
    </row>
    <row r="4100" spans="1:3" x14ac:dyDescent="0.25">
      <c r="A4100">
        <v>20069</v>
      </c>
      <c r="B4100" t="s">
        <v>5875</v>
      </c>
      <c r="C4100" t="s">
        <v>1482</v>
      </c>
    </row>
    <row r="4101" spans="1:3" x14ac:dyDescent="0.25">
      <c r="A4101">
        <v>20070</v>
      </c>
      <c r="B4101" t="s">
        <v>5876</v>
      </c>
      <c r="C4101" t="s">
        <v>1484</v>
      </c>
    </row>
    <row r="4102" spans="1:3" x14ac:dyDescent="0.25">
      <c r="A4102">
        <v>20071</v>
      </c>
      <c r="B4102" t="s">
        <v>5877</v>
      </c>
      <c r="C4102" t="s">
        <v>1486</v>
      </c>
    </row>
    <row r="4103" spans="1:3" x14ac:dyDescent="0.25">
      <c r="A4103">
        <v>20072</v>
      </c>
      <c r="B4103" t="s">
        <v>5878</v>
      </c>
      <c r="C4103" t="s">
        <v>1488</v>
      </c>
    </row>
    <row r="4104" spans="1:3" x14ac:dyDescent="0.25">
      <c r="A4104">
        <v>20073</v>
      </c>
      <c r="B4104" t="s">
        <v>5879</v>
      </c>
      <c r="C4104" t="s">
        <v>1490</v>
      </c>
    </row>
    <row r="4105" spans="1:3" x14ac:dyDescent="0.25">
      <c r="A4105">
        <v>20074</v>
      </c>
      <c r="B4105" t="s">
        <v>5880</v>
      </c>
      <c r="C4105" t="s">
        <v>1492</v>
      </c>
    </row>
    <row r="4106" spans="1:3" x14ac:dyDescent="0.25">
      <c r="A4106">
        <v>20075</v>
      </c>
      <c r="B4106" t="s">
        <v>5881</v>
      </c>
      <c r="C4106" t="s">
        <v>1494</v>
      </c>
    </row>
    <row r="4107" spans="1:3" x14ac:dyDescent="0.25">
      <c r="A4107">
        <v>20076</v>
      </c>
      <c r="B4107" t="s">
        <v>5882</v>
      </c>
      <c r="C4107" t="s">
        <v>1496</v>
      </c>
    </row>
    <row r="4108" spans="1:3" x14ac:dyDescent="0.25">
      <c r="A4108">
        <v>20077</v>
      </c>
      <c r="B4108" t="s">
        <v>5883</v>
      </c>
      <c r="C4108" t="s">
        <v>1498</v>
      </c>
    </row>
    <row r="4109" spans="1:3" x14ac:dyDescent="0.25">
      <c r="A4109">
        <v>20078</v>
      </c>
      <c r="B4109" t="s">
        <v>5884</v>
      </c>
      <c r="C4109" t="s">
        <v>1500</v>
      </c>
    </row>
    <row r="4110" spans="1:3" x14ac:dyDescent="0.25">
      <c r="A4110">
        <v>20079</v>
      </c>
      <c r="B4110" t="s">
        <v>5885</v>
      </c>
      <c r="C4110" t="s">
        <v>1502</v>
      </c>
    </row>
    <row r="4111" spans="1:3" x14ac:dyDescent="0.25">
      <c r="A4111">
        <v>20080</v>
      </c>
      <c r="B4111" t="s">
        <v>5886</v>
      </c>
      <c r="C4111" t="s">
        <v>1504</v>
      </c>
    </row>
    <row r="4112" spans="1:3" x14ac:dyDescent="0.25">
      <c r="A4112">
        <v>20081</v>
      </c>
      <c r="B4112" t="s">
        <v>5887</v>
      </c>
      <c r="C4112" t="s">
        <v>1506</v>
      </c>
    </row>
    <row r="4113" spans="1:3" x14ac:dyDescent="0.25">
      <c r="A4113">
        <v>20082</v>
      </c>
      <c r="B4113" t="s">
        <v>5888</v>
      </c>
      <c r="C4113" t="s">
        <v>1508</v>
      </c>
    </row>
    <row r="4114" spans="1:3" x14ac:dyDescent="0.25">
      <c r="A4114">
        <v>20083</v>
      </c>
      <c r="B4114" t="s">
        <v>5889</v>
      </c>
      <c r="C4114" t="s">
        <v>1510</v>
      </c>
    </row>
    <row r="4115" spans="1:3" x14ac:dyDescent="0.25">
      <c r="A4115">
        <v>20084</v>
      </c>
      <c r="B4115" t="s">
        <v>5890</v>
      </c>
      <c r="C4115" t="s">
        <v>1512</v>
      </c>
    </row>
    <row r="4116" spans="1:3" x14ac:dyDescent="0.25">
      <c r="A4116">
        <v>20085</v>
      </c>
      <c r="B4116" t="s">
        <v>5891</v>
      </c>
      <c r="C4116" t="s">
        <v>1514</v>
      </c>
    </row>
    <row r="4117" spans="1:3" x14ac:dyDescent="0.25">
      <c r="A4117">
        <v>20086</v>
      </c>
      <c r="B4117" t="s">
        <v>5892</v>
      </c>
      <c r="C4117" t="s">
        <v>1516</v>
      </c>
    </row>
    <row r="4118" spans="1:3" x14ac:dyDescent="0.25">
      <c r="A4118">
        <v>20087</v>
      </c>
      <c r="B4118" t="s">
        <v>5893</v>
      </c>
      <c r="C4118" t="s">
        <v>1518</v>
      </c>
    </row>
    <row r="4119" spans="1:3" x14ac:dyDescent="0.25">
      <c r="A4119">
        <v>20088</v>
      </c>
      <c r="B4119" t="s">
        <v>5894</v>
      </c>
      <c r="C4119" t="s">
        <v>1520</v>
      </c>
    </row>
    <row r="4120" spans="1:3" x14ac:dyDescent="0.25">
      <c r="A4120">
        <v>20089</v>
      </c>
      <c r="B4120" t="s">
        <v>5895</v>
      </c>
      <c r="C4120" t="s">
        <v>1522</v>
      </c>
    </row>
    <row r="4121" spans="1:3" x14ac:dyDescent="0.25">
      <c r="A4121">
        <v>20090</v>
      </c>
      <c r="B4121" t="s">
        <v>5896</v>
      </c>
      <c r="C4121" t="s">
        <v>1524</v>
      </c>
    </row>
    <row r="4122" spans="1:3" x14ac:dyDescent="0.25">
      <c r="A4122">
        <v>20091</v>
      </c>
      <c r="B4122" t="s">
        <v>5897</v>
      </c>
      <c r="C4122" t="s">
        <v>1526</v>
      </c>
    </row>
    <row r="4123" spans="1:3" x14ac:dyDescent="0.25">
      <c r="A4123">
        <v>20092</v>
      </c>
      <c r="B4123" t="s">
        <v>5898</v>
      </c>
      <c r="C4123" t="s">
        <v>1528</v>
      </c>
    </row>
    <row r="4124" spans="1:3" x14ac:dyDescent="0.25">
      <c r="A4124">
        <v>20135</v>
      </c>
      <c r="B4124" t="s">
        <v>5899</v>
      </c>
      <c r="C4124" t="s">
        <v>5900</v>
      </c>
    </row>
    <row r="4125" spans="1:3" x14ac:dyDescent="0.25">
      <c r="A4125">
        <v>20136</v>
      </c>
      <c r="B4125" t="s">
        <v>5901</v>
      </c>
      <c r="C4125" t="s">
        <v>5902</v>
      </c>
    </row>
    <row r="4126" spans="1:3" x14ac:dyDescent="0.25">
      <c r="A4126">
        <v>20137</v>
      </c>
      <c r="B4126" t="s">
        <v>5903</v>
      </c>
      <c r="C4126" t="s">
        <v>5904</v>
      </c>
    </row>
    <row r="4127" spans="1:3" x14ac:dyDescent="0.25">
      <c r="A4127">
        <v>20138</v>
      </c>
      <c r="B4127" t="s">
        <v>5905</v>
      </c>
      <c r="C4127" t="s">
        <v>5906</v>
      </c>
    </row>
    <row r="4128" spans="1:3" x14ac:dyDescent="0.25">
      <c r="A4128">
        <v>20248</v>
      </c>
      <c r="B4128" t="s">
        <v>5907</v>
      </c>
      <c r="C4128" t="s">
        <v>5908</v>
      </c>
    </row>
    <row r="4129" spans="1:3" x14ac:dyDescent="0.25">
      <c r="A4129">
        <v>20249</v>
      </c>
      <c r="B4129" t="s">
        <v>5909</v>
      </c>
      <c r="C4129" t="s">
        <v>5910</v>
      </c>
    </row>
    <row r="4130" spans="1:3" x14ac:dyDescent="0.25">
      <c r="A4130">
        <v>20250</v>
      </c>
      <c r="B4130" t="s">
        <v>5911</v>
      </c>
      <c r="C4130" t="s">
        <v>5912</v>
      </c>
    </row>
    <row r="4131" spans="1:3" x14ac:dyDescent="0.25">
      <c r="A4131">
        <v>20251</v>
      </c>
      <c r="B4131" t="s">
        <v>5913</v>
      </c>
      <c r="C4131" t="s">
        <v>5914</v>
      </c>
    </row>
    <row r="4132" spans="1:3" x14ac:dyDescent="0.25">
      <c r="A4132">
        <v>20252</v>
      </c>
      <c r="B4132" t="s">
        <v>5915</v>
      </c>
      <c r="C4132" t="s">
        <v>5916</v>
      </c>
    </row>
    <row r="4133" spans="1:3" x14ac:dyDescent="0.25">
      <c r="A4133">
        <v>32611</v>
      </c>
      <c r="B4133" t="s">
        <v>5917</v>
      </c>
      <c r="C4133" t="e">
        <f>+proj=utm +zone=11 +datum=WGQ84 +units=m +no_defs</f>
        <v>#NAME?</v>
      </c>
    </row>
    <row r="4134" spans="1:3" x14ac:dyDescent="0.25">
      <c r="A4134">
        <v>20253</v>
      </c>
      <c r="B4134" t="s">
        <v>5918</v>
      </c>
      <c r="C4134" t="s">
        <v>5919</v>
      </c>
    </row>
    <row r="4135" spans="1:3" x14ac:dyDescent="0.25">
      <c r="A4135">
        <v>20254</v>
      </c>
      <c r="B4135" t="s">
        <v>5920</v>
      </c>
      <c r="C4135" t="s">
        <v>5921</v>
      </c>
    </row>
    <row r="4136" spans="1:3" x14ac:dyDescent="0.25">
      <c r="A4136">
        <v>20255</v>
      </c>
      <c r="B4136" t="s">
        <v>5922</v>
      </c>
      <c r="C4136" t="s">
        <v>5923</v>
      </c>
    </row>
    <row r="4137" spans="1:3" x14ac:dyDescent="0.25">
      <c r="A4137">
        <v>20256</v>
      </c>
      <c r="B4137" t="s">
        <v>5924</v>
      </c>
      <c r="C4137" t="s">
        <v>5925</v>
      </c>
    </row>
    <row r="4138" spans="1:3" x14ac:dyDescent="0.25">
      <c r="A4138">
        <v>20257</v>
      </c>
      <c r="B4138" t="s">
        <v>5926</v>
      </c>
      <c r="C4138" t="s">
        <v>5927</v>
      </c>
    </row>
    <row r="4139" spans="1:3" x14ac:dyDescent="0.25">
      <c r="A4139">
        <v>20258</v>
      </c>
      <c r="B4139" t="s">
        <v>5928</v>
      </c>
      <c r="C4139" t="s">
        <v>5929</v>
      </c>
    </row>
    <row r="4140" spans="1:3" x14ac:dyDescent="0.25">
      <c r="A4140">
        <v>20348</v>
      </c>
      <c r="B4140" t="s">
        <v>5930</v>
      </c>
      <c r="C4140" t="s">
        <v>5931</v>
      </c>
    </row>
    <row r="4141" spans="1:3" x14ac:dyDescent="0.25">
      <c r="A4141">
        <v>20349</v>
      </c>
      <c r="B4141" t="s">
        <v>5932</v>
      </c>
      <c r="C4141" t="s">
        <v>5933</v>
      </c>
    </row>
    <row r="4142" spans="1:3" x14ac:dyDescent="0.25">
      <c r="A4142">
        <v>20350</v>
      </c>
      <c r="B4142" t="s">
        <v>5934</v>
      </c>
      <c r="C4142" t="s">
        <v>5935</v>
      </c>
    </row>
    <row r="4143" spans="1:3" x14ac:dyDescent="0.25">
      <c r="A4143">
        <v>5332</v>
      </c>
      <c r="B4143" t="s">
        <v>5936</v>
      </c>
      <c r="C4143" t="e">
        <f>+proj=geocent +ellps=GRQ80 +units=m +no_defs</f>
        <v>#NAME?</v>
      </c>
    </row>
    <row r="4144" spans="1:3" x14ac:dyDescent="0.25">
      <c r="A4144">
        <v>20351</v>
      </c>
      <c r="B4144" t="s">
        <v>5937</v>
      </c>
      <c r="C4144" t="s">
        <v>5938</v>
      </c>
    </row>
    <row r="4145" spans="1:3" x14ac:dyDescent="0.25">
      <c r="A4145">
        <v>20352</v>
      </c>
      <c r="B4145" t="s">
        <v>5939</v>
      </c>
      <c r="C4145" t="s">
        <v>5940</v>
      </c>
    </row>
    <row r="4146" spans="1:3" x14ac:dyDescent="0.25">
      <c r="A4146">
        <v>20353</v>
      </c>
      <c r="B4146" t="s">
        <v>5941</v>
      </c>
      <c r="C4146" t="s">
        <v>5942</v>
      </c>
    </row>
    <row r="4147" spans="1:3" x14ac:dyDescent="0.25">
      <c r="A4147">
        <v>20354</v>
      </c>
      <c r="B4147" t="s">
        <v>5943</v>
      </c>
      <c r="C4147" t="s">
        <v>5944</v>
      </c>
    </row>
    <row r="4148" spans="1:3" x14ac:dyDescent="0.25">
      <c r="A4148">
        <v>20355</v>
      </c>
      <c r="B4148" t="s">
        <v>5945</v>
      </c>
      <c r="C4148" t="s">
        <v>5946</v>
      </c>
    </row>
    <row r="4149" spans="1:3" x14ac:dyDescent="0.25">
      <c r="A4149">
        <v>20356</v>
      </c>
      <c r="B4149" t="s">
        <v>5947</v>
      </c>
      <c r="C4149" t="s">
        <v>5948</v>
      </c>
    </row>
    <row r="4150" spans="1:3" x14ac:dyDescent="0.25">
      <c r="A4150">
        <v>20357</v>
      </c>
      <c r="B4150" t="s">
        <v>5949</v>
      </c>
      <c r="C4150" t="s">
        <v>5950</v>
      </c>
    </row>
    <row r="4151" spans="1:3" x14ac:dyDescent="0.25">
      <c r="A4151">
        <v>20358</v>
      </c>
      <c r="B4151" t="s">
        <v>5951</v>
      </c>
      <c r="C4151" t="s">
        <v>5952</v>
      </c>
    </row>
    <row r="4152" spans="1:3" x14ac:dyDescent="0.25">
      <c r="A4152">
        <v>20436</v>
      </c>
      <c r="B4152" t="s">
        <v>5953</v>
      </c>
      <c r="C4152" t="s">
        <v>5954</v>
      </c>
    </row>
    <row r="4153" spans="1:3" x14ac:dyDescent="0.25">
      <c r="A4153">
        <v>20437</v>
      </c>
      <c r="B4153" t="s">
        <v>5955</v>
      </c>
      <c r="C4153" t="s">
        <v>5956</v>
      </c>
    </row>
    <row r="4154" spans="1:3" x14ac:dyDescent="0.25">
      <c r="A4154">
        <v>20438</v>
      </c>
      <c r="B4154" t="s">
        <v>5957</v>
      </c>
      <c r="C4154" t="s">
        <v>5958</v>
      </c>
    </row>
    <row r="4155" spans="1:3" x14ac:dyDescent="0.25">
      <c r="A4155">
        <v>20439</v>
      </c>
      <c r="B4155" t="s">
        <v>5959</v>
      </c>
      <c r="C4155" t="s">
        <v>5960</v>
      </c>
    </row>
    <row r="4156" spans="1:3" x14ac:dyDescent="0.25">
      <c r="A4156">
        <v>20440</v>
      </c>
      <c r="B4156" t="s">
        <v>5961</v>
      </c>
      <c r="C4156" t="s">
        <v>5962</v>
      </c>
    </row>
    <row r="4157" spans="1:3" x14ac:dyDescent="0.25">
      <c r="A4157">
        <v>20499</v>
      </c>
      <c r="B4157" t="s">
        <v>5963</v>
      </c>
      <c r="C4157" t="s">
        <v>5960</v>
      </c>
    </row>
    <row r="4158" spans="1:3" x14ac:dyDescent="0.25">
      <c r="A4158">
        <v>20538</v>
      </c>
      <c r="B4158" t="s">
        <v>5964</v>
      </c>
      <c r="C4158" t="s">
        <v>5965</v>
      </c>
    </row>
    <row r="4159" spans="1:3" x14ac:dyDescent="0.25">
      <c r="A4159">
        <v>20539</v>
      </c>
      <c r="B4159" t="s">
        <v>5966</v>
      </c>
      <c r="C4159" t="s">
        <v>5967</v>
      </c>
    </row>
    <row r="4160" spans="1:3" x14ac:dyDescent="0.25">
      <c r="A4160">
        <v>20790</v>
      </c>
      <c r="B4160" t="s">
        <v>5968</v>
      </c>
      <c r="C4160" t="s">
        <v>5969</v>
      </c>
    </row>
    <row r="4161" spans="1:3" x14ac:dyDescent="0.25">
      <c r="A4161">
        <v>20791</v>
      </c>
      <c r="B4161" t="s">
        <v>5970</v>
      </c>
      <c r="C4161" t="s">
        <v>5971</v>
      </c>
    </row>
    <row r="4162" spans="1:3" x14ac:dyDescent="0.25">
      <c r="A4162">
        <v>20822</v>
      </c>
      <c r="B4162" t="s">
        <v>5972</v>
      </c>
      <c r="C4162" t="s">
        <v>5973</v>
      </c>
    </row>
    <row r="4163" spans="1:3" x14ac:dyDescent="0.25">
      <c r="A4163">
        <v>20823</v>
      </c>
      <c r="B4163" t="s">
        <v>5974</v>
      </c>
      <c r="C4163" t="s">
        <v>5975</v>
      </c>
    </row>
    <row r="4164" spans="1:3" x14ac:dyDescent="0.25">
      <c r="A4164">
        <v>20824</v>
      </c>
      <c r="B4164" t="s">
        <v>5976</v>
      </c>
      <c r="C4164" t="s">
        <v>5977</v>
      </c>
    </row>
    <row r="4165" spans="1:3" x14ac:dyDescent="0.25">
      <c r="A4165">
        <v>20934</v>
      </c>
      <c r="B4165" t="s">
        <v>5978</v>
      </c>
      <c r="C4165" t="s">
        <v>5979</v>
      </c>
    </row>
    <row r="4166" spans="1:3" x14ac:dyDescent="0.25">
      <c r="A4166">
        <v>20935</v>
      </c>
      <c r="B4166" t="s">
        <v>5980</v>
      </c>
      <c r="C4166" t="s">
        <v>5981</v>
      </c>
    </row>
    <row r="4167" spans="1:3" x14ac:dyDescent="0.25">
      <c r="A4167">
        <v>20936</v>
      </c>
      <c r="B4167" t="s">
        <v>5982</v>
      </c>
      <c r="C4167" t="s">
        <v>5983</v>
      </c>
    </row>
    <row r="4168" spans="1:3" x14ac:dyDescent="0.25">
      <c r="A4168">
        <v>21035</v>
      </c>
      <c r="B4168" t="s">
        <v>5984</v>
      </c>
      <c r="C4168" t="s">
        <v>5985</v>
      </c>
    </row>
    <row r="4169" spans="1:3" x14ac:dyDescent="0.25">
      <c r="A4169">
        <v>21036</v>
      </c>
      <c r="B4169" t="s">
        <v>5986</v>
      </c>
      <c r="C4169" t="s">
        <v>5987</v>
      </c>
    </row>
    <row r="4170" spans="1:3" x14ac:dyDescent="0.25">
      <c r="A4170">
        <v>21037</v>
      </c>
      <c r="B4170" t="s">
        <v>5988</v>
      </c>
      <c r="C4170" t="s">
        <v>5989</v>
      </c>
    </row>
    <row r="4171" spans="1:3" x14ac:dyDescent="0.25">
      <c r="A4171">
        <v>21095</v>
      </c>
      <c r="B4171" t="s">
        <v>5990</v>
      </c>
      <c r="C4171" t="s">
        <v>5991</v>
      </c>
    </row>
    <row r="4172" spans="1:3" x14ac:dyDescent="0.25">
      <c r="A4172">
        <v>21096</v>
      </c>
      <c r="B4172" t="s">
        <v>5992</v>
      </c>
      <c r="C4172" t="s">
        <v>5993</v>
      </c>
    </row>
    <row r="4173" spans="1:3" x14ac:dyDescent="0.25">
      <c r="A4173">
        <v>21097</v>
      </c>
      <c r="B4173" t="s">
        <v>5994</v>
      </c>
      <c r="C4173" t="s">
        <v>5995</v>
      </c>
    </row>
    <row r="4174" spans="1:3" x14ac:dyDescent="0.25">
      <c r="A4174">
        <v>21100</v>
      </c>
      <c r="B4174" t="s">
        <v>5996</v>
      </c>
      <c r="C4174" t="s">
        <v>5997</v>
      </c>
    </row>
    <row r="4175" spans="1:3" x14ac:dyDescent="0.25">
      <c r="A4175">
        <v>21148</v>
      </c>
      <c r="B4175" t="s">
        <v>5998</v>
      </c>
      <c r="C4175" t="s">
        <v>5999</v>
      </c>
    </row>
    <row r="4176" spans="1:3" x14ac:dyDescent="0.25">
      <c r="A4176">
        <v>21149</v>
      </c>
      <c r="B4176" t="s">
        <v>6000</v>
      </c>
      <c r="C4176" t="s">
        <v>6001</v>
      </c>
    </row>
    <row r="4177" spans="1:3" x14ac:dyDescent="0.25">
      <c r="A4177">
        <v>21150</v>
      </c>
      <c r="B4177" t="s">
        <v>6002</v>
      </c>
      <c r="C4177" t="s">
        <v>6003</v>
      </c>
    </row>
    <row r="4178" spans="1:3" x14ac:dyDescent="0.25">
      <c r="A4178">
        <v>21291</v>
      </c>
      <c r="B4178" t="s">
        <v>6004</v>
      </c>
      <c r="C4178" t="s">
        <v>6005</v>
      </c>
    </row>
    <row r="4179" spans="1:3" x14ac:dyDescent="0.25">
      <c r="A4179">
        <v>21292</v>
      </c>
      <c r="B4179" t="s">
        <v>6006</v>
      </c>
      <c r="C4179" t="s">
        <v>6007</v>
      </c>
    </row>
    <row r="4180" spans="1:3" x14ac:dyDescent="0.25">
      <c r="A4180">
        <v>21413</v>
      </c>
      <c r="B4180" t="s">
        <v>6008</v>
      </c>
      <c r="C4180" t="s">
        <v>6009</v>
      </c>
    </row>
    <row r="4181" spans="1:3" x14ac:dyDescent="0.25">
      <c r="A4181">
        <v>21414</v>
      </c>
      <c r="B4181" t="s">
        <v>6010</v>
      </c>
      <c r="C4181" t="s">
        <v>6011</v>
      </c>
    </row>
    <row r="4182" spans="1:3" x14ac:dyDescent="0.25">
      <c r="A4182">
        <v>21415</v>
      </c>
      <c r="B4182" t="s">
        <v>6012</v>
      </c>
      <c r="C4182" t="s">
        <v>6013</v>
      </c>
    </row>
    <row r="4183" spans="1:3" x14ac:dyDescent="0.25">
      <c r="A4183">
        <v>21416</v>
      </c>
      <c r="B4183" t="s">
        <v>6014</v>
      </c>
      <c r="C4183" t="s">
        <v>6015</v>
      </c>
    </row>
    <row r="4184" spans="1:3" x14ac:dyDescent="0.25">
      <c r="A4184">
        <v>21417</v>
      </c>
      <c r="B4184" t="s">
        <v>6016</v>
      </c>
      <c r="C4184" t="s">
        <v>6017</v>
      </c>
    </row>
    <row r="4185" spans="1:3" x14ac:dyDescent="0.25">
      <c r="A4185">
        <v>21418</v>
      </c>
      <c r="B4185" t="s">
        <v>6018</v>
      </c>
      <c r="C4185" t="s">
        <v>6019</v>
      </c>
    </row>
    <row r="4186" spans="1:3" x14ac:dyDescent="0.25">
      <c r="A4186">
        <v>21419</v>
      </c>
      <c r="B4186" t="s">
        <v>6020</v>
      </c>
      <c r="C4186" t="s">
        <v>6021</v>
      </c>
    </row>
    <row r="4187" spans="1:3" x14ac:dyDescent="0.25">
      <c r="A4187">
        <v>21420</v>
      </c>
      <c r="B4187" t="s">
        <v>6022</v>
      </c>
      <c r="C4187" t="s">
        <v>6023</v>
      </c>
    </row>
    <row r="4188" spans="1:3" x14ac:dyDescent="0.25">
      <c r="A4188">
        <v>21421</v>
      </c>
      <c r="B4188" t="s">
        <v>6024</v>
      </c>
      <c r="C4188" t="s">
        <v>6025</v>
      </c>
    </row>
    <row r="4189" spans="1:3" x14ac:dyDescent="0.25">
      <c r="A4189">
        <v>21422</v>
      </c>
      <c r="B4189" t="s">
        <v>6026</v>
      </c>
      <c r="C4189" t="s">
        <v>6027</v>
      </c>
    </row>
    <row r="4190" spans="1:3" x14ac:dyDescent="0.25">
      <c r="A4190">
        <v>21423</v>
      </c>
      <c r="B4190" t="s">
        <v>6028</v>
      </c>
      <c r="C4190" t="s">
        <v>6029</v>
      </c>
    </row>
    <row r="4191" spans="1:3" x14ac:dyDescent="0.25">
      <c r="A4191">
        <v>21453</v>
      </c>
      <c r="B4191" t="s">
        <v>6030</v>
      </c>
      <c r="C4191" t="s">
        <v>1391</v>
      </c>
    </row>
    <row r="4192" spans="1:3" x14ac:dyDescent="0.25">
      <c r="A4192">
        <v>21454</v>
      </c>
      <c r="B4192" t="s">
        <v>6031</v>
      </c>
      <c r="C4192" t="s">
        <v>1395</v>
      </c>
    </row>
    <row r="4193" spans="1:3" x14ac:dyDescent="0.25">
      <c r="A4193">
        <v>21455</v>
      </c>
      <c r="B4193" t="s">
        <v>6032</v>
      </c>
      <c r="C4193" t="s">
        <v>1399</v>
      </c>
    </row>
    <row r="4194" spans="1:3" x14ac:dyDescent="0.25">
      <c r="A4194">
        <v>21456</v>
      </c>
      <c r="B4194" t="s">
        <v>6033</v>
      </c>
      <c r="C4194" t="s">
        <v>1403</v>
      </c>
    </row>
    <row r="4195" spans="1:3" x14ac:dyDescent="0.25">
      <c r="A4195">
        <v>21457</v>
      </c>
      <c r="B4195" t="s">
        <v>6034</v>
      </c>
      <c r="C4195" t="s">
        <v>1407</v>
      </c>
    </row>
    <row r="4196" spans="1:3" x14ac:dyDescent="0.25">
      <c r="A4196">
        <v>21458</v>
      </c>
      <c r="B4196" t="s">
        <v>6035</v>
      </c>
      <c r="C4196" t="s">
        <v>1411</v>
      </c>
    </row>
    <row r="4197" spans="1:3" x14ac:dyDescent="0.25">
      <c r="A4197">
        <v>21459</v>
      </c>
      <c r="B4197" t="s">
        <v>6036</v>
      </c>
      <c r="C4197" t="s">
        <v>1415</v>
      </c>
    </row>
    <row r="4198" spans="1:3" x14ac:dyDescent="0.25">
      <c r="A4198">
        <v>21460</v>
      </c>
      <c r="B4198" t="s">
        <v>6037</v>
      </c>
      <c r="C4198" t="s">
        <v>1419</v>
      </c>
    </row>
    <row r="4199" spans="1:3" x14ac:dyDescent="0.25">
      <c r="A4199">
        <v>21461</v>
      </c>
      <c r="B4199" t="s">
        <v>6038</v>
      </c>
      <c r="C4199" t="s">
        <v>1423</v>
      </c>
    </row>
    <row r="4200" spans="1:3" x14ac:dyDescent="0.25">
      <c r="A4200">
        <v>21462</v>
      </c>
      <c r="B4200" t="s">
        <v>6039</v>
      </c>
      <c r="C4200" t="s">
        <v>1427</v>
      </c>
    </row>
    <row r="4201" spans="1:3" x14ac:dyDescent="0.25">
      <c r="A4201">
        <v>21463</v>
      </c>
      <c r="B4201" t="s">
        <v>6040</v>
      </c>
      <c r="C4201" t="s">
        <v>1431</v>
      </c>
    </row>
    <row r="4202" spans="1:3" x14ac:dyDescent="0.25">
      <c r="A4202">
        <v>21473</v>
      </c>
      <c r="B4202" t="s">
        <v>6041</v>
      </c>
      <c r="C4202" t="s">
        <v>1391</v>
      </c>
    </row>
    <row r="4203" spans="1:3" x14ac:dyDescent="0.25">
      <c r="A4203">
        <v>21474</v>
      </c>
      <c r="B4203" t="s">
        <v>6042</v>
      </c>
      <c r="C4203" t="s">
        <v>1395</v>
      </c>
    </row>
    <row r="4204" spans="1:3" x14ac:dyDescent="0.25">
      <c r="A4204">
        <v>21475</v>
      </c>
      <c r="B4204" t="s">
        <v>6043</v>
      </c>
      <c r="C4204" t="s">
        <v>1399</v>
      </c>
    </row>
    <row r="4205" spans="1:3" x14ac:dyDescent="0.25">
      <c r="A4205">
        <v>21476</v>
      </c>
      <c r="B4205" t="s">
        <v>6044</v>
      </c>
      <c r="C4205" t="s">
        <v>1403</v>
      </c>
    </row>
    <row r="4206" spans="1:3" x14ac:dyDescent="0.25">
      <c r="A4206">
        <v>21477</v>
      </c>
      <c r="B4206" t="s">
        <v>6045</v>
      </c>
      <c r="C4206" t="s">
        <v>1407</v>
      </c>
    </row>
    <row r="4207" spans="1:3" x14ac:dyDescent="0.25">
      <c r="A4207">
        <v>21478</v>
      </c>
      <c r="B4207" t="s">
        <v>6046</v>
      </c>
      <c r="C4207" t="s">
        <v>1411</v>
      </c>
    </row>
    <row r="4208" spans="1:3" x14ac:dyDescent="0.25">
      <c r="A4208">
        <v>21479</v>
      </c>
      <c r="B4208" t="s">
        <v>6047</v>
      </c>
      <c r="C4208" t="s">
        <v>1415</v>
      </c>
    </row>
    <row r="4209" spans="1:3" x14ac:dyDescent="0.25">
      <c r="A4209">
        <v>21480</v>
      </c>
      <c r="B4209" t="s">
        <v>6048</v>
      </c>
      <c r="C4209" t="s">
        <v>1419</v>
      </c>
    </row>
    <row r="4210" spans="1:3" x14ac:dyDescent="0.25">
      <c r="A4210">
        <v>21481</v>
      </c>
      <c r="B4210" t="s">
        <v>6049</v>
      </c>
      <c r="C4210" t="s">
        <v>1423</v>
      </c>
    </row>
    <row r="4211" spans="1:3" x14ac:dyDescent="0.25">
      <c r="A4211">
        <v>21482</v>
      </c>
      <c r="B4211" t="s">
        <v>6050</v>
      </c>
      <c r="C4211" t="s">
        <v>1427</v>
      </c>
    </row>
    <row r="4212" spans="1:3" x14ac:dyDescent="0.25">
      <c r="A4212">
        <v>21483</v>
      </c>
      <c r="B4212" t="s">
        <v>6051</v>
      </c>
      <c r="C4212" t="s">
        <v>1431</v>
      </c>
    </row>
    <row r="4213" spans="1:3" x14ac:dyDescent="0.25">
      <c r="A4213">
        <v>21500</v>
      </c>
      <c r="B4213" t="s">
        <v>6052</v>
      </c>
      <c r="C4213" t="e">
        <f>+proj=lcc +lat_1=49.8333333333333 +lat_2=51.1666666666666 +lat_0=90 +lon_0=0 +x_0=150000 +y_0=5400000 +ellps=intl +pm=brussels +units=m +no_defs</f>
        <v>#NAME?</v>
      </c>
    </row>
    <row r="4214" spans="1:3" x14ac:dyDescent="0.25">
      <c r="A4214">
        <v>21780</v>
      </c>
      <c r="B4214" t="s">
        <v>6053</v>
      </c>
      <c r="C4214" t="s">
        <v>6054</v>
      </c>
    </row>
    <row r="4215" spans="1:3" x14ac:dyDescent="0.25">
      <c r="A4215">
        <v>21781</v>
      </c>
      <c r="B4215" t="s">
        <v>6055</v>
      </c>
      <c r="C4215" t="s">
        <v>6056</v>
      </c>
    </row>
    <row r="4216" spans="1:3" x14ac:dyDescent="0.25">
      <c r="A4216">
        <v>21782</v>
      </c>
      <c r="B4216" t="s">
        <v>6057</v>
      </c>
      <c r="C4216" t="s">
        <v>6058</v>
      </c>
    </row>
    <row r="4217" spans="1:3" x14ac:dyDescent="0.25">
      <c r="A4217">
        <v>21817</v>
      </c>
      <c r="B4217" t="s">
        <v>6059</v>
      </c>
      <c r="C4217" t="s">
        <v>6060</v>
      </c>
    </row>
    <row r="4218" spans="1:3" x14ac:dyDescent="0.25">
      <c r="A4218">
        <v>21818</v>
      </c>
      <c r="B4218" t="s">
        <v>6061</v>
      </c>
      <c r="C4218" t="s">
        <v>6062</v>
      </c>
    </row>
    <row r="4219" spans="1:3" x14ac:dyDescent="0.25">
      <c r="A4219">
        <v>21891</v>
      </c>
      <c r="B4219" t="s">
        <v>6063</v>
      </c>
      <c r="C4219" t="s">
        <v>6064</v>
      </c>
    </row>
    <row r="4220" spans="1:3" x14ac:dyDescent="0.25">
      <c r="A4220">
        <v>21892</v>
      </c>
      <c r="B4220" t="s">
        <v>6065</v>
      </c>
      <c r="C4220" t="s">
        <v>6066</v>
      </c>
    </row>
    <row r="4221" spans="1:3" x14ac:dyDescent="0.25">
      <c r="A4221">
        <v>21893</v>
      </c>
      <c r="B4221" t="s">
        <v>6067</v>
      </c>
      <c r="C4221" t="s">
        <v>6068</v>
      </c>
    </row>
    <row r="4222" spans="1:3" x14ac:dyDescent="0.25">
      <c r="A4222">
        <v>21894</v>
      </c>
      <c r="B4222" t="s">
        <v>6069</v>
      </c>
      <c r="C4222" t="s">
        <v>6070</v>
      </c>
    </row>
    <row r="4223" spans="1:3" x14ac:dyDescent="0.25">
      <c r="A4223">
        <v>21896</v>
      </c>
      <c r="B4223" t="s">
        <v>6071</v>
      </c>
      <c r="C4223" t="s">
        <v>6064</v>
      </c>
    </row>
    <row r="4224" spans="1:3" x14ac:dyDescent="0.25">
      <c r="A4224">
        <v>21897</v>
      </c>
      <c r="B4224" t="s">
        <v>6072</v>
      </c>
      <c r="C4224" t="s">
        <v>6066</v>
      </c>
    </row>
    <row r="4225" spans="1:3" x14ac:dyDescent="0.25">
      <c r="A4225">
        <v>21898</v>
      </c>
      <c r="B4225" t="s">
        <v>6073</v>
      </c>
      <c r="C4225" t="s">
        <v>6068</v>
      </c>
    </row>
    <row r="4226" spans="1:3" x14ac:dyDescent="0.25">
      <c r="A4226">
        <v>21899</v>
      </c>
      <c r="B4226" t="s">
        <v>6074</v>
      </c>
      <c r="C4226" t="s">
        <v>6070</v>
      </c>
    </row>
    <row r="4227" spans="1:3" x14ac:dyDescent="0.25">
      <c r="A4227">
        <v>22032</v>
      </c>
      <c r="B4227" t="s">
        <v>6075</v>
      </c>
      <c r="C4227" t="s">
        <v>6076</v>
      </c>
    </row>
    <row r="4228" spans="1:3" x14ac:dyDescent="0.25">
      <c r="A4228">
        <v>22033</v>
      </c>
      <c r="B4228" t="s">
        <v>6077</v>
      </c>
      <c r="C4228" t="s">
        <v>6078</v>
      </c>
    </row>
    <row r="4229" spans="1:3" x14ac:dyDescent="0.25">
      <c r="A4229">
        <v>22091</v>
      </c>
      <c r="B4229" t="s">
        <v>6079</v>
      </c>
      <c r="C4229" t="s">
        <v>6080</v>
      </c>
    </row>
    <row r="4230" spans="1:3" x14ac:dyDescent="0.25">
      <c r="A4230">
        <v>22092</v>
      </c>
      <c r="B4230" t="s">
        <v>6081</v>
      </c>
      <c r="C4230" t="s">
        <v>6082</v>
      </c>
    </row>
    <row r="4231" spans="1:3" x14ac:dyDescent="0.25">
      <c r="A4231">
        <v>22171</v>
      </c>
      <c r="B4231" t="s">
        <v>6083</v>
      </c>
      <c r="C4231" t="s">
        <v>4218</v>
      </c>
    </row>
    <row r="4232" spans="1:3" x14ac:dyDescent="0.25">
      <c r="A4232">
        <v>32612</v>
      </c>
      <c r="B4232" t="s">
        <v>6084</v>
      </c>
      <c r="C4232" t="e">
        <f>+proj=utm +zone=12 +datum=WGQ84 +units=m +no_defs</f>
        <v>#NAME?</v>
      </c>
    </row>
    <row r="4233" spans="1:3" x14ac:dyDescent="0.25">
      <c r="A4233">
        <v>22172</v>
      </c>
      <c r="B4233" t="s">
        <v>6085</v>
      </c>
      <c r="C4233" t="s">
        <v>4220</v>
      </c>
    </row>
    <row r="4234" spans="1:3" x14ac:dyDescent="0.25">
      <c r="A4234">
        <v>22173</v>
      </c>
      <c r="B4234" t="s">
        <v>6086</v>
      </c>
      <c r="C4234" t="s">
        <v>4223</v>
      </c>
    </row>
    <row r="4235" spans="1:3" x14ac:dyDescent="0.25">
      <c r="A4235">
        <v>22174</v>
      </c>
      <c r="B4235" t="s">
        <v>6087</v>
      </c>
      <c r="C4235" t="s">
        <v>4225</v>
      </c>
    </row>
    <row r="4236" spans="1:3" x14ac:dyDescent="0.25">
      <c r="A4236">
        <v>22175</v>
      </c>
      <c r="B4236" t="s">
        <v>6088</v>
      </c>
      <c r="C4236" t="s">
        <v>4227</v>
      </c>
    </row>
    <row r="4237" spans="1:3" x14ac:dyDescent="0.25">
      <c r="A4237">
        <v>22176</v>
      </c>
      <c r="B4237" t="s">
        <v>6089</v>
      </c>
      <c r="C4237" t="s">
        <v>4229</v>
      </c>
    </row>
    <row r="4238" spans="1:3" x14ac:dyDescent="0.25">
      <c r="A4238">
        <v>22177</v>
      </c>
      <c r="B4238" t="s">
        <v>6090</v>
      </c>
      <c r="C4238" t="s">
        <v>4231</v>
      </c>
    </row>
    <row r="4239" spans="1:3" x14ac:dyDescent="0.25">
      <c r="A4239">
        <v>22181</v>
      </c>
      <c r="B4239" t="s">
        <v>6091</v>
      </c>
      <c r="C4239" t="s">
        <v>6092</v>
      </c>
    </row>
    <row r="4240" spans="1:3" x14ac:dyDescent="0.25">
      <c r="A4240">
        <v>22182</v>
      </c>
      <c r="B4240" t="s">
        <v>6093</v>
      </c>
      <c r="C4240" t="s">
        <v>6094</v>
      </c>
    </row>
    <row r="4241" spans="1:3" x14ac:dyDescent="0.25">
      <c r="A4241">
        <v>22183</v>
      </c>
      <c r="B4241" t="s">
        <v>6095</v>
      </c>
      <c r="C4241" t="s">
        <v>6096</v>
      </c>
    </row>
    <row r="4242" spans="1:3" x14ac:dyDescent="0.25">
      <c r="A4242">
        <v>22184</v>
      </c>
      <c r="B4242" t="s">
        <v>6097</v>
      </c>
      <c r="C4242" t="s">
        <v>6098</v>
      </c>
    </row>
    <row r="4243" spans="1:3" x14ac:dyDescent="0.25">
      <c r="A4243">
        <v>22185</v>
      </c>
      <c r="B4243" t="s">
        <v>6099</v>
      </c>
      <c r="C4243" t="s">
        <v>6100</v>
      </c>
    </row>
    <row r="4244" spans="1:3" x14ac:dyDescent="0.25">
      <c r="A4244">
        <v>22186</v>
      </c>
      <c r="B4244" t="s">
        <v>6101</v>
      </c>
      <c r="C4244" t="s">
        <v>6102</v>
      </c>
    </row>
    <row r="4245" spans="1:3" x14ac:dyDescent="0.25">
      <c r="A4245">
        <v>22187</v>
      </c>
      <c r="B4245" t="s">
        <v>6103</v>
      </c>
      <c r="C4245" t="s">
        <v>6104</v>
      </c>
    </row>
    <row r="4246" spans="1:3" x14ac:dyDescent="0.25">
      <c r="A4246">
        <v>22191</v>
      </c>
      <c r="B4246" t="s">
        <v>6105</v>
      </c>
      <c r="C4246" t="s">
        <v>6106</v>
      </c>
    </row>
    <row r="4247" spans="1:3" x14ac:dyDescent="0.25">
      <c r="A4247">
        <v>22192</v>
      </c>
      <c r="B4247" t="s">
        <v>6107</v>
      </c>
      <c r="C4247" t="s">
        <v>6108</v>
      </c>
    </row>
    <row r="4248" spans="1:3" x14ac:dyDescent="0.25">
      <c r="A4248">
        <v>22193</v>
      </c>
      <c r="B4248" t="s">
        <v>6109</v>
      </c>
      <c r="C4248" t="s">
        <v>6110</v>
      </c>
    </row>
    <row r="4249" spans="1:3" x14ac:dyDescent="0.25">
      <c r="A4249">
        <v>22194</v>
      </c>
      <c r="B4249" t="s">
        <v>6111</v>
      </c>
      <c r="C4249" t="s">
        <v>6112</v>
      </c>
    </row>
    <row r="4250" spans="1:3" x14ac:dyDescent="0.25">
      <c r="A4250">
        <v>22195</v>
      </c>
      <c r="B4250" t="s">
        <v>6113</v>
      </c>
      <c r="C4250" t="s">
        <v>6114</v>
      </c>
    </row>
    <row r="4251" spans="1:3" x14ac:dyDescent="0.25">
      <c r="A4251">
        <v>22196</v>
      </c>
      <c r="B4251" t="s">
        <v>6115</v>
      </c>
      <c r="C4251" t="s">
        <v>6116</v>
      </c>
    </row>
    <row r="4252" spans="1:3" x14ac:dyDescent="0.25">
      <c r="A4252">
        <v>22197</v>
      </c>
      <c r="B4252" t="s">
        <v>6117</v>
      </c>
      <c r="C4252" t="s">
        <v>6118</v>
      </c>
    </row>
    <row r="4253" spans="1:3" x14ac:dyDescent="0.25">
      <c r="A4253">
        <v>22234</v>
      </c>
      <c r="B4253" t="s">
        <v>6119</v>
      </c>
      <c r="C4253" t="s">
        <v>6120</v>
      </c>
    </row>
    <row r="4254" spans="1:3" x14ac:dyDescent="0.25">
      <c r="A4254">
        <v>22235</v>
      </c>
      <c r="B4254" t="s">
        <v>6121</v>
      </c>
      <c r="C4254" t="s">
        <v>6122</v>
      </c>
    </row>
    <row r="4255" spans="1:3" x14ac:dyDescent="0.25">
      <c r="A4255">
        <v>22236</v>
      </c>
      <c r="B4255" t="s">
        <v>6123</v>
      </c>
      <c r="C4255" t="s">
        <v>6124</v>
      </c>
    </row>
    <row r="4256" spans="1:3" x14ac:dyDescent="0.25">
      <c r="A4256">
        <v>22275</v>
      </c>
      <c r="B4256" t="s">
        <v>6125</v>
      </c>
      <c r="C4256" t="s">
        <v>6126</v>
      </c>
    </row>
    <row r="4257" spans="1:3" x14ac:dyDescent="0.25">
      <c r="A4257">
        <v>22277</v>
      </c>
      <c r="B4257" t="s">
        <v>6127</v>
      </c>
      <c r="C4257" t="s">
        <v>6128</v>
      </c>
    </row>
    <row r="4258" spans="1:3" x14ac:dyDescent="0.25">
      <c r="A4258">
        <v>22279</v>
      </c>
      <c r="B4258" t="s">
        <v>6129</v>
      </c>
      <c r="C4258" t="s">
        <v>6130</v>
      </c>
    </row>
    <row r="4259" spans="1:3" x14ac:dyDescent="0.25">
      <c r="A4259">
        <v>22281</v>
      </c>
      <c r="B4259" t="s">
        <v>6131</v>
      </c>
      <c r="C4259" t="s">
        <v>6132</v>
      </c>
    </row>
    <row r="4260" spans="1:3" x14ac:dyDescent="0.25">
      <c r="A4260">
        <v>22283</v>
      </c>
      <c r="B4260" t="s">
        <v>6133</v>
      </c>
      <c r="C4260" t="s">
        <v>6134</v>
      </c>
    </row>
    <row r="4261" spans="1:3" x14ac:dyDescent="0.25">
      <c r="A4261">
        <v>22285</v>
      </c>
      <c r="B4261" t="s">
        <v>6135</v>
      </c>
      <c r="C4261" t="s">
        <v>6136</v>
      </c>
    </row>
    <row r="4262" spans="1:3" x14ac:dyDescent="0.25">
      <c r="A4262">
        <v>22287</v>
      </c>
      <c r="B4262" t="s">
        <v>6137</v>
      </c>
      <c r="C4262" t="s">
        <v>6138</v>
      </c>
    </row>
    <row r="4263" spans="1:3" x14ac:dyDescent="0.25">
      <c r="A4263">
        <v>22289</v>
      </c>
      <c r="B4263" t="s">
        <v>6139</v>
      </c>
      <c r="C4263" t="s">
        <v>6140</v>
      </c>
    </row>
    <row r="4264" spans="1:3" x14ac:dyDescent="0.25">
      <c r="A4264">
        <v>22291</v>
      </c>
      <c r="B4264" t="s">
        <v>6141</v>
      </c>
      <c r="C4264" t="s">
        <v>6142</v>
      </c>
    </row>
    <row r="4265" spans="1:3" x14ac:dyDescent="0.25">
      <c r="A4265">
        <v>22293</v>
      </c>
      <c r="B4265" t="s">
        <v>6143</v>
      </c>
      <c r="C4265" t="s">
        <v>6144</v>
      </c>
    </row>
    <row r="4266" spans="1:3" x14ac:dyDescent="0.25">
      <c r="A4266">
        <v>22300</v>
      </c>
      <c r="B4266" t="s">
        <v>6145</v>
      </c>
    </row>
    <row r="4267" spans="1:3" x14ac:dyDescent="0.25">
      <c r="A4267">
        <v>22332</v>
      </c>
      <c r="B4267" t="s">
        <v>6146</v>
      </c>
      <c r="C4267" t="e">
        <f>+proj=utm +zone=32 +datum=carthage +units=m +no_defs</f>
        <v>#NAME?</v>
      </c>
    </row>
    <row r="4268" spans="1:3" x14ac:dyDescent="0.25">
      <c r="A4268">
        <v>22391</v>
      </c>
      <c r="B4268" t="s">
        <v>6147</v>
      </c>
      <c r="C4268" t="e">
        <f>+proj=lcc +lat_1=36 +lat_0=36 +lon_0=9.9 +k_0=0.999625544 +x_0=500000 +y_0=300000 +datum=carthage +units=m +no_defs</f>
        <v>#NAME?</v>
      </c>
    </row>
    <row r="4269" spans="1:3" x14ac:dyDescent="0.25">
      <c r="A4269">
        <v>22392</v>
      </c>
      <c r="B4269" t="s">
        <v>6148</v>
      </c>
      <c r="C4269" t="e">
        <f>+proj=lcc +lat_1=33.3 +lat_0=33.3 +lon_0=9.9 +k_0=0.999625769 +x_0=500000 +y_0=300000 +datum=carthage +units=m +no_defs</f>
        <v>#NAME?</v>
      </c>
    </row>
    <row r="4270" spans="1:3" x14ac:dyDescent="0.25">
      <c r="A4270">
        <v>22521</v>
      </c>
      <c r="B4270" t="s">
        <v>6149</v>
      </c>
      <c r="C4270" t="s">
        <v>6150</v>
      </c>
    </row>
    <row r="4271" spans="1:3" x14ac:dyDescent="0.25">
      <c r="A4271">
        <v>22522</v>
      </c>
      <c r="B4271" t="s">
        <v>6151</v>
      </c>
      <c r="C4271" t="s">
        <v>6152</v>
      </c>
    </row>
    <row r="4272" spans="1:3" x14ac:dyDescent="0.25">
      <c r="A4272">
        <v>22523</v>
      </c>
      <c r="B4272" t="s">
        <v>6153</v>
      </c>
      <c r="C4272" t="s">
        <v>6154</v>
      </c>
    </row>
    <row r="4273" spans="1:3" x14ac:dyDescent="0.25">
      <c r="A4273">
        <v>22524</v>
      </c>
      <c r="B4273" t="s">
        <v>6155</v>
      </c>
      <c r="C4273" t="s">
        <v>6156</v>
      </c>
    </row>
    <row r="4274" spans="1:3" x14ac:dyDescent="0.25">
      <c r="A4274">
        <v>22525</v>
      </c>
      <c r="B4274" t="s">
        <v>6157</v>
      </c>
      <c r="C4274" t="s">
        <v>6158</v>
      </c>
    </row>
    <row r="4275" spans="1:3" x14ac:dyDescent="0.25">
      <c r="A4275">
        <v>22700</v>
      </c>
      <c r="B4275" t="s">
        <v>6159</v>
      </c>
      <c r="C4275" t="s">
        <v>6160</v>
      </c>
    </row>
    <row r="4276" spans="1:3" x14ac:dyDescent="0.25">
      <c r="A4276">
        <v>22770</v>
      </c>
      <c r="B4276" t="s">
        <v>6161</v>
      </c>
      <c r="C4276" t="s">
        <v>6160</v>
      </c>
    </row>
    <row r="4277" spans="1:3" x14ac:dyDescent="0.25">
      <c r="A4277">
        <v>22780</v>
      </c>
      <c r="B4277" t="s">
        <v>6162</v>
      </c>
      <c r="C4277" t="s">
        <v>6163</v>
      </c>
    </row>
    <row r="4278" spans="1:3" x14ac:dyDescent="0.25">
      <c r="A4278">
        <v>22832</v>
      </c>
      <c r="B4278" t="s">
        <v>6164</v>
      </c>
      <c r="C4278" t="e">
        <f>+proj=utm +zone=32 +a=6378249.2 +b=6356515 +units=m +no_defs</f>
        <v>#NAME?</v>
      </c>
    </row>
    <row r="4279" spans="1:3" x14ac:dyDescent="0.25">
      <c r="A4279">
        <v>22991</v>
      </c>
      <c r="B4279" t="s">
        <v>6165</v>
      </c>
      <c r="C4279" t="s">
        <v>6166</v>
      </c>
    </row>
    <row r="4280" spans="1:3" x14ac:dyDescent="0.25">
      <c r="A4280">
        <v>22992</v>
      </c>
      <c r="B4280" t="s">
        <v>6167</v>
      </c>
      <c r="C4280" t="s">
        <v>6168</v>
      </c>
    </row>
    <row r="4281" spans="1:3" x14ac:dyDescent="0.25">
      <c r="A4281">
        <v>22993</v>
      </c>
      <c r="B4281" t="s">
        <v>6169</v>
      </c>
      <c r="C4281" t="s">
        <v>6170</v>
      </c>
    </row>
    <row r="4282" spans="1:3" x14ac:dyDescent="0.25">
      <c r="A4282">
        <v>5341</v>
      </c>
      <c r="B4282" t="s">
        <v>6171</v>
      </c>
      <c r="C4282" t="e">
        <f>+proj=geocent +ellps=GRQ80 +units=m +no_defs</f>
        <v>#NAME?</v>
      </c>
    </row>
    <row r="4283" spans="1:3" x14ac:dyDescent="0.25">
      <c r="A4283">
        <v>22994</v>
      </c>
      <c r="B4283" t="s">
        <v>6172</v>
      </c>
      <c r="C4283" t="s">
        <v>6173</v>
      </c>
    </row>
    <row r="4284" spans="1:3" x14ac:dyDescent="0.25">
      <c r="A4284">
        <v>23028</v>
      </c>
      <c r="B4284" t="s">
        <v>6174</v>
      </c>
      <c r="C4284" t="s">
        <v>6175</v>
      </c>
    </row>
    <row r="4285" spans="1:3" x14ac:dyDescent="0.25">
      <c r="A4285">
        <v>23029</v>
      </c>
      <c r="B4285" t="s">
        <v>6176</v>
      </c>
      <c r="C4285" t="s">
        <v>6177</v>
      </c>
    </row>
    <row r="4286" spans="1:3" x14ac:dyDescent="0.25">
      <c r="A4286">
        <v>23030</v>
      </c>
      <c r="B4286" t="s">
        <v>6178</v>
      </c>
      <c r="C4286" t="s">
        <v>6179</v>
      </c>
    </row>
    <row r="4287" spans="1:3" x14ac:dyDescent="0.25">
      <c r="A4287">
        <v>23031</v>
      </c>
      <c r="B4287" t="s">
        <v>6180</v>
      </c>
      <c r="C4287" t="s">
        <v>6181</v>
      </c>
    </row>
    <row r="4288" spans="1:3" x14ac:dyDescent="0.25">
      <c r="A4288">
        <v>23032</v>
      </c>
      <c r="B4288" t="s">
        <v>6182</v>
      </c>
      <c r="C4288" t="s">
        <v>6183</v>
      </c>
    </row>
    <row r="4289" spans="1:3" x14ac:dyDescent="0.25">
      <c r="A4289">
        <v>23033</v>
      </c>
      <c r="B4289" t="s">
        <v>6184</v>
      </c>
      <c r="C4289" t="s">
        <v>6185</v>
      </c>
    </row>
    <row r="4290" spans="1:3" x14ac:dyDescent="0.25">
      <c r="A4290">
        <v>23034</v>
      </c>
      <c r="B4290" t="s">
        <v>6186</v>
      </c>
      <c r="C4290" t="s">
        <v>6187</v>
      </c>
    </row>
    <row r="4291" spans="1:3" x14ac:dyDescent="0.25">
      <c r="A4291">
        <v>23035</v>
      </c>
      <c r="B4291" t="s">
        <v>6188</v>
      </c>
      <c r="C4291" t="s">
        <v>6189</v>
      </c>
    </row>
    <row r="4292" spans="1:3" x14ac:dyDescent="0.25">
      <c r="A4292">
        <v>23036</v>
      </c>
      <c r="B4292" t="s">
        <v>6190</v>
      </c>
      <c r="C4292" t="s">
        <v>6191</v>
      </c>
    </row>
    <row r="4293" spans="1:3" x14ac:dyDescent="0.25">
      <c r="A4293">
        <v>5352</v>
      </c>
      <c r="B4293" t="s">
        <v>6192</v>
      </c>
      <c r="C4293" t="e">
        <f>+proj=geocent +ellps=GRQ80 +units=m +no_defs</f>
        <v>#NAME?</v>
      </c>
    </row>
    <row r="4294" spans="1:3" x14ac:dyDescent="0.25">
      <c r="A4294">
        <v>23037</v>
      </c>
      <c r="B4294" t="s">
        <v>6193</v>
      </c>
      <c r="C4294" t="s">
        <v>6194</v>
      </c>
    </row>
    <row r="4295" spans="1:3" x14ac:dyDescent="0.25">
      <c r="A4295">
        <v>23038</v>
      </c>
      <c r="B4295" t="s">
        <v>6195</v>
      </c>
      <c r="C4295" t="s">
        <v>6196</v>
      </c>
    </row>
    <row r="4296" spans="1:3" x14ac:dyDescent="0.25">
      <c r="A4296">
        <v>23090</v>
      </c>
      <c r="B4296" t="s">
        <v>6197</v>
      </c>
      <c r="C4296" t="s">
        <v>6198</v>
      </c>
    </row>
    <row r="4297" spans="1:3" x14ac:dyDescent="0.25">
      <c r="A4297">
        <v>23095</v>
      </c>
      <c r="B4297" t="s">
        <v>6199</v>
      </c>
      <c r="C4297" t="s">
        <v>6200</v>
      </c>
    </row>
    <row r="4298" spans="1:3" x14ac:dyDescent="0.25">
      <c r="A4298">
        <v>23239</v>
      </c>
      <c r="B4298" t="s">
        <v>6201</v>
      </c>
      <c r="C4298" t="s">
        <v>6202</v>
      </c>
    </row>
    <row r="4299" spans="1:3" x14ac:dyDescent="0.25">
      <c r="A4299">
        <v>23240</v>
      </c>
      <c r="B4299" t="s">
        <v>6203</v>
      </c>
      <c r="C4299" t="s">
        <v>6204</v>
      </c>
    </row>
    <row r="4300" spans="1:3" x14ac:dyDescent="0.25">
      <c r="A4300">
        <v>23433</v>
      </c>
      <c r="B4300" t="s">
        <v>6205</v>
      </c>
      <c r="C4300" t="e">
        <f>+proj=utm +zone=33 +a=6378249.2 +b=6356515 +units=m +no_defs</f>
        <v>#NAME?</v>
      </c>
    </row>
    <row r="4301" spans="1:3" x14ac:dyDescent="0.25">
      <c r="A4301">
        <v>23700</v>
      </c>
      <c r="B4301" t="s">
        <v>6206</v>
      </c>
      <c r="C4301" t="s">
        <v>6207</v>
      </c>
    </row>
    <row r="4302" spans="1:3" x14ac:dyDescent="0.25">
      <c r="A4302">
        <v>23830</v>
      </c>
      <c r="B4302" t="s">
        <v>6208</v>
      </c>
      <c r="C4302" t="s">
        <v>6209</v>
      </c>
    </row>
    <row r="4303" spans="1:3" x14ac:dyDescent="0.25">
      <c r="A4303">
        <v>23831</v>
      </c>
      <c r="B4303" t="s">
        <v>6210</v>
      </c>
      <c r="C4303" t="s">
        <v>6211</v>
      </c>
    </row>
    <row r="4304" spans="1:3" x14ac:dyDescent="0.25">
      <c r="A4304">
        <v>23832</v>
      </c>
      <c r="B4304" t="s">
        <v>6212</v>
      </c>
      <c r="C4304" t="s">
        <v>6213</v>
      </c>
    </row>
    <row r="4305" spans="1:3" x14ac:dyDescent="0.25">
      <c r="A4305">
        <v>23833</v>
      </c>
      <c r="B4305" t="s">
        <v>6214</v>
      </c>
      <c r="C4305" t="s">
        <v>6215</v>
      </c>
    </row>
    <row r="4306" spans="1:3" x14ac:dyDescent="0.25">
      <c r="A4306">
        <v>23834</v>
      </c>
      <c r="B4306" t="s">
        <v>6216</v>
      </c>
      <c r="C4306" t="s">
        <v>6217</v>
      </c>
    </row>
    <row r="4307" spans="1:3" x14ac:dyDescent="0.25">
      <c r="A4307">
        <v>23835</v>
      </c>
      <c r="B4307" t="s">
        <v>6218</v>
      </c>
      <c r="C4307" t="s">
        <v>6219</v>
      </c>
    </row>
    <row r="4308" spans="1:3" x14ac:dyDescent="0.25">
      <c r="A4308">
        <v>23836</v>
      </c>
      <c r="B4308" t="s">
        <v>6220</v>
      </c>
      <c r="C4308" t="s">
        <v>6221</v>
      </c>
    </row>
    <row r="4309" spans="1:3" x14ac:dyDescent="0.25">
      <c r="A4309">
        <v>23837</v>
      </c>
      <c r="B4309" t="s">
        <v>6222</v>
      </c>
      <c r="C4309" t="s">
        <v>6223</v>
      </c>
    </row>
    <row r="4310" spans="1:3" x14ac:dyDescent="0.25">
      <c r="A4310">
        <v>23838</v>
      </c>
      <c r="B4310" t="s">
        <v>6224</v>
      </c>
      <c r="C4310" t="s">
        <v>6225</v>
      </c>
    </row>
    <row r="4311" spans="1:3" x14ac:dyDescent="0.25">
      <c r="A4311">
        <v>23839</v>
      </c>
      <c r="B4311" t="s">
        <v>6226</v>
      </c>
      <c r="C4311" t="s">
        <v>6227</v>
      </c>
    </row>
    <row r="4312" spans="1:3" x14ac:dyDescent="0.25">
      <c r="A4312">
        <v>23840</v>
      </c>
      <c r="B4312" t="s">
        <v>6228</v>
      </c>
      <c r="C4312" t="s">
        <v>6229</v>
      </c>
    </row>
    <row r="4313" spans="1:3" x14ac:dyDescent="0.25">
      <c r="A4313">
        <v>26709</v>
      </c>
      <c r="B4313" t="s">
        <v>6230</v>
      </c>
      <c r="C4313" t="e">
        <f>+proj=utm +zone=9 +datum=NAB27 +units=m +no_defs</f>
        <v>#NAME?</v>
      </c>
    </row>
    <row r="4314" spans="1:3" x14ac:dyDescent="0.25">
      <c r="A4314">
        <v>23841</v>
      </c>
      <c r="B4314" t="s">
        <v>6231</v>
      </c>
      <c r="C4314" t="s">
        <v>6232</v>
      </c>
    </row>
    <row r="4315" spans="1:3" x14ac:dyDescent="0.25">
      <c r="A4315">
        <v>23842</v>
      </c>
      <c r="B4315" t="s">
        <v>6233</v>
      </c>
      <c r="C4315" t="s">
        <v>6234</v>
      </c>
    </row>
    <row r="4316" spans="1:3" x14ac:dyDescent="0.25">
      <c r="A4316">
        <v>23843</v>
      </c>
      <c r="B4316" t="s">
        <v>6235</v>
      </c>
      <c r="C4316" t="s">
        <v>6236</v>
      </c>
    </row>
    <row r="4317" spans="1:3" x14ac:dyDescent="0.25">
      <c r="A4317">
        <v>23844</v>
      </c>
      <c r="B4317" t="s">
        <v>6237</v>
      </c>
      <c r="C4317" t="s">
        <v>6238</v>
      </c>
    </row>
    <row r="4318" spans="1:3" x14ac:dyDescent="0.25">
      <c r="A4318">
        <v>23845</v>
      </c>
      <c r="B4318" t="s">
        <v>6239</v>
      </c>
      <c r="C4318" t="s">
        <v>6240</v>
      </c>
    </row>
    <row r="4319" spans="1:3" x14ac:dyDescent="0.25">
      <c r="A4319">
        <v>23846</v>
      </c>
      <c r="B4319" t="s">
        <v>6241</v>
      </c>
      <c r="C4319" t="s">
        <v>6242</v>
      </c>
    </row>
    <row r="4320" spans="1:3" x14ac:dyDescent="0.25">
      <c r="A4320">
        <v>23847</v>
      </c>
      <c r="B4320" t="s">
        <v>6243</v>
      </c>
      <c r="C4320" t="s">
        <v>6244</v>
      </c>
    </row>
    <row r="4321" spans="1:3" x14ac:dyDescent="0.25">
      <c r="A4321">
        <v>23848</v>
      </c>
      <c r="B4321" t="s">
        <v>6245</v>
      </c>
      <c r="C4321" t="s">
        <v>6246</v>
      </c>
    </row>
    <row r="4322" spans="1:3" x14ac:dyDescent="0.25">
      <c r="A4322">
        <v>23849</v>
      </c>
      <c r="B4322" t="s">
        <v>6247</v>
      </c>
      <c r="C4322" t="s">
        <v>6248</v>
      </c>
    </row>
    <row r="4323" spans="1:3" x14ac:dyDescent="0.25">
      <c r="A4323">
        <v>23850</v>
      </c>
      <c r="B4323" t="s">
        <v>6249</v>
      </c>
      <c r="C4323" t="s">
        <v>6250</v>
      </c>
    </row>
    <row r="4324" spans="1:3" x14ac:dyDescent="0.25">
      <c r="A4324">
        <v>23851</v>
      </c>
      <c r="B4324" t="s">
        <v>6251</v>
      </c>
      <c r="C4324" t="s">
        <v>6252</v>
      </c>
    </row>
    <row r="4325" spans="1:3" x14ac:dyDescent="0.25">
      <c r="A4325">
        <v>23852</v>
      </c>
      <c r="B4325" t="s">
        <v>6253</v>
      </c>
      <c r="C4325" t="s">
        <v>6254</v>
      </c>
    </row>
    <row r="4326" spans="1:3" x14ac:dyDescent="0.25">
      <c r="A4326">
        <v>23853</v>
      </c>
      <c r="B4326" t="s">
        <v>6255</v>
      </c>
      <c r="C4326" t="s">
        <v>6256</v>
      </c>
    </row>
    <row r="4327" spans="1:3" x14ac:dyDescent="0.25">
      <c r="A4327">
        <v>23866</v>
      </c>
      <c r="B4327" t="s">
        <v>6257</v>
      </c>
      <c r="C4327" t="s">
        <v>6258</v>
      </c>
    </row>
    <row r="4328" spans="1:3" x14ac:dyDescent="0.25">
      <c r="A4328">
        <v>23867</v>
      </c>
      <c r="B4328" t="s">
        <v>6259</v>
      </c>
      <c r="C4328" t="s">
        <v>6260</v>
      </c>
    </row>
    <row r="4329" spans="1:3" x14ac:dyDescent="0.25">
      <c r="A4329">
        <v>23868</v>
      </c>
      <c r="B4329" t="s">
        <v>6261</v>
      </c>
      <c r="C4329" t="s">
        <v>6262</v>
      </c>
    </row>
    <row r="4330" spans="1:3" x14ac:dyDescent="0.25">
      <c r="A4330">
        <v>23869</v>
      </c>
      <c r="B4330" t="s">
        <v>6263</v>
      </c>
      <c r="C4330" t="s">
        <v>6264</v>
      </c>
    </row>
    <row r="4331" spans="1:3" x14ac:dyDescent="0.25">
      <c r="A4331">
        <v>23870</v>
      </c>
      <c r="B4331" t="s">
        <v>6265</v>
      </c>
      <c r="C4331" t="s">
        <v>6266</v>
      </c>
    </row>
    <row r="4332" spans="1:3" x14ac:dyDescent="0.25">
      <c r="A4332">
        <v>23871</v>
      </c>
      <c r="B4332" t="s">
        <v>6267</v>
      </c>
      <c r="C4332" t="s">
        <v>6268</v>
      </c>
    </row>
    <row r="4333" spans="1:3" x14ac:dyDescent="0.25">
      <c r="A4333">
        <v>23872</v>
      </c>
      <c r="B4333" t="s">
        <v>6269</v>
      </c>
      <c r="C4333" t="s">
        <v>6270</v>
      </c>
    </row>
    <row r="4334" spans="1:3" x14ac:dyDescent="0.25">
      <c r="A4334">
        <v>23877</v>
      </c>
      <c r="B4334" t="s">
        <v>6271</v>
      </c>
      <c r="C4334" t="s">
        <v>6272</v>
      </c>
    </row>
    <row r="4335" spans="1:3" x14ac:dyDescent="0.25">
      <c r="A4335">
        <v>23878</v>
      </c>
      <c r="B4335" t="s">
        <v>6273</v>
      </c>
      <c r="C4335" t="s">
        <v>6274</v>
      </c>
    </row>
    <row r="4336" spans="1:3" x14ac:dyDescent="0.25">
      <c r="A4336">
        <v>23879</v>
      </c>
      <c r="B4336" t="s">
        <v>6275</v>
      </c>
      <c r="C4336" t="s">
        <v>6276</v>
      </c>
    </row>
    <row r="4337" spans="1:3" x14ac:dyDescent="0.25">
      <c r="A4337">
        <v>23880</v>
      </c>
      <c r="B4337" t="s">
        <v>6277</v>
      </c>
      <c r="C4337" t="s">
        <v>6278</v>
      </c>
    </row>
    <row r="4338" spans="1:3" x14ac:dyDescent="0.25">
      <c r="A4338">
        <v>23881</v>
      </c>
      <c r="B4338" t="s">
        <v>6279</v>
      </c>
      <c r="C4338" t="s">
        <v>6280</v>
      </c>
    </row>
    <row r="4339" spans="1:3" x14ac:dyDescent="0.25">
      <c r="A4339">
        <v>23882</v>
      </c>
      <c r="B4339" t="s">
        <v>6281</v>
      </c>
      <c r="C4339" t="s">
        <v>6282</v>
      </c>
    </row>
    <row r="4340" spans="1:3" x14ac:dyDescent="0.25">
      <c r="A4340">
        <v>23883</v>
      </c>
      <c r="B4340" t="s">
        <v>6283</v>
      </c>
      <c r="C4340" t="s">
        <v>6284</v>
      </c>
    </row>
    <row r="4341" spans="1:3" x14ac:dyDescent="0.25">
      <c r="A4341">
        <v>23884</v>
      </c>
      <c r="B4341" t="s">
        <v>6285</v>
      </c>
      <c r="C4341" t="s">
        <v>6286</v>
      </c>
    </row>
    <row r="4342" spans="1:3" x14ac:dyDescent="0.25">
      <c r="A4342">
        <v>23886</v>
      </c>
      <c r="B4342" t="s">
        <v>6287</v>
      </c>
      <c r="C4342" t="s">
        <v>6288</v>
      </c>
    </row>
    <row r="4343" spans="1:3" x14ac:dyDescent="0.25">
      <c r="A4343">
        <v>23887</v>
      </c>
      <c r="B4343" t="s">
        <v>6289</v>
      </c>
      <c r="C4343" t="s">
        <v>6290</v>
      </c>
    </row>
    <row r="4344" spans="1:3" x14ac:dyDescent="0.25">
      <c r="A4344">
        <v>23888</v>
      </c>
      <c r="B4344" t="s">
        <v>6291</v>
      </c>
      <c r="C4344" t="s">
        <v>6292</v>
      </c>
    </row>
    <row r="4345" spans="1:3" x14ac:dyDescent="0.25">
      <c r="A4345">
        <v>23889</v>
      </c>
      <c r="B4345" t="s">
        <v>6293</v>
      </c>
      <c r="C4345" t="s">
        <v>6294</v>
      </c>
    </row>
    <row r="4346" spans="1:3" x14ac:dyDescent="0.25">
      <c r="A4346">
        <v>23890</v>
      </c>
      <c r="B4346" t="s">
        <v>6295</v>
      </c>
      <c r="C4346" t="s">
        <v>6296</v>
      </c>
    </row>
    <row r="4347" spans="1:3" x14ac:dyDescent="0.25">
      <c r="A4347">
        <v>23891</v>
      </c>
      <c r="B4347" t="s">
        <v>6297</v>
      </c>
      <c r="C4347" t="s">
        <v>6298</v>
      </c>
    </row>
    <row r="4348" spans="1:3" x14ac:dyDescent="0.25">
      <c r="A4348">
        <v>23892</v>
      </c>
      <c r="B4348" t="s">
        <v>6299</v>
      </c>
      <c r="C4348" t="s">
        <v>6300</v>
      </c>
    </row>
    <row r="4349" spans="1:3" x14ac:dyDescent="0.25">
      <c r="A4349">
        <v>23893</v>
      </c>
      <c r="B4349" t="s">
        <v>6301</v>
      </c>
      <c r="C4349" t="s">
        <v>6302</v>
      </c>
    </row>
    <row r="4350" spans="1:3" x14ac:dyDescent="0.25">
      <c r="A4350">
        <v>23894</v>
      </c>
      <c r="B4350" t="s">
        <v>6303</v>
      </c>
      <c r="C4350" t="s">
        <v>6304</v>
      </c>
    </row>
    <row r="4351" spans="1:3" x14ac:dyDescent="0.25">
      <c r="A4351">
        <v>23946</v>
      </c>
      <c r="B4351" t="s">
        <v>6305</v>
      </c>
      <c r="C4351" t="s">
        <v>6306</v>
      </c>
    </row>
    <row r="4352" spans="1:3" x14ac:dyDescent="0.25">
      <c r="A4352">
        <v>23947</v>
      </c>
      <c r="B4352" t="s">
        <v>6307</v>
      </c>
      <c r="C4352" t="s">
        <v>6308</v>
      </c>
    </row>
    <row r="4353" spans="1:3" x14ac:dyDescent="0.25">
      <c r="A4353">
        <v>23948</v>
      </c>
      <c r="B4353" t="s">
        <v>6309</v>
      </c>
      <c r="C4353" t="s">
        <v>6310</v>
      </c>
    </row>
    <row r="4354" spans="1:3" x14ac:dyDescent="0.25">
      <c r="A4354">
        <v>24047</v>
      </c>
      <c r="B4354" t="s">
        <v>6311</v>
      </c>
      <c r="C4354" t="s">
        <v>6312</v>
      </c>
    </row>
    <row r="4355" spans="1:3" x14ac:dyDescent="0.25">
      <c r="A4355">
        <v>24048</v>
      </c>
      <c r="B4355" t="s">
        <v>6313</v>
      </c>
      <c r="C4355" t="s">
        <v>6314</v>
      </c>
    </row>
    <row r="4356" spans="1:3" x14ac:dyDescent="0.25">
      <c r="A4356">
        <v>24100</v>
      </c>
      <c r="B4356" t="s">
        <v>6315</v>
      </c>
      <c r="C4356" t="e">
        <f>+proj=lcc +lat_1=18 +lat_0=18 +lon_0=-77 +k_0=1 +x_0=167638.49597 +y_0=121918.90616 +a=6378249.14480801 +b=6356514.96620413 +to_meter=0.3047972654 +no_defs</f>
        <v>#NAME?</v>
      </c>
    </row>
    <row r="4357" spans="1:3" x14ac:dyDescent="0.25">
      <c r="A4357">
        <v>24200</v>
      </c>
      <c r="B4357" t="s">
        <v>6316</v>
      </c>
      <c r="C4357" t="s">
        <v>6317</v>
      </c>
    </row>
    <row r="4358" spans="1:3" x14ac:dyDescent="0.25">
      <c r="A4358">
        <v>24305</v>
      </c>
      <c r="B4358" t="s">
        <v>6318</v>
      </c>
      <c r="C4358" t="s">
        <v>6319</v>
      </c>
    </row>
    <row r="4359" spans="1:3" x14ac:dyDescent="0.25">
      <c r="A4359">
        <v>24306</v>
      </c>
      <c r="B4359" t="s">
        <v>6320</v>
      </c>
      <c r="C4359" t="s">
        <v>6321</v>
      </c>
    </row>
    <row r="4360" spans="1:3" x14ac:dyDescent="0.25">
      <c r="A4360">
        <v>24311</v>
      </c>
      <c r="B4360" t="s">
        <v>6322</v>
      </c>
      <c r="C4360" t="s">
        <v>6323</v>
      </c>
    </row>
    <row r="4361" spans="1:3" x14ac:dyDescent="0.25">
      <c r="A4361">
        <v>24312</v>
      </c>
      <c r="B4361" t="s">
        <v>6324</v>
      </c>
      <c r="C4361" t="s">
        <v>6325</v>
      </c>
    </row>
    <row r="4362" spans="1:3" x14ac:dyDescent="0.25">
      <c r="A4362">
        <v>24313</v>
      </c>
      <c r="B4362" t="s">
        <v>6326</v>
      </c>
      <c r="C4362" t="s">
        <v>6327</v>
      </c>
    </row>
    <row r="4363" spans="1:3" x14ac:dyDescent="0.25">
      <c r="A4363">
        <v>5358</v>
      </c>
      <c r="B4363" t="s">
        <v>6328</v>
      </c>
      <c r="C4363" t="e">
        <f>+proj=geocent +ellps=GRQ80 +units=m +no_defs</f>
        <v>#NAME?</v>
      </c>
    </row>
    <row r="4364" spans="1:3" x14ac:dyDescent="0.25">
      <c r="A4364">
        <v>24342</v>
      </c>
      <c r="B4364" t="s">
        <v>6329</v>
      </c>
      <c r="C4364" t="s">
        <v>6330</v>
      </c>
    </row>
    <row r="4365" spans="1:3" x14ac:dyDescent="0.25">
      <c r="A4365">
        <v>24343</v>
      </c>
      <c r="B4365" t="s">
        <v>6331</v>
      </c>
      <c r="C4365" t="s">
        <v>6332</v>
      </c>
    </row>
    <row r="4366" spans="1:3" x14ac:dyDescent="0.25">
      <c r="A4366">
        <v>24344</v>
      </c>
      <c r="B4366" t="s">
        <v>6333</v>
      </c>
      <c r="C4366" t="s">
        <v>6334</v>
      </c>
    </row>
    <row r="4367" spans="1:3" x14ac:dyDescent="0.25">
      <c r="A4367">
        <v>24345</v>
      </c>
      <c r="B4367" t="s">
        <v>6335</v>
      </c>
      <c r="C4367" t="s">
        <v>6336</v>
      </c>
    </row>
    <row r="4368" spans="1:3" x14ac:dyDescent="0.25">
      <c r="A4368">
        <v>24346</v>
      </c>
      <c r="B4368" t="s">
        <v>6337</v>
      </c>
      <c r="C4368" t="s">
        <v>6338</v>
      </c>
    </row>
    <row r="4369" spans="1:3" x14ac:dyDescent="0.25">
      <c r="A4369">
        <v>24347</v>
      </c>
      <c r="B4369" t="s">
        <v>6339</v>
      </c>
      <c r="C4369" t="s">
        <v>6340</v>
      </c>
    </row>
    <row r="4370" spans="1:3" x14ac:dyDescent="0.25">
      <c r="A4370">
        <v>24370</v>
      </c>
      <c r="B4370" t="s">
        <v>6341</v>
      </c>
      <c r="C4370" t="e">
        <f>+proj=lcc +lat_1=39.5 +lat_0=39.5 +lon_0=68 +k_0=0.99846154 +x_0=2153865.73916853 +y_0=2368292.1946281 +a=6377299.36559538 +b=6356098.35900515 +to_meter=0.91439853074444 +no_defs</f>
        <v>#NAME?</v>
      </c>
    </row>
    <row r="4371" spans="1:3" x14ac:dyDescent="0.25">
      <c r="A4371">
        <v>24371</v>
      </c>
      <c r="B4371" t="s">
        <v>6342</v>
      </c>
      <c r="C4371" t="e">
        <f>+proj=lcc +lat_1=32.5 +lat_0=32.5 +lon_0=68 +k_0=0.99878641 +x_0=2743195.59223332 +y_0=914398.53074444 +a=6377299.36559538 +b=6356098.35900515 +to_meter=0.91439853074444 +no_defs</f>
        <v>#NAME?</v>
      </c>
    </row>
    <row r="4372" spans="1:3" x14ac:dyDescent="0.25">
      <c r="A4372">
        <v>24372</v>
      </c>
      <c r="B4372" t="s">
        <v>6343</v>
      </c>
      <c r="C4372" t="e">
        <f>+proj=lcc +lat_1=26 +lat_0=26 +lon_0=74 +k_0=0.99878641 +x_0=2743195.59223332 +y_0=914398.53074444 +a=6377299.36559538 +b=6356098.35900515 +to_meter=0.91439853074444 +no_defs</f>
        <v>#NAME?</v>
      </c>
    </row>
    <row r="4373" spans="1:3" x14ac:dyDescent="0.25">
      <c r="A4373">
        <v>24373</v>
      </c>
      <c r="B4373" t="s">
        <v>6344</v>
      </c>
      <c r="C4373" t="e">
        <f>+proj=lcc +lat_1=19 +lat_0=19 +lon_0=80 +k_0=0.99878641 +x_0=2743195.59223332 +y_0=914398.53074444 +a=6377299.36559538 +b=6356098.35900515 +to_meter=0.91439853074444 +no_defs</f>
        <v>#NAME?</v>
      </c>
    </row>
    <row r="4374" spans="1:3" x14ac:dyDescent="0.25">
      <c r="A4374">
        <v>24374</v>
      </c>
      <c r="B4374" t="s">
        <v>6345</v>
      </c>
      <c r="C4374" t="e">
        <f>+proj=lcc +lat_1=12 +lat_0=12 +lon_0=80 +k_0=0.99878641 +x_0=2743195.59223332 +y_0=914398.53074444 +a=6377299.36559538 +b=6356098.35900515 +to_meter=0.91439853074444 +no_defs</f>
        <v>#NAME?</v>
      </c>
    </row>
    <row r="4375" spans="1:3" x14ac:dyDescent="0.25">
      <c r="A4375">
        <v>24375</v>
      </c>
      <c r="B4375" t="s">
        <v>6346</v>
      </c>
      <c r="C4375" t="s">
        <v>6347</v>
      </c>
    </row>
    <row r="4376" spans="1:3" x14ac:dyDescent="0.25">
      <c r="A4376">
        <v>24376</v>
      </c>
      <c r="B4376" t="s">
        <v>6348</v>
      </c>
      <c r="C4376" t="s">
        <v>6349</v>
      </c>
    </row>
    <row r="4377" spans="1:3" x14ac:dyDescent="0.25">
      <c r="A4377">
        <v>24377</v>
      </c>
      <c r="B4377" t="s">
        <v>6350</v>
      </c>
      <c r="C4377" t="s">
        <v>6351</v>
      </c>
    </row>
    <row r="4378" spans="1:3" x14ac:dyDescent="0.25">
      <c r="A4378">
        <v>24378</v>
      </c>
      <c r="B4378" t="s">
        <v>6352</v>
      </c>
      <c r="C4378" t="s">
        <v>6353</v>
      </c>
    </row>
    <row r="4379" spans="1:3" x14ac:dyDescent="0.25">
      <c r="A4379">
        <v>24379</v>
      </c>
      <c r="B4379" t="s">
        <v>6354</v>
      </c>
      <c r="C4379" t="s">
        <v>6355</v>
      </c>
    </row>
    <row r="4380" spans="1:3" x14ac:dyDescent="0.25">
      <c r="A4380">
        <v>24380</v>
      </c>
      <c r="B4380" t="s">
        <v>6356</v>
      </c>
      <c r="C4380" t="s">
        <v>6357</v>
      </c>
    </row>
    <row r="4381" spans="1:3" x14ac:dyDescent="0.25">
      <c r="A4381">
        <v>26710</v>
      </c>
      <c r="B4381" t="s">
        <v>6358</v>
      </c>
      <c r="C4381" t="e">
        <f>+proj=utm +zone=10 +datum=NAB27 +units=m +no_defs</f>
        <v>#NAME?</v>
      </c>
    </row>
    <row r="4382" spans="1:3" x14ac:dyDescent="0.25">
      <c r="A4382">
        <v>24381</v>
      </c>
      <c r="B4382" t="s">
        <v>6359</v>
      </c>
      <c r="C4382" t="s">
        <v>6360</v>
      </c>
    </row>
    <row r="4383" spans="1:3" x14ac:dyDescent="0.25">
      <c r="A4383">
        <v>24382</v>
      </c>
      <c r="B4383" t="s">
        <v>6361</v>
      </c>
      <c r="C4383" t="e">
        <f>+proj=lcc +lat_1=26 +lat_0=26 +lon_0=90 +k_0=0.99878641 +x_0=2743195.59223332 +y_0=914398.53074444 +a=6377299.36559538 +b=6356098.35900515 +to_meter=0.91439853074444 +no_defs</f>
        <v>#NAME?</v>
      </c>
    </row>
    <row r="4384" spans="1:3" x14ac:dyDescent="0.25">
      <c r="A4384">
        <v>24383</v>
      </c>
      <c r="B4384" t="s">
        <v>6362</v>
      </c>
      <c r="C4384" t="s">
        <v>6363</v>
      </c>
    </row>
    <row r="4385" spans="1:3" x14ac:dyDescent="0.25">
      <c r="A4385">
        <v>24500</v>
      </c>
      <c r="B4385" t="s">
        <v>6364</v>
      </c>
      <c r="C4385" t="s">
        <v>6365</v>
      </c>
    </row>
    <row r="4386" spans="1:3" x14ac:dyDescent="0.25">
      <c r="A4386">
        <v>24547</v>
      </c>
      <c r="B4386" t="s">
        <v>6366</v>
      </c>
      <c r="C4386" t="s">
        <v>6367</v>
      </c>
    </row>
    <row r="4387" spans="1:3" x14ac:dyDescent="0.25">
      <c r="A4387">
        <v>24548</v>
      </c>
      <c r="B4387" t="s">
        <v>6368</v>
      </c>
      <c r="C4387" t="s">
        <v>6369</v>
      </c>
    </row>
    <row r="4388" spans="1:3" x14ac:dyDescent="0.25">
      <c r="A4388">
        <v>24571</v>
      </c>
      <c r="B4388" t="s">
        <v>6370</v>
      </c>
      <c r="C4388" t="s">
        <v>6371</v>
      </c>
    </row>
    <row r="4389" spans="1:3" x14ac:dyDescent="0.25">
      <c r="A4389">
        <v>24600</v>
      </c>
      <c r="B4389" t="s">
        <v>6372</v>
      </c>
      <c r="C4389" t="s">
        <v>6373</v>
      </c>
    </row>
    <row r="4390" spans="1:3" x14ac:dyDescent="0.25">
      <c r="A4390">
        <v>24718</v>
      </c>
      <c r="B4390" t="s">
        <v>6374</v>
      </c>
      <c r="C4390" t="s">
        <v>6375</v>
      </c>
    </row>
    <row r="4391" spans="1:3" x14ac:dyDescent="0.25">
      <c r="A4391">
        <v>24719</v>
      </c>
      <c r="B4391" t="s">
        <v>6376</v>
      </c>
      <c r="C4391" t="s">
        <v>6377</v>
      </c>
    </row>
    <row r="4392" spans="1:3" x14ac:dyDescent="0.25">
      <c r="A4392">
        <v>24720</v>
      </c>
      <c r="B4392" t="s">
        <v>6378</v>
      </c>
      <c r="C4392" t="s">
        <v>6379</v>
      </c>
    </row>
    <row r="4393" spans="1:3" x14ac:dyDescent="0.25">
      <c r="A4393">
        <v>24817</v>
      </c>
      <c r="B4393" t="s">
        <v>6380</v>
      </c>
      <c r="C4393" t="s">
        <v>6381</v>
      </c>
    </row>
    <row r="4394" spans="1:3" x14ac:dyDescent="0.25">
      <c r="A4394">
        <v>24818</v>
      </c>
      <c r="B4394" t="s">
        <v>6382</v>
      </c>
      <c r="C4394" t="s">
        <v>6383</v>
      </c>
    </row>
    <row r="4395" spans="1:3" x14ac:dyDescent="0.25">
      <c r="A4395">
        <v>24819</v>
      </c>
      <c r="B4395" t="s">
        <v>6384</v>
      </c>
      <c r="C4395" t="s">
        <v>6385</v>
      </c>
    </row>
    <row r="4396" spans="1:3" x14ac:dyDescent="0.25">
      <c r="A4396">
        <v>24820</v>
      </c>
      <c r="B4396" t="s">
        <v>6386</v>
      </c>
      <c r="C4396" t="s">
        <v>6387</v>
      </c>
    </row>
    <row r="4397" spans="1:3" x14ac:dyDescent="0.25">
      <c r="A4397">
        <v>24821</v>
      </c>
      <c r="B4397" t="s">
        <v>6388</v>
      </c>
      <c r="C4397" t="s">
        <v>6389</v>
      </c>
    </row>
    <row r="4398" spans="1:3" x14ac:dyDescent="0.25">
      <c r="A4398">
        <v>24877</v>
      </c>
      <c r="B4398" t="s">
        <v>6390</v>
      </c>
      <c r="C4398" t="s">
        <v>6391</v>
      </c>
    </row>
    <row r="4399" spans="1:3" x14ac:dyDescent="0.25">
      <c r="A4399">
        <v>24878</v>
      </c>
      <c r="B4399" t="s">
        <v>6392</v>
      </c>
      <c r="C4399" t="s">
        <v>6393</v>
      </c>
    </row>
    <row r="4400" spans="1:3" x14ac:dyDescent="0.25">
      <c r="A4400">
        <v>24879</v>
      </c>
      <c r="B4400" t="s">
        <v>6394</v>
      </c>
      <c r="C4400" t="s">
        <v>6395</v>
      </c>
    </row>
    <row r="4401" spans="1:3" x14ac:dyDescent="0.25">
      <c r="A4401">
        <v>24880</v>
      </c>
      <c r="B4401" t="s">
        <v>6396</v>
      </c>
      <c r="C4401" t="s">
        <v>6397</v>
      </c>
    </row>
    <row r="4402" spans="1:3" x14ac:dyDescent="0.25">
      <c r="A4402">
        <v>24881</v>
      </c>
      <c r="B4402" t="s">
        <v>6398</v>
      </c>
      <c r="C4402" t="s">
        <v>6399</v>
      </c>
    </row>
    <row r="4403" spans="1:3" x14ac:dyDescent="0.25">
      <c r="A4403">
        <v>24882</v>
      </c>
      <c r="B4403" t="s">
        <v>6400</v>
      </c>
      <c r="C4403" t="s">
        <v>6401</v>
      </c>
    </row>
    <row r="4404" spans="1:3" x14ac:dyDescent="0.25">
      <c r="A4404">
        <v>24891</v>
      </c>
      <c r="B4404" t="s">
        <v>6402</v>
      </c>
      <c r="C4404" t="s">
        <v>6403</v>
      </c>
    </row>
    <row r="4405" spans="1:3" x14ac:dyDescent="0.25">
      <c r="A4405">
        <v>24892</v>
      </c>
      <c r="B4405" t="s">
        <v>6404</v>
      </c>
      <c r="C4405" t="s">
        <v>6405</v>
      </c>
    </row>
    <row r="4406" spans="1:3" x14ac:dyDescent="0.25">
      <c r="A4406">
        <v>24893</v>
      </c>
      <c r="B4406" t="s">
        <v>6406</v>
      </c>
      <c r="C4406" t="s">
        <v>6407</v>
      </c>
    </row>
    <row r="4407" spans="1:3" x14ac:dyDescent="0.25">
      <c r="A4407">
        <v>25000</v>
      </c>
      <c r="B4407" t="s">
        <v>6408</v>
      </c>
      <c r="C4407" t="s">
        <v>6409</v>
      </c>
    </row>
    <row r="4408" spans="1:3" x14ac:dyDescent="0.25">
      <c r="A4408">
        <v>25231</v>
      </c>
      <c r="B4408" t="s">
        <v>6410</v>
      </c>
      <c r="C4408" t="e">
        <f>+proj=utm +zone=31 +a=6378249.2 +b=6356515 +units=m +no_defs</f>
        <v>#NAME?</v>
      </c>
    </row>
    <row r="4409" spans="1:3" x14ac:dyDescent="0.25">
      <c r="A4409">
        <v>25391</v>
      </c>
      <c r="B4409" t="s">
        <v>6411</v>
      </c>
      <c r="C4409" t="s">
        <v>6412</v>
      </c>
    </row>
    <row r="4410" spans="1:3" x14ac:dyDescent="0.25">
      <c r="A4410">
        <v>26711</v>
      </c>
      <c r="B4410" t="s">
        <v>6413</v>
      </c>
      <c r="C4410" t="e">
        <f>+proj=utm +zone=11 +datum=NAB27 +units=m +no_defs</f>
        <v>#NAME?</v>
      </c>
    </row>
    <row r="4411" spans="1:3" x14ac:dyDescent="0.25">
      <c r="A4411">
        <v>25392</v>
      </c>
      <c r="B4411" t="s">
        <v>6414</v>
      </c>
      <c r="C4411" t="s">
        <v>6415</v>
      </c>
    </row>
    <row r="4412" spans="1:3" x14ac:dyDescent="0.25">
      <c r="A4412">
        <v>25393</v>
      </c>
      <c r="B4412" t="s">
        <v>6416</v>
      </c>
      <c r="C4412" t="s">
        <v>6417</v>
      </c>
    </row>
    <row r="4413" spans="1:3" x14ac:dyDescent="0.25">
      <c r="A4413">
        <v>25394</v>
      </c>
      <c r="B4413" t="s">
        <v>6418</v>
      </c>
      <c r="C4413" t="s">
        <v>6419</v>
      </c>
    </row>
    <row r="4414" spans="1:3" x14ac:dyDescent="0.25">
      <c r="A4414">
        <v>25395</v>
      </c>
      <c r="B4414" t="s">
        <v>6420</v>
      </c>
      <c r="C4414" t="s">
        <v>6421</v>
      </c>
    </row>
    <row r="4415" spans="1:3" x14ac:dyDescent="0.25">
      <c r="A4415">
        <v>25700</v>
      </c>
      <c r="B4415" t="s">
        <v>6422</v>
      </c>
      <c r="C4415" t="s">
        <v>6423</v>
      </c>
    </row>
    <row r="4416" spans="1:3" x14ac:dyDescent="0.25">
      <c r="A4416">
        <v>25828</v>
      </c>
      <c r="B4416" t="s">
        <v>6424</v>
      </c>
      <c r="C4416" t="s">
        <v>2549</v>
      </c>
    </row>
    <row r="4417" spans="1:3" x14ac:dyDescent="0.25">
      <c r="A4417">
        <v>25829</v>
      </c>
      <c r="B4417" t="s">
        <v>6425</v>
      </c>
      <c r="C4417" t="s">
        <v>1059</v>
      </c>
    </row>
    <row r="4418" spans="1:3" x14ac:dyDescent="0.25">
      <c r="A4418">
        <v>25830</v>
      </c>
      <c r="B4418" t="s">
        <v>6426</v>
      </c>
      <c r="C4418" t="s">
        <v>1788</v>
      </c>
    </row>
    <row r="4419" spans="1:3" x14ac:dyDescent="0.25">
      <c r="A4419">
        <v>25831</v>
      </c>
      <c r="B4419" t="s">
        <v>6427</v>
      </c>
      <c r="C4419" t="s">
        <v>1804</v>
      </c>
    </row>
    <row r="4420" spans="1:3" x14ac:dyDescent="0.25">
      <c r="A4420">
        <v>25832</v>
      </c>
      <c r="B4420" t="s">
        <v>6428</v>
      </c>
      <c r="C4420" t="s">
        <v>1820</v>
      </c>
    </row>
    <row r="4421" spans="1:3" x14ac:dyDescent="0.25">
      <c r="A4421">
        <v>25833</v>
      </c>
      <c r="B4421" t="s">
        <v>6429</v>
      </c>
      <c r="C4421" t="s">
        <v>1860</v>
      </c>
    </row>
    <row r="4422" spans="1:3" x14ac:dyDescent="0.25">
      <c r="A4422">
        <v>25834</v>
      </c>
      <c r="B4422" t="s">
        <v>6430</v>
      </c>
      <c r="C4422" t="s">
        <v>1880</v>
      </c>
    </row>
    <row r="4423" spans="1:3" x14ac:dyDescent="0.25">
      <c r="A4423">
        <v>25835</v>
      </c>
      <c r="B4423" t="s">
        <v>6431</v>
      </c>
      <c r="C4423" t="s">
        <v>1900</v>
      </c>
    </row>
    <row r="4424" spans="1:3" x14ac:dyDescent="0.25">
      <c r="A4424">
        <v>25836</v>
      </c>
      <c r="B4424" t="s">
        <v>6432</v>
      </c>
      <c r="C4424" t="s">
        <v>1920</v>
      </c>
    </row>
    <row r="4425" spans="1:3" x14ac:dyDescent="0.25">
      <c r="A4425">
        <v>25837</v>
      </c>
      <c r="B4425" t="s">
        <v>6433</v>
      </c>
      <c r="C4425" t="s">
        <v>1940</v>
      </c>
    </row>
    <row r="4426" spans="1:3" x14ac:dyDescent="0.25">
      <c r="A4426">
        <v>25838</v>
      </c>
      <c r="B4426" t="s">
        <v>6434</v>
      </c>
      <c r="C4426" t="s">
        <v>2136</v>
      </c>
    </row>
    <row r="4427" spans="1:3" x14ac:dyDescent="0.25">
      <c r="A4427">
        <v>25884</v>
      </c>
      <c r="B4427" t="s">
        <v>6435</v>
      </c>
      <c r="C4427" t="s">
        <v>6436</v>
      </c>
    </row>
    <row r="4428" spans="1:3" x14ac:dyDescent="0.25">
      <c r="A4428">
        <v>25932</v>
      </c>
      <c r="B4428" t="s">
        <v>6437</v>
      </c>
      <c r="C4428" t="s">
        <v>6438</v>
      </c>
    </row>
    <row r="4429" spans="1:3" x14ac:dyDescent="0.25">
      <c r="A4429">
        <v>26191</v>
      </c>
      <c r="B4429" t="s">
        <v>6439</v>
      </c>
      <c r="C4429" t="s">
        <v>6440</v>
      </c>
    </row>
    <row r="4430" spans="1:3" x14ac:dyDescent="0.25">
      <c r="A4430">
        <v>26192</v>
      </c>
      <c r="B4430" t="s">
        <v>6441</v>
      </c>
      <c r="C4430" t="s">
        <v>6442</v>
      </c>
    </row>
    <row r="4431" spans="1:3" x14ac:dyDescent="0.25">
      <c r="A4431">
        <v>26193</v>
      </c>
      <c r="B4431" t="s">
        <v>6443</v>
      </c>
      <c r="C4431" t="s">
        <v>6444</v>
      </c>
    </row>
    <row r="4432" spans="1:3" x14ac:dyDescent="0.25">
      <c r="A4432">
        <v>26194</v>
      </c>
      <c r="B4432" t="s">
        <v>6445</v>
      </c>
      <c r="C4432" t="s">
        <v>6446</v>
      </c>
    </row>
    <row r="4433" spans="1:3" x14ac:dyDescent="0.25">
      <c r="A4433">
        <v>26195</v>
      </c>
      <c r="B4433" t="s">
        <v>6447</v>
      </c>
      <c r="C4433" t="s">
        <v>6448</v>
      </c>
    </row>
    <row r="4434" spans="1:3" x14ac:dyDescent="0.25">
      <c r="A4434">
        <v>26237</v>
      </c>
      <c r="B4434" t="s">
        <v>6449</v>
      </c>
      <c r="C4434" t="s">
        <v>6450</v>
      </c>
    </row>
    <row r="4435" spans="1:3" x14ac:dyDescent="0.25">
      <c r="A4435">
        <v>26331</v>
      </c>
      <c r="B4435" t="s">
        <v>6451</v>
      </c>
      <c r="C4435" t="s">
        <v>6452</v>
      </c>
    </row>
    <row r="4436" spans="1:3" x14ac:dyDescent="0.25">
      <c r="A4436">
        <v>26332</v>
      </c>
      <c r="B4436" t="s">
        <v>6453</v>
      </c>
      <c r="C4436" t="s">
        <v>6454</v>
      </c>
    </row>
    <row r="4437" spans="1:3" x14ac:dyDescent="0.25">
      <c r="A4437">
        <v>26391</v>
      </c>
      <c r="B4437" t="s">
        <v>6455</v>
      </c>
      <c r="C4437" t="s">
        <v>6456</v>
      </c>
    </row>
    <row r="4438" spans="1:3" x14ac:dyDescent="0.25">
      <c r="A4438">
        <v>26392</v>
      </c>
      <c r="B4438" t="s">
        <v>6457</v>
      </c>
      <c r="C4438" t="s">
        <v>6458</v>
      </c>
    </row>
    <row r="4439" spans="1:3" x14ac:dyDescent="0.25">
      <c r="A4439">
        <v>26393</v>
      </c>
      <c r="B4439" t="s">
        <v>6459</v>
      </c>
      <c r="C4439" t="s">
        <v>6460</v>
      </c>
    </row>
    <row r="4440" spans="1:3" x14ac:dyDescent="0.25">
      <c r="A4440">
        <v>26432</v>
      </c>
      <c r="B4440" t="s">
        <v>6461</v>
      </c>
      <c r="C4440" t="s">
        <v>6462</v>
      </c>
    </row>
    <row r="4441" spans="1:3" x14ac:dyDescent="0.25">
      <c r="A4441">
        <v>26591</v>
      </c>
      <c r="B4441" t="s">
        <v>6463</v>
      </c>
      <c r="C4441" t="s">
        <v>6464</v>
      </c>
    </row>
    <row r="4442" spans="1:3" x14ac:dyDescent="0.25">
      <c r="A4442">
        <v>26592</v>
      </c>
      <c r="B4442" t="s">
        <v>6465</v>
      </c>
      <c r="C4442" t="s">
        <v>6466</v>
      </c>
    </row>
    <row r="4443" spans="1:3" x14ac:dyDescent="0.25">
      <c r="A4443">
        <v>26632</v>
      </c>
      <c r="B4443" t="s">
        <v>6467</v>
      </c>
      <c r="C4443" t="s">
        <v>6468</v>
      </c>
    </row>
    <row r="4444" spans="1:3" x14ac:dyDescent="0.25">
      <c r="A4444">
        <v>26692</v>
      </c>
      <c r="B4444" t="s">
        <v>6469</v>
      </c>
      <c r="C4444" t="s">
        <v>6470</v>
      </c>
    </row>
    <row r="4445" spans="1:3" x14ac:dyDescent="0.25">
      <c r="A4445">
        <v>26701</v>
      </c>
      <c r="B4445" t="s">
        <v>6471</v>
      </c>
      <c r="C4445" t="e">
        <f>+proj=utm +zone=1 +datum=NAB27 +units=m +no_defs</f>
        <v>#NAME?</v>
      </c>
    </row>
    <row r="4446" spans="1:3" x14ac:dyDescent="0.25">
      <c r="A4446">
        <v>26702</v>
      </c>
      <c r="B4446" t="s">
        <v>6472</v>
      </c>
      <c r="C4446" t="e">
        <f>+proj=utm +zone=2 +datum=NAB27 +units=m +no_defs</f>
        <v>#NAME?</v>
      </c>
    </row>
    <row r="4447" spans="1:3" x14ac:dyDescent="0.25">
      <c r="A4447">
        <v>26703</v>
      </c>
      <c r="B4447" t="s">
        <v>6473</v>
      </c>
      <c r="C4447" t="e">
        <f>+proj=utm +zone=3 +datum=NAB27 +units=m +no_defs</f>
        <v>#NAME?</v>
      </c>
    </row>
    <row r="4448" spans="1:3" x14ac:dyDescent="0.25">
      <c r="A4448">
        <v>26704</v>
      </c>
      <c r="B4448" t="s">
        <v>6474</v>
      </c>
      <c r="C4448" t="e">
        <f>+proj=utm +zone=4 +datum=NAB27 +units=m +no_defs</f>
        <v>#NAME?</v>
      </c>
    </row>
    <row r="4449" spans="1:3" x14ac:dyDescent="0.25">
      <c r="A4449">
        <v>26705</v>
      </c>
      <c r="B4449" t="s">
        <v>6475</v>
      </c>
      <c r="C4449" t="e">
        <f>+proj=utm +zone=5 +datum=NAB27 +units=m +no_defs</f>
        <v>#NAME?</v>
      </c>
    </row>
    <row r="4450" spans="1:3" x14ac:dyDescent="0.25">
      <c r="A4450">
        <v>26706</v>
      </c>
      <c r="B4450" t="s">
        <v>6476</v>
      </c>
      <c r="C4450" t="e">
        <f>+proj=utm +zone=6 +datum=NAB27 +units=m +no_defs</f>
        <v>#NAME?</v>
      </c>
    </row>
    <row r="4451" spans="1:3" x14ac:dyDescent="0.25">
      <c r="A4451">
        <v>26712</v>
      </c>
      <c r="B4451" t="s">
        <v>6477</v>
      </c>
      <c r="C4451" t="e">
        <f>+proj=utm +zone=12 +datum=NAB27 +units=m +no_defs</f>
        <v>#NAME?</v>
      </c>
    </row>
    <row r="4452" spans="1:3" x14ac:dyDescent="0.25">
      <c r="A4452">
        <v>26713</v>
      </c>
      <c r="B4452" t="s">
        <v>6478</v>
      </c>
      <c r="C4452" t="e">
        <f>+proj=utm +zone=13 +datum=NAB27 +units=m +no_defs</f>
        <v>#NAME?</v>
      </c>
    </row>
    <row r="4453" spans="1:3" x14ac:dyDescent="0.25">
      <c r="A4453">
        <v>26714</v>
      </c>
      <c r="B4453" t="s">
        <v>6479</v>
      </c>
      <c r="C4453" t="e">
        <f>+proj=utm +zone=14 +datum=NAB27 +units=m +no_defs</f>
        <v>#NAME?</v>
      </c>
    </row>
    <row r="4454" spans="1:3" x14ac:dyDescent="0.25">
      <c r="A4454">
        <v>26715</v>
      </c>
      <c r="B4454" t="s">
        <v>6480</v>
      </c>
      <c r="C4454" t="e">
        <f>+proj=utm +zone=15 +datum=NAB27 +units=m +no_defs</f>
        <v>#NAME?</v>
      </c>
    </row>
    <row r="4455" spans="1:3" x14ac:dyDescent="0.25">
      <c r="A4455">
        <v>26716</v>
      </c>
      <c r="B4455" t="s">
        <v>6481</v>
      </c>
      <c r="C4455" t="e">
        <f>+proj=utm +zone=16 +datum=NAB27 +units=m +no_defs</f>
        <v>#NAME?</v>
      </c>
    </row>
    <row r="4456" spans="1:3" x14ac:dyDescent="0.25">
      <c r="A4456">
        <v>26717</v>
      </c>
      <c r="B4456" t="s">
        <v>6482</v>
      </c>
      <c r="C4456" t="e">
        <f>+proj=utm +zone=17 +datum=NAB27 +units=m +no_defs</f>
        <v>#NAME?</v>
      </c>
    </row>
    <row r="4457" spans="1:3" x14ac:dyDescent="0.25">
      <c r="A4457">
        <v>26718</v>
      </c>
      <c r="B4457" t="s">
        <v>6483</v>
      </c>
      <c r="C4457" t="e">
        <f>+proj=utm +zone=18 +datum=NAB27 +units=m +no_defs</f>
        <v>#NAME?</v>
      </c>
    </row>
    <row r="4458" spans="1:3" x14ac:dyDescent="0.25">
      <c r="A4458">
        <v>26719</v>
      </c>
      <c r="B4458" t="s">
        <v>6484</v>
      </c>
      <c r="C4458" t="e">
        <f>+proj=utm +zone=19 +datum=NAB27 +units=m +no_defs</f>
        <v>#NAME?</v>
      </c>
    </row>
    <row r="4459" spans="1:3" x14ac:dyDescent="0.25">
      <c r="A4459">
        <v>26720</v>
      </c>
      <c r="B4459" t="s">
        <v>6485</v>
      </c>
      <c r="C4459" t="e">
        <f>+proj=utm +zone=20 +datum=NAB27 +units=m +no_defs</f>
        <v>#NAME?</v>
      </c>
    </row>
    <row r="4460" spans="1:3" x14ac:dyDescent="0.25">
      <c r="A4460">
        <v>26721</v>
      </c>
      <c r="B4460" t="s">
        <v>6486</v>
      </c>
      <c r="C4460" t="e">
        <f>+proj=utm +zone=21 +datum=NAB27 +units=m +no_defs</f>
        <v>#NAME?</v>
      </c>
    </row>
    <row r="4461" spans="1:3" x14ac:dyDescent="0.25">
      <c r="A4461">
        <v>26722</v>
      </c>
      <c r="B4461" t="s">
        <v>6487</v>
      </c>
      <c r="C4461" t="e">
        <f>+proj=utm +zone=22 +datum=NAB27 +units=m +no_defs</f>
        <v>#NAME?</v>
      </c>
    </row>
    <row r="4462" spans="1:3" x14ac:dyDescent="0.25">
      <c r="A4462">
        <v>26729</v>
      </c>
      <c r="B4462" t="s">
        <v>6488</v>
      </c>
      <c r="C4462" t="e">
        <f>+proj=tmerc +lat_0=30.5 +lon_0=-85.8333333333333 +k=0.99996 +x_0=152400.304800609 +y_0=0 +datum=NAB27 +units=us-ft +no_defs</f>
        <v>#NAME?</v>
      </c>
    </row>
    <row r="4463" spans="1:3" x14ac:dyDescent="0.25">
      <c r="A4463">
        <v>26730</v>
      </c>
      <c r="B4463" t="s">
        <v>6489</v>
      </c>
      <c r="C4463" t="e">
        <f>+proj=tmerc +lat_0=30 +lon_0=-87.5 +k=0.999933333 +x_0=152400.304800609 +y_0=0 +datum=NAB27 +units=us-ft +no_defs</f>
        <v>#NAME?</v>
      </c>
    </row>
    <row r="4464" spans="1:3" x14ac:dyDescent="0.25">
      <c r="A4464">
        <v>26731</v>
      </c>
      <c r="B4464" t="s">
        <v>6490</v>
      </c>
      <c r="C4464" t="e">
        <f>+proj=omerc +lat_0=57 +lonc=-133.666666666666 +alpha=323.130102361111 +k=0.9999 +x_0=5000000.001016 +y_0=-5000000.001016 +no_uoff +gamma=323.130102361111 +datum=NAB27 +units=us-ft +no_defs</f>
        <v>#NAME?</v>
      </c>
    </row>
    <row r="4465" spans="1:3" x14ac:dyDescent="0.25">
      <c r="A4465">
        <v>26732</v>
      </c>
      <c r="B4465" t="s">
        <v>6491</v>
      </c>
      <c r="C4465" t="e">
        <f>+proj=tmerc +lat_0=54 +lon_0=-142 +k=0.9999 +x_0=152400.304800609 +y_0=0 +datum=NAB27 +units=us-ft +no_defs</f>
        <v>#NAME?</v>
      </c>
    </row>
    <row r="4466" spans="1:3" x14ac:dyDescent="0.25">
      <c r="A4466">
        <v>26733</v>
      </c>
      <c r="B4466" t="s">
        <v>6492</v>
      </c>
      <c r="C4466" t="e">
        <f>+proj=tmerc +lat_0=54 +lon_0=-146 +k=0.9999 +x_0=152400.304800609 +y_0=0 +datum=NAB27 +units=us-ft +no_defs</f>
        <v>#NAME?</v>
      </c>
    </row>
    <row r="4467" spans="1:3" x14ac:dyDescent="0.25">
      <c r="A4467">
        <v>26734</v>
      </c>
      <c r="B4467" t="s">
        <v>6493</v>
      </c>
      <c r="C4467" t="e">
        <f>+proj=tmerc +lat_0=54 +lon_0=-150 +k=0.9999 +x_0=152400.304800609 +y_0=0 +datum=NAB27 +units=us-ft +no_defs</f>
        <v>#NAME?</v>
      </c>
    </row>
    <row r="4468" spans="1:3" x14ac:dyDescent="0.25">
      <c r="A4468">
        <v>26735</v>
      </c>
      <c r="B4468" t="s">
        <v>6494</v>
      </c>
      <c r="C4468" t="e">
        <f>+proj=tmerc +lat_0=54 +lon_0=-154 +k=0.9999 +x_0=152400.304800609 +y_0=0 +datum=NAB27 +units=us-ft +no_defs</f>
        <v>#NAME?</v>
      </c>
    </row>
    <row r="4469" spans="1:3" x14ac:dyDescent="0.25">
      <c r="A4469">
        <v>26736</v>
      </c>
      <c r="B4469" t="s">
        <v>6495</v>
      </c>
      <c r="C4469" t="e">
        <f>+proj=tmerc +lat_0=54 +lon_0=-158 +k=0.9999 +x_0=152400.304800609 +y_0=0 +datum=NAB27 +units=us-ft +no_defs</f>
        <v>#NAME?</v>
      </c>
    </row>
    <row r="4470" spans="1:3" x14ac:dyDescent="0.25">
      <c r="A4470">
        <v>26737</v>
      </c>
      <c r="B4470" t="s">
        <v>6496</v>
      </c>
      <c r="C4470" t="e">
        <f>+proj=tmerc +lat_0=54 +lon_0=-162 +k=0.9999 +x_0=213360.426720853 +y_0=0 +datum=NAB27 +units=us-ft +no_defs</f>
        <v>#NAME?</v>
      </c>
    </row>
    <row r="4471" spans="1:3" x14ac:dyDescent="0.25">
      <c r="A4471">
        <v>5363</v>
      </c>
      <c r="B4471" t="s">
        <v>6497</v>
      </c>
      <c r="C4471" t="e">
        <f>+proj=geocent +ellps=WGQ84 +units=m +no_defs</f>
        <v>#NAME?</v>
      </c>
    </row>
    <row r="4472" spans="1:3" x14ac:dyDescent="0.25">
      <c r="A4472">
        <v>26738</v>
      </c>
      <c r="B4472" t="s">
        <v>6498</v>
      </c>
      <c r="C4472" t="e">
        <f>+proj=tmerc +lat_0=54 +lon_0=-166 +k=0.9999 +x_0=152400.304800609 +y_0=0 +datum=NAB27 +units=us-ft +no_defs</f>
        <v>#NAME?</v>
      </c>
    </row>
    <row r="4473" spans="1:3" x14ac:dyDescent="0.25">
      <c r="A4473">
        <v>26739</v>
      </c>
      <c r="B4473" t="s">
        <v>6499</v>
      </c>
      <c r="C4473" t="e">
        <f>+proj=tmerc +lat_0=54 +lon_0=-170 +k=0.9999 +x_0=182880.365760731 +y_0=0 +datum=NAB27 +units=us-ft +no_defs</f>
        <v>#NAME?</v>
      </c>
    </row>
    <row r="4474" spans="1:3" x14ac:dyDescent="0.25">
      <c r="A4474">
        <v>26740</v>
      </c>
      <c r="B4474" t="s">
        <v>6500</v>
      </c>
      <c r="C4474" t="e">
        <f>+proj=lcc +lat_1=53.8333333333333 +lat_2=51.8333333333333 +lat_0=51 +lon_0=-176 +x_0=914401.828803657 +y_0=0 +datum=NAB27 +units=us-ft +no_defs</f>
        <v>#NAME?</v>
      </c>
    </row>
    <row r="4475" spans="1:3" x14ac:dyDescent="0.25">
      <c r="A4475">
        <v>26741</v>
      </c>
      <c r="B4475" t="s">
        <v>6501</v>
      </c>
      <c r="C4475" t="e">
        <f>+proj=lcc +lat_1=41.6666666666666 +lat_2=40 +lat_0=39.3333333333333 +lon_0=-122 +x_0=609601.219202438 +y_0=0 +datum=NAB27 +units=us-ft +no_defs</f>
        <v>#NAME?</v>
      </c>
    </row>
    <row r="4476" spans="1:3" x14ac:dyDescent="0.25">
      <c r="A4476">
        <v>26742</v>
      </c>
      <c r="B4476" t="s">
        <v>6502</v>
      </c>
      <c r="C4476" t="e">
        <f>+proj=lcc +lat_1=39.8333333333333 +lat_2=38.3333333333333 +lat_0=37.6666666666666 +lon_0=-122 +x_0=609601.219202438 +y_0=0 +datum=NAB27 +units=us-ft +no_defs</f>
        <v>#NAME?</v>
      </c>
    </row>
    <row r="4477" spans="1:3" x14ac:dyDescent="0.25">
      <c r="A4477">
        <v>26743</v>
      </c>
      <c r="B4477" t="s">
        <v>6503</v>
      </c>
      <c r="C4477" t="e">
        <f>+proj=lcc +lat_1=38.4333333333333 +lat_2=37.0666666666666 +lat_0=36.5 +lon_0=-120.5 +x_0=609601.219202438 +y_0=0 +datum=NAB27 +units=us-ft +no_defs</f>
        <v>#NAME?</v>
      </c>
    </row>
    <row r="4478" spans="1:3" x14ac:dyDescent="0.25">
      <c r="A4478">
        <v>26744</v>
      </c>
      <c r="B4478" t="s">
        <v>6504</v>
      </c>
      <c r="C4478" t="e">
        <f>+proj=lcc +lat_1=37.25 +lat_2=36 +lat_0=35.3333333333333 +lon_0=-119 +x_0=609601.219202438 +y_0=0 +datum=NAB27 +units=us-ft +no_defs</f>
        <v>#NAME?</v>
      </c>
    </row>
    <row r="4479" spans="1:3" x14ac:dyDescent="0.25">
      <c r="A4479">
        <v>26745</v>
      </c>
      <c r="B4479" t="s">
        <v>6505</v>
      </c>
      <c r="C4479" t="e">
        <f>+proj=lcc +lat_1=35.4666666666666 +lat_2=34.0333333333333 +lat_0=33.5 +lon_0=-118 +x_0=609601.219202438 +y_0=0 +datum=NAB27 +units=us-ft +no_defs</f>
        <v>#NAME?</v>
      </c>
    </row>
    <row r="4480" spans="1:3" x14ac:dyDescent="0.25">
      <c r="A4480">
        <v>26746</v>
      </c>
      <c r="B4480" t="s">
        <v>6506</v>
      </c>
      <c r="C4480" t="e">
        <f>+proj=lcc +lat_1=33.8833333333333 +lat_2=32.7833333333333 +lat_0=32.1666666666666 +lon_0=-116.25 +x_0=609601.219202438 +y_0=0 +datum=NAB27 +units=us-ft +no_defs</f>
        <v>#NAME?</v>
      </c>
    </row>
    <row r="4481" spans="1:3" x14ac:dyDescent="0.25">
      <c r="A4481">
        <v>26747</v>
      </c>
      <c r="B4481" t="s">
        <v>6507</v>
      </c>
      <c r="C4481" t="e">
        <f>+proj=lcc +lat_1=34.4166666666666 +lat_2=33.8666666666666 +lat_0=34.1333333333333 +lon_0=-118.333333333333 +x_0=1276106.4505969 +y_0=127079.524511049 +datum=NAB27 +units=us-ft +no_defs</f>
        <v>#NAME?</v>
      </c>
    </row>
    <row r="4482" spans="1:3" x14ac:dyDescent="0.25">
      <c r="A4482">
        <v>26748</v>
      </c>
      <c r="B4482" t="s">
        <v>6508</v>
      </c>
      <c r="C4482" t="e">
        <f>+proj=tmerc +lat_0=31 +lon_0=-110.166666666666 +k=0.9999 +x_0=152400.304800609 +y_0=0 +datum=NAB27 +units=us-ft +no_defs</f>
        <v>#NAME?</v>
      </c>
    </row>
    <row r="4483" spans="1:3" x14ac:dyDescent="0.25">
      <c r="A4483">
        <v>26749</v>
      </c>
      <c r="B4483" t="s">
        <v>6509</v>
      </c>
      <c r="C4483" t="e">
        <f>+proj=tmerc +lat_0=31 +lon_0=-111.916666666666 +k=0.9999 +x_0=152400.304800609 +y_0=0 +datum=NAB27 +units=us-ft +no_defs</f>
        <v>#NAME?</v>
      </c>
    </row>
    <row r="4484" spans="1:3" x14ac:dyDescent="0.25">
      <c r="A4484">
        <v>26750</v>
      </c>
      <c r="B4484" t="s">
        <v>6510</v>
      </c>
      <c r="C4484" t="e">
        <f>+proj=tmerc +lat_0=31 +lon_0=-113.75 +k=0.999933333 +x_0=152400.304800609 +y_0=0 +datum=NAB27 +units=us-ft +no_defs</f>
        <v>#NAME?</v>
      </c>
    </row>
    <row r="4485" spans="1:3" x14ac:dyDescent="0.25">
      <c r="A4485">
        <v>26751</v>
      </c>
      <c r="B4485" t="s">
        <v>6511</v>
      </c>
      <c r="C4485" t="e">
        <f>+proj=lcc +lat_1=36.2333333333333 +lat_2=34.9333333333333 +lat_0=34.3333333333333 +lon_0=-92 +x_0=609601.219202438 +y_0=0 +datum=NAB27 +units=us-ft +no_defs</f>
        <v>#NAME?</v>
      </c>
    </row>
    <row r="4486" spans="1:3" x14ac:dyDescent="0.25">
      <c r="A4486">
        <v>26752</v>
      </c>
      <c r="B4486" t="s">
        <v>6512</v>
      </c>
      <c r="C4486" t="e">
        <f>+proj=lcc +lat_1=34.7666666666666 +lat_2=33.3 +lat_0=32.6666666666666 +lon_0=-92 +x_0=609601.219202438 +y_0=0 +datum=NAB27 +units=us-ft +no_defs</f>
        <v>#NAME?</v>
      </c>
    </row>
    <row r="4487" spans="1:3" x14ac:dyDescent="0.25">
      <c r="A4487">
        <v>26753</v>
      </c>
      <c r="B4487" t="s">
        <v>6513</v>
      </c>
      <c r="C4487" t="e">
        <f>+proj=lcc +lat_1=39.7166666666666 +lat_2=40.7833333333333 +lat_0=39.3333333333333 +lon_0=-105.5 +x_0=609601.219202438 +y_0=0 +datum=NAB27 +units=us-ft +no_defs</f>
        <v>#NAME?</v>
      </c>
    </row>
    <row r="4488" spans="1:3" x14ac:dyDescent="0.25">
      <c r="A4488">
        <v>26754</v>
      </c>
      <c r="B4488" t="s">
        <v>6514</v>
      </c>
      <c r="C4488" t="e">
        <f>+proj=lcc +lat_1=39.75 +lat_2=38.45 +lat_0=37.8333333333333 +lon_0=-105.5 +x_0=609601.219202438 +y_0=0 +datum=NAB27 +units=us-ft +no_defs</f>
        <v>#NAME?</v>
      </c>
    </row>
    <row r="4489" spans="1:3" x14ac:dyDescent="0.25">
      <c r="A4489">
        <v>26769</v>
      </c>
      <c r="B4489" t="s">
        <v>6515</v>
      </c>
      <c r="C4489" t="e">
        <f>+proj=tmerc +lat_0=41.6666666666666 +lon_0=-114 +k=0.999947367999999 +x_0=152400.304800609 +y_0=0 +datum=NAB27 +units=us-ft +no_defs</f>
        <v>#NAME?</v>
      </c>
    </row>
    <row r="4490" spans="1:3" x14ac:dyDescent="0.25">
      <c r="A4490">
        <v>26755</v>
      </c>
      <c r="B4490" t="s">
        <v>6516</v>
      </c>
      <c r="C4490" t="e">
        <f>+proj=lcc +lat_1=38.4333333333333 +lat_2=37.2333333333333 +lat_0=36.6666666666666 +lon_0=-105.5 +x_0=609601.219202438 +y_0=0 +datum=NAB27 +units=us-ft +no_defs</f>
        <v>#NAME?</v>
      </c>
    </row>
    <row r="4491" spans="1:3" x14ac:dyDescent="0.25">
      <c r="A4491">
        <v>26756</v>
      </c>
      <c r="B4491" t="s">
        <v>6517</v>
      </c>
      <c r="C4491" t="e">
        <f>+proj=lcc +lat_1=41.8666666666666 +lat_2=41.2 +lat_0=40.8333333333333 +lon_0=-72.75 +x_0=182880.365760731 +y_0=0 +datum=NAB27 +units=us-ft +no_defs</f>
        <v>#NAME?</v>
      </c>
    </row>
    <row r="4492" spans="1:3" x14ac:dyDescent="0.25">
      <c r="A4492">
        <v>26757</v>
      </c>
      <c r="B4492" t="s">
        <v>6518</v>
      </c>
      <c r="C4492" t="e">
        <f>+proj=tmerc +lat_0=38 +lon_0=-75.4166666666666 +k=0.999995 +x_0=152400.304800609 +y_0=0 +datum=NAB27 +units=us-ft +no_defs</f>
        <v>#NAME?</v>
      </c>
    </row>
    <row r="4493" spans="1:3" x14ac:dyDescent="0.25">
      <c r="A4493">
        <v>26758</v>
      </c>
      <c r="B4493" t="s">
        <v>6519</v>
      </c>
      <c r="C4493" t="e">
        <f>+proj=tmerc +lat_0=24.3333333333333 +lon_0=-81 +k=0.999941177 +x_0=152400.304800609 +y_0=0 +datum=NAB27 +units=us-ft +no_defs</f>
        <v>#NAME?</v>
      </c>
    </row>
    <row r="4494" spans="1:3" x14ac:dyDescent="0.25">
      <c r="A4494">
        <v>26759</v>
      </c>
      <c r="B4494" t="s">
        <v>6520</v>
      </c>
      <c r="C4494" t="e">
        <f>+proj=tmerc +lat_0=24.3333333333333 +lon_0=-82 +k=0.999941177 +x_0=152400.304800609 +y_0=0 +datum=NAB27 +units=us-ft +no_defs</f>
        <v>#NAME?</v>
      </c>
    </row>
    <row r="4495" spans="1:3" x14ac:dyDescent="0.25">
      <c r="A4495">
        <v>26760</v>
      </c>
      <c r="B4495" t="s">
        <v>6521</v>
      </c>
      <c r="C4495" t="e">
        <f>+proj=lcc +lat_1=30.75 +lat_2=29.5833333333333 +lat_0=29 +lon_0=-84.5 +x_0=609601.219202438 +y_0=0 +datum=NAB27 +units=us-ft +no_defs</f>
        <v>#NAME?</v>
      </c>
    </row>
    <row r="4496" spans="1:3" x14ac:dyDescent="0.25">
      <c r="A4496">
        <v>26766</v>
      </c>
      <c r="B4496" t="s">
        <v>6522</v>
      </c>
      <c r="C4496" t="e">
        <f>+proj=tmerc +lat_0=30 +lon_0=-82.1666666666666 +k=0.9999 +x_0=152400.304800609 +y_0=0 +datum=NAB27 +units=us-ft +no_defs</f>
        <v>#NAME?</v>
      </c>
    </row>
    <row r="4497" spans="1:3" x14ac:dyDescent="0.25">
      <c r="A4497">
        <v>26767</v>
      </c>
      <c r="B4497" t="s">
        <v>6523</v>
      </c>
      <c r="C4497" t="e">
        <f>+proj=tmerc +lat_0=30 +lon_0=-84.1666666666666 +k=0.9999 +x_0=152400.304800609 +y_0=0 +datum=NAB27 +units=us-ft +no_defs</f>
        <v>#NAME?</v>
      </c>
    </row>
    <row r="4498" spans="1:3" x14ac:dyDescent="0.25">
      <c r="A4498">
        <v>26768</v>
      </c>
      <c r="B4498" t="s">
        <v>6524</v>
      </c>
      <c r="C4498" t="e">
        <f>+proj=tmerc +lat_0=41.6666666666666 +lon_0=-112.166666666666 +k=0.999947367999999 +x_0=152400.304800609 +y_0=0 +datum=NAB27 +units=us-ft +no_defs</f>
        <v>#NAME?</v>
      </c>
    </row>
    <row r="4499" spans="1:3" x14ac:dyDescent="0.25">
      <c r="A4499">
        <v>26770</v>
      </c>
      <c r="B4499" t="s">
        <v>6525</v>
      </c>
      <c r="C4499" t="e">
        <f>+proj=tmerc +lat_0=41.6666666666666 +lon_0=-115.75 +k=0.999933333 +x_0=152400.304800609 +y_0=0 +datum=NAB27 +units=us-ft +no_defs</f>
        <v>#NAME?</v>
      </c>
    </row>
    <row r="4500" spans="1:3" x14ac:dyDescent="0.25">
      <c r="A4500">
        <v>26771</v>
      </c>
      <c r="B4500" t="s">
        <v>6526</v>
      </c>
      <c r="C4500" t="e">
        <f>+proj=tmerc +lat_0=36.6666666666666 +lon_0=-88.3333333333333 +k=0.999974999999999 +x_0=152400.304800609 +y_0=0 +datum=NAB27 +units=us-ft +no_defs</f>
        <v>#NAME?</v>
      </c>
    </row>
    <row r="4501" spans="1:3" x14ac:dyDescent="0.25">
      <c r="A4501">
        <v>26772</v>
      </c>
      <c r="B4501" t="s">
        <v>6527</v>
      </c>
      <c r="C4501" t="e">
        <f>+proj=tmerc +lat_0=36.6666666666666 +lon_0=-90.1666666666666 +k=0.999941177 +x_0=152400.304800609 +y_0=0 +datum=NAB27 +units=us-ft +no_defs</f>
        <v>#NAME?</v>
      </c>
    </row>
    <row r="4502" spans="1:3" x14ac:dyDescent="0.25">
      <c r="A4502">
        <v>26773</v>
      </c>
      <c r="B4502" t="s">
        <v>6528</v>
      </c>
      <c r="C4502" t="e">
        <f>+proj=tmerc +lat_0=37.5 +lon_0=-85.6666666666666 +k=0.999966667 +x_0=152400.304800609 +y_0=0 +datum=NAB27 +units=us-ft +no_defs</f>
        <v>#NAME?</v>
      </c>
    </row>
    <row r="4503" spans="1:3" x14ac:dyDescent="0.25">
      <c r="A4503">
        <v>26774</v>
      </c>
      <c r="B4503" t="s">
        <v>6529</v>
      </c>
      <c r="C4503" t="e">
        <f>+proj=tmerc +lat_0=37.5 +lon_0=-87.0833333333333 +k=0.999966667 +x_0=152400.304800609 +y_0=0 +datum=NAB27 +units=us-ft +no_defs</f>
        <v>#NAME?</v>
      </c>
    </row>
    <row r="4504" spans="1:3" x14ac:dyDescent="0.25">
      <c r="A4504">
        <v>26775</v>
      </c>
      <c r="B4504" t="s">
        <v>6530</v>
      </c>
      <c r="C4504" t="e">
        <f>+proj=lcc +lat_1=43.2666666666666 +lat_2=42.0666666666666 +lat_0=41.5 +lon_0=-93.5 +x_0=609601.219202438 +y_0=0 +datum=NAB27 +units=us-ft +no_defs</f>
        <v>#NAME?</v>
      </c>
    </row>
    <row r="4505" spans="1:3" x14ac:dyDescent="0.25">
      <c r="A4505">
        <v>26776</v>
      </c>
      <c r="B4505" t="s">
        <v>6531</v>
      </c>
      <c r="C4505" t="e">
        <f>+proj=lcc +lat_1=41.7833333333333 +lat_2=40.6166666666666 +lat_0=40 +lon_0=-93.5 +x_0=609601.219202438 +y_0=0 +datum=NAB27 +units=us-ft +no_defs</f>
        <v>#NAME?</v>
      </c>
    </row>
    <row r="4506" spans="1:3" x14ac:dyDescent="0.25">
      <c r="A4506">
        <v>26777</v>
      </c>
      <c r="B4506" t="s">
        <v>6532</v>
      </c>
      <c r="C4506" t="e">
        <f>+proj=lcc +lat_1=39.7833333333333 +lat_2=38.7166666666666 +lat_0=38.3333333333333 +lon_0=-98 +x_0=609601.219202438 +y_0=0 +datum=NAB27 +units=us-ft +no_defs</f>
        <v>#NAME?</v>
      </c>
    </row>
    <row r="4507" spans="1:3" x14ac:dyDescent="0.25">
      <c r="A4507">
        <v>26778</v>
      </c>
      <c r="B4507" t="s">
        <v>6533</v>
      </c>
      <c r="C4507" t="e">
        <f>+proj=lcc +lat_1=38.5666666666666 +lat_2=37.2666666666666 +lat_0=36.6666666666666 +lon_0=-98.5 +x_0=609601.219202438 +y_0=0 +datum=NAB27 +units=us-ft +no_defs</f>
        <v>#NAME?</v>
      </c>
    </row>
    <row r="4508" spans="1:3" x14ac:dyDescent="0.25">
      <c r="A4508">
        <v>26779</v>
      </c>
      <c r="B4508" t="s">
        <v>6534</v>
      </c>
      <c r="C4508" t="e">
        <f>+proj=lcc +lat_1=37.9666666666666 +lat_2=38.9666666666666 +lat_0=37.5 +lon_0=-84.25 +x_0=609601.219202438 +y_0=0 +datum=NAB27 +units=us-ft +no_defs</f>
        <v>#NAME?</v>
      </c>
    </row>
    <row r="4509" spans="1:3" x14ac:dyDescent="0.25">
      <c r="A4509">
        <v>26780</v>
      </c>
      <c r="B4509" t="s">
        <v>6535</v>
      </c>
      <c r="C4509" t="e">
        <f>+proj=lcc +lat_1=36.7333333333333 +lat_2=37.9333333333333 +lat_0=36.3333333333333 +lon_0=-85.75 +x_0=609601.219202438 +y_0=0 +datum=NAB27 +units=us-ft +no_defs</f>
        <v>#NAME?</v>
      </c>
    </row>
    <row r="4510" spans="1:3" x14ac:dyDescent="0.25">
      <c r="A4510">
        <v>26781</v>
      </c>
      <c r="B4510" t="s">
        <v>6536</v>
      </c>
      <c r="C4510" t="e">
        <f>+proj=lcc +lat_1=31.1666666666666 +lat_2=32.6666666666666 +lat_0=30.6666666666666 +lon_0=-92.5 +x_0=609601.219202438 +y_0=0 +datum=NAB27 +units=us-ft +no_defs</f>
        <v>#NAME?</v>
      </c>
    </row>
    <row r="4511" spans="1:3" x14ac:dyDescent="0.25">
      <c r="A4511">
        <v>26782</v>
      </c>
      <c r="B4511" t="s">
        <v>6537</v>
      </c>
      <c r="C4511" t="e">
        <f>+proj=lcc +lat_1=29.3 +lat_2=30.7 +lat_0=28.6666666666666 +lon_0=-91.3333333333333 +x_0=609601.219202438 +y_0=0 +datum=NAB27 +units=us-ft +no_defs</f>
        <v>#NAME?</v>
      </c>
    </row>
    <row r="4512" spans="1:3" x14ac:dyDescent="0.25">
      <c r="A4512">
        <v>26783</v>
      </c>
      <c r="B4512" t="s">
        <v>6538</v>
      </c>
      <c r="C4512" t="e">
        <f>+proj=tmerc +lat_0=43.8333333333333 +lon_0=-68.5 +k=0.9999 +x_0=152400.304800609 +y_0=0 +datum=NAB27 +units=us-ft +no_defs</f>
        <v>#NAME?</v>
      </c>
    </row>
    <row r="4513" spans="1:3" x14ac:dyDescent="0.25">
      <c r="A4513">
        <v>26784</v>
      </c>
      <c r="B4513" t="s">
        <v>6539</v>
      </c>
      <c r="C4513" t="e">
        <f>+proj=tmerc +lat_0=42.8333333333333 +lon_0=-70.1666666666666 +k=0.999966667 +x_0=152400.304800609 +y_0=0 +datum=NAB27 +units=us-ft +no_defs</f>
        <v>#NAME?</v>
      </c>
    </row>
    <row r="4514" spans="1:3" x14ac:dyDescent="0.25">
      <c r="A4514">
        <v>26785</v>
      </c>
      <c r="B4514" t="s">
        <v>6540</v>
      </c>
      <c r="C4514" t="e">
        <f>+proj=lcc +lat_1=38.3 +lat_2=39.45 +lat_0=37.8333333333333 +lon_0=-77 +x_0=243840.487680975 +y_0=0 +datum=NAB27 +units=us-ft +no_defs</f>
        <v>#NAME?</v>
      </c>
    </row>
    <row r="4515" spans="1:3" x14ac:dyDescent="0.25">
      <c r="A4515">
        <v>26786</v>
      </c>
      <c r="B4515" t="s">
        <v>6541</v>
      </c>
      <c r="C4515" t="e">
        <f>+proj=lcc +lat_1=41.7166666666666 +lat_2=42.6833333333333 +lat_0=41 +lon_0=-71.5 +x_0=182880.365760731 +y_0=0 +datum=NAB27 +units=us-ft +no_defs</f>
        <v>#NAME?</v>
      </c>
    </row>
    <row r="4516" spans="1:3" x14ac:dyDescent="0.25">
      <c r="A4516">
        <v>26892</v>
      </c>
      <c r="B4516" t="s">
        <v>6542</v>
      </c>
      <c r="C4516" t="s">
        <v>6543</v>
      </c>
    </row>
    <row r="4517" spans="1:3" x14ac:dyDescent="0.25">
      <c r="A4517">
        <v>26787</v>
      </c>
      <c r="B4517" t="s">
        <v>6544</v>
      </c>
      <c r="C4517" t="e">
        <f>+proj=lcc +lat_1=41.2833333333333 +lat_2=41.4833333333333 +lat_0=41 +lon_0=-70.5 +x_0=60960.1219202438 +y_0=0 +datum=NAB27 +units=us-ft +no_defs</f>
        <v>#NAME?</v>
      </c>
    </row>
    <row r="4518" spans="1:3" x14ac:dyDescent="0.25">
      <c r="A4518">
        <v>26791</v>
      </c>
      <c r="B4518" t="s">
        <v>6545</v>
      </c>
      <c r="C4518" t="e">
        <f>+proj=lcc +lat_1=47.0333333333333 +lat_2=48.6333333333333 +lat_0=46.5 +lon_0=-93.0999999999999 +x_0=609601.219202438 +y_0=0 +datum=NAB27 +units=us-ft +no_defs</f>
        <v>#NAME?</v>
      </c>
    </row>
    <row r="4519" spans="1:3" x14ac:dyDescent="0.25">
      <c r="A4519">
        <v>26792</v>
      </c>
      <c r="B4519" t="s">
        <v>6546</v>
      </c>
      <c r="C4519" t="e">
        <f>+proj=lcc +lat_1=45.6166666666666 +lat_2=47.05 +lat_0=45 +lon_0=-94.25 +x_0=609601.219202438 +y_0=0 +datum=NAB27 +units=us-ft +no_defs</f>
        <v>#NAME?</v>
      </c>
    </row>
    <row r="4520" spans="1:3" x14ac:dyDescent="0.25">
      <c r="A4520">
        <v>26793</v>
      </c>
      <c r="B4520" t="s">
        <v>6547</v>
      </c>
      <c r="C4520" t="e">
        <f>+proj=lcc +lat_1=43.7833333333333 +lat_2=45.2166666666666 +lat_0=43 +lon_0=-94 +x_0=609601.219202438 +y_0=0 +datum=NAB27 +units=us-ft +no_defs</f>
        <v>#NAME?</v>
      </c>
    </row>
    <row r="4521" spans="1:3" x14ac:dyDescent="0.25">
      <c r="A4521">
        <v>26794</v>
      </c>
      <c r="B4521" t="s">
        <v>6548</v>
      </c>
      <c r="C4521" t="e">
        <f>+proj=tmerc +lat_0=29.6666666666666 +lon_0=-88.8333333333333 +k=0.99996 +x_0=152400.304800609 +y_0=0 +datum=NAB27 +units=us-ft +no_defs</f>
        <v>#NAME?</v>
      </c>
    </row>
    <row r="4522" spans="1:3" x14ac:dyDescent="0.25">
      <c r="A4522">
        <v>26795</v>
      </c>
      <c r="B4522" t="s">
        <v>6549</v>
      </c>
      <c r="C4522" t="e">
        <f>+proj=tmerc +lat_0=30.5 +lon_0=-90.3333333333333 +k=0.999941177 +x_0=152400.304800609 +y_0=0 +datum=NAB27 +units=us-ft +no_defs</f>
        <v>#NAME?</v>
      </c>
    </row>
    <row r="4523" spans="1:3" x14ac:dyDescent="0.25">
      <c r="A4523">
        <v>26796</v>
      </c>
      <c r="B4523" t="s">
        <v>6550</v>
      </c>
      <c r="C4523" t="e">
        <f>+proj=tmerc +lat_0=35.8333333333333 +lon_0=-90.5 +k=0.999933333 +x_0=152400.304800609 +y_0=0 +datum=NAB27 +units=us-ft +no_defs</f>
        <v>#NAME?</v>
      </c>
    </row>
    <row r="4524" spans="1:3" x14ac:dyDescent="0.25">
      <c r="A4524">
        <v>26797</v>
      </c>
      <c r="B4524" t="s">
        <v>6551</v>
      </c>
      <c r="C4524" t="e">
        <f>+proj=tmerc +lat_0=35.8333333333333 +lon_0=-92.5 +k=0.999933333 +x_0=152400.304800609 +y_0=0 +datum=NAB27 +units=us-ft +no_defs</f>
        <v>#NAME?</v>
      </c>
    </row>
    <row r="4525" spans="1:3" x14ac:dyDescent="0.25">
      <c r="A4525">
        <v>26798</v>
      </c>
      <c r="B4525" t="s">
        <v>6552</v>
      </c>
      <c r="C4525" t="e">
        <f>+proj=tmerc +lat_0=36.1666666666666 +lon_0=-94.5 +k=0.999941177 +x_0=152400.304800609 +y_0=0 +datum=NAB27 +units=us-ft +no_defs</f>
        <v>#NAME?</v>
      </c>
    </row>
    <row r="4526" spans="1:3" x14ac:dyDescent="0.25">
      <c r="A4526">
        <v>26799</v>
      </c>
      <c r="B4526" t="s">
        <v>6553</v>
      </c>
      <c r="C4526" t="e">
        <f>+proj=lcc +lat_1=34.4166666666666 +lat_2=33.8666666666666 +lat_0=34.1333333333333 +lon_0=-118.333333333333 +x_0=1276106.4505969 +y_0=1268253.00685801 +datum=NAB27 +units=us-ft +no_defs</f>
        <v>#NAME?</v>
      </c>
    </row>
    <row r="4527" spans="1:3" x14ac:dyDescent="0.25">
      <c r="A4527">
        <v>26801</v>
      </c>
      <c r="B4527" t="s">
        <v>6554</v>
      </c>
      <c r="C4527" t="e">
        <f>+proj=tmerc +lat_0=41.5 +lon_0=-83.6666666666666 +k=0.999942857 +x_0=152400.304800609 +y_0=0 +a=6378450.04754889 +b=6356826.62148844 +units=us-ft +no_defs</f>
        <v>#NAME?</v>
      </c>
    </row>
    <row r="4528" spans="1:3" x14ac:dyDescent="0.25">
      <c r="A4528">
        <v>26802</v>
      </c>
      <c r="B4528" t="s">
        <v>6555</v>
      </c>
      <c r="C4528" t="e">
        <f>+proj=tmerc +lat_0=41.5 +lon_0=-85.75 +k=0.999909091 +x_0=152400.304800609 +y_0=0 +a=6378450.04754889 +b=6356826.62148844 +units=us-ft +no_defs</f>
        <v>#NAME?</v>
      </c>
    </row>
    <row r="4529" spans="1:3" x14ac:dyDescent="0.25">
      <c r="A4529">
        <v>26803</v>
      </c>
      <c r="B4529" t="s">
        <v>6556</v>
      </c>
      <c r="C4529" t="e">
        <f>+proj=tmerc +lat_0=41.5 +lon_0=-88.75 +k=0.999909091 +x_0=152400.304800609 +y_0=0 +a=6378450.04754889 +b=6356826.62148844 +units=us-ft +no_defs</f>
        <v>#NAME?</v>
      </c>
    </row>
    <row r="4530" spans="1:3" x14ac:dyDescent="0.25">
      <c r="A4530">
        <v>26811</v>
      </c>
      <c r="B4530" t="s">
        <v>6557</v>
      </c>
      <c r="C4530" t="e">
        <f>+proj=lcc +lat_1=45.4833333333333 +lat_2=47.0833333333333 +lat_0=44.7833333333333 +lon_0=-87 +x_0=609601.219202438 +y_0=0 +a=6378450.04754889 +b=6356826.62148844 +units=us-ft +no_defs</f>
        <v>#NAME?</v>
      </c>
    </row>
    <row r="4531" spans="1:3" x14ac:dyDescent="0.25">
      <c r="A4531">
        <v>26812</v>
      </c>
      <c r="B4531" t="s">
        <v>6558</v>
      </c>
      <c r="C4531" t="e">
        <f>+proj=lcc +lat_1=44.1833333333333 +lat_2=45.7 +lat_0=43.3166666666666 +lon_0=-84.3333333333333 +x_0=609601.219202438 +y_0=0 +a=6378450.04754889 +b=6356826.62148844 +units=us-ft +no_defs</f>
        <v>#NAME?</v>
      </c>
    </row>
    <row r="4532" spans="1:3" x14ac:dyDescent="0.25">
      <c r="A4532">
        <v>26813</v>
      </c>
      <c r="B4532" t="s">
        <v>6559</v>
      </c>
      <c r="C4532" t="e">
        <f>+proj=lcc +lat_1=42.1 +lat_2=43.6666666666666 +lat_0=41.5 +lon_0=-84.3333333333333 +x_0=609601.219202438 +y_0=0 +a=6378450.04754889 +b=6356826.62148844 +units=us-ft +no_defs</f>
        <v>#NAME?</v>
      </c>
    </row>
    <row r="4533" spans="1:3" x14ac:dyDescent="0.25">
      <c r="A4533">
        <v>26814</v>
      </c>
      <c r="B4533" t="s">
        <v>6560</v>
      </c>
      <c r="C4533" t="e">
        <f>+proj=tmerc +lat_0=43.6666666666666 +lon_0=-68.5 +k=0.9999 +x_0=300000 +y_0=0 +datum=NAB83 +units=m +no_defs</f>
        <v>#NAME?</v>
      </c>
    </row>
    <row r="4534" spans="1:3" x14ac:dyDescent="0.25">
      <c r="A4534">
        <v>5368</v>
      </c>
      <c r="B4534" t="s">
        <v>6561</v>
      </c>
      <c r="C4534" t="e">
        <f>+proj=geocent +ellps=GRQ80 +units=m +no_defs</f>
        <v>#NAME?</v>
      </c>
    </row>
    <row r="4535" spans="1:3" x14ac:dyDescent="0.25">
      <c r="A4535">
        <v>26815</v>
      </c>
      <c r="B4535" t="s">
        <v>6562</v>
      </c>
      <c r="C4535" t="e">
        <f>+proj=tmerc +lat_0=42.8333333333333 +lon_0=-70.1666666666666 +k=0.999966667 +x_0=900000 +y_0=0 +datum=NAB83 +units=m +no_defs</f>
        <v>#NAME?</v>
      </c>
    </row>
    <row r="4536" spans="1:3" x14ac:dyDescent="0.25">
      <c r="A4536">
        <v>26819</v>
      </c>
      <c r="B4536" t="s">
        <v>6563</v>
      </c>
      <c r="C4536" t="e">
        <f>+proj=lcc +lat_1=48.6333333333333 +lat_2=47.0333333333333 +lat_0=46.5 +lon_0=-93.0999999999999 +x_0=800000.00001016 +y_0=99999.99998984 +datum=NAB83 +units=m +no_defs</f>
        <v>#NAME?</v>
      </c>
    </row>
    <row r="4537" spans="1:3" x14ac:dyDescent="0.25">
      <c r="A4537">
        <v>26820</v>
      </c>
      <c r="B4537" t="s">
        <v>6564</v>
      </c>
      <c r="C4537" t="e">
        <f>+proj=lcc +lat_1=47.05 +lat_2=45.6166666666666 +lat_0=45 +lon_0=-94.25 +x_0=800000.00001016 +y_0=99999.99998984 +datum=NAB83 +units=m +no_defs</f>
        <v>#NAME?</v>
      </c>
    </row>
    <row r="4538" spans="1:3" x14ac:dyDescent="0.25">
      <c r="A4538">
        <v>26821</v>
      </c>
      <c r="B4538" t="s">
        <v>6565</v>
      </c>
      <c r="C4538" t="e">
        <f>+proj=lcc +lat_1=45.2166666666666 +lat_2=43.7833333333333 +lat_0=43 +lon_0=-94 +x_0=800000.00001016 +y_0=99999.99998984 +datum=NAB83 +units=m +no_defs</f>
        <v>#NAME?</v>
      </c>
    </row>
    <row r="4539" spans="1:3" x14ac:dyDescent="0.25">
      <c r="A4539">
        <v>26822</v>
      </c>
      <c r="B4539" t="s">
        <v>6566</v>
      </c>
      <c r="C4539" t="e">
        <f>+proj=lcc +lat_1=43 +lat_2=40 +lat_0=39.8333333333333 +lon_0=-100 +x_0=500000.00001016 +y_0=0 +datum=NAB83 +units=m +no_defs</f>
        <v>#NAME?</v>
      </c>
    </row>
    <row r="4540" spans="1:3" x14ac:dyDescent="0.25">
      <c r="A4540">
        <v>26823</v>
      </c>
      <c r="B4540" t="s">
        <v>6567</v>
      </c>
      <c r="C4540" t="e">
        <f>+proj=lcc +lat_1=40.25 +lat_2=39 +lat_0=38.5 +lon_0=-79.5 +x_0=1968500 +y_0=0 +datum=NAB83 +units=m +no_defs</f>
        <v>#NAME?</v>
      </c>
    </row>
    <row r="4541" spans="1:3" x14ac:dyDescent="0.25">
      <c r="A4541">
        <v>26824</v>
      </c>
      <c r="B4541" t="s">
        <v>6568</v>
      </c>
      <c r="C4541" t="e">
        <f>+proj=lcc +lat_1=38.8833333333333 +lat_2=37.4833333333333 +lat_0=37 +lon_0=-81 +x_0=1968500 +y_0=0 +datum=NAB83 +units=m +no_defs</f>
        <v>#NAME?</v>
      </c>
    </row>
    <row r="4542" spans="1:3" x14ac:dyDescent="0.25">
      <c r="A4542">
        <v>26825</v>
      </c>
      <c r="B4542" t="s">
        <v>6569</v>
      </c>
      <c r="C4542" t="s">
        <v>2124</v>
      </c>
    </row>
    <row r="4543" spans="1:3" x14ac:dyDescent="0.25">
      <c r="A4543">
        <v>26893</v>
      </c>
      <c r="B4543" t="s">
        <v>6570</v>
      </c>
      <c r="C4543" t="s">
        <v>6571</v>
      </c>
    </row>
    <row r="4544" spans="1:3" x14ac:dyDescent="0.25">
      <c r="A4544">
        <v>26826</v>
      </c>
      <c r="B4544" t="s">
        <v>6572</v>
      </c>
      <c r="C4544" t="s">
        <v>2126</v>
      </c>
    </row>
    <row r="4545" spans="1:3" x14ac:dyDescent="0.25">
      <c r="A4545">
        <v>26830</v>
      </c>
      <c r="B4545" t="s">
        <v>6573</v>
      </c>
      <c r="C4545" t="s">
        <v>6574</v>
      </c>
    </row>
    <row r="4546" spans="1:3" x14ac:dyDescent="0.25">
      <c r="A4546">
        <v>26831</v>
      </c>
      <c r="B4546" t="s">
        <v>6575</v>
      </c>
      <c r="C4546" t="s">
        <v>6576</v>
      </c>
    </row>
    <row r="4547" spans="1:3" x14ac:dyDescent="0.25">
      <c r="A4547">
        <v>26832</v>
      </c>
      <c r="B4547" t="s">
        <v>6577</v>
      </c>
      <c r="C4547" t="s">
        <v>6578</v>
      </c>
    </row>
    <row r="4548" spans="1:3" x14ac:dyDescent="0.25">
      <c r="A4548">
        <v>26833</v>
      </c>
      <c r="B4548" t="s">
        <v>6579</v>
      </c>
      <c r="C4548" t="s">
        <v>6580</v>
      </c>
    </row>
    <row r="4549" spans="1:3" x14ac:dyDescent="0.25">
      <c r="A4549">
        <v>26834</v>
      </c>
      <c r="B4549" t="s">
        <v>6581</v>
      </c>
      <c r="C4549" t="s">
        <v>6582</v>
      </c>
    </row>
    <row r="4550" spans="1:3" x14ac:dyDescent="0.25">
      <c r="A4550">
        <v>26835</v>
      </c>
      <c r="B4550" t="s">
        <v>6583</v>
      </c>
      <c r="C4550" t="s">
        <v>6584</v>
      </c>
    </row>
    <row r="4551" spans="1:3" x14ac:dyDescent="0.25">
      <c r="A4551">
        <v>26836</v>
      </c>
      <c r="B4551" t="s">
        <v>6585</v>
      </c>
      <c r="C4551" t="s">
        <v>2124</v>
      </c>
    </row>
    <row r="4552" spans="1:3" x14ac:dyDescent="0.25">
      <c r="A4552">
        <v>5369</v>
      </c>
      <c r="B4552" t="s">
        <v>6586</v>
      </c>
      <c r="C4552" t="e">
        <f>+proj=geocent +ellps=GRQ80 +units=m +no_defs</f>
        <v>#NAME?</v>
      </c>
    </row>
    <row r="4553" spans="1:3" x14ac:dyDescent="0.25">
      <c r="A4553">
        <v>26837</v>
      </c>
      <c r="B4553" t="s">
        <v>6587</v>
      </c>
      <c r="C4553" t="s">
        <v>2126</v>
      </c>
    </row>
    <row r="4554" spans="1:3" x14ac:dyDescent="0.25">
      <c r="A4554">
        <v>26841</v>
      </c>
      <c r="B4554" t="s">
        <v>6588</v>
      </c>
      <c r="C4554" t="s">
        <v>6574</v>
      </c>
    </row>
    <row r="4555" spans="1:3" x14ac:dyDescent="0.25">
      <c r="A4555">
        <v>26842</v>
      </c>
      <c r="B4555" t="s">
        <v>6589</v>
      </c>
      <c r="C4555" t="s">
        <v>6576</v>
      </c>
    </row>
    <row r="4556" spans="1:3" x14ac:dyDescent="0.25">
      <c r="A4556">
        <v>26843</v>
      </c>
      <c r="B4556" t="s">
        <v>6590</v>
      </c>
      <c r="C4556" t="s">
        <v>6578</v>
      </c>
    </row>
    <row r="4557" spans="1:3" x14ac:dyDescent="0.25">
      <c r="A4557">
        <v>26844</v>
      </c>
      <c r="B4557" t="s">
        <v>6591</v>
      </c>
      <c r="C4557" t="s">
        <v>6580</v>
      </c>
    </row>
    <row r="4558" spans="1:3" x14ac:dyDescent="0.25">
      <c r="A4558">
        <v>26845</v>
      </c>
      <c r="B4558" t="s">
        <v>6592</v>
      </c>
      <c r="C4558" t="s">
        <v>6582</v>
      </c>
    </row>
    <row r="4559" spans="1:3" x14ac:dyDescent="0.25">
      <c r="A4559">
        <v>26846</v>
      </c>
      <c r="B4559" t="s">
        <v>6593</v>
      </c>
      <c r="C4559" t="s">
        <v>6584</v>
      </c>
    </row>
    <row r="4560" spans="1:3" x14ac:dyDescent="0.25">
      <c r="A4560">
        <v>26847</v>
      </c>
      <c r="B4560" t="s">
        <v>6594</v>
      </c>
      <c r="C4560" t="e">
        <f>+proj=tmerc +lat_0=43.6666666666666 +lon_0=-68.5 +k=0.9999 +x_0=300000 +y_0=0 +datum=NAB83 +units=us-ft +no_defs</f>
        <v>#NAME?</v>
      </c>
    </row>
    <row r="4561" spans="1:3" x14ac:dyDescent="0.25">
      <c r="A4561">
        <v>26848</v>
      </c>
      <c r="B4561" t="s">
        <v>6595</v>
      </c>
      <c r="C4561" t="e">
        <f>+proj=tmerc +lat_0=42.8333333333333 +lon_0=-70.1666666666666 +k=0.999966667 +x_0=900000 +y_0=0 +datum=NAB83 +units=us-ft +no_defs</f>
        <v>#NAME?</v>
      </c>
    </row>
    <row r="4562" spans="1:3" x14ac:dyDescent="0.25">
      <c r="A4562">
        <v>26849</v>
      </c>
      <c r="B4562" t="s">
        <v>6596</v>
      </c>
      <c r="C4562" t="e">
        <f>+proj=lcc +lat_1=48.6333333333333 +lat_2=47.0333333333333 +lat_0=46.5 +lon_0=-93.0999999999999 +x_0=800000.000010159 +y_0=99999.9999898399 +datum=NAB83 +units=us-ft +no_defs</f>
        <v>#NAME?</v>
      </c>
    </row>
    <row r="4563" spans="1:3" x14ac:dyDescent="0.25">
      <c r="A4563">
        <v>26850</v>
      </c>
      <c r="B4563" t="s">
        <v>6597</v>
      </c>
      <c r="C4563" t="e">
        <f>+proj=lcc +lat_1=47.05 +lat_2=45.6166666666666 +lat_0=45 +lon_0=-94.25 +x_0=800000.000010159 +y_0=99999.9999898399 +datum=NAB83 +units=us-ft +no_defs</f>
        <v>#NAME?</v>
      </c>
    </row>
    <row r="4564" spans="1:3" x14ac:dyDescent="0.25">
      <c r="A4564">
        <v>26851</v>
      </c>
      <c r="B4564" t="s">
        <v>6598</v>
      </c>
      <c r="C4564" t="e">
        <f>+proj=lcc +lat_1=45.2166666666666 +lat_2=43.7833333333333 +lat_0=43 +lon_0=-94 +x_0=800000.000010159 +y_0=99999.9999898399 +datum=NAB83 +units=us-ft +no_defs</f>
        <v>#NAME?</v>
      </c>
    </row>
    <row r="4565" spans="1:3" x14ac:dyDescent="0.25">
      <c r="A4565">
        <v>26852</v>
      </c>
      <c r="B4565" t="s">
        <v>6599</v>
      </c>
      <c r="C4565" t="e">
        <f>+proj=lcc +lat_1=43 +lat_2=40 +lat_0=39.8333333333333 +lon_0=-100 +x_0=500000.00001016 +y_0=0 +datum=NAB83 +units=us-ft +no_defs</f>
        <v>#NAME?</v>
      </c>
    </row>
    <row r="4566" spans="1:3" x14ac:dyDescent="0.25">
      <c r="A4566">
        <v>26853</v>
      </c>
      <c r="B4566" t="s">
        <v>6600</v>
      </c>
      <c r="C4566" t="e">
        <f>+proj=lcc +lat_1=40.25 +lat_2=39 +lat_0=38.5 +lon_0=-79.5 +x_0=600000 +y_0=0 +datum=NAB83 +units=us-ft +no_defs</f>
        <v>#NAME?</v>
      </c>
    </row>
    <row r="4567" spans="1:3" x14ac:dyDescent="0.25">
      <c r="A4567">
        <v>26854</v>
      </c>
      <c r="B4567" t="s">
        <v>6601</v>
      </c>
      <c r="C4567" t="e">
        <f>+proj=lcc +lat_1=38.8833333333333 +lat_2=37.4833333333333 +lat_0=37 +lon_0=-81 +x_0=600000 +y_0=0 +datum=NAB83 +units=us-ft +no_defs</f>
        <v>#NAME?</v>
      </c>
    </row>
    <row r="4568" spans="1:3" x14ac:dyDescent="0.25">
      <c r="A4568">
        <v>26855</v>
      </c>
      <c r="B4568" t="s">
        <v>6602</v>
      </c>
      <c r="C4568" t="s">
        <v>6603</v>
      </c>
    </row>
    <row r="4569" spans="1:3" x14ac:dyDescent="0.25">
      <c r="A4569">
        <v>32613</v>
      </c>
      <c r="B4569" t="s">
        <v>6604</v>
      </c>
      <c r="C4569" t="e">
        <f>+proj=utm +zone=13 +datum=WGQ84 +units=m +no_defs</f>
        <v>#NAME?</v>
      </c>
    </row>
    <row r="4570" spans="1:3" x14ac:dyDescent="0.25">
      <c r="A4570">
        <v>26856</v>
      </c>
      <c r="B4570" t="s">
        <v>6605</v>
      </c>
      <c r="C4570" t="s">
        <v>6606</v>
      </c>
    </row>
    <row r="4571" spans="1:3" x14ac:dyDescent="0.25">
      <c r="A4571">
        <v>26857</v>
      </c>
      <c r="B4571" t="s">
        <v>6607</v>
      </c>
      <c r="C4571" t="s">
        <v>6608</v>
      </c>
    </row>
    <row r="4572" spans="1:3" x14ac:dyDescent="0.25">
      <c r="A4572">
        <v>26858</v>
      </c>
      <c r="B4572" t="s">
        <v>6609</v>
      </c>
      <c r="C4572" t="s">
        <v>6610</v>
      </c>
    </row>
    <row r="4573" spans="1:3" x14ac:dyDescent="0.25">
      <c r="A4573">
        <v>26859</v>
      </c>
      <c r="B4573" t="s">
        <v>6611</v>
      </c>
      <c r="C4573" t="s">
        <v>6612</v>
      </c>
    </row>
    <row r="4574" spans="1:3" x14ac:dyDescent="0.25">
      <c r="A4574">
        <v>26860</v>
      </c>
      <c r="B4574" t="s">
        <v>6613</v>
      </c>
      <c r="C4574" t="s">
        <v>4790</v>
      </c>
    </row>
    <row r="4575" spans="1:3" x14ac:dyDescent="0.25">
      <c r="A4575">
        <v>26861</v>
      </c>
      <c r="B4575" t="s">
        <v>6614</v>
      </c>
      <c r="C4575" t="s">
        <v>6615</v>
      </c>
    </row>
    <row r="4576" spans="1:3" x14ac:dyDescent="0.25">
      <c r="A4576">
        <v>26862</v>
      </c>
      <c r="B4576" t="s">
        <v>6616</v>
      </c>
      <c r="C4576" t="s">
        <v>6617</v>
      </c>
    </row>
    <row r="4577" spans="1:3" x14ac:dyDescent="0.25">
      <c r="A4577">
        <v>26863</v>
      </c>
      <c r="B4577" t="s">
        <v>6618</v>
      </c>
      <c r="C4577" t="s">
        <v>6603</v>
      </c>
    </row>
    <row r="4578" spans="1:3" x14ac:dyDescent="0.25">
      <c r="A4578">
        <v>26864</v>
      </c>
      <c r="B4578" t="s">
        <v>6619</v>
      </c>
      <c r="C4578" t="s">
        <v>6606</v>
      </c>
    </row>
    <row r="4579" spans="1:3" x14ac:dyDescent="0.25">
      <c r="A4579">
        <v>26865</v>
      </c>
      <c r="B4579" t="s">
        <v>6620</v>
      </c>
      <c r="C4579" t="s">
        <v>6608</v>
      </c>
    </row>
    <row r="4580" spans="1:3" x14ac:dyDescent="0.25">
      <c r="A4580">
        <v>26866</v>
      </c>
      <c r="B4580" t="s">
        <v>6621</v>
      </c>
      <c r="C4580" t="s">
        <v>6610</v>
      </c>
    </row>
    <row r="4581" spans="1:3" x14ac:dyDescent="0.25">
      <c r="A4581">
        <v>26867</v>
      </c>
      <c r="B4581" t="s">
        <v>6622</v>
      </c>
      <c r="C4581" t="s">
        <v>6612</v>
      </c>
    </row>
    <row r="4582" spans="1:3" x14ac:dyDescent="0.25">
      <c r="A4582">
        <v>26868</v>
      </c>
      <c r="B4582" t="s">
        <v>6623</v>
      </c>
      <c r="C4582" t="s">
        <v>4790</v>
      </c>
    </row>
    <row r="4583" spans="1:3" x14ac:dyDescent="0.25">
      <c r="A4583">
        <v>26869</v>
      </c>
      <c r="B4583" t="s">
        <v>6624</v>
      </c>
      <c r="C4583" t="s">
        <v>6615</v>
      </c>
    </row>
    <row r="4584" spans="1:3" x14ac:dyDescent="0.25">
      <c r="A4584">
        <v>26870</v>
      </c>
      <c r="B4584" t="s">
        <v>6625</v>
      </c>
      <c r="C4584" t="s">
        <v>6617</v>
      </c>
    </row>
    <row r="4585" spans="1:3" x14ac:dyDescent="0.25">
      <c r="A4585">
        <v>26891</v>
      </c>
      <c r="B4585" t="s">
        <v>6626</v>
      </c>
      <c r="C4585" t="s">
        <v>6627</v>
      </c>
    </row>
    <row r="4586" spans="1:3" x14ac:dyDescent="0.25">
      <c r="A4586">
        <v>26894</v>
      </c>
      <c r="B4586" t="s">
        <v>6628</v>
      </c>
      <c r="C4586" t="s">
        <v>6629</v>
      </c>
    </row>
    <row r="4587" spans="1:3" x14ac:dyDescent="0.25">
      <c r="A4587">
        <v>26895</v>
      </c>
      <c r="B4587" t="s">
        <v>6630</v>
      </c>
      <c r="C4587" t="s">
        <v>6631</v>
      </c>
    </row>
    <row r="4588" spans="1:3" x14ac:dyDescent="0.25">
      <c r="A4588">
        <v>26896</v>
      </c>
      <c r="B4588" t="s">
        <v>6632</v>
      </c>
      <c r="C4588" t="s">
        <v>6633</v>
      </c>
    </row>
    <row r="4589" spans="1:3" x14ac:dyDescent="0.25">
      <c r="A4589">
        <v>26897</v>
      </c>
      <c r="B4589" t="s">
        <v>6634</v>
      </c>
      <c r="C4589" t="s">
        <v>6635</v>
      </c>
    </row>
    <row r="4590" spans="1:3" x14ac:dyDescent="0.25">
      <c r="A4590">
        <v>26898</v>
      </c>
      <c r="B4590" t="s">
        <v>6636</v>
      </c>
      <c r="C4590" t="s">
        <v>6637</v>
      </c>
    </row>
    <row r="4591" spans="1:3" x14ac:dyDescent="0.25">
      <c r="A4591">
        <v>26899</v>
      </c>
      <c r="B4591" t="s">
        <v>6638</v>
      </c>
      <c r="C4591" t="s">
        <v>6639</v>
      </c>
    </row>
    <row r="4592" spans="1:3" x14ac:dyDescent="0.25">
      <c r="A4592">
        <v>26901</v>
      </c>
      <c r="B4592" t="s">
        <v>6640</v>
      </c>
      <c r="C4592" t="e">
        <f>+proj=utm +zone=1 +datum=NAB83 +units=m +no_defs</f>
        <v>#NAME?</v>
      </c>
    </row>
    <row r="4593" spans="1:3" x14ac:dyDescent="0.25">
      <c r="A4593">
        <v>26902</v>
      </c>
      <c r="B4593" t="s">
        <v>6641</v>
      </c>
      <c r="C4593" t="e">
        <f>+proj=utm +zone=2 +datum=NAB83 +units=m +no_defs</f>
        <v>#NAME?</v>
      </c>
    </row>
    <row r="4594" spans="1:3" x14ac:dyDescent="0.25">
      <c r="A4594">
        <v>26903</v>
      </c>
      <c r="B4594" t="s">
        <v>6642</v>
      </c>
      <c r="C4594" t="e">
        <f>+proj=utm +zone=3 +datum=NAB83 +units=m +no_defs</f>
        <v>#NAME?</v>
      </c>
    </row>
    <row r="4595" spans="1:3" x14ac:dyDescent="0.25">
      <c r="A4595">
        <v>26904</v>
      </c>
      <c r="B4595" t="s">
        <v>6643</v>
      </c>
      <c r="C4595" t="e">
        <f>+proj=utm +zone=4 +datum=NAB83 +units=m +no_defs</f>
        <v>#NAME?</v>
      </c>
    </row>
    <row r="4596" spans="1:3" x14ac:dyDescent="0.25">
      <c r="A4596">
        <v>26905</v>
      </c>
      <c r="B4596" t="s">
        <v>6644</v>
      </c>
      <c r="C4596" t="e">
        <f>+proj=utm +zone=5 +datum=NAB83 +units=m +no_defs</f>
        <v>#NAME?</v>
      </c>
    </row>
    <row r="4597" spans="1:3" x14ac:dyDescent="0.25">
      <c r="A4597">
        <v>26906</v>
      </c>
      <c r="B4597" t="s">
        <v>6645</v>
      </c>
      <c r="C4597" t="e">
        <f>+proj=utm +zone=6 +datum=NAB83 +units=m +no_defs</f>
        <v>#NAME?</v>
      </c>
    </row>
    <row r="4598" spans="1:3" x14ac:dyDescent="0.25">
      <c r="A4598">
        <v>26907</v>
      </c>
      <c r="B4598" t="s">
        <v>6646</v>
      </c>
      <c r="C4598" t="e">
        <f>+proj=utm +zone=7 +datum=NAB83 +units=m +no_defs</f>
        <v>#NAME?</v>
      </c>
    </row>
    <row r="4599" spans="1:3" x14ac:dyDescent="0.25">
      <c r="A4599">
        <v>26908</v>
      </c>
      <c r="B4599" t="s">
        <v>6647</v>
      </c>
      <c r="C4599" t="e">
        <f>+proj=utm +zone=8 +datum=NAB83 +units=m +no_defs</f>
        <v>#NAME?</v>
      </c>
    </row>
    <row r="4600" spans="1:3" x14ac:dyDescent="0.25">
      <c r="A4600">
        <v>26909</v>
      </c>
      <c r="B4600" t="s">
        <v>6648</v>
      </c>
      <c r="C4600" t="e">
        <f>+proj=utm +zone=9 +datum=NAB83 +units=m +no_defs</f>
        <v>#NAME?</v>
      </c>
    </row>
    <row r="4601" spans="1:3" x14ac:dyDescent="0.25">
      <c r="A4601">
        <v>26910</v>
      </c>
      <c r="B4601" t="s">
        <v>6649</v>
      </c>
      <c r="C4601" t="e">
        <f>+proj=utm +zone=10 +datum=NAB83 +units=m +no_defs</f>
        <v>#NAME?</v>
      </c>
    </row>
    <row r="4602" spans="1:3" x14ac:dyDescent="0.25">
      <c r="A4602">
        <v>26911</v>
      </c>
      <c r="B4602" t="s">
        <v>6650</v>
      </c>
      <c r="C4602" t="e">
        <f>+proj=utm +zone=11 +datum=NAB83 +units=m +no_defs</f>
        <v>#NAME?</v>
      </c>
    </row>
    <row r="4603" spans="1:3" x14ac:dyDescent="0.25">
      <c r="A4603">
        <v>26912</v>
      </c>
      <c r="B4603" t="s">
        <v>6651</v>
      </c>
      <c r="C4603" t="e">
        <f>+proj=utm +zone=12 +datum=NAB83 +units=m +no_defs</f>
        <v>#NAME?</v>
      </c>
    </row>
    <row r="4604" spans="1:3" x14ac:dyDescent="0.25">
      <c r="A4604">
        <v>26913</v>
      </c>
      <c r="B4604" t="s">
        <v>6652</v>
      </c>
      <c r="C4604" t="e">
        <f>+proj=utm +zone=13 +datum=NAB83 +units=m +no_defs</f>
        <v>#NAME?</v>
      </c>
    </row>
    <row r="4605" spans="1:3" x14ac:dyDescent="0.25">
      <c r="A4605">
        <v>26914</v>
      </c>
      <c r="B4605" t="s">
        <v>6653</v>
      </c>
      <c r="C4605" t="e">
        <f>+proj=utm +zone=14 +datum=NAB83 +units=m +no_defs</f>
        <v>#NAME?</v>
      </c>
    </row>
    <row r="4606" spans="1:3" x14ac:dyDescent="0.25">
      <c r="A4606">
        <v>26915</v>
      </c>
      <c r="B4606" t="s">
        <v>6654</v>
      </c>
      <c r="C4606" t="e">
        <f>+proj=utm +zone=15 +datum=NAB83 +units=m +no_defs</f>
        <v>#NAME?</v>
      </c>
    </row>
    <row r="4607" spans="1:3" x14ac:dyDescent="0.25">
      <c r="A4607">
        <v>26916</v>
      </c>
      <c r="B4607" t="s">
        <v>6655</v>
      </c>
      <c r="C4607" t="e">
        <f>+proj=utm +zone=16 +datum=NAB83 +units=m +no_defs</f>
        <v>#NAME?</v>
      </c>
    </row>
    <row r="4608" spans="1:3" x14ac:dyDescent="0.25">
      <c r="A4608">
        <v>26917</v>
      </c>
      <c r="B4608" t="s">
        <v>6656</v>
      </c>
      <c r="C4608" t="e">
        <f>+proj=utm +zone=17 +datum=NAB83 +units=m +no_defs</f>
        <v>#NAME?</v>
      </c>
    </row>
    <row r="4609" spans="1:3" x14ac:dyDescent="0.25">
      <c r="A4609">
        <v>26918</v>
      </c>
      <c r="B4609" t="s">
        <v>6657</v>
      </c>
      <c r="C4609" t="e">
        <f>+proj=utm +zone=18 +datum=NAB83 +units=m +no_defs</f>
        <v>#NAME?</v>
      </c>
    </row>
    <row r="4610" spans="1:3" x14ac:dyDescent="0.25">
      <c r="A4610">
        <v>26919</v>
      </c>
      <c r="B4610" t="s">
        <v>6658</v>
      </c>
      <c r="C4610" t="e">
        <f>+proj=utm +zone=19 +datum=NAB83 +units=m +no_defs</f>
        <v>#NAME?</v>
      </c>
    </row>
    <row r="4611" spans="1:3" x14ac:dyDescent="0.25">
      <c r="A4611">
        <v>26920</v>
      </c>
      <c r="B4611" t="s">
        <v>6659</v>
      </c>
      <c r="C4611" t="e">
        <f>+proj=utm +zone=20 +datum=NAB83 +units=m +no_defs</f>
        <v>#NAME?</v>
      </c>
    </row>
    <row r="4612" spans="1:3" x14ac:dyDescent="0.25">
      <c r="A4612">
        <v>26921</v>
      </c>
      <c r="B4612" t="s">
        <v>6660</v>
      </c>
      <c r="C4612" t="e">
        <f>+proj=utm +zone=21 +datum=NAB83 +units=m +no_defs</f>
        <v>#NAME?</v>
      </c>
    </row>
    <row r="4613" spans="1:3" x14ac:dyDescent="0.25">
      <c r="A4613">
        <v>26922</v>
      </c>
      <c r="B4613" t="s">
        <v>6661</v>
      </c>
      <c r="C4613" t="e">
        <f>+proj=utm +zone=22 +datum=NAB83 +units=m +no_defs</f>
        <v>#NAME?</v>
      </c>
    </row>
    <row r="4614" spans="1:3" x14ac:dyDescent="0.25">
      <c r="A4614">
        <v>26923</v>
      </c>
      <c r="B4614" t="s">
        <v>6662</v>
      </c>
      <c r="C4614" t="e">
        <f>+proj=utm +zone=23 +datum=NAB83 +units=m +no_defs</f>
        <v>#NAME?</v>
      </c>
    </row>
    <row r="4615" spans="1:3" x14ac:dyDescent="0.25">
      <c r="A4615">
        <v>26929</v>
      </c>
      <c r="B4615" t="s">
        <v>6663</v>
      </c>
      <c r="C4615" t="e">
        <f>+proj=tmerc +lat_0=30.5 +lon_0=-85.8333333333333 +k=0.99996 +x_0=200000 +y_0=0 +datum=NAB83 +units=m +no_defs</f>
        <v>#NAME?</v>
      </c>
    </row>
    <row r="4616" spans="1:3" x14ac:dyDescent="0.25">
      <c r="A4616">
        <v>26930</v>
      </c>
      <c r="B4616" t="s">
        <v>6664</v>
      </c>
      <c r="C4616" t="e">
        <f>+proj=tmerc +lat_0=30 +lon_0=-87.5 +k=0.999933333 +x_0=600000 +y_0=0 +datum=NAB83 +units=m +no_defs</f>
        <v>#NAME?</v>
      </c>
    </row>
    <row r="4617" spans="1:3" x14ac:dyDescent="0.25">
      <c r="A4617">
        <v>5379</v>
      </c>
      <c r="B4617" t="s">
        <v>6665</v>
      </c>
      <c r="C4617" t="e">
        <f>+proj=geocent +ellps=WGQ84 +units=m +no_defs</f>
        <v>#NAME?</v>
      </c>
    </row>
    <row r="4618" spans="1:3" x14ac:dyDescent="0.25">
      <c r="A4618">
        <v>26931</v>
      </c>
      <c r="B4618" t="s">
        <v>6666</v>
      </c>
      <c r="C4618" t="e">
        <f>+proj=omerc +lat_0=57 +lonc=-133.666666666666 +alpha=323.130102361111 +k=0.9999 +x_0=5000000 +y_0=-5000000 +no_uoff +gamma=323.130102361111 +datum=NAB83 +units=m +no_defs</f>
        <v>#NAME?</v>
      </c>
    </row>
    <row r="4619" spans="1:3" x14ac:dyDescent="0.25">
      <c r="A4619">
        <v>26932</v>
      </c>
      <c r="B4619" t="s">
        <v>6667</v>
      </c>
      <c r="C4619" t="e">
        <f>+proj=tmerc +lat_0=54 +lon_0=-142 +k=0.9999 +x_0=500000 +y_0=0 +datum=NAB83 +units=m +no_defs</f>
        <v>#NAME?</v>
      </c>
    </row>
    <row r="4620" spans="1:3" x14ac:dyDescent="0.25">
      <c r="A4620">
        <v>26933</v>
      </c>
      <c r="B4620" t="s">
        <v>6668</v>
      </c>
      <c r="C4620" t="e">
        <f>+proj=tmerc +lat_0=54 +lon_0=-146 +k=0.9999 +x_0=500000 +y_0=0 +datum=NAB83 +units=m +no_defs</f>
        <v>#NAME?</v>
      </c>
    </row>
    <row r="4621" spans="1:3" x14ac:dyDescent="0.25">
      <c r="A4621">
        <v>26934</v>
      </c>
      <c r="B4621" t="s">
        <v>6669</v>
      </c>
      <c r="C4621" t="e">
        <f>+proj=tmerc +lat_0=54 +lon_0=-150 +k=0.9999 +x_0=500000 +y_0=0 +datum=NAB83 +units=m +no_defs</f>
        <v>#NAME?</v>
      </c>
    </row>
    <row r="4622" spans="1:3" x14ac:dyDescent="0.25">
      <c r="A4622">
        <v>26935</v>
      </c>
      <c r="B4622" t="s">
        <v>6670</v>
      </c>
      <c r="C4622" t="e">
        <f>+proj=tmerc +lat_0=54 +lon_0=-154 +k=0.9999 +x_0=500000 +y_0=0 +datum=NAB83 +units=m +no_defs</f>
        <v>#NAME?</v>
      </c>
    </row>
    <row r="4623" spans="1:3" x14ac:dyDescent="0.25">
      <c r="A4623">
        <v>26936</v>
      </c>
      <c r="B4623" t="s">
        <v>6671</v>
      </c>
      <c r="C4623" t="e">
        <f>+proj=tmerc +lat_0=54 +lon_0=-158 +k=0.9999 +x_0=500000 +y_0=0 +datum=NAB83 +units=m +no_defs</f>
        <v>#NAME?</v>
      </c>
    </row>
    <row r="4624" spans="1:3" x14ac:dyDescent="0.25">
      <c r="A4624">
        <v>26937</v>
      </c>
      <c r="B4624" t="s">
        <v>6672</v>
      </c>
      <c r="C4624" t="e">
        <f>+proj=tmerc +lat_0=54 +lon_0=-162 +k=0.9999 +x_0=500000 +y_0=0 +datum=NAB83 +units=m +no_defs</f>
        <v>#NAME?</v>
      </c>
    </row>
    <row r="4625" spans="1:3" x14ac:dyDescent="0.25">
      <c r="A4625">
        <v>26938</v>
      </c>
      <c r="B4625" t="s">
        <v>6673</v>
      </c>
      <c r="C4625" t="e">
        <f>+proj=tmerc +lat_0=54 +lon_0=-166 +k=0.9999 +x_0=500000 +y_0=0 +datum=NAB83 +units=m +no_defs</f>
        <v>#NAME?</v>
      </c>
    </row>
    <row r="4626" spans="1:3" x14ac:dyDescent="0.25">
      <c r="A4626">
        <v>26939</v>
      </c>
      <c r="B4626" t="s">
        <v>6674</v>
      </c>
      <c r="C4626" t="e">
        <f>+proj=tmerc +lat_0=54 +lon_0=-170 +k=0.9999 +x_0=500000 +y_0=0 +datum=NAB83 +units=m +no_defs</f>
        <v>#NAME?</v>
      </c>
    </row>
    <row r="4627" spans="1:3" x14ac:dyDescent="0.25">
      <c r="A4627">
        <v>26940</v>
      </c>
      <c r="B4627" t="s">
        <v>6675</v>
      </c>
      <c r="C4627" t="e">
        <f>+proj=lcc +lat_1=53.8333333333333 +lat_2=51.8333333333333 +lat_0=51 +lon_0=-176 +x_0=1000000 +y_0=0 +datum=NAB83 +units=m +no_defs</f>
        <v>#NAME?</v>
      </c>
    </row>
    <row r="4628" spans="1:3" x14ac:dyDescent="0.25">
      <c r="A4628">
        <v>26941</v>
      </c>
      <c r="B4628" t="s">
        <v>6676</v>
      </c>
      <c r="C4628" t="e">
        <f>+proj=lcc +lat_1=41.6666666666666 +lat_2=40 +lat_0=39.3333333333333 +lon_0=-122 +x_0=2000000 +y_0=500000 +datum=NAB83 +units=m +no_defs</f>
        <v>#NAME?</v>
      </c>
    </row>
    <row r="4629" spans="1:3" x14ac:dyDescent="0.25">
      <c r="A4629">
        <v>26942</v>
      </c>
      <c r="B4629" t="s">
        <v>6677</v>
      </c>
      <c r="C4629" t="e">
        <f>+proj=lcc +lat_1=39.8333333333333 +lat_2=38.3333333333333 +lat_0=37.6666666666666 +lon_0=-122 +x_0=2000000 +y_0=500000 +datum=NAB83 +units=m +no_defs</f>
        <v>#NAME?</v>
      </c>
    </row>
    <row r="4630" spans="1:3" x14ac:dyDescent="0.25">
      <c r="A4630">
        <v>26943</v>
      </c>
      <c r="B4630" t="s">
        <v>6678</v>
      </c>
      <c r="C4630" t="e">
        <f>+proj=lcc +lat_1=38.4333333333333 +lat_2=37.0666666666666 +lat_0=36.5 +lon_0=-120.5 +x_0=2000000 +y_0=500000 +datum=NAB83 +units=m +no_defs</f>
        <v>#NAME?</v>
      </c>
    </row>
    <row r="4631" spans="1:3" x14ac:dyDescent="0.25">
      <c r="A4631">
        <v>26944</v>
      </c>
      <c r="B4631" t="s">
        <v>6679</v>
      </c>
      <c r="C4631" t="e">
        <f>+proj=lcc +lat_1=37.25 +lat_2=36 +lat_0=35.3333333333333 +lon_0=-119 +x_0=2000000 +y_0=500000 +datum=NAB83 +units=m +no_defs</f>
        <v>#NAME?</v>
      </c>
    </row>
    <row r="4632" spans="1:3" x14ac:dyDescent="0.25">
      <c r="A4632">
        <v>26945</v>
      </c>
      <c r="B4632" t="s">
        <v>6680</v>
      </c>
      <c r="C4632" t="e">
        <f>+proj=lcc +lat_1=35.4666666666666 +lat_2=34.0333333333333 +lat_0=33.5 +lon_0=-118 +x_0=2000000 +y_0=500000 +datum=NAB83 +units=m +no_defs</f>
        <v>#NAME?</v>
      </c>
    </row>
    <row r="4633" spans="1:3" x14ac:dyDescent="0.25">
      <c r="A4633">
        <v>26946</v>
      </c>
      <c r="B4633" t="s">
        <v>6681</v>
      </c>
      <c r="C4633" t="e">
        <f>+proj=lcc +lat_1=33.8833333333333 +lat_2=32.7833333333333 +lat_0=32.1666666666666 +lon_0=-116.25 +x_0=2000000 +y_0=500000 +datum=NAB83 +units=m +no_defs</f>
        <v>#NAME?</v>
      </c>
    </row>
    <row r="4634" spans="1:3" x14ac:dyDescent="0.25">
      <c r="A4634">
        <v>26948</v>
      </c>
      <c r="B4634" t="s">
        <v>6682</v>
      </c>
      <c r="C4634" t="e">
        <f>+proj=tmerc +lat_0=31 +lon_0=-110.166666666666 +k=0.9999 +x_0=213360 +y_0=0 +datum=NAB83 +units=m +no_defs</f>
        <v>#NAME?</v>
      </c>
    </row>
    <row r="4635" spans="1:3" x14ac:dyDescent="0.25">
      <c r="A4635">
        <v>26949</v>
      </c>
      <c r="B4635" t="s">
        <v>6683</v>
      </c>
      <c r="C4635" t="e">
        <f>+proj=tmerc +lat_0=31 +lon_0=-111.916666666666 +k=0.9999 +x_0=213360 +y_0=0 +datum=NAB83 +units=m +no_defs</f>
        <v>#NAME?</v>
      </c>
    </row>
    <row r="4636" spans="1:3" x14ac:dyDescent="0.25">
      <c r="A4636">
        <v>26950</v>
      </c>
      <c r="B4636" t="s">
        <v>6684</v>
      </c>
      <c r="C4636" t="e">
        <f>+proj=tmerc +lat_0=31 +lon_0=-113.75 +k=0.999933333 +x_0=213360 +y_0=0 +datum=NAB83 +units=m +no_defs</f>
        <v>#NAME?</v>
      </c>
    </row>
    <row r="4637" spans="1:3" x14ac:dyDescent="0.25">
      <c r="A4637">
        <v>26951</v>
      </c>
      <c r="B4637" t="s">
        <v>6685</v>
      </c>
      <c r="C4637" t="e">
        <f>+proj=lcc +lat_1=36.2333333333333 +lat_2=34.9333333333333 +lat_0=34.3333333333333 +lon_0=-92 +x_0=400000 +y_0=0 +datum=NAB83 +units=m +no_defs</f>
        <v>#NAME?</v>
      </c>
    </row>
    <row r="4638" spans="1:3" x14ac:dyDescent="0.25">
      <c r="A4638">
        <v>26952</v>
      </c>
      <c r="B4638" t="s">
        <v>6686</v>
      </c>
      <c r="C4638" t="e">
        <f>+proj=lcc +lat_1=34.7666666666666 +lat_2=33.3 +lat_0=32.6666666666666 +lon_0=-92 +x_0=400000 +y_0=400000 +datum=NAB83 +units=m +no_defs</f>
        <v>#NAME?</v>
      </c>
    </row>
    <row r="4639" spans="1:3" x14ac:dyDescent="0.25">
      <c r="A4639">
        <v>26953</v>
      </c>
      <c r="B4639" t="s">
        <v>6687</v>
      </c>
      <c r="C4639" t="e">
        <f>+proj=lcc +lat_1=40.7833333333333 +lat_2=39.7166666666666 +lat_0=39.3333333333333 +lon_0=-105.5 +x_0=914401.8289 +y_0=304800.6096 +datum=NAB83 +units=m +no_defs</f>
        <v>#NAME?</v>
      </c>
    </row>
    <row r="4640" spans="1:3" x14ac:dyDescent="0.25">
      <c r="A4640">
        <v>26954</v>
      </c>
      <c r="B4640" t="s">
        <v>6688</v>
      </c>
      <c r="C4640" t="e">
        <f>+proj=lcc +lat_1=39.75 +lat_2=38.45 +lat_0=37.8333333333333 +lon_0=-105.5 +x_0=914401.8289 +y_0=304800.6096 +datum=NAB83 +units=m +no_defs</f>
        <v>#NAME?</v>
      </c>
    </row>
    <row r="4641" spans="1:3" x14ac:dyDescent="0.25">
      <c r="A4641">
        <v>26955</v>
      </c>
      <c r="B4641" t="s">
        <v>6689</v>
      </c>
      <c r="C4641" t="e">
        <f>+proj=lcc +lat_1=38.4333333333333 +lat_2=37.2333333333333 +lat_0=36.6666666666666 +lon_0=-105.5 +x_0=914401.8289 +y_0=304800.6096 +datum=NAB83 +units=m +no_defs</f>
        <v>#NAME?</v>
      </c>
    </row>
    <row r="4642" spans="1:3" x14ac:dyDescent="0.25">
      <c r="A4642">
        <v>26956</v>
      </c>
      <c r="B4642" t="s">
        <v>6690</v>
      </c>
      <c r="C4642" t="e">
        <f>+proj=lcc +lat_1=41.8666666666666 +lat_2=41.2 +lat_0=40.8333333333333 +lon_0=-72.75 +x_0=304800.6096 +y_0=152400.3048 +datum=NAB83 +units=m +no_defs</f>
        <v>#NAME?</v>
      </c>
    </row>
    <row r="4643" spans="1:3" x14ac:dyDescent="0.25">
      <c r="A4643">
        <v>26957</v>
      </c>
      <c r="B4643" t="s">
        <v>6691</v>
      </c>
      <c r="C4643" t="e">
        <f>+proj=tmerc +lat_0=38 +lon_0=-75.4166666666666 +k=0.999995 +x_0=200000 +y_0=0 +datum=NAB83 +units=m +no_defs</f>
        <v>#NAME?</v>
      </c>
    </row>
    <row r="4644" spans="1:3" x14ac:dyDescent="0.25">
      <c r="A4644">
        <v>26958</v>
      </c>
      <c r="B4644" t="s">
        <v>6692</v>
      </c>
      <c r="C4644" t="e">
        <f>+proj=tmerc +lat_0=24.3333333333333 +lon_0=-81 +k=0.999941177 +x_0=200000 +y_0=0 +datum=NAB83 +units=m +no_defs</f>
        <v>#NAME?</v>
      </c>
    </row>
    <row r="4645" spans="1:3" x14ac:dyDescent="0.25">
      <c r="A4645">
        <v>26959</v>
      </c>
      <c r="B4645" t="s">
        <v>6693</v>
      </c>
      <c r="C4645" t="e">
        <f>+proj=tmerc +lat_0=24.3333333333333 +lon_0=-82 +k=0.999941177 +x_0=200000 +y_0=0 +datum=NAB83 +units=m +no_defs</f>
        <v>#NAME?</v>
      </c>
    </row>
    <row r="4646" spans="1:3" x14ac:dyDescent="0.25">
      <c r="A4646">
        <v>26960</v>
      </c>
      <c r="B4646" t="s">
        <v>6694</v>
      </c>
      <c r="C4646" t="e">
        <f>+proj=lcc +lat_1=30.75 +lat_2=29.5833333333333 +lat_0=29 +lon_0=-84.5 +x_0=600000 +y_0=0 +datum=NAB83 +units=m +no_defs</f>
        <v>#NAME?</v>
      </c>
    </row>
    <row r="4647" spans="1:3" x14ac:dyDescent="0.25">
      <c r="A4647">
        <v>26961</v>
      </c>
      <c r="B4647" t="s">
        <v>6695</v>
      </c>
      <c r="C4647" t="e">
        <f>+proj=tmerc +lat_0=18.8333333333333 +lon_0=-155.5 +k=0.999966667 +x_0=500000 +y_0=0 +datum=NAB83 +units=m +no_defs</f>
        <v>#NAME?</v>
      </c>
    </row>
    <row r="4648" spans="1:3" x14ac:dyDescent="0.25">
      <c r="A4648">
        <v>26962</v>
      </c>
      <c r="B4648" t="s">
        <v>6696</v>
      </c>
      <c r="C4648" t="e">
        <f>+proj=tmerc +lat_0=20.3333333333333 +lon_0=-156.666666666666 +k=0.999966667 +x_0=500000 +y_0=0 +datum=NAB83 +units=m +no_defs</f>
        <v>#NAME?</v>
      </c>
    </row>
    <row r="4649" spans="1:3" x14ac:dyDescent="0.25">
      <c r="A4649">
        <v>26963</v>
      </c>
      <c r="B4649" t="s">
        <v>6697</v>
      </c>
      <c r="C4649" t="e">
        <f>+proj=tmerc +lat_0=21.1666666666666 +lon_0=-158 +k=0.99999 +x_0=500000 +y_0=0 +datum=NAB83 +units=m +no_defs</f>
        <v>#NAME?</v>
      </c>
    </row>
    <row r="4650" spans="1:3" x14ac:dyDescent="0.25">
      <c r="A4650">
        <v>26964</v>
      </c>
      <c r="B4650" t="s">
        <v>6698</v>
      </c>
      <c r="C4650" t="e">
        <f>+proj=tmerc +lat_0=21.8333333333333 +lon_0=-159.5 +k=0.99999 +x_0=500000 +y_0=0 +datum=NAB83 +units=m +no_defs</f>
        <v>#NAME?</v>
      </c>
    </row>
    <row r="4651" spans="1:3" x14ac:dyDescent="0.25">
      <c r="A4651">
        <v>26965</v>
      </c>
      <c r="B4651" t="s">
        <v>6699</v>
      </c>
      <c r="C4651" t="e">
        <f>+proj=tmerc +lat_0=21.6666666666666 +lon_0=-160.166666666666 +k=1 +x_0=500000 +y_0=0 +datum=NAB83 +units=m +no_defs</f>
        <v>#NAME?</v>
      </c>
    </row>
    <row r="4652" spans="1:3" x14ac:dyDescent="0.25">
      <c r="A4652">
        <v>26966</v>
      </c>
      <c r="B4652" t="s">
        <v>6700</v>
      </c>
      <c r="C4652" t="e">
        <f>+proj=tmerc +lat_0=30 +lon_0=-82.1666666666666 +k=0.9999 +x_0=200000 +y_0=0 +datum=NAB83 +units=m +no_defs</f>
        <v>#NAME?</v>
      </c>
    </row>
    <row r="4653" spans="1:3" x14ac:dyDescent="0.25">
      <c r="A4653">
        <v>26967</v>
      </c>
      <c r="B4653" t="s">
        <v>6701</v>
      </c>
      <c r="C4653" t="e">
        <f>+proj=tmerc +lat_0=30 +lon_0=-84.1666666666666 +k=0.9999 +x_0=700000 +y_0=0 +datum=NAB83 +units=m +no_defs</f>
        <v>#NAME?</v>
      </c>
    </row>
    <row r="4654" spans="1:3" x14ac:dyDescent="0.25">
      <c r="A4654">
        <v>26968</v>
      </c>
      <c r="B4654" t="s">
        <v>6702</v>
      </c>
      <c r="C4654" t="e">
        <f>+proj=tmerc +lat_0=41.6666666666666 +lon_0=-112.166666666666 +k=0.999947367999999 +x_0=200000 +y_0=0 +datum=NAB83 +units=m +no_defs</f>
        <v>#NAME?</v>
      </c>
    </row>
    <row r="4655" spans="1:3" x14ac:dyDescent="0.25">
      <c r="A4655">
        <v>32614</v>
      </c>
      <c r="B4655" t="s">
        <v>6703</v>
      </c>
      <c r="C4655" t="e">
        <f>+proj=utm +zone=14 +datum=WGQ84 +units=m +no_defs</f>
        <v>#NAME?</v>
      </c>
    </row>
    <row r="4656" spans="1:3" x14ac:dyDescent="0.25">
      <c r="A4656">
        <v>26969</v>
      </c>
      <c r="B4656" t="s">
        <v>6704</v>
      </c>
      <c r="C4656" t="e">
        <f>+proj=tmerc +lat_0=41.6666666666666 +lon_0=-114 +k=0.999947367999999 +x_0=500000 +y_0=0 +datum=NAB83 +units=m +no_defs</f>
        <v>#NAME?</v>
      </c>
    </row>
    <row r="4657" spans="1:3" x14ac:dyDescent="0.25">
      <c r="A4657">
        <v>26970</v>
      </c>
      <c r="B4657" t="s">
        <v>6705</v>
      </c>
      <c r="C4657" t="e">
        <f>+proj=tmerc +lat_0=41.6666666666666 +lon_0=-115.75 +k=0.999933333 +x_0=800000 +y_0=0 +datum=NAB83 +units=m +no_defs</f>
        <v>#NAME?</v>
      </c>
    </row>
    <row r="4658" spans="1:3" x14ac:dyDescent="0.25">
      <c r="A4658">
        <v>26971</v>
      </c>
      <c r="B4658" t="s">
        <v>6706</v>
      </c>
      <c r="C4658" t="e">
        <f>+proj=tmerc +lat_0=36.6666666666666 +lon_0=-88.3333333333333 +k=0.999974999999999 +x_0=300000 +y_0=0 +datum=NAB83 +units=m +no_defs</f>
        <v>#NAME?</v>
      </c>
    </row>
    <row r="4659" spans="1:3" x14ac:dyDescent="0.25">
      <c r="A4659">
        <v>26972</v>
      </c>
      <c r="B4659" t="s">
        <v>6707</v>
      </c>
      <c r="C4659" t="e">
        <f>+proj=tmerc +lat_0=36.6666666666666 +lon_0=-90.1666666666666 +k=0.999941177 +x_0=700000 +y_0=0 +datum=NAB83 +units=m +no_defs</f>
        <v>#NAME?</v>
      </c>
    </row>
    <row r="4660" spans="1:3" x14ac:dyDescent="0.25">
      <c r="A4660">
        <v>26973</v>
      </c>
      <c r="B4660" t="s">
        <v>6708</v>
      </c>
      <c r="C4660" t="e">
        <f>+proj=tmerc +lat_0=37.5 +lon_0=-85.6666666666666 +k=0.999966667 +x_0=100000 +y_0=250000 +datum=NAB83 +units=m +no_defs</f>
        <v>#NAME?</v>
      </c>
    </row>
    <row r="4661" spans="1:3" x14ac:dyDescent="0.25">
      <c r="A4661">
        <v>26974</v>
      </c>
      <c r="B4661" t="s">
        <v>6709</v>
      </c>
      <c r="C4661" t="e">
        <f>+proj=tmerc +lat_0=37.5 +lon_0=-87.0833333333333 +k=0.999966667 +x_0=900000 +y_0=250000 +datum=NAB83 +units=m +no_defs</f>
        <v>#NAME?</v>
      </c>
    </row>
    <row r="4662" spans="1:3" x14ac:dyDescent="0.25">
      <c r="A4662">
        <v>26975</v>
      </c>
      <c r="B4662" t="s">
        <v>6710</v>
      </c>
      <c r="C4662" t="e">
        <f>+proj=lcc +lat_1=43.2666666666666 +lat_2=42.0666666666666 +lat_0=41.5 +lon_0=-93.5 +x_0=1500000 +y_0=1000000 +datum=NAB83 +units=m +no_defs</f>
        <v>#NAME?</v>
      </c>
    </row>
    <row r="4663" spans="1:3" x14ac:dyDescent="0.25">
      <c r="A4663">
        <v>26976</v>
      </c>
      <c r="B4663" t="s">
        <v>6711</v>
      </c>
      <c r="C4663" t="e">
        <f>+proj=lcc +lat_1=41.7833333333333 +lat_2=40.6166666666666 +lat_0=40 +lon_0=-93.5 +x_0=500000 +y_0=0 +datum=NAB83 +units=m +no_defs</f>
        <v>#NAME?</v>
      </c>
    </row>
    <row r="4664" spans="1:3" x14ac:dyDescent="0.25">
      <c r="A4664">
        <v>26977</v>
      </c>
      <c r="B4664" t="s">
        <v>6712</v>
      </c>
      <c r="C4664" t="e">
        <f>+proj=lcc +lat_1=39.7833333333333 +lat_2=38.7166666666666 +lat_0=38.3333333333333 +lon_0=-98 +x_0=400000 +y_0=0 +datum=NAB83 +units=m +no_defs</f>
        <v>#NAME?</v>
      </c>
    </row>
    <row r="4665" spans="1:3" x14ac:dyDescent="0.25">
      <c r="A4665">
        <v>5391</v>
      </c>
      <c r="B4665" t="s">
        <v>6713</v>
      </c>
      <c r="C4665" t="e">
        <f>+proj=geocent +ellps=GRQ80 +units=m +no_defs</f>
        <v>#NAME?</v>
      </c>
    </row>
    <row r="4666" spans="1:3" x14ac:dyDescent="0.25">
      <c r="A4666">
        <v>26978</v>
      </c>
      <c r="B4666" t="s">
        <v>6714</v>
      </c>
      <c r="C4666" t="e">
        <f>+proj=lcc +lat_1=38.5666666666666 +lat_2=37.2666666666666 +lat_0=36.6666666666666 +lon_0=-98.5 +x_0=400000 +y_0=400000 +datum=NAB83 +units=m +no_defs</f>
        <v>#NAME?</v>
      </c>
    </row>
    <row r="4667" spans="1:3" x14ac:dyDescent="0.25">
      <c r="A4667">
        <v>26979</v>
      </c>
      <c r="B4667" t="s">
        <v>6715</v>
      </c>
      <c r="C4667" t="e">
        <f>+proj=lcc +lat_1=37.9666666666666 +lat_2=37.9666666666666 +lat_0=37.5 +lon_0=-84.25 +x_0=500000 +y_0=0 +datum=NAB83 +units=m +no_defs</f>
        <v>#NAME?</v>
      </c>
    </row>
    <row r="4668" spans="1:3" x14ac:dyDescent="0.25">
      <c r="A4668">
        <v>26980</v>
      </c>
      <c r="B4668" t="s">
        <v>6716</v>
      </c>
      <c r="C4668" t="e">
        <f>+proj=lcc +lat_1=37.9333333333333 +lat_2=36.7333333333333 +lat_0=36.3333333333333 +lon_0=-85.75 +x_0=500000 +y_0=500000 +datum=NAB83 +units=m +no_defs</f>
        <v>#NAME?</v>
      </c>
    </row>
    <row r="4669" spans="1:3" x14ac:dyDescent="0.25">
      <c r="A4669">
        <v>26981</v>
      </c>
      <c r="B4669" t="s">
        <v>6717</v>
      </c>
      <c r="C4669" t="e">
        <f>+proj=lcc +lat_1=32.6666666666666 +lat_2=31.1666666666666 +lat_0=30.5 +lon_0=-92.5 +x_0=1000000 +y_0=0 +datum=NAB83 +units=m +no_defs</f>
        <v>#NAME?</v>
      </c>
    </row>
    <row r="4670" spans="1:3" x14ac:dyDescent="0.25">
      <c r="A4670">
        <v>26982</v>
      </c>
      <c r="B4670" t="s">
        <v>6718</v>
      </c>
      <c r="C4670" t="e">
        <f>+proj=lcc +lat_1=30.7 +lat_2=29.3 +lat_0=28.5 +lon_0=-91.3333333333333 +x_0=1000000 +y_0=0 +datum=NAB83 +units=m +no_defs</f>
        <v>#NAME?</v>
      </c>
    </row>
    <row r="4671" spans="1:3" x14ac:dyDescent="0.25">
      <c r="A4671">
        <v>26983</v>
      </c>
      <c r="B4671" t="s">
        <v>6719</v>
      </c>
      <c r="C4671" t="e">
        <f>+proj=tmerc +lat_0=43.6666666666666 +lon_0=-68.5 +k=0.9999 +x_0=300000 +y_0=0 +datum=NAB83 +units=m +no_defs</f>
        <v>#NAME?</v>
      </c>
    </row>
    <row r="4672" spans="1:3" x14ac:dyDescent="0.25">
      <c r="A4672">
        <v>26984</v>
      </c>
      <c r="B4672" t="s">
        <v>6720</v>
      </c>
      <c r="C4672" t="e">
        <f>+proj=tmerc +lat_0=42.8333333333333 +lon_0=-70.1666666666666 +k=0.999966667 +x_0=900000 +y_0=0 +datum=NAB83 +units=m +no_defs</f>
        <v>#NAME?</v>
      </c>
    </row>
    <row r="4673" spans="1:3" x14ac:dyDescent="0.25">
      <c r="A4673">
        <v>26985</v>
      </c>
      <c r="B4673" t="s">
        <v>6721</v>
      </c>
      <c r="C4673" t="e">
        <f>+proj=lcc +lat_1=39.45 +lat_2=38.3 +lat_0=37.6666666666666 +lon_0=-77 +x_0=400000 +y_0=0 +datum=NAB83 +units=m +no_defs</f>
        <v>#NAME?</v>
      </c>
    </row>
    <row r="4674" spans="1:3" x14ac:dyDescent="0.25">
      <c r="A4674">
        <v>26986</v>
      </c>
      <c r="B4674" t="s">
        <v>6722</v>
      </c>
      <c r="C4674" t="e">
        <f>+proj=lcc +lat_1=42.6833333333333 +lat_2=41.7166666666666 +lat_0=41 +lon_0=-71.5 +x_0=200000 +y_0=750000 +datum=NAB83 +units=m +no_defs</f>
        <v>#NAME?</v>
      </c>
    </row>
    <row r="4675" spans="1:3" x14ac:dyDescent="0.25">
      <c r="A4675">
        <v>26987</v>
      </c>
      <c r="B4675" t="s">
        <v>6723</v>
      </c>
      <c r="C4675" t="e">
        <f>+proj=lcc +lat_1=41.4833333333333 +lat_2=41.2833333333333 +lat_0=41 +lon_0=-70.5 +x_0=500000 +y_0=0 +datum=NAB83 +units=m +no_defs</f>
        <v>#NAME?</v>
      </c>
    </row>
    <row r="4676" spans="1:3" x14ac:dyDescent="0.25">
      <c r="A4676">
        <v>26988</v>
      </c>
      <c r="B4676" t="s">
        <v>6724</v>
      </c>
      <c r="C4676" t="e">
        <f>+proj=lcc +lat_1=47.0833333333333 +lat_2=45.4833333333333 +lat_0=44.7833333333333 +lon_0=-87 +x_0=8000000 +y_0=0 +datum=NAB83 +units=m +no_defs</f>
        <v>#NAME?</v>
      </c>
    </row>
    <row r="4677" spans="1:3" x14ac:dyDescent="0.25">
      <c r="A4677">
        <v>26989</v>
      </c>
      <c r="B4677" t="s">
        <v>6725</v>
      </c>
      <c r="C4677" t="e">
        <f>+proj=lcc +lat_1=45.7 +lat_2=44.1833333333333 +lat_0=43.3166666666666 +lon_0=-84.3666666666666 +x_0=6000000 +y_0=0 +datum=NAB83 +units=m +no_defs</f>
        <v>#NAME?</v>
      </c>
    </row>
    <row r="4678" spans="1:3" x14ac:dyDescent="0.25">
      <c r="A4678">
        <v>26990</v>
      </c>
      <c r="B4678" t="s">
        <v>6726</v>
      </c>
      <c r="C4678" t="e">
        <f>+proj=lcc +lat_1=43.6666666666666 +lat_2=42.1 +lat_0=41.5 +lon_0=-84.3666666666666 +x_0=4000000 +y_0=0 +datum=NAB83 +units=m +no_defs</f>
        <v>#NAME?</v>
      </c>
    </row>
    <row r="4679" spans="1:3" x14ac:dyDescent="0.25">
      <c r="A4679">
        <v>26991</v>
      </c>
      <c r="B4679" t="s">
        <v>6727</v>
      </c>
      <c r="C4679" t="e">
        <f>+proj=lcc +lat_1=48.6333333333333 +lat_2=47.0333333333333 +lat_0=46.5 +lon_0=-93.0999999999999 +x_0=800000 +y_0=100000 +datum=NAB83 +units=m +no_defs</f>
        <v>#NAME?</v>
      </c>
    </row>
    <row r="4680" spans="1:3" x14ac:dyDescent="0.25">
      <c r="A4680">
        <v>26992</v>
      </c>
      <c r="B4680" t="s">
        <v>6728</v>
      </c>
      <c r="C4680" t="e">
        <f>+proj=lcc +lat_1=47.05 +lat_2=45.6166666666666 +lat_0=45 +lon_0=-94.25 +x_0=800000 +y_0=100000 +datum=NAB83 +units=m +no_defs</f>
        <v>#NAME?</v>
      </c>
    </row>
    <row r="4681" spans="1:3" x14ac:dyDescent="0.25">
      <c r="A4681">
        <v>26993</v>
      </c>
      <c r="B4681" t="s">
        <v>6729</v>
      </c>
      <c r="C4681" t="e">
        <f>+proj=lcc +lat_1=45.2166666666666 +lat_2=43.7833333333333 +lat_0=43 +lon_0=-94 +x_0=800000 +y_0=100000 +datum=NAB83 +units=m +no_defs</f>
        <v>#NAME?</v>
      </c>
    </row>
    <row r="4682" spans="1:3" x14ac:dyDescent="0.25">
      <c r="A4682">
        <v>26994</v>
      </c>
      <c r="B4682" t="s">
        <v>6730</v>
      </c>
      <c r="C4682" t="e">
        <f>+proj=tmerc +lat_0=29.5 +lon_0=-88.8333333333333 +k=0.99995 +x_0=300000 +y_0=0 +datum=NAB83 +units=m +no_defs</f>
        <v>#NAME?</v>
      </c>
    </row>
    <row r="4683" spans="1:3" x14ac:dyDescent="0.25">
      <c r="A4683">
        <v>26995</v>
      </c>
      <c r="B4683" t="s">
        <v>6731</v>
      </c>
      <c r="C4683" t="e">
        <f>+proj=tmerc +lat_0=29.5 +lon_0=-90.3333333333333 +k=0.99995 +x_0=700000 +y_0=0 +datum=NAB83 +units=m +no_defs</f>
        <v>#NAME?</v>
      </c>
    </row>
    <row r="4684" spans="1:3" x14ac:dyDescent="0.25">
      <c r="A4684">
        <v>26996</v>
      </c>
      <c r="B4684" t="s">
        <v>6732</v>
      </c>
      <c r="C4684" t="e">
        <f>+proj=tmerc +lat_0=35.8333333333333 +lon_0=-90.5 +k=0.999933333 +x_0=250000 +y_0=0 +datum=NAB83 +units=m +no_defs</f>
        <v>#NAME?</v>
      </c>
    </row>
    <row r="4685" spans="1:3" x14ac:dyDescent="0.25">
      <c r="A4685">
        <v>26997</v>
      </c>
      <c r="B4685" t="s">
        <v>6733</v>
      </c>
      <c r="C4685" t="e">
        <f>+proj=tmerc +lat_0=35.8333333333333 +lon_0=-92.5 +k=0.999933333 +x_0=500000 +y_0=0 +datum=NAB83 +units=m +no_defs</f>
        <v>#NAME?</v>
      </c>
    </row>
    <row r="4686" spans="1:3" x14ac:dyDescent="0.25">
      <c r="A4686">
        <v>26998</v>
      </c>
      <c r="B4686" t="s">
        <v>6734</v>
      </c>
      <c r="C4686" t="e">
        <f>+proj=tmerc +lat_0=36.1666666666666 +lon_0=-94.5 +k=0.999941177 +x_0=850000 +y_0=0 +datum=NAB83 +units=m +no_defs</f>
        <v>#NAME?</v>
      </c>
    </row>
    <row r="4687" spans="1:3" x14ac:dyDescent="0.25">
      <c r="A4687">
        <v>27037</v>
      </c>
      <c r="B4687" t="s">
        <v>6735</v>
      </c>
      <c r="C4687" t="s">
        <v>6736</v>
      </c>
    </row>
    <row r="4688" spans="1:3" x14ac:dyDescent="0.25">
      <c r="A4688">
        <v>27038</v>
      </c>
      <c r="B4688" t="s">
        <v>6737</v>
      </c>
      <c r="C4688" t="s">
        <v>6738</v>
      </c>
    </row>
    <row r="4689" spans="1:3" x14ac:dyDescent="0.25">
      <c r="A4689">
        <v>27039</v>
      </c>
      <c r="B4689" t="s">
        <v>6739</v>
      </c>
      <c r="C4689" t="s">
        <v>6740</v>
      </c>
    </row>
    <row r="4690" spans="1:3" x14ac:dyDescent="0.25">
      <c r="A4690">
        <v>27040</v>
      </c>
      <c r="B4690" t="s">
        <v>6741</v>
      </c>
      <c r="C4690" t="s">
        <v>6742</v>
      </c>
    </row>
    <row r="4691" spans="1:3" x14ac:dyDescent="0.25">
      <c r="A4691">
        <v>27120</v>
      </c>
      <c r="B4691" t="s">
        <v>6743</v>
      </c>
      <c r="C4691" t="s">
        <v>6744</v>
      </c>
    </row>
    <row r="4692" spans="1:3" x14ac:dyDescent="0.25">
      <c r="A4692">
        <v>27200</v>
      </c>
      <c r="B4692" t="s">
        <v>6745</v>
      </c>
      <c r="C4692" t="s">
        <v>6746</v>
      </c>
    </row>
    <row r="4693" spans="1:3" x14ac:dyDescent="0.25">
      <c r="A4693">
        <v>27429</v>
      </c>
      <c r="B4693" t="s">
        <v>6747</v>
      </c>
      <c r="C4693" t="s">
        <v>6748</v>
      </c>
    </row>
    <row r="4694" spans="1:3" x14ac:dyDescent="0.25">
      <c r="A4694">
        <v>27205</v>
      </c>
      <c r="B4694" t="s">
        <v>6749</v>
      </c>
      <c r="C4694" t="s">
        <v>6750</v>
      </c>
    </row>
    <row r="4695" spans="1:3" x14ac:dyDescent="0.25">
      <c r="A4695">
        <v>27206</v>
      </c>
      <c r="B4695" t="s">
        <v>6751</v>
      </c>
      <c r="C4695" t="s">
        <v>6752</v>
      </c>
    </row>
    <row r="4696" spans="1:3" x14ac:dyDescent="0.25">
      <c r="A4696">
        <v>27207</v>
      </c>
      <c r="B4696" t="s">
        <v>6753</v>
      </c>
      <c r="C4696" t="s">
        <v>6754</v>
      </c>
    </row>
    <row r="4697" spans="1:3" x14ac:dyDescent="0.25">
      <c r="A4697">
        <v>27208</v>
      </c>
      <c r="B4697" t="s">
        <v>6755</v>
      </c>
      <c r="C4697" t="s">
        <v>6756</v>
      </c>
    </row>
    <row r="4698" spans="1:3" x14ac:dyDescent="0.25">
      <c r="A4698">
        <v>27209</v>
      </c>
      <c r="B4698" t="s">
        <v>6757</v>
      </c>
      <c r="C4698" t="s">
        <v>6758</v>
      </c>
    </row>
    <row r="4699" spans="1:3" x14ac:dyDescent="0.25">
      <c r="A4699">
        <v>27210</v>
      </c>
      <c r="B4699" t="s">
        <v>6759</v>
      </c>
      <c r="C4699" t="s">
        <v>6760</v>
      </c>
    </row>
    <row r="4700" spans="1:3" x14ac:dyDescent="0.25">
      <c r="A4700">
        <v>27211</v>
      </c>
      <c r="B4700" t="s">
        <v>6761</v>
      </c>
      <c r="C4700" t="s">
        <v>6762</v>
      </c>
    </row>
    <row r="4701" spans="1:3" x14ac:dyDescent="0.25">
      <c r="A4701">
        <v>27212</v>
      </c>
      <c r="B4701" t="s">
        <v>6763</v>
      </c>
      <c r="C4701" t="s">
        <v>6764</v>
      </c>
    </row>
    <row r="4702" spans="1:3" x14ac:dyDescent="0.25">
      <c r="A4702">
        <v>32615</v>
      </c>
      <c r="B4702" t="s">
        <v>6765</v>
      </c>
      <c r="C4702" t="e">
        <f>+proj=utm +zone=15 +datum=WGQ84 +units=m +no_defs</f>
        <v>#NAME?</v>
      </c>
    </row>
    <row r="4703" spans="1:3" x14ac:dyDescent="0.25">
      <c r="A4703">
        <v>27213</v>
      </c>
      <c r="B4703" t="s">
        <v>6766</v>
      </c>
      <c r="C4703" t="e">
        <f>+proj=tmerc +lat_0=-41.3013196388888 +lon_0=174.776623111111 +k=1 +x_0=300000 +y_0=700000 +datum=nzgd49 +units=m +no_defs</f>
        <v>#NAME?</v>
      </c>
    </row>
    <row r="4704" spans="1:3" x14ac:dyDescent="0.25">
      <c r="A4704">
        <v>27214</v>
      </c>
      <c r="B4704" t="s">
        <v>6767</v>
      </c>
      <c r="C4704" t="s">
        <v>6768</v>
      </c>
    </row>
    <row r="4705" spans="1:3" x14ac:dyDescent="0.25">
      <c r="A4705">
        <v>27215</v>
      </c>
      <c r="B4705" t="s">
        <v>6769</v>
      </c>
      <c r="C4705" t="s">
        <v>6770</v>
      </c>
    </row>
    <row r="4706" spans="1:3" x14ac:dyDescent="0.25">
      <c r="A4706">
        <v>27216</v>
      </c>
      <c r="B4706" t="s">
        <v>6771</v>
      </c>
      <c r="C4706" t="s">
        <v>6772</v>
      </c>
    </row>
    <row r="4707" spans="1:3" x14ac:dyDescent="0.25">
      <c r="A4707">
        <v>27217</v>
      </c>
      <c r="B4707" t="s">
        <v>6773</v>
      </c>
      <c r="C4707" t="s">
        <v>6774</v>
      </c>
    </row>
    <row r="4708" spans="1:3" x14ac:dyDescent="0.25">
      <c r="A4708">
        <v>27218</v>
      </c>
      <c r="B4708" t="s">
        <v>6775</v>
      </c>
      <c r="C4708" t="s">
        <v>6776</v>
      </c>
    </row>
    <row r="4709" spans="1:3" x14ac:dyDescent="0.25">
      <c r="A4709">
        <v>27219</v>
      </c>
      <c r="B4709" t="s">
        <v>6777</v>
      </c>
      <c r="C4709" t="s">
        <v>6778</v>
      </c>
    </row>
    <row r="4710" spans="1:3" x14ac:dyDescent="0.25">
      <c r="A4710">
        <v>27220</v>
      </c>
      <c r="B4710" t="s">
        <v>6779</v>
      </c>
      <c r="C4710" t="s">
        <v>6780</v>
      </c>
    </row>
    <row r="4711" spans="1:3" x14ac:dyDescent="0.25">
      <c r="A4711">
        <v>28348</v>
      </c>
      <c r="B4711" t="s">
        <v>6781</v>
      </c>
      <c r="C4711" t="s">
        <v>6782</v>
      </c>
    </row>
    <row r="4712" spans="1:3" x14ac:dyDescent="0.25">
      <c r="A4712">
        <v>27221</v>
      </c>
      <c r="B4712" t="s">
        <v>6783</v>
      </c>
      <c r="C4712" t="s">
        <v>6784</v>
      </c>
    </row>
    <row r="4713" spans="1:3" x14ac:dyDescent="0.25">
      <c r="A4713">
        <v>27222</v>
      </c>
      <c r="B4713" t="s">
        <v>6785</v>
      </c>
      <c r="C4713" t="s">
        <v>6786</v>
      </c>
    </row>
    <row r="4714" spans="1:3" x14ac:dyDescent="0.25">
      <c r="A4714">
        <v>27223</v>
      </c>
      <c r="B4714" t="s">
        <v>6787</v>
      </c>
      <c r="C4714" t="s">
        <v>6788</v>
      </c>
    </row>
    <row r="4715" spans="1:3" x14ac:dyDescent="0.25">
      <c r="A4715">
        <v>27224</v>
      </c>
      <c r="B4715" t="s">
        <v>6789</v>
      </c>
      <c r="C4715" t="s">
        <v>6790</v>
      </c>
    </row>
    <row r="4716" spans="1:3" x14ac:dyDescent="0.25">
      <c r="A4716">
        <v>27225</v>
      </c>
      <c r="B4716" t="s">
        <v>6791</v>
      </c>
      <c r="C4716" t="s">
        <v>6792</v>
      </c>
    </row>
    <row r="4717" spans="1:3" x14ac:dyDescent="0.25">
      <c r="A4717">
        <v>27226</v>
      </c>
      <c r="B4717" t="s">
        <v>6793</v>
      </c>
      <c r="C4717" t="s">
        <v>6794</v>
      </c>
    </row>
    <row r="4718" spans="1:3" x14ac:dyDescent="0.25">
      <c r="A4718">
        <v>27227</v>
      </c>
      <c r="B4718" t="s">
        <v>6795</v>
      </c>
      <c r="C4718" t="s">
        <v>6796</v>
      </c>
    </row>
    <row r="4719" spans="1:3" x14ac:dyDescent="0.25">
      <c r="A4719">
        <v>27228</v>
      </c>
      <c r="B4719" t="s">
        <v>6797</v>
      </c>
      <c r="C4719" t="s">
        <v>6798</v>
      </c>
    </row>
    <row r="4720" spans="1:3" x14ac:dyDescent="0.25">
      <c r="A4720">
        <v>32616</v>
      </c>
      <c r="B4720" t="s">
        <v>6799</v>
      </c>
      <c r="C4720" t="e">
        <f>+proj=utm +zone=16 +datum=WGQ84 +units=m +no_defs</f>
        <v>#NAME?</v>
      </c>
    </row>
    <row r="4721" spans="1:3" x14ac:dyDescent="0.25">
      <c r="A4721">
        <v>27229</v>
      </c>
      <c r="B4721" t="s">
        <v>6800</v>
      </c>
      <c r="C4721" t="s">
        <v>6801</v>
      </c>
    </row>
    <row r="4722" spans="1:3" x14ac:dyDescent="0.25">
      <c r="A4722">
        <v>27230</v>
      </c>
      <c r="B4722" t="s">
        <v>6802</v>
      </c>
      <c r="C4722" t="s">
        <v>6803</v>
      </c>
    </row>
    <row r="4723" spans="1:3" x14ac:dyDescent="0.25">
      <c r="A4723">
        <v>27231</v>
      </c>
      <c r="B4723" t="s">
        <v>6804</v>
      </c>
      <c r="C4723" t="s">
        <v>6805</v>
      </c>
    </row>
    <row r="4724" spans="1:3" x14ac:dyDescent="0.25">
      <c r="A4724">
        <v>27232</v>
      </c>
      <c r="B4724" t="s">
        <v>6806</v>
      </c>
      <c r="C4724" t="s">
        <v>6807</v>
      </c>
    </row>
    <row r="4725" spans="1:3" x14ac:dyDescent="0.25">
      <c r="A4725">
        <v>27258</v>
      </c>
      <c r="B4725" t="s">
        <v>6808</v>
      </c>
      <c r="C4725" t="s">
        <v>6809</v>
      </c>
    </row>
    <row r="4726" spans="1:3" x14ac:dyDescent="0.25">
      <c r="A4726">
        <v>27259</v>
      </c>
      <c r="B4726" t="s">
        <v>6810</v>
      </c>
      <c r="C4726" t="s">
        <v>6811</v>
      </c>
    </row>
    <row r="4727" spans="1:3" x14ac:dyDescent="0.25">
      <c r="A4727">
        <v>27260</v>
      </c>
      <c r="B4727" t="s">
        <v>6812</v>
      </c>
      <c r="C4727" t="s">
        <v>6813</v>
      </c>
    </row>
    <row r="4728" spans="1:3" x14ac:dyDescent="0.25">
      <c r="A4728">
        <v>27291</v>
      </c>
      <c r="B4728" t="s">
        <v>6814</v>
      </c>
      <c r="C4728" t="s">
        <v>6815</v>
      </c>
    </row>
    <row r="4729" spans="1:3" x14ac:dyDescent="0.25">
      <c r="A4729">
        <v>28349</v>
      </c>
      <c r="B4729" t="s">
        <v>6816</v>
      </c>
      <c r="C4729" t="s">
        <v>6817</v>
      </c>
    </row>
    <row r="4730" spans="1:3" x14ac:dyDescent="0.25">
      <c r="A4730">
        <v>27292</v>
      </c>
      <c r="B4730" t="s">
        <v>6818</v>
      </c>
      <c r="C4730" t="s">
        <v>6819</v>
      </c>
    </row>
    <row r="4731" spans="1:3" x14ac:dyDescent="0.25">
      <c r="A4731">
        <v>27391</v>
      </c>
      <c r="B4731" t="s">
        <v>6820</v>
      </c>
      <c r="C4731" t="s">
        <v>6821</v>
      </c>
    </row>
    <row r="4732" spans="1:3" x14ac:dyDescent="0.25">
      <c r="A4732">
        <v>27392</v>
      </c>
      <c r="B4732" t="s">
        <v>6822</v>
      </c>
      <c r="C4732" t="s">
        <v>6823</v>
      </c>
    </row>
    <row r="4733" spans="1:3" x14ac:dyDescent="0.25">
      <c r="A4733">
        <v>27393</v>
      </c>
      <c r="B4733" t="s">
        <v>6824</v>
      </c>
      <c r="C4733" t="s">
        <v>6825</v>
      </c>
    </row>
    <row r="4734" spans="1:3" x14ac:dyDescent="0.25">
      <c r="A4734">
        <v>27394</v>
      </c>
      <c r="B4734" t="s">
        <v>6826</v>
      </c>
      <c r="C4734" t="s">
        <v>6827</v>
      </c>
    </row>
    <row r="4735" spans="1:3" x14ac:dyDescent="0.25">
      <c r="A4735">
        <v>27395</v>
      </c>
      <c r="B4735" t="s">
        <v>6828</v>
      </c>
      <c r="C4735" t="s">
        <v>6829</v>
      </c>
    </row>
    <row r="4736" spans="1:3" x14ac:dyDescent="0.25">
      <c r="A4736">
        <v>27396</v>
      </c>
      <c r="B4736" t="s">
        <v>6830</v>
      </c>
      <c r="C4736" t="s">
        <v>6831</v>
      </c>
    </row>
    <row r="4737" spans="1:3" x14ac:dyDescent="0.25">
      <c r="A4737">
        <v>27397</v>
      </c>
      <c r="B4737" t="s">
        <v>6832</v>
      </c>
      <c r="C4737" t="s">
        <v>6833</v>
      </c>
    </row>
    <row r="4738" spans="1:3" x14ac:dyDescent="0.25">
      <c r="A4738">
        <v>27398</v>
      </c>
      <c r="B4738" t="s">
        <v>6834</v>
      </c>
      <c r="C4738" t="s">
        <v>6835</v>
      </c>
    </row>
    <row r="4739" spans="1:3" x14ac:dyDescent="0.25">
      <c r="A4739">
        <v>27492</v>
      </c>
      <c r="B4739" t="s">
        <v>6836</v>
      </c>
      <c r="C4739" t="s">
        <v>6837</v>
      </c>
    </row>
    <row r="4740" spans="1:3" x14ac:dyDescent="0.25">
      <c r="A4740">
        <v>27493</v>
      </c>
      <c r="B4740" t="s">
        <v>6838</v>
      </c>
      <c r="C4740" t="s">
        <v>6837</v>
      </c>
    </row>
    <row r="4741" spans="1:3" x14ac:dyDescent="0.25">
      <c r="A4741">
        <v>27500</v>
      </c>
      <c r="B4741" t="s">
        <v>6839</v>
      </c>
      <c r="C4741" t="e">
        <f>+proj=lcc +lat_1=49.5 +lat_0=49.5 +lon_0=5.39999999999999 +k_0=0.99950908 +x_0=500000 +y_0=300000 +a=6376523 +b=6355862.93325557 +pm=2.33720833333333 +units=m +no_defs</f>
        <v>#NAME?</v>
      </c>
    </row>
    <row r="4742" spans="1:3" x14ac:dyDescent="0.25">
      <c r="A4742">
        <v>27561</v>
      </c>
      <c r="B4742" t="s">
        <v>6840</v>
      </c>
      <c r="C4742" t="s">
        <v>6841</v>
      </c>
    </row>
    <row r="4743" spans="1:3" x14ac:dyDescent="0.25">
      <c r="A4743">
        <v>27562</v>
      </c>
      <c r="B4743" t="s">
        <v>6842</v>
      </c>
      <c r="C4743" t="s">
        <v>6843</v>
      </c>
    </row>
    <row r="4744" spans="1:3" x14ac:dyDescent="0.25">
      <c r="A4744">
        <v>27563</v>
      </c>
      <c r="B4744" t="s">
        <v>6844</v>
      </c>
      <c r="C4744" t="s">
        <v>6845</v>
      </c>
    </row>
    <row r="4745" spans="1:3" x14ac:dyDescent="0.25">
      <c r="A4745">
        <v>27564</v>
      </c>
      <c r="B4745" t="s">
        <v>6846</v>
      </c>
      <c r="C4745" t="s">
        <v>6847</v>
      </c>
    </row>
    <row r="4746" spans="1:3" x14ac:dyDescent="0.25">
      <c r="A4746">
        <v>27571</v>
      </c>
      <c r="B4746" t="s">
        <v>6848</v>
      </c>
      <c r="C4746" t="s">
        <v>6849</v>
      </c>
    </row>
    <row r="4747" spans="1:3" x14ac:dyDescent="0.25">
      <c r="A4747">
        <v>32617</v>
      </c>
      <c r="B4747" t="s">
        <v>6850</v>
      </c>
      <c r="C4747" t="e">
        <f>+proj=utm +zone=17 +datum=WGQ84 +units=m +no_defs</f>
        <v>#NAME?</v>
      </c>
    </row>
    <row r="4748" spans="1:3" x14ac:dyDescent="0.25">
      <c r="A4748">
        <v>27572</v>
      </c>
      <c r="B4748" t="s">
        <v>6851</v>
      </c>
      <c r="C4748" t="s">
        <v>6852</v>
      </c>
    </row>
    <row r="4749" spans="1:3" x14ac:dyDescent="0.25">
      <c r="A4749">
        <v>27573</v>
      </c>
      <c r="B4749" t="s">
        <v>6853</v>
      </c>
      <c r="C4749" t="s">
        <v>6854</v>
      </c>
    </row>
    <row r="4750" spans="1:3" x14ac:dyDescent="0.25">
      <c r="A4750">
        <v>27574</v>
      </c>
      <c r="B4750" t="s">
        <v>6855</v>
      </c>
      <c r="C4750" t="s">
        <v>6856</v>
      </c>
    </row>
    <row r="4751" spans="1:3" x14ac:dyDescent="0.25">
      <c r="A4751">
        <v>27581</v>
      </c>
      <c r="B4751" t="s">
        <v>6857</v>
      </c>
      <c r="C4751" t="s">
        <v>6849</v>
      </c>
    </row>
    <row r="4752" spans="1:3" x14ac:dyDescent="0.25">
      <c r="A4752">
        <v>27582</v>
      </c>
      <c r="B4752" t="s">
        <v>6858</v>
      </c>
      <c r="C4752" t="s">
        <v>6852</v>
      </c>
    </row>
    <row r="4753" spans="1:3" x14ac:dyDescent="0.25">
      <c r="A4753">
        <v>27583</v>
      </c>
      <c r="B4753" t="s">
        <v>6859</v>
      </c>
      <c r="C4753" t="s">
        <v>6854</v>
      </c>
    </row>
    <row r="4754" spans="1:3" x14ac:dyDescent="0.25">
      <c r="A4754">
        <v>27584</v>
      </c>
      <c r="B4754" t="s">
        <v>6860</v>
      </c>
      <c r="C4754" t="s">
        <v>6856</v>
      </c>
    </row>
    <row r="4755" spans="1:3" x14ac:dyDescent="0.25">
      <c r="A4755">
        <v>27591</v>
      </c>
      <c r="B4755" t="s">
        <v>6861</v>
      </c>
      <c r="C4755" t="s">
        <v>6841</v>
      </c>
    </row>
    <row r="4756" spans="1:3" x14ac:dyDescent="0.25">
      <c r="A4756">
        <v>5487</v>
      </c>
      <c r="B4756" t="s">
        <v>6862</v>
      </c>
      <c r="C4756" t="e">
        <f>+proj=geocent +ellps=GRQ80 +units=m +no_defs</f>
        <v>#NAME?</v>
      </c>
    </row>
    <row r="4757" spans="1:3" x14ac:dyDescent="0.25">
      <c r="A4757">
        <v>27592</v>
      </c>
      <c r="B4757" t="s">
        <v>6863</v>
      </c>
      <c r="C4757" t="s">
        <v>6843</v>
      </c>
    </row>
    <row r="4758" spans="1:3" x14ac:dyDescent="0.25">
      <c r="A4758">
        <v>27593</v>
      </c>
      <c r="B4758" t="s">
        <v>6864</v>
      </c>
      <c r="C4758" t="s">
        <v>6845</v>
      </c>
    </row>
    <row r="4759" spans="1:3" x14ac:dyDescent="0.25">
      <c r="A4759">
        <v>27594</v>
      </c>
      <c r="B4759" t="s">
        <v>6865</v>
      </c>
      <c r="C4759" t="s">
        <v>6847</v>
      </c>
    </row>
    <row r="4760" spans="1:3" x14ac:dyDescent="0.25">
      <c r="A4760">
        <v>27700</v>
      </c>
      <c r="B4760" t="s">
        <v>6866</v>
      </c>
      <c r="C4760" t="e">
        <f>+proj=tmerc +lat_0=49 +lon_0=-2 +k=0.9996012717 +x_0=400000 +y_0=-100000 +datum=OSGB36 +units=m +no_defs</f>
        <v>#NAME?</v>
      </c>
    </row>
    <row r="4761" spans="1:3" x14ac:dyDescent="0.25">
      <c r="A4761">
        <v>28191</v>
      </c>
      <c r="B4761" t="s">
        <v>6867</v>
      </c>
      <c r="C4761" t="s">
        <v>6868</v>
      </c>
    </row>
    <row r="4762" spans="1:3" x14ac:dyDescent="0.25">
      <c r="A4762">
        <v>28192</v>
      </c>
      <c r="B4762" t="s">
        <v>6869</v>
      </c>
      <c r="C4762" t="s">
        <v>6870</v>
      </c>
    </row>
    <row r="4763" spans="1:3" x14ac:dyDescent="0.25">
      <c r="A4763">
        <v>28193</v>
      </c>
      <c r="B4763" t="s">
        <v>6871</v>
      </c>
      <c r="C4763" t="s">
        <v>6872</v>
      </c>
    </row>
    <row r="4764" spans="1:3" x14ac:dyDescent="0.25">
      <c r="A4764">
        <v>28232</v>
      </c>
      <c r="B4764" t="s">
        <v>6873</v>
      </c>
      <c r="C4764" t="s">
        <v>6874</v>
      </c>
    </row>
    <row r="4765" spans="1:3" x14ac:dyDescent="0.25">
      <c r="A4765">
        <v>32618</v>
      </c>
      <c r="B4765" t="s">
        <v>6875</v>
      </c>
      <c r="C4765" t="e">
        <f>+proj=utm +zone=18 +datum=WGQ84 +units=m +no_defs</f>
        <v>#NAME?</v>
      </c>
    </row>
    <row r="4766" spans="1:3" x14ac:dyDescent="0.25">
      <c r="A4766">
        <v>28350</v>
      </c>
      <c r="B4766" t="s">
        <v>6876</v>
      </c>
      <c r="C4766" t="s">
        <v>6877</v>
      </c>
    </row>
    <row r="4767" spans="1:3" x14ac:dyDescent="0.25">
      <c r="A4767">
        <v>28351</v>
      </c>
      <c r="B4767" t="s">
        <v>6878</v>
      </c>
      <c r="C4767" t="s">
        <v>6879</v>
      </c>
    </row>
    <row r="4768" spans="1:3" x14ac:dyDescent="0.25">
      <c r="A4768">
        <v>28352</v>
      </c>
      <c r="B4768" t="s">
        <v>6880</v>
      </c>
      <c r="C4768" t="s">
        <v>6881</v>
      </c>
    </row>
    <row r="4769" spans="1:3" x14ac:dyDescent="0.25">
      <c r="A4769">
        <v>28353</v>
      </c>
      <c r="B4769" t="s">
        <v>6882</v>
      </c>
      <c r="C4769" t="s">
        <v>6883</v>
      </c>
    </row>
    <row r="4770" spans="1:3" x14ac:dyDescent="0.25">
      <c r="A4770">
        <v>28354</v>
      </c>
      <c r="B4770" t="s">
        <v>6884</v>
      </c>
      <c r="C4770" t="s">
        <v>4305</v>
      </c>
    </row>
    <row r="4771" spans="1:3" x14ac:dyDescent="0.25">
      <c r="A4771">
        <v>28355</v>
      </c>
      <c r="B4771" t="s">
        <v>6885</v>
      </c>
      <c r="C4771" t="s">
        <v>4307</v>
      </c>
    </row>
    <row r="4772" spans="1:3" x14ac:dyDescent="0.25">
      <c r="A4772">
        <v>28356</v>
      </c>
      <c r="B4772" t="s">
        <v>6886</v>
      </c>
      <c r="C4772" t="s">
        <v>4309</v>
      </c>
    </row>
    <row r="4773" spans="1:3" x14ac:dyDescent="0.25">
      <c r="A4773">
        <v>28357</v>
      </c>
      <c r="B4773" t="s">
        <v>6887</v>
      </c>
      <c r="C4773" t="s">
        <v>2760</v>
      </c>
    </row>
    <row r="4774" spans="1:3" x14ac:dyDescent="0.25">
      <c r="A4774">
        <v>28358</v>
      </c>
      <c r="B4774" t="s">
        <v>6888</v>
      </c>
      <c r="C4774" t="s">
        <v>1009</v>
      </c>
    </row>
    <row r="4775" spans="1:3" x14ac:dyDescent="0.25">
      <c r="A4775">
        <v>28402</v>
      </c>
      <c r="B4775" t="s">
        <v>6889</v>
      </c>
      <c r="C4775" t="s">
        <v>6890</v>
      </c>
    </row>
    <row r="4776" spans="1:3" x14ac:dyDescent="0.25">
      <c r="A4776">
        <v>28403</v>
      </c>
      <c r="B4776" t="s">
        <v>6891</v>
      </c>
      <c r="C4776" t="s">
        <v>6892</v>
      </c>
    </row>
    <row r="4777" spans="1:3" x14ac:dyDescent="0.25">
      <c r="A4777">
        <v>28404</v>
      </c>
      <c r="B4777" t="s">
        <v>6893</v>
      </c>
      <c r="C4777" t="s">
        <v>6894</v>
      </c>
    </row>
    <row r="4778" spans="1:3" x14ac:dyDescent="0.25">
      <c r="A4778">
        <v>28405</v>
      </c>
      <c r="B4778" t="s">
        <v>6895</v>
      </c>
      <c r="C4778" t="s">
        <v>6896</v>
      </c>
    </row>
    <row r="4779" spans="1:3" x14ac:dyDescent="0.25">
      <c r="A4779">
        <v>28406</v>
      </c>
      <c r="B4779" t="s">
        <v>6897</v>
      </c>
      <c r="C4779" t="s">
        <v>6898</v>
      </c>
    </row>
    <row r="4780" spans="1:3" x14ac:dyDescent="0.25">
      <c r="A4780">
        <v>28407</v>
      </c>
      <c r="B4780" t="s">
        <v>6899</v>
      </c>
      <c r="C4780" t="s">
        <v>6900</v>
      </c>
    </row>
    <row r="4781" spans="1:3" x14ac:dyDescent="0.25">
      <c r="A4781">
        <v>28408</v>
      </c>
      <c r="B4781" t="s">
        <v>6901</v>
      </c>
      <c r="C4781" t="s">
        <v>6902</v>
      </c>
    </row>
    <row r="4782" spans="1:3" x14ac:dyDescent="0.25">
      <c r="A4782">
        <v>28409</v>
      </c>
      <c r="B4782" t="s">
        <v>6903</v>
      </c>
      <c r="C4782" t="s">
        <v>6904</v>
      </c>
    </row>
    <row r="4783" spans="1:3" x14ac:dyDescent="0.25">
      <c r="A4783">
        <v>28410</v>
      </c>
      <c r="B4783" t="s">
        <v>6905</v>
      </c>
      <c r="C4783" t="s">
        <v>6906</v>
      </c>
    </row>
    <row r="4784" spans="1:3" x14ac:dyDescent="0.25">
      <c r="A4784">
        <v>28411</v>
      </c>
      <c r="B4784" t="s">
        <v>6907</v>
      </c>
      <c r="C4784" t="s">
        <v>6908</v>
      </c>
    </row>
    <row r="4785" spans="1:3" x14ac:dyDescent="0.25">
      <c r="A4785">
        <v>28412</v>
      </c>
      <c r="B4785" t="s">
        <v>6909</v>
      </c>
      <c r="C4785" t="s">
        <v>6910</v>
      </c>
    </row>
    <row r="4786" spans="1:3" x14ac:dyDescent="0.25">
      <c r="A4786">
        <v>28413</v>
      </c>
      <c r="B4786" t="s">
        <v>6911</v>
      </c>
      <c r="C4786" t="s">
        <v>6912</v>
      </c>
    </row>
    <row r="4787" spans="1:3" x14ac:dyDescent="0.25">
      <c r="A4787">
        <v>28414</v>
      </c>
      <c r="B4787" t="s">
        <v>6913</v>
      </c>
      <c r="C4787" t="s">
        <v>6914</v>
      </c>
    </row>
    <row r="4788" spans="1:3" x14ac:dyDescent="0.25">
      <c r="A4788">
        <v>28415</v>
      </c>
      <c r="B4788" t="s">
        <v>6915</v>
      </c>
      <c r="C4788" t="s">
        <v>6916</v>
      </c>
    </row>
    <row r="4789" spans="1:3" x14ac:dyDescent="0.25">
      <c r="A4789">
        <v>28416</v>
      </c>
      <c r="B4789" t="s">
        <v>6917</v>
      </c>
      <c r="C4789" t="s">
        <v>6918</v>
      </c>
    </row>
    <row r="4790" spans="1:3" x14ac:dyDescent="0.25">
      <c r="A4790">
        <v>28417</v>
      </c>
      <c r="B4790" t="s">
        <v>6919</v>
      </c>
      <c r="C4790" t="s">
        <v>6920</v>
      </c>
    </row>
    <row r="4791" spans="1:3" x14ac:dyDescent="0.25">
      <c r="A4791">
        <v>28418</v>
      </c>
      <c r="B4791" t="s">
        <v>6921</v>
      </c>
      <c r="C4791" t="s">
        <v>6922</v>
      </c>
    </row>
    <row r="4792" spans="1:3" x14ac:dyDescent="0.25">
      <c r="A4792">
        <v>28419</v>
      </c>
      <c r="B4792" t="s">
        <v>6923</v>
      </c>
      <c r="C4792" t="s">
        <v>6924</v>
      </c>
    </row>
    <row r="4793" spans="1:3" x14ac:dyDescent="0.25">
      <c r="A4793">
        <v>28420</v>
      </c>
      <c r="B4793" t="s">
        <v>6925</v>
      </c>
      <c r="C4793" t="s">
        <v>6926</v>
      </c>
    </row>
    <row r="4794" spans="1:3" x14ac:dyDescent="0.25">
      <c r="A4794">
        <v>28421</v>
      </c>
      <c r="B4794" t="s">
        <v>6927</v>
      </c>
      <c r="C4794" t="s">
        <v>6928</v>
      </c>
    </row>
    <row r="4795" spans="1:3" x14ac:dyDescent="0.25">
      <c r="A4795">
        <v>28422</v>
      </c>
      <c r="B4795" t="s">
        <v>6929</v>
      </c>
      <c r="C4795" t="s">
        <v>6930</v>
      </c>
    </row>
    <row r="4796" spans="1:3" x14ac:dyDescent="0.25">
      <c r="A4796">
        <v>28423</v>
      </c>
      <c r="B4796" t="s">
        <v>6931</v>
      </c>
      <c r="C4796" t="s">
        <v>6932</v>
      </c>
    </row>
    <row r="4797" spans="1:3" x14ac:dyDescent="0.25">
      <c r="A4797">
        <v>28424</v>
      </c>
      <c r="B4797" t="s">
        <v>6933</v>
      </c>
      <c r="C4797" t="s">
        <v>6934</v>
      </c>
    </row>
    <row r="4798" spans="1:3" x14ac:dyDescent="0.25">
      <c r="A4798">
        <v>28425</v>
      </c>
      <c r="B4798" t="s">
        <v>6935</v>
      </c>
      <c r="C4798" t="s">
        <v>6936</v>
      </c>
    </row>
    <row r="4799" spans="1:3" x14ac:dyDescent="0.25">
      <c r="A4799">
        <v>28426</v>
      </c>
      <c r="B4799" t="s">
        <v>6937</v>
      </c>
      <c r="C4799" t="s">
        <v>6938</v>
      </c>
    </row>
    <row r="4800" spans="1:3" x14ac:dyDescent="0.25">
      <c r="A4800">
        <v>28427</v>
      </c>
      <c r="B4800" t="s">
        <v>6939</v>
      </c>
      <c r="C4800" t="s">
        <v>6940</v>
      </c>
    </row>
    <row r="4801" spans="1:3" x14ac:dyDescent="0.25">
      <c r="A4801">
        <v>28428</v>
      </c>
      <c r="B4801" t="s">
        <v>6941</v>
      </c>
      <c r="C4801" t="s">
        <v>6942</v>
      </c>
    </row>
    <row r="4802" spans="1:3" x14ac:dyDescent="0.25">
      <c r="A4802">
        <v>28429</v>
      </c>
      <c r="B4802" t="s">
        <v>6943</v>
      </c>
      <c r="C4802" t="s">
        <v>6944</v>
      </c>
    </row>
    <row r="4803" spans="1:3" x14ac:dyDescent="0.25">
      <c r="A4803">
        <v>28430</v>
      </c>
      <c r="B4803" t="s">
        <v>6945</v>
      </c>
      <c r="C4803" t="s">
        <v>6946</v>
      </c>
    </row>
    <row r="4804" spans="1:3" x14ac:dyDescent="0.25">
      <c r="A4804">
        <v>28431</v>
      </c>
      <c r="B4804" t="s">
        <v>6947</v>
      </c>
      <c r="C4804" t="s">
        <v>6948</v>
      </c>
    </row>
    <row r="4805" spans="1:3" x14ac:dyDescent="0.25">
      <c r="A4805">
        <v>28432</v>
      </c>
      <c r="B4805" t="s">
        <v>6949</v>
      </c>
      <c r="C4805" t="s">
        <v>6950</v>
      </c>
    </row>
    <row r="4806" spans="1:3" x14ac:dyDescent="0.25">
      <c r="A4806">
        <v>28462</v>
      </c>
      <c r="B4806" t="s">
        <v>6951</v>
      </c>
      <c r="C4806" t="s">
        <v>1530</v>
      </c>
    </row>
    <row r="4807" spans="1:3" x14ac:dyDescent="0.25">
      <c r="A4807">
        <v>28463</v>
      </c>
      <c r="B4807" t="s">
        <v>6952</v>
      </c>
      <c r="C4807" t="s">
        <v>1532</v>
      </c>
    </row>
    <row r="4808" spans="1:3" x14ac:dyDescent="0.25">
      <c r="A4808">
        <v>28464</v>
      </c>
      <c r="B4808" t="s">
        <v>6953</v>
      </c>
      <c r="C4808" t="s">
        <v>1534</v>
      </c>
    </row>
    <row r="4809" spans="1:3" x14ac:dyDescent="0.25">
      <c r="A4809">
        <v>28465</v>
      </c>
      <c r="B4809" t="s">
        <v>6954</v>
      </c>
      <c r="C4809" t="s">
        <v>1536</v>
      </c>
    </row>
    <row r="4810" spans="1:3" x14ac:dyDescent="0.25">
      <c r="A4810">
        <v>28466</v>
      </c>
      <c r="B4810" t="s">
        <v>6955</v>
      </c>
      <c r="C4810" t="s">
        <v>1538</v>
      </c>
    </row>
    <row r="4811" spans="1:3" x14ac:dyDescent="0.25">
      <c r="A4811">
        <v>28467</v>
      </c>
      <c r="B4811" t="s">
        <v>6956</v>
      </c>
      <c r="C4811" t="s">
        <v>1540</v>
      </c>
    </row>
    <row r="4812" spans="1:3" x14ac:dyDescent="0.25">
      <c r="A4812">
        <v>28468</v>
      </c>
      <c r="B4812" t="s">
        <v>6957</v>
      </c>
      <c r="C4812" t="s">
        <v>1542</v>
      </c>
    </row>
    <row r="4813" spans="1:3" x14ac:dyDescent="0.25">
      <c r="A4813">
        <v>28469</v>
      </c>
      <c r="B4813" t="s">
        <v>6958</v>
      </c>
      <c r="C4813" t="s">
        <v>1544</v>
      </c>
    </row>
    <row r="4814" spans="1:3" x14ac:dyDescent="0.25">
      <c r="A4814">
        <v>28470</v>
      </c>
      <c r="B4814" t="s">
        <v>6959</v>
      </c>
      <c r="C4814" t="s">
        <v>1546</v>
      </c>
    </row>
    <row r="4815" spans="1:3" x14ac:dyDescent="0.25">
      <c r="A4815">
        <v>29635</v>
      </c>
      <c r="B4815" t="s">
        <v>6960</v>
      </c>
      <c r="C4815" t="e">
        <f>+proj=utm +zone=35 +a=6378249.2 +b=6356515 +units=m +no_defs</f>
        <v>#NAME?</v>
      </c>
    </row>
    <row r="4816" spans="1:3" x14ac:dyDescent="0.25">
      <c r="A4816">
        <v>28471</v>
      </c>
      <c r="B4816" t="s">
        <v>6961</v>
      </c>
      <c r="C4816" t="s">
        <v>1548</v>
      </c>
    </row>
    <row r="4817" spans="1:3" x14ac:dyDescent="0.25">
      <c r="A4817">
        <v>28472</v>
      </c>
      <c r="B4817" t="s">
        <v>6962</v>
      </c>
      <c r="C4817" t="s">
        <v>1550</v>
      </c>
    </row>
    <row r="4818" spans="1:3" x14ac:dyDescent="0.25">
      <c r="A4818">
        <v>28473</v>
      </c>
      <c r="B4818" t="s">
        <v>6963</v>
      </c>
      <c r="C4818" t="s">
        <v>1552</v>
      </c>
    </row>
    <row r="4819" spans="1:3" x14ac:dyDescent="0.25">
      <c r="A4819">
        <v>28474</v>
      </c>
      <c r="B4819" t="s">
        <v>6964</v>
      </c>
      <c r="C4819" t="s">
        <v>1554</v>
      </c>
    </row>
    <row r="4820" spans="1:3" x14ac:dyDescent="0.25">
      <c r="A4820">
        <v>28475</v>
      </c>
      <c r="B4820" t="s">
        <v>6965</v>
      </c>
      <c r="C4820" t="s">
        <v>1556</v>
      </c>
    </row>
    <row r="4821" spans="1:3" x14ac:dyDescent="0.25">
      <c r="A4821">
        <v>28476</v>
      </c>
      <c r="B4821" t="s">
        <v>6966</v>
      </c>
      <c r="C4821" t="s">
        <v>1558</v>
      </c>
    </row>
    <row r="4822" spans="1:3" x14ac:dyDescent="0.25">
      <c r="A4822">
        <v>28477</v>
      </c>
      <c r="B4822" t="s">
        <v>6967</v>
      </c>
      <c r="C4822" t="s">
        <v>1560</v>
      </c>
    </row>
    <row r="4823" spans="1:3" x14ac:dyDescent="0.25">
      <c r="A4823">
        <v>28478</v>
      </c>
      <c r="B4823" t="s">
        <v>6968</v>
      </c>
      <c r="C4823" t="s">
        <v>1562</v>
      </c>
    </row>
    <row r="4824" spans="1:3" x14ac:dyDescent="0.25">
      <c r="A4824">
        <v>28479</v>
      </c>
      <c r="B4824" t="s">
        <v>6969</v>
      </c>
      <c r="C4824" t="s">
        <v>1564</v>
      </c>
    </row>
    <row r="4825" spans="1:3" x14ac:dyDescent="0.25">
      <c r="A4825">
        <v>29636</v>
      </c>
      <c r="B4825" t="s">
        <v>6970</v>
      </c>
      <c r="C4825" t="e">
        <f>+proj=utm +zone=36 +a=6378249.2 +b=6356515 +units=m +no_defs</f>
        <v>#NAME?</v>
      </c>
    </row>
    <row r="4826" spans="1:3" x14ac:dyDescent="0.25">
      <c r="A4826">
        <v>28480</v>
      </c>
      <c r="B4826" t="s">
        <v>6971</v>
      </c>
      <c r="C4826" t="s">
        <v>1566</v>
      </c>
    </row>
    <row r="4827" spans="1:3" x14ac:dyDescent="0.25">
      <c r="A4827">
        <v>28481</v>
      </c>
      <c r="B4827" t="s">
        <v>6972</v>
      </c>
      <c r="C4827" t="s">
        <v>1568</v>
      </c>
    </row>
    <row r="4828" spans="1:3" x14ac:dyDescent="0.25">
      <c r="A4828">
        <v>28482</v>
      </c>
      <c r="B4828" t="s">
        <v>6973</v>
      </c>
      <c r="C4828" t="s">
        <v>1570</v>
      </c>
    </row>
    <row r="4829" spans="1:3" x14ac:dyDescent="0.25">
      <c r="A4829">
        <v>28483</v>
      </c>
      <c r="B4829" t="s">
        <v>6974</v>
      </c>
      <c r="C4829" t="s">
        <v>1572</v>
      </c>
    </row>
    <row r="4830" spans="1:3" x14ac:dyDescent="0.25">
      <c r="A4830">
        <v>28484</v>
      </c>
      <c r="B4830" t="s">
        <v>6975</v>
      </c>
      <c r="C4830" t="s">
        <v>1574</v>
      </c>
    </row>
    <row r="4831" spans="1:3" x14ac:dyDescent="0.25">
      <c r="A4831">
        <v>28485</v>
      </c>
      <c r="B4831" t="s">
        <v>6976</v>
      </c>
      <c r="C4831" t="s">
        <v>1576</v>
      </c>
    </row>
    <row r="4832" spans="1:3" x14ac:dyDescent="0.25">
      <c r="A4832">
        <v>28486</v>
      </c>
      <c r="B4832" t="s">
        <v>6977</v>
      </c>
      <c r="C4832" t="s">
        <v>1578</v>
      </c>
    </row>
    <row r="4833" spans="1:3" x14ac:dyDescent="0.25">
      <c r="A4833">
        <v>28487</v>
      </c>
      <c r="B4833" t="s">
        <v>6978</v>
      </c>
      <c r="C4833" t="s">
        <v>1580</v>
      </c>
    </row>
    <row r="4834" spans="1:3" x14ac:dyDescent="0.25">
      <c r="A4834">
        <v>28488</v>
      </c>
      <c r="B4834" t="s">
        <v>6979</v>
      </c>
      <c r="C4834" t="s">
        <v>1582</v>
      </c>
    </row>
    <row r="4835" spans="1:3" x14ac:dyDescent="0.25">
      <c r="A4835">
        <v>30800</v>
      </c>
      <c r="B4835" t="s">
        <v>6980</v>
      </c>
      <c r="C4835" t="e">
        <f>+proj=tmerc +lat_0=0 +lon_0=15.8082777777777 +k=1 +x_0=1500000 +y_0=0 +ellps=bessel +units=m +no_defs</f>
        <v>#NAME?</v>
      </c>
    </row>
    <row r="4836" spans="1:3" x14ac:dyDescent="0.25">
      <c r="A4836">
        <v>28489</v>
      </c>
      <c r="B4836" t="s">
        <v>6981</v>
      </c>
      <c r="C4836" t="s">
        <v>1584</v>
      </c>
    </row>
    <row r="4837" spans="1:3" x14ac:dyDescent="0.25">
      <c r="A4837">
        <v>28490</v>
      </c>
      <c r="B4837" t="s">
        <v>6982</v>
      </c>
      <c r="C4837" t="s">
        <v>1586</v>
      </c>
    </row>
    <row r="4838" spans="1:3" x14ac:dyDescent="0.25">
      <c r="A4838">
        <v>28491</v>
      </c>
      <c r="B4838" t="s">
        <v>6983</v>
      </c>
      <c r="C4838" t="s">
        <v>1588</v>
      </c>
    </row>
    <row r="4839" spans="1:3" x14ac:dyDescent="0.25">
      <c r="A4839">
        <v>28492</v>
      </c>
      <c r="B4839" t="s">
        <v>6984</v>
      </c>
      <c r="C4839" t="s">
        <v>1590</v>
      </c>
    </row>
    <row r="4840" spans="1:3" x14ac:dyDescent="0.25">
      <c r="A4840">
        <v>28600</v>
      </c>
      <c r="B4840" t="s">
        <v>6985</v>
      </c>
      <c r="C4840" t="s">
        <v>6986</v>
      </c>
    </row>
    <row r="4841" spans="1:3" x14ac:dyDescent="0.25">
      <c r="A4841">
        <v>28991</v>
      </c>
      <c r="B4841" t="s">
        <v>6987</v>
      </c>
      <c r="C4841" t="s">
        <v>6988</v>
      </c>
    </row>
    <row r="4842" spans="1:3" x14ac:dyDescent="0.25">
      <c r="A4842">
        <v>28992</v>
      </c>
      <c r="B4842" t="s">
        <v>6989</v>
      </c>
      <c r="C4842" t="s">
        <v>6990</v>
      </c>
    </row>
    <row r="4843" spans="1:3" x14ac:dyDescent="0.25">
      <c r="A4843">
        <v>29100</v>
      </c>
      <c r="B4843" t="s">
        <v>6991</v>
      </c>
      <c r="C4843" t="s">
        <v>6992</v>
      </c>
    </row>
    <row r="4844" spans="1:3" x14ac:dyDescent="0.25">
      <c r="A4844">
        <v>29101</v>
      </c>
      <c r="B4844" t="s">
        <v>6993</v>
      </c>
      <c r="C4844" t="s">
        <v>6994</v>
      </c>
    </row>
    <row r="4845" spans="1:3" x14ac:dyDescent="0.25">
      <c r="A4845">
        <v>5544</v>
      </c>
      <c r="B4845" t="s">
        <v>6995</v>
      </c>
      <c r="C4845" t="e">
        <f>+proj=geocent +ellps=GRQ80 +units=m +no_defs</f>
        <v>#NAME?</v>
      </c>
    </row>
    <row r="4846" spans="1:3" x14ac:dyDescent="0.25">
      <c r="A4846">
        <v>29118</v>
      </c>
      <c r="B4846" t="s">
        <v>6996</v>
      </c>
      <c r="C4846" t="s">
        <v>6997</v>
      </c>
    </row>
    <row r="4847" spans="1:3" x14ac:dyDescent="0.25">
      <c r="A4847">
        <v>29119</v>
      </c>
      <c r="B4847" t="s">
        <v>6998</v>
      </c>
      <c r="C4847" t="s">
        <v>6999</v>
      </c>
    </row>
    <row r="4848" spans="1:3" x14ac:dyDescent="0.25">
      <c r="A4848">
        <v>29120</v>
      </c>
      <c r="B4848" t="s">
        <v>7000</v>
      </c>
      <c r="C4848" t="s">
        <v>7001</v>
      </c>
    </row>
    <row r="4849" spans="1:3" x14ac:dyDescent="0.25">
      <c r="A4849">
        <v>29121</v>
      </c>
      <c r="B4849" t="s">
        <v>7002</v>
      </c>
      <c r="C4849" t="s">
        <v>7003</v>
      </c>
    </row>
    <row r="4850" spans="1:3" x14ac:dyDescent="0.25">
      <c r="A4850">
        <v>29122</v>
      </c>
      <c r="B4850" t="s">
        <v>7004</v>
      </c>
      <c r="C4850" t="s">
        <v>7005</v>
      </c>
    </row>
    <row r="4851" spans="1:3" x14ac:dyDescent="0.25">
      <c r="A4851">
        <v>29168</v>
      </c>
      <c r="B4851" t="s">
        <v>7006</v>
      </c>
      <c r="C4851" t="s">
        <v>7007</v>
      </c>
    </row>
    <row r="4852" spans="1:3" x14ac:dyDescent="0.25">
      <c r="A4852">
        <v>29169</v>
      </c>
      <c r="B4852" t="s">
        <v>7008</v>
      </c>
      <c r="C4852" t="s">
        <v>7009</v>
      </c>
    </row>
    <row r="4853" spans="1:3" x14ac:dyDescent="0.25">
      <c r="A4853">
        <v>29170</v>
      </c>
      <c r="B4853" t="s">
        <v>7010</v>
      </c>
      <c r="C4853" t="s">
        <v>7011</v>
      </c>
    </row>
    <row r="4854" spans="1:3" x14ac:dyDescent="0.25">
      <c r="A4854">
        <v>29171</v>
      </c>
      <c r="B4854" t="s">
        <v>7012</v>
      </c>
      <c r="C4854" t="s">
        <v>7013</v>
      </c>
    </row>
    <row r="4855" spans="1:3" x14ac:dyDescent="0.25">
      <c r="A4855">
        <v>29172</v>
      </c>
      <c r="B4855" t="s">
        <v>7014</v>
      </c>
      <c r="C4855" t="s">
        <v>7015</v>
      </c>
    </row>
    <row r="4856" spans="1:3" x14ac:dyDescent="0.25">
      <c r="A4856">
        <v>29177</v>
      </c>
      <c r="B4856" t="s">
        <v>7016</v>
      </c>
      <c r="C4856" t="s">
        <v>7017</v>
      </c>
    </row>
    <row r="4857" spans="1:3" x14ac:dyDescent="0.25">
      <c r="A4857">
        <v>29178</v>
      </c>
      <c r="B4857" t="s">
        <v>7018</v>
      </c>
      <c r="C4857" t="s">
        <v>7019</v>
      </c>
    </row>
    <row r="4858" spans="1:3" x14ac:dyDescent="0.25">
      <c r="A4858">
        <v>29179</v>
      </c>
      <c r="B4858" t="s">
        <v>7020</v>
      </c>
      <c r="C4858" t="s">
        <v>7021</v>
      </c>
    </row>
    <row r="4859" spans="1:3" x14ac:dyDescent="0.25">
      <c r="A4859">
        <v>29180</v>
      </c>
      <c r="B4859" t="s">
        <v>7022</v>
      </c>
      <c r="C4859" t="s">
        <v>7023</v>
      </c>
    </row>
    <row r="4860" spans="1:3" x14ac:dyDescent="0.25">
      <c r="A4860">
        <v>29181</v>
      </c>
      <c r="B4860" t="s">
        <v>7024</v>
      </c>
      <c r="C4860" t="s">
        <v>7025</v>
      </c>
    </row>
    <row r="4861" spans="1:3" x14ac:dyDescent="0.25">
      <c r="A4861">
        <v>29182</v>
      </c>
      <c r="B4861" t="s">
        <v>7026</v>
      </c>
      <c r="C4861" t="s">
        <v>7027</v>
      </c>
    </row>
    <row r="4862" spans="1:3" x14ac:dyDescent="0.25">
      <c r="A4862">
        <v>29183</v>
      </c>
      <c r="B4862" t="s">
        <v>7028</v>
      </c>
      <c r="C4862" t="s">
        <v>7029</v>
      </c>
    </row>
    <row r="4863" spans="1:3" x14ac:dyDescent="0.25">
      <c r="A4863">
        <v>29184</v>
      </c>
      <c r="B4863" t="s">
        <v>7030</v>
      </c>
      <c r="C4863" t="s">
        <v>7031</v>
      </c>
    </row>
    <row r="4864" spans="1:3" x14ac:dyDescent="0.25">
      <c r="A4864">
        <v>29185</v>
      </c>
      <c r="B4864" t="s">
        <v>7032</v>
      </c>
      <c r="C4864" t="s">
        <v>7033</v>
      </c>
    </row>
    <row r="4865" spans="1:3" x14ac:dyDescent="0.25">
      <c r="A4865">
        <v>29187</v>
      </c>
      <c r="B4865" t="s">
        <v>7034</v>
      </c>
      <c r="C4865" t="s">
        <v>7035</v>
      </c>
    </row>
    <row r="4866" spans="1:3" x14ac:dyDescent="0.25">
      <c r="A4866">
        <v>29188</v>
      </c>
      <c r="B4866" t="s">
        <v>7036</v>
      </c>
      <c r="C4866" t="s">
        <v>7037</v>
      </c>
    </row>
    <row r="4867" spans="1:3" x14ac:dyDescent="0.25">
      <c r="A4867">
        <v>29189</v>
      </c>
      <c r="B4867" t="s">
        <v>7038</v>
      </c>
      <c r="C4867" t="s">
        <v>7039</v>
      </c>
    </row>
    <row r="4868" spans="1:3" x14ac:dyDescent="0.25">
      <c r="A4868">
        <v>29190</v>
      </c>
      <c r="B4868" t="s">
        <v>7040</v>
      </c>
      <c r="C4868" t="s">
        <v>7041</v>
      </c>
    </row>
    <row r="4869" spans="1:3" x14ac:dyDescent="0.25">
      <c r="A4869">
        <v>29191</v>
      </c>
      <c r="B4869" t="s">
        <v>7042</v>
      </c>
      <c r="C4869" t="s">
        <v>7043</v>
      </c>
    </row>
    <row r="4870" spans="1:3" x14ac:dyDescent="0.25">
      <c r="A4870">
        <v>29192</v>
      </c>
      <c r="B4870" t="s">
        <v>7044</v>
      </c>
      <c r="C4870" t="s">
        <v>4293</v>
      </c>
    </row>
    <row r="4871" spans="1:3" x14ac:dyDescent="0.25">
      <c r="A4871">
        <v>29193</v>
      </c>
      <c r="B4871" t="s">
        <v>7045</v>
      </c>
      <c r="C4871" t="s">
        <v>7046</v>
      </c>
    </row>
    <row r="4872" spans="1:3" x14ac:dyDescent="0.25">
      <c r="A4872">
        <v>29194</v>
      </c>
      <c r="B4872" t="s">
        <v>7047</v>
      </c>
      <c r="C4872" t="s">
        <v>7048</v>
      </c>
    </row>
    <row r="4873" spans="1:3" x14ac:dyDescent="0.25">
      <c r="A4873">
        <v>29195</v>
      </c>
      <c r="B4873" t="s">
        <v>7049</v>
      </c>
      <c r="C4873" t="s">
        <v>7050</v>
      </c>
    </row>
    <row r="4874" spans="1:3" x14ac:dyDescent="0.25">
      <c r="A4874">
        <v>29220</v>
      </c>
      <c r="B4874" t="s">
        <v>7051</v>
      </c>
      <c r="C4874" t="s">
        <v>7052</v>
      </c>
    </row>
    <row r="4875" spans="1:3" x14ac:dyDescent="0.25">
      <c r="A4875">
        <v>29221</v>
      </c>
      <c r="B4875" t="s">
        <v>7053</v>
      </c>
      <c r="C4875" t="s">
        <v>7054</v>
      </c>
    </row>
    <row r="4876" spans="1:3" x14ac:dyDescent="0.25">
      <c r="A4876">
        <v>29333</v>
      </c>
      <c r="B4876" t="s">
        <v>7055</v>
      </c>
      <c r="C4876" t="s">
        <v>7056</v>
      </c>
    </row>
    <row r="4877" spans="1:3" x14ac:dyDescent="0.25">
      <c r="A4877">
        <v>29371</v>
      </c>
      <c r="B4877" t="s">
        <v>7057</v>
      </c>
      <c r="C4877" t="s">
        <v>7058</v>
      </c>
    </row>
    <row r="4878" spans="1:3" x14ac:dyDescent="0.25">
      <c r="A4878">
        <v>29373</v>
      </c>
      <c r="B4878" t="s">
        <v>7059</v>
      </c>
      <c r="C4878" t="s">
        <v>7060</v>
      </c>
    </row>
    <row r="4879" spans="1:3" x14ac:dyDescent="0.25">
      <c r="A4879">
        <v>29375</v>
      </c>
      <c r="B4879" t="s">
        <v>7061</v>
      </c>
      <c r="C4879" t="s">
        <v>7062</v>
      </c>
    </row>
    <row r="4880" spans="1:3" x14ac:dyDescent="0.25">
      <c r="A4880">
        <v>29377</v>
      </c>
      <c r="B4880" t="s">
        <v>7063</v>
      </c>
      <c r="C4880" t="s">
        <v>7064</v>
      </c>
    </row>
    <row r="4881" spans="1:3" x14ac:dyDescent="0.25">
      <c r="A4881">
        <v>29379</v>
      </c>
      <c r="B4881" t="s">
        <v>7065</v>
      </c>
      <c r="C4881" t="s">
        <v>7066</v>
      </c>
    </row>
    <row r="4882" spans="1:3" x14ac:dyDescent="0.25">
      <c r="A4882">
        <v>29381</v>
      </c>
      <c r="B4882" t="s">
        <v>7067</v>
      </c>
      <c r="C4882" t="s">
        <v>7068</v>
      </c>
    </row>
    <row r="4883" spans="1:3" x14ac:dyDescent="0.25">
      <c r="A4883">
        <v>29383</v>
      </c>
      <c r="B4883" t="s">
        <v>7069</v>
      </c>
      <c r="C4883" t="s">
        <v>7070</v>
      </c>
    </row>
    <row r="4884" spans="1:3" x14ac:dyDescent="0.25">
      <c r="A4884">
        <v>29385</v>
      </c>
      <c r="B4884" t="s">
        <v>7071</v>
      </c>
      <c r="C4884" t="s">
        <v>7072</v>
      </c>
    </row>
    <row r="4885" spans="1:3" x14ac:dyDescent="0.25">
      <c r="A4885">
        <v>5558</v>
      </c>
      <c r="B4885" t="s">
        <v>7073</v>
      </c>
      <c r="C4885" t="e">
        <f>+proj=geocent +ellps=krass +units=m +no_defs</f>
        <v>#NAME?</v>
      </c>
    </row>
    <row r="4886" spans="1:3" x14ac:dyDescent="0.25">
      <c r="A4886">
        <v>29700</v>
      </c>
      <c r="B4886" t="s">
        <v>7074</v>
      </c>
      <c r="C4886" t="s">
        <v>7075</v>
      </c>
    </row>
    <row r="4887" spans="1:3" x14ac:dyDescent="0.25">
      <c r="A4887">
        <v>29701</v>
      </c>
      <c r="B4887" t="s">
        <v>7076</v>
      </c>
    </row>
    <row r="4888" spans="1:3" x14ac:dyDescent="0.25">
      <c r="A4888">
        <v>29702</v>
      </c>
      <c r="B4888" t="s">
        <v>7077</v>
      </c>
      <c r="C4888" t="s">
        <v>7075</v>
      </c>
    </row>
    <row r="4889" spans="1:3" x14ac:dyDescent="0.25">
      <c r="A4889">
        <v>29738</v>
      </c>
      <c r="B4889" t="s">
        <v>7078</v>
      </c>
      <c r="C4889" t="s">
        <v>7079</v>
      </c>
    </row>
    <row r="4890" spans="1:3" x14ac:dyDescent="0.25">
      <c r="A4890">
        <v>29739</v>
      </c>
      <c r="B4890" t="s">
        <v>7080</v>
      </c>
      <c r="C4890" t="s">
        <v>7081</v>
      </c>
    </row>
    <row r="4891" spans="1:3" x14ac:dyDescent="0.25">
      <c r="A4891">
        <v>29849</v>
      </c>
      <c r="B4891" t="s">
        <v>7082</v>
      </c>
      <c r="C4891" t="s">
        <v>7083</v>
      </c>
    </row>
    <row r="4892" spans="1:3" x14ac:dyDescent="0.25">
      <c r="A4892">
        <v>29850</v>
      </c>
      <c r="B4892" t="s">
        <v>7084</v>
      </c>
      <c r="C4892" t="s">
        <v>7085</v>
      </c>
    </row>
    <row r="4893" spans="1:3" x14ac:dyDescent="0.25">
      <c r="A4893">
        <v>29871</v>
      </c>
      <c r="B4893" t="s">
        <v>7086</v>
      </c>
      <c r="C4893" t="s">
        <v>7087</v>
      </c>
    </row>
    <row r="4894" spans="1:3" x14ac:dyDescent="0.25">
      <c r="A4894">
        <v>29872</v>
      </c>
      <c r="B4894" t="s">
        <v>7088</v>
      </c>
      <c r="C4894" t="s">
        <v>7089</v>
      </c>
    </row>
    <row r="4895" spans="1:3" x14ac:dyDescent="0.25">
      <c r="A4895">
        <v>29873</v>
      </c>
      <c r="B4895" t="s">
        <v>7090</v>
      </c>
      <c r="C4895" t="s">
        <v>7091</v>
      </c>
    </row>
    <row r="4896" spans="1:3" x14ac:dyDescent="0.25">
      <c r="A4896">
        <v>29900</v>
      </c>
      <c r="B4896" t="s">
        <v>7092</v>
      </c>
      <c r="C4896" t="e">
        <f>+proj=tmerc +lat_0=53.5 +lon_0=-8 +k=1.000035 +x_0=200000 +y_0=250000 +datum=IRC65 +units=m +no_defs</f>
        <v>#NAME?</v>
      </c>
    </row>
    <row r="4897" spans="1:3" x14ac:dyDescent="0.25">
      <c r="A4897">
        <v>29901</v>
      </c>
      <c r="B4897" t="s">
        <v>7093</v>
      </c>
      <c r="C4897" t="s">
        <v>7094</v>
      </c>
    </row>
    <row r="4898" spans="1:3" x14ac:dyDescent="0.25">
      <c r="A4898">
        <v>29902</v>
      </c>
      <c r="B4898" t="s">
        <v>7095</v>
      </c>
      <c r="C4898" t="e">
        <f>+proj=tmerc +lat_0=53.5 +lon_0=-8 +k=1.000035 +x_0=200000 +y_0=250000 +datum=IRC65 +units=m +no_defs</f>
        <v>#NAME?</v>
      </c>
    </row>
    <row r="4899" spans="1:3" x14ac:dyDescent="0.25">
      <c r="A4899">
        <v>29903</v>
      </c>
      <c r="B4899" t="s">
        <v>7096</v>
      </c>
      <c r="C4899" t="s">
        <v>7097</v>
      </c>
    </row>
    <row r="4900" spans="1:3" x14ac:dyDescent="0.25">
      <c r="A4900">
        <v>30161</v>
      </c>
      <c r="B4900" t="s">
        <v>7098</v>
      </c>
      <c r="C4900" t="s">
        <v>7099</v>
      </c>
    </row>
    <row r="4901" spans="1:3" x14ac:dyDescent="0.25">
      <c r="A4901">
        <v>30162</v>
      </c>
      <c r="B4901" t="s">
        <v>7100</v>
      </c>
      <c r="C4901" t="s">
        <v>7101</v>
      </c>
    </row>
    <row r="4902" spans="1:3" x14ac:dyDescent="0.25">
      <c r="A4902">
        <v>30163</v>
      </c>
      <c r="B4902" t="s">
        <v>7102</v>
      </c>
      <c r="C4902" t="s">
        <v>7103</v>
      </c>
    </row>
    <row r="4903" spans="1:3" x14ac:dyDescent="0.25">
      <c r="A4903">
        <v>30164</v>
      </c>
      <c r="B4903" t="s">
        <v>7104</v>
      </c>
      <c r="C4903" t="s">
        <v>7105</v>
      </c>
    </row>
    <row r="4904" spans="1:3" x14ac:dyDescent="0.25">
      <c r="A4904">
        <v>5591</v>
      </c>
      <c r="B4904" t="s">
        <v>7106</v>
      </c>
      <c r="C4904" t="e">
        <f>+proj=geocent +ellps=GRQ80 +units=m +no_defs</f>
        <v>#NAME?</v>
      </c>
    </row>
    <row r="4905" spans="1:3" x14ac:dyDescent="0.25">
      <c r="A4905">
        <v>30165</v>
      </c>
      <c r="B4905" t="s">
        <v>7107</v>
      </c>
      <c r="C4905" t="s">
        <v>7108</v>
      </c>
    </row>
    <row r="4906" spans="1:3" x14ac:dyDescent="0.25">
      <c r="A4906">
        <v>30166</v>
      </c>
      <c r="B4906" t="s">
        <v>7109</v>
      </c>
      <c r="C4906" t="s">
        <v>7110</v>
      </c>
    </row>
    <row r="4907" spans="1:3" x14ac:dyDescent="0.25">
      <c r="A4907">
        <v>30167</v>
      </c>
      <c r="B4907" t="s">
        <v>7111</v>
      </c>
      <c r="C4907" t="s">
        <v>7112</v>
      </c>
    </row>
    <row r="4908" spans="1:3" x14ac:dyDescent="0.25">
      <c r="A4908">
        <v>30168</v>
      </c>
      <c r="B4908" t="s">
        <v>7113</v>
      </c>
      <c r="C4908" t="s">
        <v>7114</v>
      </c>
    </row>
    <row r="4909" spans="1:3" x14ac:dyDescent="0.25">
      <c r="A4909">
        <v>30169</v>
      </c>
      <c r="B4909" t="s">
        <v>7115</v>
      </c>
      <c r="C4909" t="s">
        <v>7116</v>
      </c>
    </row>
    <row r="4910" spans="1:3" x14ac:dyDescent="0.25">
      <c r="A4910">
        <v>30170</v>
      </c>
      <c r="B4910" t="s">
        <v>7117</v>
      </c>
      <c r="C4910" t="s">
        <v>7118</v>
      </c>
    </row>
    <row r="4911" spans="1:3" x14ac:dyDescent="0.25">
      <c r="A4911">
        <v>30171</v>
      </c>
      <c r="B4911" t="s">
        <v>7119</v>
      </c>
      <c r="C4911" t="s">
        <v>7120</v>
      </c>
    </row>
    <row r="4912" spans="1:3" x14ac:dyDescent="0.25">
      <c r="A4912">
        <v>30172</v>
      </c>
      <c r="B4912" t="s">
        <v>7121</v>
      </c>
      <c r="C4912" t="s">
        <v>7122</v>
      </c>
    </row>
    <row r="4913" spans="1:3" x14ac:dyDescent="0.25">
      <c r="A4913">
        <v>30173</v>
      </c>
      <c r="B4913" t="s">
        <v>7123</v>
      </c>
      <c r="C4913" t="s">
        <v>7124</v>
      </c>
    </row>
    <row r="4914" spans="1:3" x14ac:dyDescent="0.25">
      <c r="A4914">
        <v>30174</v>
      </c>
      <c r="B4914" t="s">
        <v>7125</v>
      </c>
      <c r="C4914" t="s">
        <v>7126</v>
      </c>
    </row>
    <row r="4915" spans="1:3" x14ac:dyDescent="0.25">
      <c r="A4915">
        <v>30175</v>
      </c>
      <c r="B4915" t="s">
        <v>7127</v>
      </c>
      <c r="C4915" t="s">
        <v>7128</v>
      </c>
    </row>
    <row r="4916" spans="1:3" x14ac:dyDescent="0.25">
      <c r="A4916">
        <v>30176</v>
      </c>
      <c r="B4916" t="s">
        <v>7129</v>
      </c>
      <c r="C4916" t="s">
        <v>7130</v>
      </c>
    </row>
    <row r="4917" spans="1:3" x14ac:dyDescent="0.25">
      <c r="A4917">
        <v>30177</v>
      </c>
      <c r="B4917" t="s">
        <v>7131</v>
      </c>
      <c r="C4917" t="s">
        <v>7132</v>
      </c>
    </row>
    <row r="4918" spans="1:3" x14ac:dyDescent="0.25">
      <c r="A4918">
        <v>30178</v>
      </c>
      <c r="B4918" t="s">
        <v>7133</v>
      </c>
      <c r="C4918" t="s">
        <v>7134</v>
      </c>
    </row>
    <row r="4919" spans="1:3" x14ac:dyDescent="0.25">
      <c r="A4919">
        <v>30179</v>
      </c>
      <c r="B4919" t="s">
        <v>7135</v>
      </c>
      <c r="C4919" t="s">
        <v>7136</v>
      </c>
    </row>
    <row r="4920" spans="1:3" x14ac:dyDescent="0.25">
      <c r="A4920">
        <v>30200</v>
      </c>
      <c r="B4920" t="s">
        <v>7137</v>
      </c>
      <c r="C4920" t="s">
        <v>7138</v>
      </c>
    </row>
    <row r="4921" spans="1:3" x14ac:dyDescent="0.25">
      <c r="A4921">
        <v>30339</v>
      </c>
      <c r="B4921" t="s">
        <v>7139</v>
      </c>
      <c r="C4921" t="e">
        <f>+proj=utm +zone=39 +ellps=helmert +units=m +no_defs</f>
        <v>#NAME?</v>
      </c>
    </row>
    <row r="4922" spans="1:3" x14ac:dyDescent="0.25">
      <c r="A4922">
        <v>30340</v>
      </c>
      <c r="B4922" t="s">
        <v>7140</v>
      </c>
      <c r="C4922" t="e">
        <f>+proj=utm +zone=40 +ellps=helmert +units=m +no_defs</f>
        <v>#NAME?</v>
      </c>
    </row>
    <row r="4923" spans="1:3" x14ac:dyDescent="0.25">
      <c r="A4923">
        <v>30491</v>
      </c>
      <c r="B4923" t="s">
        <v>7141</v>
      </c>
      <c r="C4923" t="s">
        <v>7142</v>
      </c>
    </row>
    <row r="4924" spans="1:3" x14ac:dyDescent="0.25">
      <c r="A4924">
        <v>31028</v>
      </c>
      <c r="B4924" t="s">
        <v>7143</v>
      </c>
      <c r="C4924" t="s">
        <v>7144</v>
      </c>
    </row>
    <row r="4925" spans="1:3" x14ac:dyDescent="0.25">
      <c r="A4925">
        <v>30492</v>
      </c>
      <c r="B4925" t="s">
        <v>7145</v>
      </c>
      <c r="C4925" t="s">
        <v>7146</v>
      </c>
    </row>
    <row r="4926" spans="1:3" x14ac:dyDescent="0.25">
      <c r="A4926">
        <v>30493</v>
      </c>
      <c r="B4926" t="s">
        <v>7147</v>
      </c>
      <c r="C4926" t="e">
        <f>+proj=lcc +lat_1=36 +lat_0=36 +lon_0=2.7 +k_0=0.999625544 +x_0=500000 +y_0=300000 +a=6378249.2 +b=6356515 +units=m +no_defs</f>
        <v>#NAME?</v>
      </c>
    </row>
    <row r="4927" spans="1:3" x14ac:dyDescent="0.25">
      <c r="A4927">
        <v>30494</v>
      </c>
      <c r="B4927" t="s">
        <v>7148</v>
      </c>
      <c r="C4927" t="e">
        <f>+proj=lcc +lat_1=33.3 +lat_0=33.3 +lon_0=2.7 +k_0=0.999625769 +x_0=500000 +y_0=300000 +a=6378249.2 +b=6356515 +units=m +no_defs</f>
        <v>#NAME?</v>
      </c>
    </row>
    <row r="4928" spans="1:3" x14ac:dyDescent="0.25">
      <c r="A4928">
        <v>30729</v>
      </c>
      <c r="B4928" t="s">
        <v>7149</v>
      </c>
      <c r="C4928" t="s">
        <v>7150</v>
      </c>
    </row>
    <row r="4929" spans="1:3" x14ac:dyDescent="0.25">
      <c r="A4929">
        <v>30730</v>
      </c>
      <c r="B4929" t="s">
        <v>7151</v>
      </c>
      <c r="C4929" t="s">
        <v>7152</v>
      </c>
    </row>
    <row r="4930" spans="1:3" x14ac:dyDescent="0.25">
      <c r="A4930">
        <v>30731</v>
      </c>
      <c r="B4930" t="s">
        <v>7153</v>
      </c>
      <c r="C4930" t="s">
        <v>7154</v>
      </c>
    </row>
    <row r="4931" spans="1:3" x14ac:dyDescent="0.25">
      <c r="A4931">
        <v>30732</v>
      </c>
      <c r="B4931" t="s">
        <v>7155</v>
      </c>
      <c r="C4931" t="s">
        <v>7156</v>
      </c>
    </row>
    <row r="4932" spans="1:3" x14ac:dyDescent="0.25">
      <c r="A4932">
        <v>30791</v>
      </c>
      <c r="B4932" t="s">
        <v>7157</v>
      </c>
      <c r="C4932" t="s">
        <v>7158</v>
      </c>
    </row>
    <row r="4933" spans="1:3" x14ac:dyDescent="0.25">
      <c r="A4933">
        <v>30792</v>
      </c>
      <c r="B4933" t="s">
        <v>7159</v>
      </c>
      <c r="C4933" t="s">
        <v>7160</v>
      </c>
    </row>
    <row r="4934" spans="1:3" x14ac:dyDescent="0.25">
      <c r="A4934">
        <v>31121</v>
      </c>
      <c r="B4934" t="s">
        <v>7161</v>
      </c>
      <c r="C4934" t="s">
        <v>7162</v>
      </c>
    </row>
    <row r="4935" spans="1:3" x14ac:dyDescent="0.25">
      <c r="A4935">
        <v>31154</v>
      </c>
      <c r="B4935" t="s">
        <v>7163</v>
      </c>
      <c r="C4935" t="s">
        <v>7164</v>
      </c>
    </row>
    <row r="4936" spans="1:3" x14ac:dyDescent="0.25">
      <c r="A4936">
        <v>31170</v>
      </c>
      <c r="B4936" t="s">
        <v>7165</v>
      </c>
      <c r="C4936" t="s">
        <v>7166</v>
      </c>
    </row>
    <row r="4937" spans="1:3" x14ac:dyDescent="0.25">
      <c r="A4937">
        <v>31171</v>
      </c>
      <c r="B4937" t="s">
        <v>7167</v>
      </c>
      <c r="C4937" t="s">
        <v>7168</v>
      </c>
    </row>
    <row r="4938" spans="1:3" x14ac:dyDescent="0.25">
      <c r="A4938">
        <v>31251</v>
      </c>
      <c r="B4938" t="s">
        <v>7169</v>
      </c>
      <c r="C4938" t="s">
        <v>7170</v>
      </c>
    </row>
    <row r="4939" spans="1:3" x14ac:dyDescent="0.25">
      <c r="A4939">
        <v>31252</v>
      </c>
      <c r="B4939" t="s">
        <v>7171</v>
      </c>
      <c r="C4939" t="s">
        <v>7172</v>
      </c>
    </row>
    <row r="4940" spans="1:3" x14ac:dyDescent="0.25">
      <c r="A4940">
        <v>31253</v>
      </c>
      <c r="B4940" t="s">
        <v>7173</v>
      </c>
      <c r="C4940" t="s">
        <v>7174</v>
      </c>
    </row>
    <row r="4941" spans="1:3" x14ac:dyDescent="0.25">
      <c r="A4941">
        <v>31254</v>
      </c>
      <c r="B4941" t="s">
        <v>7175</v>
      </c>
      <c r="C4941" t="e">
        <f>+proj=tmerc +lat_0=0 +lon_0=10.3333333333333 +k=1 +x_0=0 +y_0=-5000000 +datum=hermannskogel +units=m +no_defs</f>
        <v>#NAME?</v>
      </c>
    </row>
    <row r="4942" spans="1:3" x14ac:dyDescent="0.25">
      <c r="A4942">
        <v>31255</v>
      </c>
      <c r="B4942" t="s">
        <v>7176</v>
      </c>
      <c r="C4942" t="e">
        <f>+proj=tmerc +lat_0=0 +lon_0=13.3333333333333 +k=1 +x_0=0 +y_0=-5000000 +datum=hermannskogel +units=m +no_defs</f>
        <v>#NAME?</v>
      </c>
    </row>
    <row r="4943" spans="1:3" x14ac:dyDescent="0.25">
      <c r="A4943">
        <v>5828</v>
      </c>
      <c r="B4943" t="s">
        <v>7177</v>
      </c>
      <c r="C4943" t="e">
        <f>+proj=geocent +ellps=bessel +units=m +no_defs</f>
        <v>#NAME?</v>
      </c>
    </row>
    <row r="4944" spans="1:3" x14ac:dyDescent="0.25">
      <c r="A4944">
        <v>31256</v>
      </c>
      <c r="B4944" t="s">
        <v>7178</v>
      </c>
      <c r="C4944" t="e">
        <f>+proj=tmerc +lat_0=0 +lon_0=16.3333333333333 +k=1 +x_0=0 +y_0=-5000000 +datum=hermannskogel +units=m +no_defs</f>
        <v>#NAME?</v>
      </c>
    </row>
    <row r="4945" spans="1:3" x14ac:dyDescent="0.25">
      <c r="A4945">
        <v>31257</v>
      </c>
      <c r="B4945" t="s">
        <v>7179</v>
      </c>
      <c r="C4945" t="e">
        <f>+proj=tmerc +lat_0=0 +lon_0=10.3333333333333 +k=1 +x_0=150000 +y_0=-5000000 +datum=hermannskogel +units=m +no_defs</f>
        <v>#NAME?</v>
      </c>
    </row>
    <row r="4946" spans="1:3" x14ac:dyDescent="0.25">
      <c r="A4946">
        <v>31258</v>
      </c>
      <c r="B4946" t="s">
        <v>7180</v>
      </c>
      <c r="C4946" t="e">
        <f>+proj=tmerc +lat_0=0 +lon_0=13.3333333333333 +k=1 +x_0=450000 +y_0=-5000000 +datum=hermannskogel +units=m +no_defs</f>
        <v>#NAME?</v>
      </c>
    </row>
    <row r="4947" spans="1:3" x14ac:dyDescent="0.25">
      <c r="A4947">
        <v>31259</v>
      </c>
      <c r="B4947" t="s">
        <v>7181</v>
      </c>
      <c r="C4947" t="e">
        <f>+proj=tmerc +lat_0=0 +lon_0=16.3333333333333 +k=1 +x_0=750000 +y_0=-5000000 +datum=hermannskogel +units=m +no_defs</f>
        <v>#NAME?</v>
      </c>
    </row>
    <row r="4948" spans="1:3" x14ac:dyDescent="0.25">
      <c r="A4948">
        <v>31265</v>
      </c>
      <c r="B4948" t="s">
        <v>7182</v>
      </c>
      <c r="C4948" t="e">
        <f>+proj=tmerc +lat_0=0 +lon_0=15 +k=1 +x_0=5500000 +y_0=0 +datum=hermannskogel +units=m +no_defs</f>
        <v>#NAME?</v>
      </c>
    </row>
    <row r="4949" spans="1:3" x14ac:dyDescent="0.25">
      <c r="A4949">
        <v>31266</v>
      </c>
      <c r="B4949" t="s">
        <v>7183</v>
      </c>
      <c r="C4949" t="e">
        <f>+proj=tmerc +lat_0=0 +lon_0=18 +k=1 +x_0=6500000 +y_0=0 +datum=hermannskogel +units=m +no_defs</f>
        <v>#NAME?</v>
      </c>
    </row>
    <row r="4950" spans="1:3" x14ac:dyDescent="0.25">
      <c r="A4950">
        <v>31267</v>
      </c>
      <c r="B4950" t="s">
        <v>7184</v>
      </c>
      <c r="C4950" t="e">
        <f>+proj=tmerc +lat_0=0 +lon_0=21 +k=1 +x_0=7500000 +y_0=0 +datum=hermannskogel +units=m +no_defs</f>
        <v>#NAME?</v>
      </c>
    </row>
    <row r="4951" spans="1:3" x14ac:dyDescent="0.25">
      <c r="A4951">
        <v>31268</v>
      </c>
      <c r="B4951" t="s">
        <v>7185</v>
      </c>
      <c r="C4951" t="e">
        <f>+proj=tmerc +lat_0=0 +lon_0=24 +k=1 +x_0=8500000 +y_0=0 +datum=hermannskogel +units=m +no_defs</f>
        <v>#NAME?</v>
      </c>
    </row>
    <row r="4952" spans="1:3" x14ac:dyDescent="0.25">
      <c r="A4952">
        <v>31275</v>
      </c>
      <c r="B4952" t="s">
        <v>7186</v>
      </c>
      <c r="C4952" t="e">
        <f>+proj=tmerc +lat_0=0 +lon_0=15 +k=0.9999 +x_0=5500000 +y_0=0 +datum=hermannskogel +units=m +no_defs</f>
        <v>#NAME?</v>
      </c>
    </row>
    <row r="4953" spans="1:3" x14ac:dyDescent="0.25">
      <c r="A4953">
        <v>31466</v>
      </c>
      <c r="B4953" t="s">
        <v>7187</v>
      </c>
      <c r="C4953" t="e">
        <f>+proj=tmerc +lat_0=0 +lon_0=6 +k=1 +x_0=2500000 +y_0=0 +datum=potsdam +units=m +no_defs</f>
        <v>#NAME?</v>
      </c>
    </row>
    <row r="4954" spans="1:3" x14ac:dyDescent="0.25">
      <c r="A4954">
        <v>31276</v>
      </c>
      <c r="B4954" t="s">
        <v>7188</v>
      </c>
      <c r="C4954" t="e">
        <f>+proj=tmerc +lat_0=0 +lon_0=18 +k=0.9999 +x_0=6500000 +y_0=0 +datum=hermannskogel +units=m +no_defs</f>
        <v>#NAME?</v>
      </c>
    </row>
    <row r="4955" spans="1:3" x14ac:dyDescent="0.25">
      <c r="A4955">
        <v>31277</v>
      </c>
      <c r="B4955" t="s">
        <v>7189</v>
      </c>
      <c r="C4955" t="e">
        <f>+proj=tmerc +lat_0=0 +lon_0=21 +k=0.9999 +x_0=7500000 +y_0=0 +datum=hermannskogel +units=m +no_defs</f>
        <v>#NAME?</v>
      </c>
    </row>
    <row r="4956" spans="1:3" x14ac:dyDescent="0.25">
      <c r="A4956">
        <v>31278</v>
      </c>
      <c r="B4956" t="s">
        <v>7190</v>
      </c>
      <c r="C4956" t="e">
        <f>+proj=tmerc +lat_0=0 +lon_0=21 +k=0.9999 +x_0=7500000 +y_0=0 +datum=hermannskogel +units=m +no_defs</f>
        <v>#NAME?</v>
      </c>
    </row>
    <row r="4957" spans="1:3" x14ac:dyDescent="0.25">
      <c r="A4957">
        <v>31279</v>
      </c>
      <c r="B4957" t="s">
        <v>7191</v>
      </c>
      <c r="C4957" t="e">
        <f>+proj=tmerc +lat_0=0 +lon_0=24 +k=0.9999 +x_0=8500000 +y_0=0 +datum=hermannskogel +units=m +no_defs</f>
        <v>#NAME?</v>
      </c>
    </row>
    <row r="4958" spans="1:3" x14ac:dyDescent="0.25">
      <c r="A4958">
        <v>31281</v>
      </c>
      <c r="B4958" t="s">
        <v>7192</v>
      </c>
      <c r="C4958" t="s">
        <v>7193</v>
      </c>
    </row>
    <row r="4959" spans="1:3" x14ac:dyDescent="0.25">
      <c r="A4959">
        <v>31282</v>
      </c>
      <c r="B4959" t="s">
        <v>7194</v>
      </c>
      <c r="C4959" t="s">
        <v>7195</v>
      </c>
    </row>
    <row r="4960" spans="1:3" x14ac:dyDescent="0.25">
      <c r="A4960">
        <v>31283</v>
      </c>
      <c r="B4960" t="s">
        <v>7196</v>
      </c>
      <c r="C4960" t="s">
        <v>7197</v>
      </c>
    </row>
    <row r="4961" spans="1:3" x14ac:dyDescent="0.25">
      <c r="A4961">
        <v>31284</v>
      </c>
      <c r="B4961" t="s">
        <v>7198</v>
      </c>
      <c r="C4961" t="e">
        <f>+proj=tmerc +lat_0=0 +lon_0=10.3333333333333 +k=1 +x_0=150000 +y_0=0 +datum=hermannskogel +units=m +no_defs</f>
        <v>#NAME?</v>
      </c>
    </row>
    <row r="4962" spans="1:3" x14ac:dyDescent="0.25">
      <c r="A4962">
        <v>31285</v>
      </c>
      <c r="B4962" t="s">
        <v>7199</v>
      </c>
      <c r="C4962" t="e">
        <f>+proj=tmerc +lat_0=0 +lon_0=13.3333333333333 +k=1 +x_0=450000 +y_0=0 +datum=hermannskogel +units=m +no_defs</f>
        <v>#NAME?</v>
      </c>
    </row>
    <row r="4963" spans="1:3" x14ac:dyDescent="0.25">
      <c r="A4963">
        <v>31286</v>
      </c>
      <c r="B4963" t="s">
        <v>7200</v>
      </c>
      <c r="C4963" t="e">
        <f>+proj=tmerc +lat_0=0 +lon_0=16.3333333333333 +k=1 +x_0=750000 +y_0=0 +datum=hermannskogel +units=m +no_defs</f>
        <v>#NAME?</v>
      </c>
    </row>
    <row r="4964" spans="1:3" x14ac:dyDescent="0.25">
      <c r="A4964">
        <v>31287</v>
      </c>
      <c r="B4964" t="s">
        <v>7201</v>
      </c>
      <c r="C4964" t="e">
        <f>+proj=lcc +lat_1=49 +lat_2=46 +lat_0=47.5 +lon_0=13.3333333333333 +x_0=400000 +y_0=400000 +datum=hermannskogel +units=m +no_defs</f>
        <v>#NAME?</v>
      </c>
    </row>
    <row r="4965" spans="1:3" x14ac:dyDescent="0.25">
      <c r="A4965">
        <v>31288</v>
      </c>
      <c r="B4965" t="s">
        <v>7202</v>
      </c>
      <c r="C4965" t="s">
        <v>7203</v>
      </c>
    </row>
    <row r="4966" spans="1:3" x14ac:dyDescent="0.25">
      <c r="A4966">
        <v>31289</v>
      </c>
      <c r="B4966" t="s">
        <v>7204</v>
      </c>
      <c r="C4966" t="s">
        <v>7205</v>
      </c>
    </row>
    <row r="4967" spans="1:3" x14ac:dyDescent="0.25">
      <c r="A4967">
        <v>31290</v>
      </c>
      <c r="B4967" t="s">
        <v>7206</v>
      </c>
      <c r="C4967" t="s">
        <v>7207</v>
      </c>
    </row>
    <row r="4968" spans="1:3" x14ac:dyDescent="0.25">
      <c r="A4968">
        <v>31291</v>
      </c>
      <c r="B4968" t="s">
        <v>7208</v>
      </c>
      <c r="C4968" t="s">
        <v>7193</v>
      </c>
    </row>
    <row r="4969" spans="1:3" x14ac:dyDescent="0.25">
      <c r="A4969">
        <v>31292</v>
      </c>
      <c r="B4969" t="s">
        <v>7209</v>
      </c>
      <c r="C4969" t="s">
        <v>7195</v>
      </c>
    </row>
    <row r="4970" spans="1:3" x14ac:dyDescent="0.25">
      <c r="A4970">
        <v>31293</v>
      </c>
      <c r="B4970" t="s">
        <v>7210</v>
      </c>
      <c r="C4970" t="s">
        <v>7197</v>
      </c>
    </row>
    <row r="4971" spans="1:3" x14ac:dyDescent="0.25">
      <c r="A4971">
        <v>31294</v>
      </c>
      <c r="B4971" t="s">
        <v>7211</v>
      </c>
      <c r="C4971" t="e">
        <f>+proj=tmerc +lat_0=0 +lon_0=10.3333333333333 +k=1 +x_0=150000 +y_0=0 +datum=hermannskogel +units=m +no_defs</f>
        <v>#NAME?</v>
      </c>
    </row>
    <row r="4972" spans="1:3" x14ac:dyDescent="0.25">
      <c r="A4972">
        <v>31295</v>
      </c>
      <c r="B4972" t="s">
        <v>7212</v>
      </c>
      <c r="C4972" t="e">
        <f>+proj=tmerc +lat_0=0 +lon_0=13.3333333333333 +k=1 +x_0=450000 +y_0=0 +datum=hermannskogel +units=m +no_defs</f>
        <v>#NAME?</v>
      </c>
    </row>
    <row r="4973" spans="1:3" x14ac:dyDescent="0.25">
      <c r="A4973">
        <v>5884</v>
      </c>
      <c r="B4973" t="s">
        <v>7213</v>
      </c>
      <c r="C4973" t="e">
        <f>+proj=geocent +ellps=GRQ80 +units=m +no_defs</f>
        <v>#NAME?</v>
      </c>
    </row>
    <row r="4974" spans="1:3" x14ac:dyDescent="0.25">
      <c r="A4974">
        <v>31296</v>
      </c>
      <c r="B4974" t="s">
        <v>7214</v>
      </c>
      <c r="C4974" t="e">
        <f>+proj=tmerc +lat_0=0 +lon_0=16.3333333333333 +k=1 +x_0=750000 +y_0=0 +datum=hermannskogel +units=m +no_defs</f>
        <v>#NAME?</v>
      </c>
    </row>
    <row r="4975" spans="1:3" x14ac:dyDescent="0.25">
      <c r="A4975">
        <v>31297</v>
      </c>
      <c r="B4975" t="s">
        <v>7215</v>
      </c>
      <c r="C4975" t="e">
        <f>+proj=lcc +lat_1=49 +lat_2=46 +lat_0=47.5 +lon_0=13.3333333333333 +x_0=400000 +y_0=400000 +datum=hermannskogel +units=m +no_defs</f>
        <v>#NAME?</v>
      </c>
    </row>
    <row r="4976" spans="1:3" x14ac:dyDescent="0.25">
      <c r="A4976">
        <v>31300</v>
      </c>
      <c r="B4976" t="s">
        <v>7216</v>
      </c>
      <c r="C4976" t="s">
        <v>7217</v>
      </c>
    </row>
    <row r="4977" spans="1:3" x14ac:dyDescent="0.25">
      <c r="A4977">
        <v>31370</v>
      </c>
      <c r="B4977" t="s">
        <v>7218</v>
      </c>
      <c r="C4977" t="s">
        <v>7219</v>
      </c>
    </row>
    <row r="4978" spans="1:3" x14ac:dyDescent="0.25">
      <c r="A4978">
        <v>31461</v>
      </c>
      <c r="B4978" t="s">
        <v>7220</v>
      </c>
      <c r="C4978" t="e">
        <f>+proj=tmerc +lat_0=0 +lon_0=3 +k=1 +x_0=1500000 +y_0=0 +datum=potsdam +units=m +no_defs</f>
        <v>#NAME?</v>
      </c>
    </row>
    <row r="4979" spans="1:3" x14ac:dyDescent="0.25">
      <c r="A4979">
        <v>31462</v>
      </c>
      <c r="B4979" t="s">
        <v>7221</v>
      </c>
      <c r="C4979" t="e">
        <f>+proj=tmerc +lat_0=0 +lon_0=6 +k=1 +x_0=2500000 +y_0=0 +datum=potsdam +units=m +no_defs</f>
        <v>#NAME?</v>
      </c>
    </row>
    <row r="4980" spans="1:3" x14ac:dyDescent="0.25">
      <c r="A4980">
        <v>31463</v>
      </c>
      <c r="B4980" t="s">
        <v>7222</v>
      </c>
      <c r="C4980" t="e">
        <f>+proj=tmerc +lat_0=0 +lon_0=9 +k=1 +x_0=3500000 +y_0=0 +datum=potsdam +units=m +no_defs</f>
        <v>#NAME?</v>
      </c>
    </row>
    <row r="4981" spans="1:3" x14ac:dyDescent="0.25">
      <c r="A4981">
        <v>31464</v>
      </c>
      <c r="B4981" t="s">
        <v>7223</v>
      </c>
      <c r="C4981" t="e">
        <f>+proj=tmerc +lat_0=0 +lon_0=12 +k=1 +x_0=4500000 +y_0=0 +datum=potsdam +units=m +no_defs</f>
        <v>#NAME?</v>
      </c>
    </row>
    <row r="4982" spans="1:3" x14ac:dyDescent="0.25">
      <c r="A4982">
        <v>31465</v>
      </c>
      <c r="B4982" t="s">
        <v>7224</v>
      </c>
      <c r="C4982" t="e">
        <f>+proj=tmerc +lat_0=0 +lon_0=15 +k=1 +x_0=5500000 +y_0=0 +datum=potsdam +units=m +no_defs</f>
        <v>#NAME?</v>
      </c>
    </row>
    <row r="4983" spans="1:3" x14ac:dyDescent="0.25">
      <c r="A4983">
        <v>31467</v>
      </c>
      <c r="B4983" t="s">
        <v>7225</v>
      </c>
      <c r="C4983" t="e">
        <f>+proj=tmerc +lat_0=0 +lon_0=9 +k=1 +x_0=3500000 +y_0=0 +datum=potsdam +units=m +no_defs</f>
        <v>#NAME?</v>
      </c>
    </row>
    <row r="4984" spans="1:3" x14ac:dyDescent="0.25">
      <c r="A4984">
        <v>31468</v>
      </c>
      <c r="B4984" t="s">
        <v>7226</v>
      </c>
      <c r="C4984" t="e">
        <f>+proj=tmerc +lat_0=0 +lon_0=12 +k=1 +x_0=4500000 +y_0=0 +datum=potsdam +units=m +no_defs</f>
        <v>#NAME?</v>
      </c>
    </row>
    <row r="4985" spans="1:3" x14ac:dyDescent="0.25">
      <c r="A4985">
        <v>31469</v>
      </c>
      <c r="B4985" t="s">
        <v>7227</v>
      </c>
      <c r="C4985" t="e">
        <f>+proj=tmerc +lat_0=0 +lon_0=15 +k=1 +x_0=5500000 +y_0=0 +datum=potsdam +units=m +no_defs</f>
        <v>#NAME?</v>
      </c>
    </row>
    <row r="4986" spans="1:3" x14ac:dyDescent="0.25">
      <c r="A4986">
        <v>31528</v>
      </c>
      <c r="B4986" t="s">
        <v>7228</v>
      </c>
      <c r="C4986" t="s">
        <v>880</v>
      </c>
    </row>
    <row r="4987" spans="1:3" x14ac:dyDescent="0.25">
      <c r="A4987">
        <v>31529</v>
      </c>
      <c r="B4987" t="s">
        <v>7229</v>
      </c>
      <c r="C4987" t="s">
        <v>882</v>
      </c>
    </row>
    <row r="4988" spans="1:3" x14ac:dyDescent="0.25">
      <c r="A4988">
        <v>31600</v>
      </c>
      <c r="B4988" t="s">
        <v>7230</v>
      </c>
      <c r="C4988" t="s">
        <v>7231</v>
      </c>
    </row>
    <row r="4989" spans="1:3" x14ac:dyDescent="0.25">
      <c r="A4989">
        <v>31700</v>
      </c>
      <c r="B4989" t="s">
        <v>7232</v>
      </c>
      <c r="C4989" t="s">
        <v>7233</v>
      </c>
    </row>
    <row r="4990" spans="1:3" x14ac:dyDescent="0.25">
      <c r="A4990">
        <v>31838</v>
      </c>
      <c r="B4990" t="s">
        <v>7234</v>
      </c>
      <c r="C4990" t="s">
        <v>7235</v>
      </c>
    </row>
    <row r="4991" spans="1:3" x14ac:dyDescent="0.25">
      <c r="A4991">
        <v>31839</v>
      </c>
      <c r="B4991" t="s">
        <v>7236</v>
      </c>
      <c r="C4991" t="s">
        <v>7237</v>
      </c>
    </row>
    <row r="4992" spans="1:3" x14ac:dyDescent="0.25">
      <c r="A4992">
        <v>31900</v>
      </c>
      <c r="B4992" t="s">
        <v>7238</v>
      </c>
      <c r="C4992" t="s">
        <v>7239</v>
      </c>
    </row>
    <row r="4993" spans="1:3" x14ac:dyDescent="0.25">
      <c r="A4993">
        <v>31901</v>
      </c>
      <c r="B4993" t="s">
        <v>7240</v>
      </c>
      <c r="C4993" t="s">
        <v>7241</v>
      </c>
    </row>
    <row r="4994" spans="1:3" x14ac:dyDescent="0.25">
      <c r="A4994">
        <v>31965</v>
      </c>
      <c r="B4994" t="s">
        <v>7242</v>
      </c>
      <c r="C4994" t="s">
        <v>1050</v>
      </c>
    </row>
    <row r="4995" spans="1:3" x14ac:dyDescent="0.25">
      <c r="A4995">
        <v>31966</v>
      </c>
      <c r="B4995" t="s">
        <v>7243</v>
      </c>
      <c r="C4995" t="s">
        <v>1048</v>
      </c>
    </row>
    <row r="4996" spans="1:3" x14ac:dyDescent="0.25">
      <c r="A4996">
        <v>31967</v>
      </c>
      <c r="B4996" t="s">
        <v>7244</v>
      </c>
      <c r="C4996" t="s">
        <v>1046</v>
      </c>
    </row>
    <row r="4997" spans="1:3" x14ac:dyDescent="0.25">
      <c r="A4997">
        <v>31968</v>
      </c>
      <c r="B4997" t="s">
        <v>7245</v>
      </c>
      <c r="C4997" t="s">
        <v>2740</v>
      </c>
    </row>
    <row r="4998" spans="1:3" x14ac:dyDescent="0.25">
      <c r="A4998">
        <v>31969</v>
      </c>
      <c r="B4998" t="s">
        <v>7246</v>
      </c>
      <c r="C4998" t="s">
        <v>2742</v>
      </c>
    </row>
    <row r="4999" spans="1:3" x14ac:dyDescent="0.25">
      <c r="A4999">
        <v>31970</v>
      </c>
      <c r="B4999" t="s">
        <v>7247</v>
      </c>
      <c r="C4999" t="s">
        <v>2744</v>
      </c>
    </row>
    <row r="5000" spans="1:3" x14ac:dyDescent="0.25">
      <c r="A5000">
        <v>31971</v>
      </c>
      <c r="B5000" t="s">
        <v>7248</v>
      </c>
      <c r="C5000" t="s">
        <v>1043</v>
      </c>
    </row>
    <row r="5001" spans="1:3" x14ac:dyDescent="0.25">
      <c r="A5001">
        <v>31972</v>
      </c>
      <c r="B5001" t="s">
        <v>7249</v>
      </c>
      <c r="C5001" t="s">
        <v>1041</v>
      </c>
    </row>
    <row r="5002" spans="1:3" x14ac:dyDescent="0.25">
      <c r="A5002">
        <v>31973</v>
      </c>
      <c r="B5002" t="s">
        <v>7250</v>
      </c>
      <c r="C5002" t="s">
        <v>827</v>
      </c>
    </row>
    <row r="5003" spans="1:3" x14ac:dyDescent="0.25">
      <c r="A5003">
        <v>31974</v>
      </c>
      <c r="B5003" t="s">
        <v>7251</v>
      </c>
      <c r="C5003" t="s">
        <v>830</v>
      </c>
    </row>
    <row r="5004" spans="1:3" x14ac:dyDescent="0.25">
      <c r="A5004">
        <v>31975</v>
      </c>
      <c r="B5004" t="s">
        <v>7252</v>
      </c>
      <c r="C5004" t="s">
        <v>1039</v>
      </c>
    </row>
    <row r="5005" spans="1:3" x14ac:dyDescent="0.25">
      <c r="A5005">
        <v>31976</v>
      </c>
      <c r="B5005" t="s">
        <v>7253</v>
      </c>
      <c r="C5005" t="s">
        <v>2447</v>
      </c>
    </row>
    <row r="5006" spans="1:3" x14ac:dyDescent="0.25">
      <c r="A5006">
        <v>31977</v>
      </c>
      <c r="B5006" t="s">
        <v>7254</v>
      </c>
      <c r="C5006" t="s">
        <v>4424</v>
      </c>
    </row>
    <row r="5007" spans="1:3" x14ac:dyDescent="0.25">
      <c r="A5007">
        <v>31978</v>
      </c>
      <c r="B5007" t="s">
        <v>7255</v>
      </c>
      <c r="C5007" t="s">
        <v>4240</v>
      </c>
    </row>
    <row r="5008" spans="1:3" x14ac:dyDescent="0.25">
      <c r="A5008">
        <v>31979</v>
      </c>
      <c r="B5008" t="s">
        <v>7256</v>
      </c>
      <c r="C5008" t="s">
        <v>4235</v>
      </c>
    </row>
    <row r="5009" spans="1:3" x14ac:dyDescent="0.25">
      <c r="A5009">
        <v>31980</v>
      </c>
      <c r="B5009" t="s">
        <v>7257</v>
      </c>
      <c r="C5009" t="s">
        <v>4233</v>
      </c>
    </row>
    <row r="5010" spans="1:3" x14ac:dyDescent="0.25">
      <c r="A5010">
        <v>31981</v>
      </c>
      <c r="B5010" t="s">
        <v>7258</v>
      </c>
      <c r="C5010" t="s">
        <v>4237</v>
      </c>
    </row>
    <row r="5011" spans="1:3" x14ac:dyDescent="0.25">
      <c r="A5011">
        <v>31982</v>
      </c>
      <c r="B5011" t="s">
        <v>7259</v>
      </c>
      <c r="C5011" t="s">
        <v>7260</v>
      </c>
    </row>
    <row r="5012" spans="1:3" x14ac:dyDescent="0.25">
      <c r="A5012">
        <v>31983</v>
      </c>
      <c r="B5012" t="s">
        <v>7261</v>
      </c>
      <c r="C5012" t="s">
        <v>7262</v>
      </c>
    </row>
    <row r="5013" spans="1:3" x14ac:dyDescent="0.25">
      <c r="A5013">
        <v>31984</v>
      </c>
      <c r="B5013" t="s">
        <v>7263</v>
      </c>
      <c r="C5013" t="s">
        <v>7264</v>
      </c>
    </row>
    <row r="5014" spans="1:3" x14ac:dyDescent="0.25">
      <c r="A5014">
        <v>31985</v>
      </c>
      <c r="B5014" t="s">
        <v>7265</v>
      </c>
      <c r="C5014" t="s">
        <v>7266</v>
      </c>
    </row>
    <row r="5015" spans="1:3" x14ac:dyDescent="0.25">
      <c r="A5015">
        <v>31986</v>
      </c>
      <c r="B5015" t="s">
        <v>7267</v>
      </c>
      <c r="C5015" t="s">
        <v>1043</v>
      </c>
    </row>
    <row r="5016" spans="1:3" x14ac:dyDescent="0.25">
      <c r="A5016">
        <v>31987</v>
      </c>
      <c r="B5016" t="s">
        <v>7268</v>
      </c>
      <c r="C5016" t="s">
        <v>1041</v>
      </c>
    </row>
    <row r="5017" spans="1:3" x14ac:dyDescent="0.25">
      <c r="A5017">
        <v>31988</v>
      </c>
      <c r="B5017" t="s">
        <v>7269</v>
      </c>
      <c r="C5017" t="s">
        <v>827</v>
      </c>
    </row>
    <row r="5018" spans="1:3" x14ac:dyDescent="0.25">
      <c r="A5018">
        <v>31989</v>
      </c>
      <c r="B5018" t="s">
        <v>7270</v>
      </c>
      <c r="C5018" t="s">
        <v>830</v>
      </c>
    </row>
    <row r="5019" spans="1:3" x14ac:dyDescent="0.25">
      <c r="A5019">
        <v>31990</v>
      </c>
      <c r="B5019" t="s">
        <v>7271</v>
      </c>
      <c r="C5019" t="s">
        <v>1039</v>
      </c>
    </row>
    <row r="5020" spans="1:3" x14ac:dyDescent="0.25">
      <c r="A5020">
        <v>31991</v>
      </c>
      <c r="B5020" t="s">
        <v>7272</v>
      </c>
      <c r="C5020" t="s">
        <v>2447</v>
      </c>
    </row>
    <row r="5021" spans="1:3" x14ac:dyDescent="0.25">
      <c r="A5021">
        <v>31992</v>
      </c>
      <c r="B5021" t="s">
        <v>7273</v>
      </c>
      <c r="C5021" t="s">
        <v>4424</v>
      </c>
    </row>
    <row r="5022" spans="1:3" x14ac:dyDescent="0.25">
      <c r="A5022">
        <v>31993</v>
      </c>
      <c r="B5022" t="s">
        <v>7274</v>
      </c>
      <c r="C5022" t="s">
        <v>4240</v>
      </c>
    </row>
    <row r="5023" spans="1:3" x14ac:dyDescent="0.25">
      <c r="A5023">
        <v>31994</v>
      </c>
      <c r="B5023" t="s">
        <v>7275</v>
      </c>
      <c r="C5023" t="s">
        <v>4235</v>
      </c>
    </row>
    <row r="5024" spans="1:3" x14ac:dyDescent="0.25">
      <c r="A5024">
        <v>31995</v>
      </c>
      <c r="B5024" t="s">
        <v>7276</v>
      </c>
      <c r="C5024" t="s">
        <v>4233</v>
      </c>
    </row>
    <row r="5025" spans="1:3" x14ac:dyDescent="0.25">
      <c r="A5025">
        <v>31996</v>
      </c>
      <c r="B5025" t="s">
        <v>7277</v>
      </c>
      <c r="C5025" t="s">
        <v>4237</v>
      </c>
    </row>
    <row r="5026" spans="1:3" x14ac:dyDescent="0.25">
      <c r="A5026">
        <v>31997</v>
      </c>
      <c r="B5026" t="s">
        <v>7278</v>
      </c>
      <c r="C5026" t="s">
        <v>7260</v>
      </c>
    </row>
    <row r="5027" spans="1:3" x14ac:dyDescent="0.25">
      <c r="A5027">
        <v>31998</v>
      </c>
      <c r="B5027" t="s">
        <v>7279</v>
      </c>
      <c r="C5027" t="s">
        <v>7262</v>
      </c>
    </row>
    <row r="5028" spans="1:3" x14ac:dyDescent="0.25">
      <c r="A5028">
        <v>31999</v>
      </c>
      <c r="B5028" t="s">
        <v>7280</v>
      </c>
      <c r="C5028" t="s">
        <v>7264</v>
      </c>
    </row>
    <row r="5029" spans="1:3" x14ac:dyDescent="0.25">
      <c r="A5029">
        <v>32000</v>
      </c>
      <c r="B5029" t="s">
        <v>7281</v>
      </c>
      <c r="C5029" t="s">
        <v>7266</v>
      </c>
    </row>
    <row r="5030" spans="1:3" x14ac:dyDescent="0.25">
      <c r="A5030">
        <v>32001</v>
      </c>
      <c r="B5030" t="s">
        <v>7282</v>
      </c>
      <c r="C5030" t="e">
        <f>+proj=lcc +lat_1=48.7166666666666 +lat_2=47.85 +lat_0=47 +lon_0=-109.5 +x_0=609601.219202438 +y_0=0 +datum=NAB27 +units=us-ft +no_defs</f>
        <v>#NAME?</v>
      </c>
    </row>
    <row r="5031" spans="1:3" x14ac:dyDescent="0.25">
      <c r="A5031">
        <v>32002</v>
      </c>
      <c r="B5031" t="s">
        <v>7283</v>
      </c>
      <c r="C5031" t="e">
        <f>+proj=lcc +lat_1=47.8833333333333 +lat_2=46.45 +lat_0=45.8333333333333 +lon_0=-109.5 +x_0=609601.219202438 +y_0=0 +datum=NAB27 +units=us-ft +no_defs</f>
        <v>#NAME?</v>
      </c>
    </row>
    <row r="5032" spans="1:3" x14ac:dyDescent="0.25">
      <c r="A5032">
        <v>6133</v>
      </c>
      <c r="B5032" t="s">
        <v>7284</v>
      </c>
      <c r="C5032" t="e">
        <f>+proj=geocent +ellps=GRQ80 +units=m +no_defs</f>
        <v>#NAME?</v>
      </c>
    </row>
    <row r="5033" spans="1:3" x14ac:dyDescent="0.25">
      <c r="A5033">
        <v>32003</v>
      </c>
      <c r="B5033" t="s">
        <v>7285</v>
      </c>
      <c r="C5033" t="e">
        <f>+proj=lcc +lat_1=46.4 +lat_2=44.8666666666666 +lat_0=44 +lon_0=-109.5 +x_0=609601.219202438 +y_0=0 +datum=NAB27 +units=us-ft +no_defs</f>
        <v>#NAME?</v>
      </c>
    </row>
    <row r="5034" spans="1:3" x14ac:dyDescent="0.25">
      <c r="A5034">
        <v>32005</v>
      </c>
      <c r="B5034" t="s">
        <v>7286</v>
      </c>
      <c r="C5034" t="e">
        <f>+proj=lcc +lat_1=41.85 +lat_2=42.8166666666666 +lat_0=41.3333333333333 +lon_0=-100 +x_0=609601.219202438 +y_0=0 +datum=NAB27 +units=us-ft +no_defs</f>
        <v>#NAME?</v>
      </c>
    </row>
    <row r="5035" spans="1:3" x14ac:dyDescent="0.25">
      <c r="A5035">
        <v>32006</v>
      </c>
      <c r="B5035" t="s">
        <v>7287</v>
      </c>
      <c r="C5035" t="e">
        <f>+proj=lcc +lat_1=40.2833333333333 +lat_2=41.7166666666666 +lat_0=39.6666666666666 +lon_0=-99.5 +x_0=609601.219202438 +y_0=0 +datum=NAB27 +units=us-ft +no_defs</f>
        <v>#NAME?</v>
      </c>
    </row>
    <row r="5036" spans="1:3" x14ac:dyDescent="0.25">
      <c r="A5036">
        <v>32007</v>
      </c>
      <c r="B5036" t="s">
        <v>7288</v>
      </c>
      <c r="C5036" t="e">
        <f>+proj=tmerc +lat_0=34.75 +lon_0=-115.583333333333 +k=0.9999 +x_0=152400.304800609 +y_0=0 +datum=NAB27 +units=us-ft +no_defs</f>
        <v>#NAME?</v>
      </c>
    </row>
    <row r="5037" spans="1:3" x14ac:dyDescent="0.25">
      <c r="A5037">
        <v>32008</v>
      </c>
      <c r="B5037" t="s">
        <v>7289</v>
      </c>
      <c r="C5037" t="e">
        <f>+proj=tmerc +lat_0=34.75 +lon_0=-116.666666666666 +k=0.9999 +x_0=152400.304800609 +y_0=0 +datum=NAB27 +units=us-ft +no_defs</f>
        <v>#NAME?</v>
      </c>
    </row>
    <row r="5038" spans="1:3" x14ac:dyDescent="0.25">
      <c r="A5038">
        <v>32009</v>
      </c>
      <c r="B5038" t="s">
        <v>7290</v>
      </c>
      <c r="C5038" t="e">
        <f>+proj=tmerc +lat_0=34.75 +lon_0=-118.583333333333 +k=0.9999 +x_0=152400.304800609 +y_0=0 +datum=NAB27 +units=us-ft +no_defs</f>
        <v>#NAME?</v>
      </c>
    </row>
    <row r="5039" spans="1:3" x14ac:dyDescent="0.25">
      <c r="A5039">
        <v>32010</v>
      </c>
      <c r="B5039" t="s">
        <v>7291</v>
      </c>
      <c r="C5039" t="e">
        <f>+proj=tmerc +lat_0=42.5 +lon_0=-71.6666666666666 +k=0.999966667 +x_0=152400.304800609 +y_0=0 +datum=NAB27 +units=us-ft +no_defs</f>
        <v>#NAME?</v>
      </c>
    </row>
    <row r="5040" spans="1:3" x14ac:dyDescent="0.25">
      <c r="A5040">
        <v>32011</v>
      </c>
      <c r="B5040" t="s">
        <v>7292</v>
      </c>
      <c r="C5040" t="e">
        <f>+proj=tmerc +lat_0=38.8333333333333 +lon_0=-74.6666666666666 +k=0.999974999999999 +x_0=609601.219202438 +y_0=0 +datum=NAB27 +units=us-ft +no_defs</f>
        <v>#NAME?</v>
      </c>
    </row>
    <row r="5041" spans="1:3" x14ac:dyDescent="0.25">
      <c r="A5041">
        <v>32012</v>
      </c>
      <c r="B5041" t="s">
        <v>7293</v>
      </c>
      <c r="C5041" t="e">
        <f>+proj=tmerc +lat_0=31 +lon_0=-104.333333333333 +k=0.999909091 +x_0=152400.304800609 +y_0=0 +datum=NAB27 +units=us-ft +no_defs</f>
        <v>#NAME?</v>
      </c>
    </row>
    <row r="5042" spans="1:3" x14ac:dyDescent="0.25">
      <c r="A5042">
        <v>32013</v>
      </c>
      <c r="B5042" t="s">
        <v>7294</v>
      </c>
      <c r="C5042" t="e">
        <f>+proj=tmerc +lat_0=31 +lon_0=-106.25 +k=0.9999 +x_0=152400.304800609 +y_0=0 +datum=NAB27 +units=us-ft +no_defs</f>
        <v>#NAME?</v>
      </c>
    </row>
    <row r="5043" spans="1:3" x14ac:dyDescent="0.25">
      <c r="A5043">
        <v>32014</v>
      </c>
      <c r="B5043" t="s">
        <v>7295</v>
      </c>
      <c r="C5043" t="e">
        <f>+proj=tmerc +lat_0=31 +lon_0=-107.833333333333 +k=0.999916667 +x_0=152400.304800609 +y_0=0 +datum=NAB27 +units=us-ft +no_defs</f>
        <v>#NAME?</v>
      </c>
    </row>
    <row r="5044" spans="1:3" x14ac:dyDescent="0.25">
      <c r="A5044">
        <v>32015</v>
      </c>
      <c r="B5044" t="s">
        <v>7296</v>
      </c>
      <c r="C5044" t="e">
        <f>+proj=tmerc +lat_0=40 +lon_0=-74.3333333333333 +k=0.999966667 +x_0=152400.304800609 +y_0=0 +datum=NAB27 +units=us-ft +no_defs</f>
        <v>#NAME?</v>
      </c>
    </row>
    <row r="5045" spans="1:3" x14ac:dyDescent="0.25">
      <c r="A5045">
        <v>32016</v>
      </c>
      <c r="B5045" t="s">
        <v>7297</v>
      </c>
      <c r="C5045" t="e">
        <f>+proj=tmerc +lat_0=40 +lon_0=-76.5833333333333 +k=0.9999375 +x_0=152400.304800609 +y_0=0 +datum=NAB27 +units=us-ft +no_defs</f>
        <v>#NAME?</v>
      </c>
    </row>
    <row r="5046" spans="1:3" x14ac:dyDescent="0.25">
      <c r="A5046">
        <v>32017</v>
      </c>
      <c r="B5046" t="s">
        <v>7298</v>
      </c>
      <c r="C5046" t="e">
        <f>+proj=tmerc +lat_0=40 +lon_0=-78.5833333333333 +k=0.9999375 +x_0=152400.304800609 +y_0=0 +datum=NAB27 +units=us-ft +no_defs</f>
        <v>#NAME?</v>
      </c>
    </row>
    <row r="5047" spans="1:3" x14ac:dyDescent="0.25">
      <c r="A5047">
        <v>32018</v>
      </c>
      <c r="B5047" t="s">
        <v>7299</v>
      </c>
      <c r="C5047" t="e">
        <f>+proj=lcc +lat_1=41.0333333333333 +lat_2=40.6666666666666 +lat_0=40.5 +lon_0=-74 +x_0=304800.609601219 +y_0=0 +datum=NAB27 +units=us-ft +no_defs</f>
        <v>#NAME?</v>
      </c>
    </row>
    <row r="5048" spans="1:3" x14ac:dyDescent="0.25">
      <c r="A5048">
        <v>32019</v>
      </c>
      <c r="B5048" t="s">
        <v>7300</v>
      </c>
      <c r="C5048" t="e">
        <f>+proj=lcc +lat_1=34.3333333333333 +lat_2=36.1666666666666 +lat_0=33.75 +lon_0=-79 +x_0=609601.219202438 +y_0=0 +datum=NAB27 +units=us-ft +no_defs</f>
        <v>#NAME?</v>
      </c>
    </row>
    <row r="5049" spans="1:3" x14ac:dyDescent="0.25">
      <c r="A5049">
        <v>32020</v>
      </c>
      <c r="B5049" t="s">
        <v>7301</v>
      </c>
      <c r="C5049" t="e">
        <f>+proj=lcc +lat_1=47.4333333333333 +lat_2=48.7333333333333 +lat_0=47 +lon_0=-100.5 +x_0=609601.219202438 +y_0=0 +datum=NAB27 +units=us-ft +no_defs</f>
        <v>#NAME?</v>
      </c>
    </row>
    <row r="5050" spans="1:3" x14ac:dyDescent="0.25">
      <c r="A5050">
        <v>32021</v>
      </c>
      <c r="B5050" t="s">
        <v>7302</v>
      </c>
      <c r="C5050" t="e">
        <f>+proj=lcc +lat_1=46.1833333333333 +lat_2=47.4833333333333 +lat_0=45.6666666666666 +lon_0=-100.5 +x_0=609601.219202438 +y_0=0 +datum=NAB27 +units=us-ft +no_defs</f>
        <v>#NAME?</v>
      </c>
    </row>
    <row r="5051" spans="1:3" x14ac:dyDescent="0.25">
      <c r="A5051">
        <v>32022</v>
      </c>
      <c r="B5051" t="s">
        <v>7303</v>
      </c>
      <c r="C5051" t="e">
        <f>+proj=lcc +lat_1=40.4333333333333 +lat_2=41.7 +lat_0=39.6666666666666 +lon_0=-82.5 +x_0=609601.219202438 +y_0=0 +datum=NAB27 +units=us-ft +no_defs</f>
        <v>#NAME?</v>
      </c>
    </row>
    <row r="5052" spans="1:3" x14ac:dyDescent="0.25">
      <c r="A5052">
        <v>32023</v>
      </c>
      <c r="B5052" t="s">
        <v>7304</v>
      </c>
      <c r="C5052" t="e">
        <f>+proj=lcc +lat_1=38.7333333333333 +lat_2=40.0333333333333 +lat_0=38 +lon_0=-82.5 +x_0=609601.219202438 +y_0=0 +datum=NAB27 +units=us-ft +no_defs</f>
        <v>#NAME?</v>
      </c>
    </row>
    <row r="5053" spans="1:3" x14ac:dyDescent="0.25">
      <c r="A5053">
        <v>32024</v>
      </c>
      <c r="B5053" t="s">
        <v>7305</v>
      </c>
      <c r="C5053" t="e">
        <f>+proj=lcc +lat_1=35.5666666666666 +lat_2=36.7666666666666 +lat_0=35 +lon_0=-98 +x_0=609601.219202438 +y_0=0 +datum=NAB27 +units=us-ft +no_defs</f>
        <v>#NAME?</v>
      </c>
    </row>
    <row r="5054" spans="1:3" x14ac:dyDescent="0.25">
      <c r="A5054">
        <v>32025</v>
      </c>
      <c r="B5054" t="s">
        <v>7306</v>
      </c>
      <c r="C5054" t="e">
        <f>+proj=lcc +lat_1=33.9333333333333 +lat_2=35.2333333333333 +lat_0=33.3333333333333 +lon_0=-98 +x_0=609601.219202438 +y_0=0 +datum=NAB27 +units=us-ft +no_defs</f>
        <v>#NAME?</v>
      </c>
    </row>
    <row r="5055" spans="1:3" x14ac:dyDescent="0.25">
      <c r="A5055">
        <v>32026</v>
      </c>
      <c r="B5055" t="s">
        <v>7307</v>
      </c>
      <c r="C5055" t="e">
        <f>+proj=lcc +lat_1=44.3333333333333 +lat_2=46 +lat_0=43.6666666666666 +lon_0=-120.5 +x_0=609601.219202438 +y_0=0 +datum=NAB27 +units=us-ft +no_defs</f>
        <v>#NAME?</v>
      </c>
    </row>
    <row r="5056" spans="1:3" x14ac:dyDescent="0.25">
      <c r="A5056">
        <v>32027</v>
      </c>
      <c r="B5056" t="s">
        <v>7308</v>
      </c>
      <c r="C5056" t="e">
        <f>+proj=lcc +lat_1=42.3333333333333 +lat_2=44 +lat_0=41.6666666666666 +lon_0=-120.5 +x_0=609601.219202438 +y_0=0 +datum=NAB27 +units=us-ft +no_defs</f>
        <v>#NAME?</v>
      </c>
    </row>
    <row r="5057" spans="1:3" x14ac:dyDescent="0.25">
      <c r="A5057">
        <v>32028</v>
      </c>
      <c r="B5057" t="s">
        <v>7309</v>
      </c>
      <c r="C5057" t="e">
        <f>+proj=lcc +lat_1=40.8833333333333 +lat_2=41.95 +lat_0=40.1666666666666 +lon_0=-77.75 +x_0=609601.219202438 +y_0=0 +datum=NAB27 +units=us-ft +no_defs</f>
        <v>#NAME?</v>
      </c>
    </row>
    <row r="5058" spans="1:3" x14ac:dyDescent="0.25">
      <c r="A5058">
        <v>32029</v>
      </c>
      <c r="B5058" t="s">
        <v>7310</v>
      </c>
      <c r="C5058" t="e">
        <f>+proj=lcc +lat_1=39.9333333333333 +lat_2=40.8 +lat_0=39.3333333333333 +lon_0=-77.75 +x_0=609601.219202438 +y_0=0 +datum=NAB27 +units=us-ft +no_defs</f>
        <v>#NAME?</v>
      </c>
    </row>
    <row r="5059" spans="1:3" x14ac:dyDescent="0.25">
      <c r="A5059">
        <v>32619</v>
      </c>
      <c r="B5059" t="s">
        <v>7311</v>
      </c>
      <c r="C5059" t="e">
        <f>+proj=utm +zone=19 +datum=WGQ84 +units=m +no_defs</f>
        <v>#NAME?</v>
      </c>
    </row>
    <row r="5060" spans="1:3" x14ac:dyDescent="0.25">
      <c r="A5060">
        <v>32030</v>
      </c>
      <c r="B5060" t="s">
        <v>7312</v>
      </c>
      <c r="C5060" t="e">
        <f>+proj=tmerc +lat_0=41.0833333333333 +lon_0=-71.5 +k=0.9999938 +x_0=152400.304800609 +y_0=0 +datum=NAB27 +units=us-ft +no_defs</f>
        <v>#NAME?</v>
      </c>
    </row>
    <row r="5061" spans="1:3" x14ac:dyDescent="0.25">
      <c r="A5061">
        <v>32031</v>
      </c>
      <c r="B5061" t="s">
        <v>7313</v>
      </c>
      <c r="C5061" t="e">
        <f>+proj=lcc +lat_1=33.7666666666666 +lat_2=34.9666666666666 +lat_0=33 +lon_0=-81 +x_0=609601.219202438 +y_0=0 +datum=NAB27 +units=us-ft +no_defs</f>
        <v>#NAME?</v>
      </c>
    </row>
    <row r="5062" spans="1:3" x14ac:dyDescent="0.25">
      <c r="A5062">
        <v>32033</v>
      </c>
      <c r="B5062" t="s">
        <v>7314</v>
      </c>
      <c r="C5062" t="e">
        <f>+proj=lcc +lat_1=32.3333333333333 +lat_2=33.6666666666666 +lat_0=31.8333333333333 +lon_0=-81 +x_0=609601.219202438 +y_0=0 +datum=NAB27 +units=us-ft +no_defs</f>
        <v>#NAME?</v>
      </c>
    </row>
    <row r="5063" spans="1:3" x14ac:dyDescent="0.25">
      <c r="A5063">
        <v>32034</v>
      </c>
      <c r="B5063" t="s">
        <v>7315</v>
      </c>
      <c r="C5063" t="e">
        <f>+proj=lcc +lat_1=44.4166666666666 +lat_2=45.6833333333333 +lat_0=43.8333333333333 +lon_0=-100 +x_0=609601.219202438 +y_0=0 +datum=NAB27 +units=us-ft +no_defs</f>
        <v>#NAME?</v>
      </c>
    </row>
    <row r="5064" spans="1:3" x14ac:dyDescent="0.25">
      <c r="A5064">
        <v>32035</v>
      </c>
      <c r="B5064" t="s">
        <v>7316</v>
      </c>
      <c r="C5064" t="e">
        <f>+proj=lcc +lat_1=42.8333333333333 +lat_2=44.4 +lat_0=42.3333333333333 +lon_0=-100.333333333333 +x_0=609601.219202438 +y_0=0 +datum=NAB27 +units=us-ft +no_defs</f>
        <v>#NAME?</v>
      </c>
    </row>
    <row r="5065" spans="1:3" x14ac:dyDescent="0.25">
      <c r="A5065">
        <v>32036</v>
      </c>
      <c r="B5065" t="s">
        <v>7317</v>
      </c>
      <c r="C5065" t="e">
        <f>+proj=lcc +lat_1=35.25 +lat_2=36.4166666666666 +lat_0=34.6666666666666 +lon_0=-86 +x_0=30480.0609601219 +y_0=0 +datum=NAB27 +units=us-ft +no_defs</f>
        <v>#NAME?</v>
      </c>
    </row>
    <row r="5066" spans="1:3" x14ac:dyDescent="0.25">
      <c r="A5066">
        <v>32037</v>
      </c>
      <c r="B5066" t="s">
        <v>7318</v>
      </c>
      <c r="C5066" t="e">
        <f>+proj=lcc +lat_1=34.65 +lat_2=36.1833333333333 +lat_0=34 +lon_0=-101.5 +x_0=609601.219202438 +y_0=0 +datum=NAB27 +units=us-ft +no_defs</f>
        <v>#NAME?</v>
      </c>
    </row>
    <row r="5067" spans="1:3" x14ac:dyDescent="0.25">
      <c r="A5067">
        <v>32038</v>
      </c>
      <c r="B5067" t="s">
        <v>7319</v>
      </c>
      <c r="C5067" t="e">
        <f>+proj=lcc +lat_1=32.1333333333333 +lat_2=33.9666666666666 +lat_0=31.6666666666666 +lon_0=-97.5 +x_0=609601.219202438 +y_0=0 +datum=NAB27 +units=us-ft +no_defs</f>
        <v>#NAME?</v>
      </c>
    </row>
    <row r="5068" spans="1:3" x14ac:dyDescent="0.25">
      <c r="A5068">
        <v>32620</v>
      </c>
      <c r="B5068" t="s">
        <v>7320</v>
      </c>
      <c r="C5068" t="e">
        <f>+proj=utm +zone=20 +datum=WGQ84 +units=m +no_defs</f>
        <v>#NAME?</v>
      </c>
    </row>
    <row r="5069" spans="1:3" x14ac:dyDescent="0.25">
      <c r="A5069">
        <v>32039</v>
      </c>
      <c r="B5069" t="s">
        <v>7321</v>
      </c>
      <c r="C5069" t="e">
        <f>+proj=lcc +lat_1=30.1166666666666 +lat_2=31.8833333333333 +lat_0=29.6666666666666 +lon_0=-100.333333333333 +x_0=609601.219202438 +y_0=0 +datum=NAB27 +units=us-ft +no_defs</f>
        <v>#NAME?</v>
      </c>
    </row>
    <row r="5070" spans="1:3" x14ac:dyDescent="0.25">
      <c r="A5070">
        <v>32040</v>
      </c>
      <c r="B5070" t="s">
        <v>7322</v>
      </c>
      <c r="C5070" t="e">
        <f>+proj=lcc +lat_1=28.3833333333333 +lat_2=30.2833333333333 +lat_0=27.8333333333333 +lon_0=-99 +x_0=609601.219202438 +y_0=0 +datum=NAB27 +units=us-ft +no_defs</f>
        <v>#NAME?</v>
      </c>
    </row>
    <row r="5071" spans="1:3" x14ac:dyDescent="0.25">
      <c r="A5071">
        <v>32041</v>
      </c>
      <c r="B5071" t="s">
        <v>7323</v>
      </c>
      <c r="C5071" t="e">
        <f>+proj=lcc +lat_1=26.1666666666666 +lat_2=27.8333333333333 +lat_0=25.6666666666666 +lon_0=-98.5 +x_0=609601.219202438 +y_0=0 +datum=NAB27 +units=us-ft +no_defs</f>
        <v>#NAME?</v>
      </c>
    </row>
    <row r="5072" spans="1:3" x14ac:dyDescent="0.25">
      <c r="A5072">
        <v>32042</v>
      </c>
      <c r="B5072" t="s">
        <v>7324</v>
      </c>
      <c r="C5072" t="e">
        <f>+proj=lcc +lat_1=40.7166666666666 +lat_2=41.7833333333333 +lat_0=40.3333333333333 +lon_0=-111.5 +x_0=609601.219202438 +y_0=0 +datum=NAB27 +units=us-ft +no_defs</f>
        <v>#NAME?</v>
      </c>
    </row>
    <row r="5073" spans="1:3" x14ac:dyDescent="0.25">
      <c r="A5073">
        <v>32043</v>
      </c>
      <c r="B5073" t="s">
        <v>7325</v>
      </c>
      <c r="C5073" t="e">
        <f>+proj=lcc +lat_1=39.0166666666666 +lat_2=40.65 +lat_0=38.3333333333333 +lon_0=-111.5 +x_0=609601.219202438 +y_0=0 +datum=NAB27 +units=us-ft +no_defs</f>
        <v>#NAME?</v>
      </c>
    </row>
    <row r="5074" spans="1:3" x14ac:dyDescent="0.25">
      <c r="A5074">
        <v>32044</v>
      </c>
      <c r="B5074" t="s">
        <v>7326</v>
      </c>
      <c r="C5074" t="e">
        <f>+proj=lcc +lat_1=37.2166666666666 +lat_2=38.35 +lat_0=36.6666666666666 +lon_0=-111.5 +x_0=609601.219202438 +y_0=0 +datum=NAB27 +units=us-ft +no_defs</f>
        <v>#NAME?</v>
      </c>
    </row>
    <row r="5075" spans="1:3" x14ac:dyDescent="0.25">
      <c r="A5075">
        <v>32045</v>
      </c>
      <c r="B5075" t="s">
        <v>7327</v>
      </c>
      <c r="C5075" t="e">
        <f>+proj=tmerc +lat_0=42.5 +lon_0=-72.5 +k=0.999964286 +x_0=152400.304800609 +y_0=0 +datum=NAB27 +units=us-ft +no_defs</f>
        <v>#NAME?</v>
      </c>
    </row>
    <row r="5076" spans="1:3" x14ac:dyDescent="0.25">
      <c r="A5076">
        <v>32046</v>
      </c>
      <c r="B5076" t="s">
        <v>7328</v>
      </c>
      <c r="C5076" t="e">
        <f>+proj=lcc +lat_1=38.0333333333333 +lat_2=39.2 +lat_0=37.6666666666666 +lon_0=-78.5 +x_0=609601.219202438 +y_0=0 +datum=NAB27 +units=us-ft +no_defs</f>
        <v>#NAME?</v>
      </c>
    </row>
    <row r="5077" spans="1:3" x14ac:dyDescent="0.25">
      <c r="A5077">
        <v>32621</v>
      </c>
      <c r="B5077" t="s">
        <v>7329</v>
      </c>
      <c r="C5077" t="e">
        <f>+proj=utm +zone=21 +datum=WGQ84 +units=m +no_defs</f>
        <v>#NAME?</v>
      </c>
    </row>
    <row r="5078" spans="1:3" x14ac:dyDescent="0.25">
      <c r="A5078">
        <v>32047</v>
      </c>
      <c r="B5078" t="s">
        <v>7330</v>
      </c>
      <c r="C5078" t="e">
        <f>+proj=lcc +lat_1=36.7666666666666 +lat_2=37.9666666666666 +lat_0=36.3333333333333 +lon_0=-78.5 +x_0=609601.219202438 +y_0=0 +datum=NAB27 +units=us-ft +no_defs</f>
        <v>#NAME?</v>
      </c>
    </row>
    <row r="5079" spans="1:3" x14ac:dyDescent="0.25">
      <c r="A5079">
        <v>32048</v>
      </c>
      <c r="B5079" t="s">
        <v>7331</v>
      </c>
      <c r="C5079" t="e">
        <f>+proj=lcc +lat_1=47.5 +lat_2=48.7333333333333 +lat_0=47 +lon_0=-120.833333333333 +x_0=609601.219202438 +y_0=0 +datum=NAB27 +units=us-ft +no_defs</f>
        <v>#NAME?</v>
      </c>
    </row>
    <row r="5080" spans="1:3" x14ac:dyDescent="0.25">
      <c r="A5080">
        <v>32049</v>
      </c>
      <c r="B5080" t="s">
        <v>7332</v>
      </c>
      <c r="C5080" t="e">
        <f>+proj=lcc +lat_1=45.8333333333333 +lat_2=47.3333333333333 +lat_0=45.3333333333333 +lon_0=-120.5 +x_0=609601.219202438 +y_0=0 +datum=NAB27 +units=us-ft +no_defs</f>
        <v>#NAME?</v>
      </c>
    </row>
    <row r="5081" spans="1:3" x14ac:dyDescent="0.25">
      <c r="A5081">
        <v>32050</v>
      </c>
      <c r="B5081" t="s">
        <v>7333</v>
      </c>
      <c r="C5081" t="e">
        <f>+proj=lcc +lat_1=39 +lat_2=40.25 +lat_0=38.5 +lon_0=-79.5 +x_0=609601.219202438 +y_0=0 +datum=NAB27 +units=us-ft +no_defs</f>
        <v>#NAME?</v>
      </c>
    </row>
    <row r="5082" spans="1:3" x14ac:dyDescent="0.25">
      <c r="A5082">
        <v>32051</v>
      </c>
      <c r="B5082" t="s">
        <v>7334</v>
      </c>
      <c r="C5082" t="e">
        <f>+proj=lcc +lat_1=37.4833333333333 +lat_2=38.8833333333333 +lat_0=37 +lon_0=-81 +x_0=609601.219202438 +y_0=0 +datum=NAB27 +units=us-ft +no_defs</f>
        <v>#NAME?</v>
      </c>
    </row>
    <row r="5083" spans="1:3" x14ac:dyDescent="0.25">
      <c r="A5083">
        <v>32052</v>
      </c>
      <c r="B5083" t="s">
        <v>7335</v>
      </c>
      <c r="C5083" t="e">
        <f>+proj=lcc +lat_1=45.5666666666666 +lat_2=46.7666666666666 +lat_0=45.1666666666666 +lon_0=-90 +x_0=609601.219202438 +y_0=0 +datum=NAB27 +units=us-ft +no_defs</f>
        <v>#NAME?</v>
      </c>
    </row>
    <row r="5084" spans="1:3" x14ac:dyDescent="0.25">
      <c r="A5084">
        <v>32053</v>
      </c>
      <c r="B5084" t="s">
        <v>7336</v>
      </c>
      <c r="C5084" t="e">
        <f>+proj=lcc +lat_1=44.25 +lat_2=45.5 +lat_0=43.8333333333333 +lon_0=-90 +x_0=609601.219202438 +y_0=0 +datum=NAB27 +units=us-ft +no_defs</f>
        <v>#NAME?</v>
      </c>
    </row>
    <row r="5085" spans="1:3" x14ac:dyDescent="0.25">
      <c r="A5085">
        <v>32054</v>
      </c>
      <c r="B5085" t="s">
        <v>7337</v>
      </c>
      <c r="C5085" t="e">
        <f>+proj=lcc +lat_1=42.7333333333333 +lat_2=44.0666666666666 +lat_0=42 +lon_0=-90 +x_0=609601.219202438 +y_0=0 +datum=NAB27 +units=us-ft +no_defs</f>
        <v>#NAME?</v>
      </c>
    </row>
    <row r="5086" spans="1:3" x14ac:dyDescent="0.25">
      <c r="A5086">
        <v>32622</v>
      </c>
      <c r="B5086" t="s">
        <v>7338</v>
      </c>
      <c r="C5086" t="e">
        <f>+proj=utm +zone=22 +datum=WGQ84 +units=m +no_defs</f>
        <v>#NAME?</v>
      </c>
    </row>
    <row r="5087" spans="1:3" x14ac:dyDescent="0.25">
      <c r="A5087">
        <v>32055</v>
      </c>
      <c r="B5087" t="s">
        <v>7339</v>
      </c>
      <c r="C5087" t="e">
        <f>+proj=tmerc +lat_0=40.6666666666666 +lon_0=-105.166666666666 +k=0.999941177 +x_0=152400.304800609 +y_0=0 +datum=NAB27 +units=us-ft +no_defs</f>
        <v>#NAME?</v>
      </c>
    </row>
    <row r="5088" spans="1:3" x14ac:dyDescent="0.25">
      <c r="A5088">
        <v>32056</v>
      </c>
      <c r="B5088" t="s">
        <v>7340</v>
      </c>
      <c r="C5088" t="e">
        <f>+proj=tmerc +lat_0=40.6666666666666 +lon_0=-107.333333333333 +k=0.999941177 +x_0=152400.304800609 +y_0=0 +datum=NAB27 +units=us-ft +no_defs</f>
        <v>#NAME?</v>
      </c>
    </row>
    <row r="5089" spans="1:3" x14ac:dyDescent="0.25">
      <c r="A5089">
        <v>32057</v>
      </c>
      <c r="B5089" t="s">
        <v>7341</v>
      </c>
      <c r="C5089" t="e">
        <f>+proj=tmerc +lat_0=40.6666666666666 +lon_0=-108.75 +k=0.999941177 +x_0=152400.304800609 +y_0=0 +datum=NAB27 +units=us-ft +no_defs</f>
        <v>#NAME?</v>
      </c>
    </row>
    <row r="5090" spans="1:3" x14ac:dyDescent="0.25">
      <c r="A5090">
        <v>32058</v>
      </c>
      <c r="B5090" t="s">
        <v>7342</v>
      </c>
      <c r="C5090" t="e">
        <f>+proj=tmerc +lat_0=40.6666666666666 +lon_0=-110.083333333333 +k=0.999941177 +x_0=152400.304800609 +y_0=0 +datum=NAB27 +units=us-ft +no_defs</f>
        <v>#NAME?</v>
      </c>
    </row>
    <row r="5091" spans="1:3" x14ac:dyDescent="0.25">
      <c r="A5091">
        <v>32061</v>
      </c>
      <c r="B5091" t="s">
        <v>7343</v>
      </c>
      <c r="C5091" t="e">
        <f>+proj=lcc +lat_1=16.8166666666666 +lat_0=16.8166666666666 +lon_0=-90.3333333333333 +k_0=0.99992226 +x_0=500000 +y_0=292209.579 +datum=NAB27 +units=m +no_defs</f>
        <v>#NAME?</v>
      </c>
    </row>
    <row r="5092" spans="1:3" x14ac:dyDescent="0.25">
      <c r="A5092">
        <v>32062</v>
      </c>
      <c r="B5092" t="s">
        <v>7344</v>
      </c>
      <c r="C5092" t="e">
        <f>+proj=lcc +lat_1=14.9 +lat_0=14.9 +lon_0=-90.3333333333333 +k_0=0.99989906 +x_0=500000 +y_0=325992.681 +datum=NAB27 +units=m +no_defs</f>
        <v>#NAME?</v>
      </c>
    </row>
    <row r="5093" spans="1:3" x14ac:dyDescent="0.25">
      <c r="A5093">
        <v>32064</v>
      </c>
      <c r="B5093" t="s">
        <v>7345</v>
      </c>
      <c r="C5093" t="e">
        <f>+proj=tmerc +lat_0=0 +lon_0=-99 +k=0.9996 +x_0=500000.001016002 +y_0=0 +datum=NAB27 +units=us-ft +no_defs</f>
        <v>#NAME?</v>
      </c>
    </row>
    <row r="5094" spans="1:3" x14ac:dyDescent="0.25">
      <c r="A5094">
        <v>32065</v>
      </c>
      <c r="B5094" t="s">
        <v>7346</v>
      </c>
      <c r="C5094" t="e">
        <f>+proj=tmerc +lat_0=0 +lon_0=-93 +k=0.9996 +x_0=500000.001016002 +y_0=0 +datum=NAB27 +units=us-ft +no_defs</f>
        <v>#NAME?</v>
      </c>
    </row>
    <row r="5095" spans="1:3" x14ac:dyDescent="0.25">
      <c r="A5095">
        <v>32066</v>
      </c>
      <c r="B5095" t="s">
        <v>7347</v>
      </c>
      <c r="C5095" t="e">
        <f>+proj=tmerc +lat_0=0 +lon_0=-87 +k=0.9996 +x_0=500000.001016002 +y_0=0 +datum=NAB27 +units=us-ft +no_defs</f>
        <v>#NAME?</v>
      </c>
    </row>
    <row r="5096" spans="1:3" x14ac:dyDescent="0.25">
      <c r="A5096">
        <v>4079</v>
      </c>
      <c r="B5096" t="s">
        <v>7348</v>
      </c>
      <c r="C5096" t="e">
        <f>+proj=geocent +ellps=GRQ80 +units=m +no_defs</f>
        <v>#NAME?</v>
      </c>
    </row>
    <row r="5097" spans="1:3" x14ac:dyDescent="0.25">
      <c r="A5097">
        <v>32067</v>
      </c>
      <c r="B5097" t="s">
        <v>7349</v>
      </c>
      <c r="C5097" t="e">
        <f>+proj=tmerc +lat_0=0 +lon_0=-81 +k=0.9996 +x_0=500000.001016002 +y_0=0 +datum=NAB27 +units=us-ft +no_defs</f>
        <v>#NAME?</v>
      </c>
    </row>
    <row r="5098" spans="1:3" x14ac:dyDescent="0.25">
      <c r="A5098">
        <v>32074</v>
      </c>
      <c r="B5098" t="s">
        <v>7350</v>
      </c>
      <c r="C5098" t="e">
        <f>+proj=tmerc +lat_0=0 +lon_0=-99 +k=0.9996 +x_0=500000.001016002 +y_0=0 +datum=NAB27 +units=us-ft +no_defs</f>
        <v>#NAME?</v>
      </c>
    </row>
    <row r="5099" spans="1:3" x14ac:dyDescent="0.25">
      <c r="A5099">
        <v>32075</v>
      </c>
      <c r="B5099" t="s">
        <v>7351</v>
      </c>
      <c r="C5099" t="e">
        <f>+proj=tmerc +lat_0=0 +lon_0=-93 +k=0.9996 +x_0=500000.001016002 +y_0=0 +datum=NAB27 +units=us-ft +no_defs</f>
        <v>#NAME?</v>
      </c>
    </row>
    <row r="5100" spans="1:3" x14ac:dyDescent="0.25">
      <c r="A5100">
        <v>32076</v>
      </c>
      <c r="B5100" t="s">
        <v>7352</v>
      </c>
      <c r="C5100" t="e">
        <f>+proj=tmerc +lat_0=0 +lon_0=-87 +k=0.9996 +x_0=500000.001016002 +y_0=0 +datum=NAB27 +units=us-ft +no_defs</f>
        <v>#NAME?</v>
      </c>
    </row>
    <row r="5101" spans="1:3" x14ac:dyDescent="0.25">
      <c r="A5101">
        <v>32077</v>
      </c>
      <c r="B5101" t="s">
        <v>7353</v>
      </c>
      <c r="C5101" t="e">
        <f>+proj=tmerc +lat_0=0 +lon_0=-81 +k=0.9996 +x_0=500000.001016002 +y_0=0 +datum=NAB27 +units=us-ft +no_defs</f>
        <v>#NAME?</v>
      </c>
    </row>
    <row r="5102" spans="1:3" x14ac:dyDescent="0.25">
      <c r="A5102">
        <v>32081</v>
      </c>
      <c r="B5102" t="s">
        <v>7354</v>
      </c>
      <c r="C5102" t="e">
        <f>+proj=tmerc +lat_0=0 +lon_0=-53 +k=0.9999 +x_0=304800 +y_0=0 +datum=NAB27 +units=m +no_defs</f>
        <v>#NAME?</v>
      </c>
    </row>
    <row r="5103" spans="1:3" x14ac:dyDescent="0.25">
      <c r="A5103">
        <v>32082</v>
      </c>
      <c r="B5103" t="s">
        <v>7355</v>
      </c>
      <c r="C5103" t="e">
        <f>+proj=tmerc +lat_0=0 +lon_0=-56 +k=0.9999 +x_0=304800 +y_0=0 +datum=NAB27 +units=m +no_defs</f>
        <v>#NAME?</v>
      </c>
    </row>
    <row r="5104" spans="1:3" x14ac:dyDescent="0.25">
      <c r="A5104">
        <v>32083</v>
      </c>
      <c r="B5104" t="s">
        <v>7356</v>
      </c>
      <c r="C5104" t="e">
        <f>+proj=tmerc +lat_0=0 +lon_0=-58.5 +k=0.9999 +x_0=304800 +y_0=0 +datum=NAB27 +units=m +no_defs</f>
        <v>#NAME?</v>
      </c>
    </row>
    <row r="5105" spans="1:3" x14ac:dyDescent="0.25">
      <c r="A5105">
        <v>32084</v>
      </c>
      <c r="B5105" t="s">
        <v>7357</v>
      </c>
      <c r="C5105" t="e">
        <f>+proj=tmerc +lat_0=0 +lon_0=-61.5 +k=0.9999 +x_0=304800 +y_0=0 +datum=NAB27 +units=m +no_defs</f>
        <v>#NAME?</v>
      </c>
    </row>
    <row r="5106" spans="1:3" x14ac:dyDescent="0.25">
      <c r="A5106">
        <v>32085</v>
      </c>
      <c r="B5106" t="s">
        <v>7358</v>
      </c>
      <c r="C5106" t="e">
        <f>+proj=tmerc +lat_0=0 +lon_0=-64.5 +k=0.9999 +x_0=304800 +y_0=0 +datum=NAB27 +units=m +no_defs</f>
        <v>#NAME?</v>
      </c>
    </row>
    <row r="5107" spans="1:3" x14ac:dyDescent="0.25">
      <c r="A5107">
        <v>32086</v>
      </c>
      <c r="B5107" t="s">
        <v>7359</v>
      </c>
      <c r="C5107" t="e">
        <f>+proj=tmerc +lat_0=0 +lon_0=-67.5 +k=0.9999 +x_0=304800 +y_0=0 +datum=NAB27 +units=m +no_defs</f>
        <v>#NAME?</v>
      </c>
    </row>
    <row r="5108" spans="1:3" x14ac:dyDescent="0.25">
      <c r="A5108">
        <v>32098</v>
      </c>
      <c r="B5108" t="s">
        <v>7360</v>
      </c>
      <c r="C5108" t="e">
        <f>+proj=lcc +lat_1=60 +lat_2=46 +lat_0=44 +lon_0=-68.5 +x_0=0 +y_0=0 +datum=NAB27 +units=m +no_defs</f>
        <v>#NAME?</v>
      </c>
    </row>
    <row r="5109" spans="1:3" x14ac:dyDescent="0.25">
      <c r="A5109">
        <v>32099</v>
      </c>
      <c r="B5109" t="s">
        <v>7361</v>
      </c>
      <c r="C5109" t="e">
        <f>+proj=lcc +lat_1=27.8333333333333 +lat_2=26.1666666666666 +lat_0=25.6666666666666 +lon_0=-91.3333333333333 +x_0=609601.219202438 +y_0=0 +datum=NAB27 +units=us-ft +no_defs</f>
        <v>#NAME?</v>
      </c>
    </row>
    <row r="5110" spans="1:3" x14ac:dyDescent="0.25">
      <c r="A5110">
        <v>32100</v>
      </c>
      <c r="B5110" t="s">
        <v>7362</v>
      </c>
      <c r="C5110" t="e">
        <f>+proj=lcc +lat_1=49 +lat_2=45 +lat_0=44.25 +lon_0=-109.5 +x_0=600000 +y_0=0 +datum=NAB83 +units=m +no_defs</f>
        <v>#NAME?</v>
      </c>
    </row>
    <row r="5111" spans="1:3" x14ac:dyDescent="0.25">
      <c r="A5111">
        <v>32104</v>
      </c>
      <c r="B5111" t="s">
        <v>7363</v>
      </c>
      <c r="C5111" t="e">
        <f>+proj=lcc +lat_1=43 +lat_2=40 +lat_0=39.8333333333333 +lon_0=-100 +x_0=500000 +y_0=0 +datum=NAB83 +units=m +no_defs</f>
        <v>#NAME?</v>
      </c>
    </row>
    <row r="5112" spans="1:3" x14ac:dyDescent="0.25">
      <c r="A5112">
        <v>32107</v>
      </c>
      <c r="B5112" t="s">
        <v>7364</v>
      </c>
      <c r="C5112" t="e">
        <f>+proj=tmerc +lat_0=34.75 +lon_0=-115.583333333333 +k=0.9999 +x_0=200000 +y_0=8000000 +datum=NAB83 +units=m +no_defs</f>
        <v>#NAME?</v>
      </c>
    </row>
    <row r="5113" spans="1:3" x14ac:dyDescent="0.25">
      <c r="A5113">
        <v>32108</v>
      </c>
      <c r="B5113" t="s">
        <v>7365</v>
      </c>
      <c r="C5113" t="e">
        <f>+proj=tmerc +lat_0=34.75 +lon_0=-116.666666666666 +k=0.9999 +x_0=500000 +y_0=6000000 +datum=NAB83 +units=m +no_defs</f>
        <v>#NAME?</v>
      </c>
    </row>
    <row r="5114" spans="1:3" x14ac:dyDescent="0.25">
      <c r="A5114">
        <v>32109</v>
      </c>
      <c r="B5114" t="s">
        <v>7366</v>
      </c>
      <c r="C5114" t="e">
        <f>+proj=tmerc +lat_0=34.75 +lon_0=-118.583333333333 +k=0.9999 +x_0=800000 +y_0=4000000 +datum=NAB83 +units=m +no_defs</f>
        <v>#NAME?</v>
      </c>
    </row>
    <row r="5115" spans="1:3" x14ac:dyDescent="0.25">
      <c r="A5115">
        <v>32110</v>
      </c>
      <c r="B5115" t="s">
        <v>7367</v>
      </c>
      <c r="C5115" t="e">
        <f>+proj=tmerc +lat_0=42.5 +lon_0=-71.6666666666666 +k=0.999966667 +x_0=300000 +y_0=0 +datum=NAB83 +units=m +no_defs</f>
        <v>#NAME?</v>
      </c>
    </row>
    <row r="5116" spans="1:3" x14ac:dyDescent="0.25">
      <c r="A5116">
        <v>4328</v>
      </c>
      <c r="B5116" t="s">
        <v>7368</v>
      </c>
      <c r="C5116" t="e">
        <f>+proj=geocent +datum=WGQ84 +units=m +no_defs</f>
        <v>#NAME?</v>
      </c>
    </row>
    <row r="5117" spans="1:3" x14ac:dyDescent="0.25">
      <c r="A5117">
        <v>32111</v>
      </c>
      <c r="B5117" t="s">
        <v>7369</v>
      </c>
      <c r="C5117" t="e">
        <f>+proj=tmerc +lat_0=38.8333333333333 +lon_0=-74.5 +k=0.9999 +x_0=150000 +y_0=0 +datum=NAB83 +units=m +no_defs</f>
        <v>#NAME?</v>
      </c>
    </row>
    <row r="5118" spans="1:3" x14ac:dyDescent="0.25">
      <c r="A5118">
        <v>32112</v>
      </c>
      <c r="B5118" t="s">
        <v>7370</v>
      </c>
      <c r="C5118" t="e">
        <f>+proj=tmerc +lat_0=31 +lon_0=-104.333333333333 +k=0.999909091 +x_0=165000 +y_0=0 +datum=NAB83 +units=m +no_defs</f>
        <v>#NAME?</v>
      </c>
    </row>
    <row r="5119" spans="1:3" x14ac:dyDescent="0.25">
      <c r="A5119">
        <v>32113</v>
      </c>
      <c r="B5119" t="s">
        <v>7371</v>
      </c>
      <c r="C5119" t="e">
        <f>+proj=tmerc +lat_0=31 +lon_0=-106.25 +k=0.9999 +x_0=500000 +y_0=0 +datum=NAB83 +units=m +no_defs</f>
        <v>#NAME?</v>
      </c>
    </row>
    <row r="5120" spans="1:3" x14ac:dyDescent="0.25">
      <c r="A5120">
        <v>32114</v>
      </c>
      <c r="B5120" t="s">
        <v>7372</v>
      </c>
      <c r="C5120" t="e">
        <f>+proj=tmerc +lat_0=31 +lon_0=-107.833333333333 +k=0.999916667 +x_0=830000 +y_0=0 +datum=NAB83 +units=m +no_defs</f>
        <v>#NAME?</v>
      </c>
    </row>
    <row r="5121" spans="1:3" x14ac:dyDescent="0.25">
      <c r="A5121">
        <v>32115</v>
      </c>
      <c r="B5121" t="s">
        <v>7373</v>
      </c>
      <c r="C5121" t="e">
        <f>+proj=tmerc +lat_0=38.8333333333333 +lon_0=-74.5 +k=0.9999 +x_0=150000 +y_0=0 +datum=NAB83 +units=m +no_defs</f>
        <v>#NAME?</v>
      </c>
    </row>
    <row r="5122" spans="1:3" x14ac:dyDescent="0.25">
      <c r="A5122">
        <v>32116</v>
      </c>
      <c r="B5122" t="s">
        <v>7374</v>
      </c>
      <c r="C5122" t="e">
        <f>+proj=tmerc +lat_0=40 +lon_0=-76.5833333333333 +k=0.9999375 +x_0=250000 +y_0=0 +datum=NAB83 +units=m +no_defs</f>
        <v>#NAME?</v>
      </c>
    </row>
    <row r="5123" spans="1:3" x14ac:dyDescent="0.25">
      <c r="A5123">
        <v>32117</v>
      </c>
      <c r="B5123" t="s">
        <v>7375</v>
      </c>
      <c r="C5123" t="e">
        <f>+proj=tmerc +lat_0=40 +lon_0=-78.5833333333333 +k=0.9999375 +x_0=350000 +y_0=0 +datum=NAB83 +units=m +no_defs</f>
        <v>#NAME?</v>
      </c>
    </row>
    <row r="5124" spans="1:3" x14ac:dyDescent="0.25">
      <c r="A5124">
        <v>32118</v>
      </c>
      <c r="B5124" t="s">
        <v>7376</v>
      </c>
      <c r="C5124" t="e">
        <f>+proj=lcc +lat_1=41.0333333333333 +lat_2=40.6666666666666 +lat_0=40.1666666666666 +lon_0=-74 +x_0=300000 +y_0=0 +datum=NAB83 +units=m +no_defs</f>
        <v>#NAME?</v>
      </c>
    </row>
    <row r="5125" spans="1:3" x14ac:dyDescent="0.25">
      <c r="A5125">
        <v>32119</v>
      </c>
      <c r="B5125" t="s">
        <v>7377</v>
      </c>
      <c r="C5125" t="e">
        <f>+proj=lcc +lat_1=36.1666666666666 +lat_2=34.3333333333333 +lat_0=33.75 +lon_0=-79 +x_0=609601.22 +y_0=0 +datum=NAB83 +units=m +no_defs</f>
        <v>#NAME?</v>
      </c>
    </row>
    <row r="5126" spans="1:3" x14ac:dyDescent="0.25">
      <c r="A5126">
        <v>4330</v>
      </c>
      <c r="B5126" t="s">
        <v>7378</v>
      </c>
      <c r="C5126" t="e">
        <f>+proj=geocent +ellps=GRQ80 +units=m +no_defs</f>
        <v>#NAME?</v>
      </c>
    </row>
    <row r="5127" spans="1:3" x14ac:dyDescent="0.25">
      <c r="A5127">
        <v>32120</v>
      </c>
      <c r="B5127" t="s">
        <v>7379</v>
      </c>
      <c r="C5127" t="e">
        <f>+proj=lcc +lat_1=48.7333333333333 +lat_2=47.4333333333333 +lat_0=47 +lon_0=-100.5 +x_0=600000 +y_0=0 +datum=NAB83 +units=m +no_defs</f>
        <v>#NAME?</v>
      </c>
    </row>
    <row r="5128" spans="1:3" x14ac:dyDescent="0.25">
      <c r="A5128">
        <v>32121</v>
      </c>
      <c r="B5128" t="s">
        <v>7380</v>
      </c>
      <c r="C5128" t="e">
        <f>+proj=lcc +lat_1=47.4833333333333 +lat_2=46.1833333333333 +lat_0=45.6666666666666 +lon_0=-100.5 +x_0=600000 +y_0=0 +datum=NAB83 +units=m +no_defs</f>
        <v>#NAME?</v>
      </c>
    </row>
    <row r="5129" spans="1:3" x14ac:dyDescent="0.25">
      <c r="A5129">
        <v>32122</v>
      </c>
      <c r="B5129" t="s">
        <v>7381</v>
      </c>
      <c r="C5129" t="e">
        <f>+proj=lcc +lat_1=41.7 +lat_2=40.4333333333333 +lat_0=39.6666666666666 +lon_0=-82.5 +x_0=600000 +y_0=0 +datum=NAB83 +units=m +no_defs</f>
        <v>#NAME?</v>
      </c>
    </row>
    <row r="5130" spans="1:3" x14ac:dyDescent="0.25">
      <c r="A5130">
        <v>32123</v>
      </c>
      <c r="B5130" t="s">
        <v>7382</v>
      </c>
      <c r="C5130" t="e">
        <f>+proj=lcc +lat_1=40.0333333333333 +lat_2=38.7333333333333 +lat_0=38 +lon_0=-82.5 +x_0=600000 +y_0=0 +datum=NAB83 +units=m +no_defs</f>
        <v>#NAME?</v>
      </c>
    </row>
    <row r="5131" spans="1:3" x14ac:dyDescent="0.25">
      <c r="A5131">
        <v>32124</v>
      </c>
      <c r="B5131" t="s">
        <v>7383</v>
      </c>
      <c r="C5131" t="e">
        <f>+proj=lcc +lat_1=36.7666666666666 +lat_2=35.5666666666666 +lat_0=35 +lon_0=-98 +x_0=600000 +y_0=0 +datum=NAB83 +units=m +no_defs</f>
        <v>#NAME?</v>
      </c>
    </row>
    <row r="5132" spans="1:3" x14ac:dyDescent="0.25">
      <c r="A5132">
        <v>32125</v>
      </c>
      <c r="B5132" t="s">
        <v>7384</v>
      </c>
      <c r="C5132" t="e">
        <f>+proj=lcc +lat_1=35.2333333333333 +lat_2=33.9333333333333 +lat_0=33.3333333333333 +lon_0=-98 +x_0=600000 +y_0=0 +datum=NAB83 +units=m +no_defs</f>
        <v>#NAME?</v>
      </c>
    </row>
    <row r="5133" spans="1:3" x14ac:dyDescent="0.25">
      <c r="A5133">
        <v>32126</v>
      </c>
      <c r="B5133" t="s">
        <v>7385</v>
      </c>
      <c r="C5133" t="e">
        <f>+proj=lcc +lat_1=46 +lat_2=44.3333333333333 +lat_0=43.6666666666666 +lon_0=-120.5 +x_0=2500000 +y_0=0 +datum=NAB83 +units=m +no_defs</f>
        <v>#NAME?</v>
      </c>
    </row>
    <row r="5134" spans="1:3" x14ac:dyDescent="0.25">
      <c r="A5134">
        <v>32127</v>
      </c>
      <c r="B5134" t="s">
        <v>7386</v>
      </c>
      <c r="C5134" t="e">
        <f>+proj=lcc +lat_1=44 +lat_2=42.3333333333333 +lat_0=41.6666666666666 +lon_0=-120.5 +x_0=1500000 +y_0=0 +datum=NAB83 +units=m +no_defs</f>
        <v>#NAME?</v>
      </c>
    </row>
    <row r="5135" spans="1:3" x14ac:dyDescent="0.25">
      <c r="A5135">
        <v>32128</v>
      </c>
      <c r="B5135" t="s">
        <v>7387</v>
      </c>
      <c r="C5135" t="e">
        <f>+proj=lcc +lat_1=41.95 +lat_2=40.8833333333333 +lat_0=40.1666666666666 +lon_0=-77.75 +x_0=600000 +y_0=0 +datum=NAB83 +units=m +no_defs</f>
        <v>#NAME?</v>
      </c>
    </row>
    <row r="5136" spans="1:3" x14ac:dyDescent="0.25">
      <c r="A5136">
        <v>32129</v>
      </c>
      <c r="B5136" t="s">
        <v>7388</v>
      </c>
      <c r="C5136" t="e">
        <f>+proj=lcc +lat_1=40.9666666666666 +lat_2=39.9333333333333 +lat_0=39.3333333333333 +lon_0=-77.75 +x_0=600000 +y_0=0 +datum=NAB83 +units=m +no_defs</f>
        <v>#NAME?</v>
      </c>
    </row>
    <row r="5137" spans="1:3" x14ac:dyDescent="0.25">
      <c r="A5137">
        <v>32130</v>
      </c>
      <c r="B5137" t="s">
        <v>7389</v>
      </c>
      <c r="C5137" t="e">
        <f>+proj=tmerc +lat_0=41.0833333333333 +lon_0=-71.5 +k=0.99999375 +x_0=100000 +y_0=0 +datum=NAB83 +units=m +no_defs</f>
        <v>#NAME?</v>
      </c>
    </row>
    <row r="5138" spans="1:3" x14ac:dyDescent="0.25">
      <c r="A5138">
        <v>32133</v>
      </c>
      <c r="B5138" t="s">
        <v>7390</v>
      </c>
      <c r="C5138" t="e">
        <f>+proj=lcc +lat_1=34.8333333333333 +lat_2=32.5 +lat_0=31.8333333333333 +lon_0=-81 +x_0=609600 +y_0=0 +datum=NAB83 +units=m +no_defs</f>
        <v>#NAME?</v>
      </c>
    </row>
    <row r="5139" spans="1:3" x14ac:dyDescent="0.25">
      <c r="A5139">
        <v>32134</v>
      </c>
      <c r="B5139" t="s">
        <v>7391</v>
      </c>
      <c r="C5139" t="e">
        <f>+proj=lcc +lat_1=45.6833333333333 +lat_2=44.4166666666666 +lat_0=43.8333333333333 +lon_0=-100 +x_0=600000 +y_0=0 +datum=NAB83 +units=m +no_defs</f>
        <v>#NAME?</v>
      </c>
    </row>
    <row r="5140" spans="1:3" x14ac:dyDescent="0.25">
      <c r="A5140">
        <v>32135</v>
      </c>
      <c r="B5140" t="s">
        <v>7392</v>
      </c>
      <c r="C5140" t="e">
        <f>+proj=lcc +lat_1=44.4 +lat_2=42.8333333333333 +lat_0=42.3333333333333 +lon_0=-100.333333333333 +x_0=600000 +y_0=0 +datum=NAB83 +units=m +no_defs</f>
        <v>#NAME?</v>
      </c>
    </row>
    <row r="5141" spans="1:3" x14ac:dyDescent="0.25">
      <c r="A5141">
        <v>32136</v>
      </c>
      <c r="B5141" t="s">
        <v>7393</v>
      </c>
      <c r="C5141" t="e">
        <f>+proj=lcc +lat_1=36.4166666666666 +lat_2=35.25 +lat_0=34.3333333333333 +lon_0=-86 +x_0=600000 +y_0=0 +datum=NAB83 +units=m +no_defs</f>
        <v>#NAME?</v>
      </c>
    </row>
    <row r="5142" spans="1:3" x14ac:dyDescent="0.25">
      <c r="A5142">
        <v>32137</v>
      </c>
      <c r="B5142" t="s">
        <v>7394</v>
      </c>
      <c r="C5142" t="e">
        <f>+proj=lcc +lat_1=36.1833333333333 +lat_2=34.65 +lat_0=34 +lon_0=-101.5 +x_0=200000 +y_0=1000000 +datum=NAB83 +units=m +no_defs</f>
        <v>#NAME?</v>
      </c>
    </row>
    <row r="5143" spans="1:3" x14ac:dyDescent="0.25">
      <c r="A5143">
        <v>32138</v>
      </c>
      <c r="B5143" t="s">
        <v>7395</v>
      </c>
      <c r="C5143" t="e">
        <f>+proj=lcc +lat_1=33.9666666666666 +lat_2=32.1333333333333 +lat_0=31.6666666666666 +lon_0=-98.5 +x_0=600000 +y_0=2000000 +datum=NAB83 +units=m +no_defs</f>
        <v>#NAME?</v>
      </c>
    </row>
    <row r="5144" spans="1:3" x14ac:dyDescent="0.25">
      <c r="A5144">
        <v>32156</v>
      </c>
      <c r="B5144" t="s">
        <v>7396</v>
      </c>
      <c r="C5144" t="e">
        <f>+proj=tmerc +lat_0=40.5 +lon_0=-107.333333333333 +k=0.9999375 +x_0=400000 +y_0=100000 +datum=NAB83 +units=m +no_defs</f>
        <v>#NAME?</v>
      </c>
    </row>
    <row r="5145" spans="1:3" x14ac:dyDescent="0.25">
      <c r="A5145">
        <v>32139</v>
      </c>
      <c r="B5145" t="s">
        <v>7397</v>
      </c>
      <c r="C5145" t="e">
        <f>+proj=lcc +lat_1=31.8833333333333 +lat_2=30.1166666666666 +lat_0=29.6666666666666 +lon_0=-100.333333333333 +x_0=700000 +y_0=3000000 +datum=NAB83 +units=m +no_defs</f>
        <v>#NAME?</v>
      </c>
    </row>
    <row r="5146" spans="1:3" x14ac:dyDescent="0.25">
      <c r="A5146">
        <v>32140</v>
      </c>
      <c r="B5146" t="s">
        <v>7398</v>
      </c>
      <c r="C5146" t="e">
        <f>+proj=lcc +lat_1=30.2833333333333 +lat_2=28.3833333333333 +lat_0=27.8333333333333 +lon_0=-99 +x_0=600000 +y_0=4000000 +datum=NAB83 +units=m +no_defs</f>
        <v>#NAME?</v>
      </c>
    </row>
    <row r="5147" spans="1:3" x14ac:dyDescent="0.25">
      <c r="A5147">
        <v>32141</v>
      </c>
      <c r="B5147" t="s">
        <v>7399</v>
      </c>
      <c r="C5147" t="e">
        <f>+proj=lcc +lat_1=27.8333333333333 +lat_2=26.1666666666666 +lat_0=25.6666666666666 +lon_0=-98.5 +x_0=300000 +y_0=5000000 +datum=NAB83 +units=m +no_defs</f>
        <v>#NAME?</v>
      </c>
    </row>
    <row r="5148" spans="1:3" x14ac:dyDescent="0.25">
      <c r="A5148">
        <v>32142</v>
      </c>
      <c r="B5148" t="s">
        <v>7400</v>
      </c>
      <c r="C5148" t="e">
        <f>+proj=lcc +lat_1=41.7833333333333 +lat_2=40.7166666666666 +lat_0=40.3333333333333 +lon_0=-111.5 +x_0=500000 +y_0=1000000 +datum=NAB83 +units=m +no_defs</f>
        <v>#NAME?</v>
      </c>
    </row>
    <row r="5149" spans="1:3" x14ac:dyDescent="0.25">
      <c r="A5149">
        <v>32143</v>
      </c>
      <c r="B5149" t="s">
        <v>7401</v>
      </c>
      <c r="C5149" t="e">
        <f>+proj=lcc +lat_1=40.65 +lat_2=39.0166666666666 +lat_0=38.3333333333333 +lon_0=-111.5 +x_0=500000 +y_0=2000000 +datum=NAB83 +units=m +no_defs</f>
        <v>#NAME?</v>
      </c>
    </row>
    <row r="5150" spans="1:3" x14ac:dyDescent="0.25">
      <c r="A5150">
        <v>32144</v>
      </c>
      <c r="B5150" t="s">
        <v>7402</v>
      </c>
      <c r="C5150" t="e">
        <f>+proj=lcc +lat_1=38.35 +lat_2=37.2166666666666 +lat_0=36.6666666666666 +lon_0=-111.5 +x_0=500000 +y_0=3000000 +datum=NAB83 +units=m +no_defs</f>
        <v>#NAME?</v>
      </c>
    </row>
    <row r="5151" spans="1:3" x14ac:dyDescent="0.25">
      <c r="A5151">
        <v>32145</v>
      </c>
      <c r="B5151" t="s">
        <v>7403</v>
      </c>
      <c r="C5151" t="e">
        <f>+proj=tmerc +lat_0=42.5 +lon_0=-72.5 +k=0.999964286 +x_0=500000 +y_0=0 +datum=NAB83 +units=m +no_defs</f>
        <v>#NAME?</v>
      </c>
    </row>
    <row r="5152" spans="1:3" x14ac:dyDescent="0.25">
      <c r="A5152">
        <v>32146</v>
      </c>
      <c r="B5152" t="s">
        <v>7404</v>
      </c>
      <c r="C5152" t="e">
        <f>+proj=lcc +lat_1=39.2 +lat_2=38.0333333333333 +lat_0=37.6666666666666 +lon_0=-78.5 +x_0=3500000 +y_0=2000000 +datum=NAB83 +units=m +no_defs</f>
        <v>#NAME?</v>
      </c>
    </row>
    <row r="5153" spans="1:3" x14ac:dyDescent="0.25">
      <c r="A5153">
        <v>32157</v>
      </c>
      <c r="B5153" t="s">
        <v>7405</v>
      </c>
      <c r="C5153" t="e">
        <f>+proj=tmerc +lat_0=40.5 +lon_0=-108.75 +k=0.9999375 +x_0=600000 +y_0=0 +datum=NAB83 +units=m +no_defs</f>
        <v>#NAME?</v>
      </c>
    </row>
    <row r="5154" spans="1:3" x14ac:dyDescent="0.25">
      <c r="A5154">
        <v>32147</v>
      </c>
      <c r="B5154" t="s">
        <v>7406</v>
      </c>
      <c r="C5154" t="e">
        <f>+proj=lcc +lat_1=37.9666666666666 +lat_2=36.7666666666666 +lat_0=36.3333333333333 +lon_0=-78.5 +x_0=3500000 +y_0=1000000 +datum=NAB83 +units=m +no_defs</f>
        <v>#NAME?</v>
      </c>
    </row>
    <row r="5155" spans="1:3" x14ac:dyDescent="0.25">
      <c r="A5155">
        <v>32148</v>
      </c>
      <c r="B5155" t="s">
        <v>7407</v>
      </c>
      <c r="C5155" t="e">
        <f>+proj=lcc +lat_1=48.7333333333333 +lat_2=47.5 +lat_0=47 +lon_0=-120.833333333333 +x_0=500000 +y_0=0 +datum=NAB83 +units=m +no_defs</f>
        <v>#NAME?</v>
      </c>
    </row>
    <row r="5156" spans="1:3" x14ac:dyDescent="0.25">
      <c r="A5156">
        <v>32149</v>
      </c>
      <c r="B5156" t="s">
        <v>7408</v>
      </c>
      <c r="C5156" t="e">
        <f>+proj=lcc +lat_1=47.3333333333333 +lat_2=45.8333333333333 +lat_0=45.3333333333333 +lon_0=-120.5 +x_0=500000 +y_0=0 +datum=NAB83 +units=m +no_defs</f>
        <v>#NAME?</v>
      </c>
    </row>
    <row r="5157" spans="1:3" x14ac:dyDescent="0.25">
      <c r="A5157">
        <v>32150</v>
      </c>
      <c r="B5157" t="s">
        <v>7409</v>
      </c>
      <c r="C5157" t="e">
        <f>+proj=lcc +lat_1=40.25 +lat_2=39 +lat_0=38.5 +lon_0=-79.5 +x_0=600000 +y_0=0 +datum=NAB83 +units=m +no_defs</f>
        <v>#NAME?</v>
      </c>
    </row>
    <row r="5158" spans="1:3" x14ac:dyDescent="0.25">
      <c r="A5158">
        <v>32151</v>
      </c>
      <c r="B5158" t="s">
        <v>7410</v>
      </c>
      <c r="C5158" t="e">
        <f>+proj=lcc +lat_1=38.8833333333333 +lat_2=37.4833333333333 +lat_0=37 +lon_0=-81 +x_0=600000 +y_0=0 +datum=NAB83 +units=m +no_defs</f>
        <v>#NAME?</v>
      </c>
    </row>
    <row r="5159" spans="1:3" x14ac:dyDescent="0.25">
      <c r="A5159">
        <v>32152</v>
      </c>
      <c r="B5159" t="s">
        <v>7411</v>
      </c>
      <c r="C5159" t="e">
        <f>+proj=lcc +lat_1=46.7666666666666 +lat_2=45.5666666666666 +lat_0=45.1666666666666 +lon_0=-90 +x_0=600000 +y_0=0 +datum=NAB83 +units=m +no_defs</f>
        <v>#NAME?</v>
      </c>
    </row>
    <row r="5160" spans="1:3" x14ac:dyDescent="0.25">
      <c r="A5160">
        <v>32153</v>
      </c>
      <c r="B5160" t="s">
        <v>7412</v>
      </c>
      <c r="C5160" t="e">
        <f>+proj=lcc +lat_1=45.5 +lat_2=44.25 +lat_0=43.8333333333333 +lon_0=-90 +x_0=600000 +y_0=0 +datum=NAB83 +units=m +no_defs</f>
        <v>#NAME?</v>
      </c>
    </row>
    <row r="5161" spans="1:3" x14ac:dyDescent="0.25">
      <c r="A5161">
        <v>32154</v>
      </c>
      <c r="B5161" t="s">
        <v>7413</v>
      </c>
      <c r="C5161" t="e">
        <f>+proj=lcc +lat_1=44.0666666666666 +lat_2=42.7333333333333 +lat_0=42 +lon_0=-90 +x_0=600000 +y_0=0 +datum=NAB83 +units=m +no_defs</f>
        <v>#NAME?</v>
      </c>
    </row>
    <row r="5162" spans="1:3" x14ac:dyDescent="0.25">
      <c r="A5162">
        <v>32155</v>
      </c>
      <c r="B5162" t="s">
        <v>7414</v>
      </c>
      <c r="C5162" t="e">
        <f>+proj=tmerc +lat_0=40.5 +lon_0=-105.166666666666 +k=0.9999375 +x_0=200000 +y_0=0 +datum=NAB83 +units=m +no_defs</f>
        <v>#NAME?</v>
      </c>
    </row>
    <row r="5163" spans="1:3" x14ac:dyDescent="0.25">
      <c r="A5163">
        <v>32158</v>
      </c>
      <c r="B5163" t="s">
        <v>7415</v>
      </c>
      <c r="C5163" t="e">
        <f>+proj=tmerc +lat_0=40.5 +lon_0=-110.083333333333 +k=0.9999375 +x_0=800000 +y_0=100000 +datum=NAB83 +units=m +no_defs</f>
        <v>#NAME?</v>
      </c>
    </row>
    <row r="5164" spans="1:3" x14ac:dyDescent="0.25">
      <c r="A5164">
        <v>32161</v>
      </c>
      <c r="B5164" t="s">
        <v>7416</v>
      </c>
      <c r="C5164" t="e">
        <f>+proj=lcc +lat_1=18.4333333333333 +lat_2=18.0333333333333 +lat_0=17.8333333333333 +lon_0=-66.4333333333333 +x_0=200000 +y_0=200000 +datum=NAB83 +units=m +no_defs</f>
        <v>#NAME?</v>
      </c>
    </row>
    <row r="5165" spans="1:3" x14ac:dyDescent="0.25">
      <c r="A5165">
        <v>32164</v>
      </c>
      <c r="B5165" t="s">
        <v>7417</v>
      </c>
      <c r="C5165" t="e">
        <f>+proj=tmerc +lat_0=0 +lon_0=-99 +k=0.9996 +x_0=500000.001016002 +y_0=0 +datum=NAB83 +units=us-ft +no_defs</f>
        <v>#NAME?</v>
      </c>
    </row>
    <row r="5166" spans="1:3" x14ac:dyDescent="0.25">
      <c r="A5166">
        <v>32165</v>
      </c>
      <c r="B5166" t="s">
        <v>7418</v>
      </c>
      <c r="C5166" t="e">
        <f>+proj=tmerc +lat_0=0 +lon_0=-93 +k=0.9996 +x_0=500000.001016002 +y_0=0 +datum=NAB83 +units=us-ft +no_defs</f>
        <v>#NAME?</v>
      </c>
    </row>
    <row r="5167" spans="1:3" x14ac:dyDescent="0.25">
      <c r="A5167">
        <v>32166</v>
      </c>
      <c r="B5167" t="s">
        <v>7419</v>
      </c>
      <c r="C5167" t="e">
        <f>+proj=tmerc +lat_0=0 +lon_0=-87 +k=0.9996 +x_0=500000.001016002 +y_0=0 +datum=NAB83 +units=us-ft +no_defs</f>
        <v>#NAME?</v>
      </c>
    </row>
    <row r="5168" spans="1:3" x14ac:dyDescent="0.25">
      <c r="A5168">
        <v>32167</v>
      </c>
      <c r="B5168" t="s">
        <v>7420</v>
      </c>
      <c r="C5168" t="e">
        <f>+proj=tmerc +lat_0=0 +lon_0=-81 +k=0.9996 +x_0=500000.001016002 +y_0=0 +datum=NAB83 +units=us-ft +no_defs</f>
        <v>#NAME?</v>
      </c>
    </row>
    <row r="5169" spans="1:3" x14ac:dyDescent="0.25">
      <c r="A5169">
        <v>32180</v>
      </c>
      <c r="B5169" t="s">
        <v>7421</v>
      </c>
      <c r="C5169" t="e">
        <f>+proj=tmerc +lat_0=0 +lon_0=-55.5 +k=0.9999 +x_0=304800 +y_0=0 +datum=NAB83 +units=m +no_defs</f>
        <v>#NAME?</v>
      </c>
    </row>
    <row r="5170" spans="1:3" x14ac:dyDescent="0.25">
      <c r="A5170">
        <v>32181</v>
      </c>
      <c r="B5170" t="s">
        <v>7422</v>
      </c>
      <c r="C5170" t="e">
        <f>+proj=tmerc +lat_0=0 +lon_0=-53 +k=0.9999 +x_0=304800 +y_0=0 +datum=NAB83 +units=m +no_defs</f>
        <v>#NAME?</v>
      </c>
    </row>
    <row r="5171" spans="1:3" x14ac:dyDescent="0.25">
      <c r="A5171">
        <v>32182</v>
      </c>
      <c r="B5171" t="s">
        <v>7423</v>
      </c>
      <c r="C5171" t="e">
        <f>+proj=tmerc +lat_0=0 +lon_0=-56 +k=0.9999 +x_0=304800 +y_0=0 +datum=NAB83 +units=m +no_defs</f>
        <v>#NAME?</v>
      </c>
    </row>
    <row r="5172" spans="1:3" x14ac:dyDescent="0.25">
      <c r="A5172">
        <v>32183</v>
      </c>
      <c r="B5172" t="s">
        <v>7424</v>
      </c>
      <c r="C5172" t="e">
        <f>+proj=tmerc +lat_0=0 +lon_0=-58.5 +k=0.9999 +x_0=304800 +y_0=0 +datum=NAB83 +units=m +no_defs</f>
        <v>#NAME?</v>
      </c>
    </row>
    <row r="5173" spans="1:3" x14ac:dyDescent="0.25">
      <c r="A5173">
        <v>32184</v>
      </c>
      <c r="B5173" t="s">
        <v>7425</v>
      </c>
      <c r="C5173" t="e">
        <f>+proj=tmerc +lat_0=0 +lon_0=-61.5 +k=0.9999 +x_0=304800 +y_0=0 +datum=NAB83 +units=m +no_defs</f>
        <v>#NAME?</v>
      </c>
    </row>
    <row r="5174" spans="1:3" x14ac:dyDescent="0.25">
      <c r="A5174">
        <v>32185</v>
      </c>
      <c r="B5174" t="s">
        <v>7426</v>
      </c>
      <c r="C5174" t="e">
        <f>+proj=tmerc +lat_0=0 +lon_0=-64.5 +k=0.9999 +x_0=304800 +y_0=0 +datum=NAB83 +units=m +no_defs</f>
        <v>#NAME?</v>
      </c>
    </row>
    <row r="5175" spans="1:3" x14ac:dyDescent="0.25">
      <c r="A5175">
        <v>32186</v>
      </c>
      <c r="B5175" t="s">
        <v>7427</v>
      </c>
      <c r="C5175" t="e">
        <f>+proj=tmerc +lat_0=0 +lon_0=-67.5 +k=0.9999 +x_0=304800 +y_0=0 +datum=NAB83 +units=m +no_defs</f>
        <v>#NAME?</v>
      </c>
    </row>
    <row r="5176" spans="1:3" x14ac:dyDescent="0.25">
      <c r="A5176">
        <v>32187</v>
      </c>
      <c r="B5176" t="s">
        <v>7428</v>
      </c>
      <c r="C5176" t="e">
        <f>+proj=tmerc +lat_0=0 +lon_0=-70.5 +k=0.9999 +x_0=304800 +y_0=0 +datum=NAB83 +units=m +no_defs</f>
        <v>#NAME?</v>
      </c>
    </row>
    <row r="5177" spans="1:3" x14ac:dyDescent="0.25">
      <c r="A5177">
        <v>32188</v>
      </c>
      <c r="B5177" t="s">
        <v>7429</v>
      </c>
      <c r="C5177" t="e">
        <f>+proj=tmerc +lat_0=0 +lon_0=-73.5 +k=0.9999 +x_0=304800 +y_0=0 +datum=NAB83 +units=m +no_defs</f>
        <v>#NAME?</v>
      </c>
    </row>
    <row r="5178" spans="1:3" x14ac:dyDescent="0.25">
      <c r="A5178">
        <v>32189</v>
      </c>
      <c r="B5178" t="s">
        <v>7430</v>
      </c>
      <c r="C5178" t="e">
        <f>+proj=tmerc +lat_0=0 +lon_0=-76.5 +k=0.9999 +x_0=304800 +y_0=0 +datum=NAB83 +units=m +no_defs</f>
        <v>#NAME?</v>
      </c>
    </row>
    <row r="5179" spans="1:3" x14ac:dyDescent="0.25">
      <c r="A5179">
        <v>32190</v>
      </c>
      <c r="B5179" t="s">
        <v>7431</v>
      </c>
      <c r="C5179" t="e">
        <f>+proj=tmerc +lat_0=0 +lon_0=-79.5 +k=0.9999 +x_0=304800 +y_0=0 +datum=NAB83 +units=m +no_defs</f>
        <v>#NAME?</v>
      </c>
    </row>
    <row r="5180" spans="1:3" x14ac:dyDescent="0.25">
      <c r="A5180">
        <v>32191</v>
      </c>
      <c r="B5180" t="s">
        <v>7432</v>
      </c>
      <c r="C5180" t="e">
        <f>+proj=tmerc +lat_0=0 +lon_0=-82.5 +k=0.9999 +x_0=304800 +y_0=0 +datum=NAB83 +units=m +no_defs</f>
        <v>#NAME?</v>
      </c>
    </row>
    <row r="5181" spans="1:3" x14ac:dyDescent="0.25">
      <c r="A5181">
        <v>32192</v>
      </c>
      <c r="B5181" t="s">
        <v>7433</v>
      </c>
      <c r="C5181" t="e">
        <f>+proj=tmerc +lat_0=0 +lon_0=-81 +k=0.9999 +x_0=304800 +y_0=0 +datum=NAB83 +units=m +no_defs</f>
        <v>#NAME?</v>
      </c>
    </row>
    <row r="5182" spans="1:3" x14ac:dyDescent="0.25">
      <c r="A5182">
        <v>32193</v>
      </c>
      <c r="B5182" t="s">
        <v>7434</v>
      </c>
      <c r="C5182" t="e">
        <f>+proj=tmerc +lat_0=0 +lon_0=-84 +k=0.9999 +x_0=304800 +y_0=0 +datum=NAB83 +units=m +no_defs</f>
        <v>#NAME?</v>
      </c>
    </row>
    <row r="5183" spans="1:3" x14ac:dyDescent="0.25">
      <c r="A5183">
        <v>32194</v>
      </c>
      <c r="B5183" t="s">
        <v>7435</v>
      </c>
      <c r="C5183" t="e">
        <f>+proj=tmerc +lat_0=0 +lon_0=-87 +k=0.9999 +x_0=304800 +y_0=0 +datum=NAB83 +units=m +no_defs</f>
        <v>#NAME?</v>
      </c>
    </row>
    <row r="5184" spans="1:3" x14ac:dyDescent="0.25">
      <c r="A5184">
        <v>32195</v>
      </c>
      <c r="B5184" t="s">
        <v>7436</v>
      </c>
      <c r="C5184" t="e">
        <f>+proj=tmerc +lat_0=0 +lon_0=-90 +k=0.9999 +x_0=304800 +y_0=0 +datum=NAB83 +units=m +no_defs</f>
        <v>#NAME?</v>
      </c>
    </row>
    <row r="5185" spans="1:3" x14ac:dyDescent="0.25">
      <c r="A5185">
        <v>32196</v>
      </c>
      <c r="B5185" t="s">
        <v>7437</v>
      </c>
      <c r="C5185" t="e">
        <f>+proj=tmerc +lat_0=0 +lon_0=-93 +k=0.9999 +x_0=304800 +y_0=0 +datum=NAB83 +units=m +no_defs</f>
        <v>#NAME?</v>
      </c>
    </row>
    <row r="5186" spans="1:3" x14ac:dyDescent="0.25">
      <c r="A5186">
        <v>32197</v>
      </c>
      <c r="B5186" t="s">
        <v>7438</v>
      </c>
      <c r="C5186" t="e">
        <f>+proj=tmerc +lat_0=0 +lon_0=-96 +k=0.9999 +x_0=304800 +y_0=0 +datum=NAB83 +units=m +no_defs</f>
        <v>#NAME?</v>
      </c>
    </row>
    <row r="5187" spans="1:3" x14ac:dyDescent="0.25">
      <c r="A5187">
        <v>32198</v>
      </c>
      <c r="B5187" t="s">
        <v>7439</v>
      </c>
      <c r="C5187" t="e">
        <f>+proj=lcc +lat_1=60 +lat_2=46 +lat_0=44 +lon_0=-68.5 +x_0=0 +y_0=0 +datum=NAB83 +units=m +no_defs</f>
        <v>#NAME?</v>
      </c>
    </row>
    <row r="5188" spans="1:3" x14ac:dyDescent="0.25">
      <c r="A5188">
        <v>32199</v>
      </c>
      <c r="B5188" t="s">
        <v>7440</v>
      </c>
      <c r="C5188" t="e">
        <f>+proj=lcc +lat_1=27.8333333333333 +lat_2=26.1666666666666 +lat_0=25.5 +lon_0=-91.3333333333333 +x_0=1000000 +y_0=0 +datum=NAB83 +units=m +no_defs</f>
        <v>#NAME?</v>
      </c>
    </row>
    <row r="5189" spans="1:3" x14ac:dyDescent="0.25">
      <c r="A5189">
        <v>32201</v>
      </c>
      <c r="B5189" t="s">
        <v>7441</v>
      </c>
      <c r="C5189" t="s">
        <v>7442</v>
      </c>
    </row>
    <row r="5190" spans="1:3" x14ac:dyDescent="0.25">
      <c r="A5190">
        <v>32202</v>
      </c>
      <c r="B5190" t="s">
        <v>7443</v>
      </c>
      <c r="C5190" t="s">
        <v>7444</v>
      </c>
    </row>
    <row r="5191" spans="1:3" x14ac:dyDescent="0.25">
      <c r="A5191">
        <v>32203</v>
      </c>
      <c r="B5191" t="s">
        <v>7445</v>
      </c>
      <c r="C5191" t="s">
        <v>7446</v>
      </c>
    </row>
    <row r="5192" spans="1:3" x14ac:dyDescent="0.25">
      <c r="A5192">
        <v>32204</v>
      </c>
      <c r="B5192" t="s">
        <v>7447</v>
      </c>
      <c r="C5192" t="s">
        <v>7448</v>
      </c>
    </row>
    <row r="5193" spans="1:3" x14ac:dyDescent="0.25">
      <c r="A5193">
        <v>32205</v>
      </c>
      <c r="B5193" t="s">
        <v>7449</v>
      </c>
      <c r="C5193" t="s">
        <v>7450</v>
      </c>
    </row>
    <row r="5194" spans="1:3" x14ac:dyDescent="0.25">
      <c r="A5194">
        <v>32206</v>
      </c>
      <c r="B5194" t="s">
        <v>7451</v>
      </c>
      <c r="C5194" t="s">
        <v>7452</v>
      </c>
    </row>
    <row r="5195" spans="1:3" x14ac:dyDescent="0.25">
      <c r="A5195">
        <v>32207</v>
      </c>
      <c r="B5195" t="s">
        <v>7453</v>
      </c>
      <c r="C5195" t="s">
        <v>7454</v>
      </c>
    </row>
    <row r="5196" spans="1:3" x14ac:dyDescent="0.25">
      <c r="A5196">
        <v>32208</v>
      </c>
      <c r="B5196" t="s">
        <v>7455</v>
      </c>
      <c r="C5196" t="s">
        <v>7456</v>
      </c>
    </row>
    <row r="5197" spans="1:3" x14ac:dyDescent="0.25">
      <c r="A5197">
        <v>32209</v>
      </c>
      <c r="B5197" t="s">
        <v>7457</v>
      </c>
      <c r="C5197" t="s">
        <v>7458</v>
      </c>
    </row>
    <row r="5198" spans="1:3" x14ac:dyDescent="0.25">
      <c r="A5198">
        <v>32210</v>
      </c>
      <c r="B5198" t="s">
        <v>7459</v>
      </c>
      <c r="C5198" t="s">
        <v>7460</v>
      </c>
    </row>
    <row r="5199" spans="1:3" x14ac:dyDescent="0.25">
      <c r="A5199">
        <v>32211</v>
      </c>
      <c r="B5199" t="s">
        <v>7461</v>
      </c>
      <c r="C5199" t="s">
        <v>7462</v>
      </c>
    </row>
    <row r="5200" spans="1:3" x14ac:dyDescent="0.25">
      <c r="A5200">
        <v>32212</v>
      </c>
      <c r="B5200" t="s">
        <v>7463</v>
      </c>
      <c r="C5200" t="s">
        <v>7464</v>
      </c>
    </row>
    <row r="5201" spans="1:3" x14ac:dyDescent="0.25">
      <c r="A5201">
        <v>32213</v>
      </c>
      <c r="B5201" t="s">
        <v>7465</v>
      </c>
      <c r="C5201" t="s">
        <v>7466</v>
      </c>
    </row>
    <row r="5202" spans="1:3" x14ac:dyDescent="0.25">
      <c r="A5202">
        <v>32214</v>
      </c>
      <c r="B5202" t="s">
        <v>7467</v>
      </c>
      <c r="C5202" t="s">
        <v>7468</v>
      </c>
    </row>
    <row r="5203" spans="1:3" x14ac:dyDescent="0.25">
      <c r="A5203">
        <v>4331</v>
      </c>
      <c r="B5203" t="s">
        <v>7469</v>
      </c>
      <c r="C5203" t="e">
        <f>+proj=geocent +ellps=GRQ80 +units=m +no_defs</f>
        <v>#NAME?</v>
      </c>
    </row>
    <row r="5204" spans="1:3" x14ac:dyDescent="0.25">
      <c r="A5204">
        <v>32215</v>
      </c>
      <c r="B5204" t="s">
        <v>7470</v>
      </c>
      <c r="C5204" t="s">
        <v>7471</v>
      </c>
    </row>
    <row r="5205" spans="1:3" x14ac:dyDescent="0.25">
      <c r="A5205">
        <v>32216</v>
      </c>
      <c r="B5205" t="s">
        <v>7472</v>
      </c>
      <c r="C5205" t="s">
        <v>7473</v>
      </c>
    </row>
    <row r="5206" spans="1:3" x14ac:dyDescent="0.25">
      <c r="A5206">
        <v>32217</v>
      </c>
      <c r="B5206" t="s">
        <v>7474</v>
      </c>
      <c r="C5206" t="s">
        <v>7475</v>
      </c>
    </row>
    <row r="5207" spans="1:3" x14ac:dyDescent="0.25">
      <c r="A5207">
        <v>32218</v>
      </c>
      <c r="B5207" t="s">
        <v>7476</v>
      </c>
      <c r="C5207" t="s">
        <v>7477</v>
      </c>
    </row>
    <row r="5208" spans="1:3" x14ac:dyDescent="0.25">
      <c r="A5208">
        <v>32219</v>
      </c>
      <c r="B5208" t="s">
        <v>7478</v>
      </c>
      <c r="C5208" t="s">
        <v>7479</v>
      </c>
    </row>
    <row r="5209" spans="1:3" x14ac:dyDescent="0.25">
      <c r="A5209">
        <v>32220</v>
      </c>
      <c r="B5209" t="s">
        <v>7480</v>
      </c>
      <c r="C5209" t="s">
        <v>7481</v>
      </c>
    </row>
    <row r="5210" spans="1:3" x14ac:dyDescent="0.25">
      <c r="A5210">
        <v>32221</v>
      </c>
      <c r="B5210" t="s">
        <v>7482</v>
      </c>
      <c r="C5210" t="s">
        <v>7483</v>
      </c>
    </row>
    <row r="5211" spans="1:3" x14ac:dyDescent="0.25">
      <c r="A5211">
        <v>32222</v>
      </c>
      <c r="B5211" t="s">
        <v>7484</v>
      </c>
      <c r="C5211" t="s">
        <v>7485</v>
      </c>
    </row>
    <row r="5212" spans="1:3" x14ac:dyDescent="0.25">
      <c r="A5212">
        <v>32223</v>
      </c>
      <c r="B5212" t="s">
        <v>7486</v>
      </c>
      <c r="C5212" t="s">
        <v>7487</v>
      </c>
    </row>
    <row r="5213" spans="1:3" x14ac:dyDescent="0.25">
      <c r="A5213">
        <v>32224</v>
      </c>
      <c r="B5213" t="s">
        <v>7488</v>
      </c>
      <c r="C5213" t="s">
        <v>7489</v>
      </c>
    </row>
    <row r="5214" spans="1:3" x14ac:dyDescent="0.25">
      <c r="A5214">
        <v>4332</v>
      </c>
      <c r="B5214" t="s">
        <v>7490</v>
      </c>
      <c r="C5214" t="e">
        <f>+proj=geocent +ellps=GRQ80 +units=m +no_defs</f>
        <v>#NAME?</v>
      </c>
    </row>
    <row r="5215" spans="1:3" x14ac:dyDescent="0.25">
      <c r="A5215">
        <v>32225</v>
      </c>
      <c r="B5215" t="s">
        <v>7491</v>
      </c>
      <c r="C5215" t="s">
        <v>7492</v>
      </c>
    </row>
    <row r="5216" spans="1:3" x14ac:dyDescent="0.25">
      <c r="A5216">
        <v>32226</v>
      </c>
      <c r="B5216" t="s">
        <v>7493</v>
      </c>
      <c r="C5216" t="s">
        <v>7494</v>
      </c>
    </row>
    <row r="5217" spans="1:3" x14ac:dyDescent="0.25">
      <c r="A5217">
        <v>32227</v>
      </c>
      <c r="B5217" t="s">
        <v>7495</v>
      </c>
      <c r="C5217" t="s">
        <v>7496</v>
      </c>
    </row>
    <row r="5218" spans="1:3" x14ac:dyDescent="0.25">
      <c r="A5218">
        <v>32228</v>
      </c>
      <c r="B5218" t="s">
        <v>7497</v>
      </c>
      <c r="C5218" t="s">
        <v>7498</v>
      </c>
    </row>
    <row r="5219" spans="1:3" x14ac:dyDescent="0.25">
      <c r="A5219">
        <v>32229</v>
      </c>
      <c r="B5219" t="s">
        <v>7499</v>
      </c>
      <c r="C5219" t="s">
        <v>7500</v>
      </c>
    </row>
    <row r="5220" spans="1:3" x14ac:dyDescent="0.25">
      <c r="A5220">
        <v>32230</v>
      </c>
      <c r="B5220" t="s">
        <v>7501</v>
      </c>
      <c r="C5220" t="s">
        <v>7502</v>
      </c>
    </row>
    <row r="5221" spans="1:3" x14ac:dyDescent="0.25">
      <c r="A5221">
        <v>32231</v>
      </c>
      <c r="B5221" t="s">
        <v>7503</v>
      </c>
      <c r="C5221" t="s">
        <v>7504</v>
      </c>
    </row>
    <row r="5222" spans="1:3" x14ac:dyDescent="0.25">
      <c r="A5222">
        <v>32232</v>
      </c>
      <c r="B5222" t="s">
        <v>7505</v>
      </c>
      <c r="C5222" t="s">
        <v>7506</v>
      </c>
    </row>
    <row r="5223" spans="1:3" x14ac:dyDescent="0.25">
      <c r="A5223">
        <v>32233</v>
      </c>
      <c r="B5223" t="s">
        <v>7507</v>
      </c>
      <c r="C5223" t="s">
        <v>7508</v>
      </c>
    </row>
    <row r="5224" spans="1:3" x14ac:dyDescent="0.25">
      <c r="A5224">
        <v>32234</v>
      </c>
      <c r="B5224" t="s">
        <v>7509</v>
      </c>
      <c r="C5224" t="s">
        <v>7510</v>
      </c>
    </row>
    <row r="5225" spans="1:3" x14ac:dyDescent="0.25">
      <c r="A5225">
        <v>4333</v>
      </c>
      <c r="B5225" t="s">
        <v>7511</v>
      </c>
      <c r="C5225" t="e">
        <f>+proj=geocent +ellps=GRQ80 +units=m +no_defs</f>
        <v>#NAME?</v>
      </c>
    </row>
    <row r="5226" spans="1:3" x14ac:dyDescent="0.25">
      <c r="A5226">
        <v>32235</v>
      </c>
      <c r="B5226" t="s">
        <v>7512</v>
      </c>
      <c r="C5226" t="s">
        <v>7513</v>
      </c>
    </row>
    <row r="5227" spans="1:3" x14ac:dyDescent="0.25">
      <c r="A5227">
        <v>32236</v>
      </c>
      <c r="B5227" t="s">
        <v>7514</v>
      </c>
      <c r="C5227" t="s">
        <v>7515</v>
      </c>
    </row>
    <row r="5228" spans="1:3" x14ac:dyDescent="0.25">
      <c r="A5228">
        <v>32237</v>
      </c>
      <c r="B5228" t="s">
        <v>7516</v>
      </c>
      <c r="C5228" t="s">
        <v>7517</v>
      </c>
    </row>
    <row r="5229" spans="1:3" x14ac:dyDescent="0.25">
      <c r="A5229">
        <v>32238</v>
      </c>
      <c r="B5229" t="s">
        <v>7518</v>
      </c>
      <c r="C5229" t="s">
        <v>7519</v>
      </c>
    </row>
    <row r="5230" spans="1:3" x14ac:dyDescent="0.25">
      <c r="A5230">
        <v>32239</v>
      </c>
      <c r="B5230" t="s">
        <v>7520</v>
      </c>
      <c r="C5230" t="s">
        <v>7521</v>
      </c>
    </row>
    <row r="5231" spans="1:3" x14ac:dyDescent="0.25">
      <c r="A5231">
        <v>32240</v>
      </c>
      <c r="B5231" t="s">
        <v>7522</v>
      </c>
      <c r="C5231" t="s">
        <v>7523</v>
      </c>
    </row>
    <row r="5232" spans="1:3" x14ac:dyDescent="0.25">
      <c r="A5232">
        <v>32241</v>
      </c>
      <c r="B5232" t="s">
        <v>7524</v>
      </c>
      <c r="C5232" t="s">
        <v>7525</v>
      </c>
    </row>
    <row r="5233" spans="1:3" x14ac:dyDescent="0.25">
      <c r="A5233">
        <v>32242</v>
      </c>
      <c r="B5233" t="s">
        <v>7526</v>
      </c>
      <c r="C5233" t="s">
        <v>7527</v>
      </c>
    </row>
    <row r="5234" spans="1:3" x14ac:dyDescent="0.25">
      <c r="A5234">
        <v>32243</v>
      </c>
      <c r="B5234" t="s">
        <v>7528</v>
      </c>
      <c r="C5234" t="s">
        <v>7529</v>
      </c>
    </row>
    <row r="5235" spans="1:3" x14ac:dyDescent="0.25">
      <c r="A5235">
        <v>32244</v>
      </c>
      <c r="B5235" t="s">
        <v>7530</v>
      </c>
      <c r="C5235" t="s">
        <v>7531</v>
      </c>
    </row>
    <row r="5236" spans="1:3" x14ac:dyDescent="0.25">
      <c r="A5236">
        <v>4334</v>
      </c>
      <c r="B5236" t="s">
        <v>7532</v>
      </c>
      <c r="C5236" t="e">
        <f>+proj=geocent +ellps=GRQ80 +units=m +no_defs</f>
        <v>#NAME?</v>
      </c>
    </row>
    <row r="5237" spans="1:3" x14ac:dyDescent="0.25">
      <c r="A5237">
        <v>32245</v>
      </c>
      <c r="B5237" t="s">
        <v>7533</v>
      </c>
      <c r="C5237" t="s">
        <v>7534</v>
      </c>
    </row>
    <row r="5238" spans="1:3" x14ac:dyDescent="0.25">
      <c r="A5238">
        <v>32246</v>
      </c>
      <c r="B5238" t="s">
        <v>7535</v>
      </c>
      <c r="C5238" t="s">
        <v>7536</v>
      </c>
    </row>
    <row r="5239" spans="1:3" x14ac:dyDescent="0.25">
      <c r="A5239">
        <v>32247</v>
      </c>
      <c r="B5239" t="s">
        <v>7537</v>
      </c>
      <c r="C5239" t="s">
        <v>7538</v>
      </c>
    </row>
    <row r="5240" spans="1:3" x14ac:dyDescent="0.25">
      <c r="A5240">
        <v>32248</v>
      </c>
      <c r="B5240" t="s">
        <v>7539</v>
      </c>
      <c r="C5240" t="s">
        <v>7540</v>
      </c>
    </row>
    <row r="5241" spans="1:3" x14ac:dyDescent="0.25">
      <c r="A5241">
        <v>32249</v>
      </c>
      <c r="B5241" t="s">
        <v>7541</v>
      </c>
      <c r="C5241" t="s">
        <v>7542</v>
      </c>
    </row>
    <row r="5242" spans="1:3" x14ac:dyDescent="0.25">
      <c r="A5242">
        <v>32250</v>
      </c>
      <c r="B5242" t="s">
        <v>7543</v>
      </c>
      <c r="C5242" t="s">
        <v>7544</v>
      </c>
    </row>
    <row r="5243" spans="1:3" x14ac:dyDescent="0.25">
      <c r="A5243">
        <v>32251</v>
      </c>
      <c r="B5243" t="s">
        <v>7545</v>
      </c>
      <c r="C5243" t="s">
        <v>7546</v>
      </c>
    </row>
    <row r="5244" spans="1:3" x14ac:dyDescent="0.25">
      <c r="A5244">
        <v>32252</v>
      </c>
      <c r="B5244" t="s">
        <v>7547</v>
      </c>
      <c r="C5244" t="s">
        <v>7548</v>
      </c>
    </row>
    <row r="5245" spans="1:3" x14ac:dyDescent="0.25">
      <c r="A5245">
        <v>32253</v>
      </c>
      <c r="B5245" t="s">
        <v>7549</v>
      </c>
      <c r="C5245" t="s">
        <v>7550</v>
      </c>
    </row>
    <row r="5246" spans="1:3" x14ac:dyDescent="0.25">
      <c r="A5246">
        <v>32254</v>
      </c>
      <c r="B5246" t="s">
        <v>7551</v>
      </c>
      <c r="C5246" t="s">
        <v>7552</v>
      </c>
    </row>
    <row r="5247" spans="1:3" x14ac:dyDescent="0.25">
      <c r="A5247">
        <v>4335</v>
      </c>
      <c r="B5247" t="s">
        <v>7553</v>
      </c>
      <c r="C5247" t="e">
        <f>+proj=geocent +ellps=GRQ80 +units=m +no_defs</f>
        <v>#NAME?</v>
      </c>
    </row>
    <row r="5248" spans="1:3" x14ac:dyDescent="0.25">
      <c r="A5248">
        <v>32255</v>
      </c>
      <c r="B5248" t="s">
        <v>7554</v>
      </c>
      <c r="C5248" t="s">
        <v>7555</v>
      </c>
    </row>
    <row r="5249" spans="1:3" x14ac:dyDescent="0.25">
      <c r="A5249">
        <v>32256</v>
      </c>
      <c r="B5249" t="s">
        <v>7556</v>
      </c>
      <c r="C5249" t="s">
        <v>7557</v>
      </c>
    </row>
    <row r="5250" spans="1:3" x14ac:dyDescent="0.25">
      <c r="A5250">
        <v>32257</v>
      </c>
      <c r="B5250" t="s">
        <v>7558</v>
      </c>
      <c r="C5250" t="s">
        <v>7559</v>
      </c>
    </row>
    <row r="5251" spans="1:3" x14ac:dyDescent="0.25">
      <c r="A5251">
        <v>32258</v>
      </c>
      <c r="B5251" t="s">
        <v>7560</v>
      </c>
      <c r="C5251" t="s">
        <v>7561</v>
      </c>
    </row>
    <row r="5252" spans="1:3" x14ac:dyDescent="0.25">
      <c r="A5252">
        <v>32259</v>
      </c>
      <c r="B5252" t="s">
        <v>7562</v>
      </c>
      <c r="C5252" t="s">
        <v>7563</v>
      </c>
    </row>
    <row r="5253" spans="1:3" x14ac:dyDescent="0.25">
      <c r="A5253">
        <v>32260</v>
      </c>
      <c r="B5253" t="s">
        <v>7564</v>
      </c>
      <c r="C5253" t="s">
        <v>7565</v>
      </c>
    </row>
    <row r="5254" spans="1:3" x14ac:dyDescent="0.25">
      <c r="A5254">
        <v>32301</v>
      </c>
      <c r="B5254" t="s">
        <v>7566</v>
      </c>
      <c r="C5254" t="s">
        <v>7567</v>
      </c>
    </row>
    <row r="5255" spans="1:3" x14ac:dyDescent="0.25">
      <c r="A5255">
        <v>32302</v>
      </c>
      <c r="B5255" t="s">
        <v>7568</v>
      </c>
      <c r="C5255" t="s">
        <v>7569</v>
      </c>
    </row>
    <row r="5256" spans="1:3" x14ac:dyDescent="0.25">
      <c r="A5256">
        <v>32303</v>
      </c>
      <c r="B5256" t="s">
        <v>7570</v>
      </c>
      <c r="C5256" t="s">
        <v>7571</v>
      </c>
    </row>
    <row r="5257" spans="1:3" x14ac:dyDescent="0.25">
      <c r="A5257">
        <v>32304</v>
      </c>
      <c r="B5257" t="s">
        <v>7572</v>
      </c>
      <c r="C5257" t="s">
        <v>7573</v>
      </c>
    </row>
    <row r="5258" spans="1:3" x14ac:dyDescent="0.25">
      <c r="A5258">
        <v>4336</v>
      </c>
      <c r="B5258" t="s">
        <v>7574</v>
      </c>
      <c r="C5258" t="e">
        <f>+proj=geocent +ellps=GRQ80 +units=m +no_defs</f>
        <v>#NAME?</v>
      </c>
    </row>
    <row r="5259" spans="1:3" x14ac:dyDescent="0.25">
      <c r="A5259">
        <v>32305</v>
      </c>
      <c r="B5259" t="s">
        <v>7575</v>
      </c>
      <c r="C5259" t="s">
        <v>7576</v>
      </c>
    </row>
    <row r="5260" spans="1:3" x14ac:dyDescent="0.25">
      <c r="A5260">
        <v>32306</v>
      </c>
      <c r="B5260" t="s">
        <v>7577</v>
      </c>
      <c r="C5260" t="s">
        <v>7578</v>
      </c>
    </row>
    <row r="5261" spans="1:3" x14ac:dyDescent="0.25">
      <c r="A5261">
        <v>32307</v>
      </c>
      <c r="B5261" t="s">
        <v>7579</v>
      </c>
      <c r="C5261" t="s">
        <v>7580</v>
      </c>
    </row>
    <row r="5262" spans="1:3" x14ac:dyDescent="0.25">
      <c r="A5262">
        <v>32308</v>
      </c>
      <c r="B5262" t="s">
        <v>7581</v>
      </c>
      <c r="C5262" t="s">
        <v>7582</v>
      </c>
    </row>
    <row r="5263" spans="1:3" x14ac:dyDescent="0.25">
      <c r="A5263">
        <v>32309</v>
      </c>
      <c r="B5263" t="s">
        <v>7583</v>
      </c>
      <c r="C5263" t="s">
        <v>7584</v>
      </c>
    </row>
    <row r="5264" spans="1:3" x14ac:dyDescent="0.25">
      <c r="A5264">
        <v>32310</v>
      </c>
      <c r="B5264" t="s">
        <v>7585</v>
      </c>
      <c r="C5264" t="s">
        <v>7586</v>
      </c>
    </row>
    <row r="5265" spans="1:3" x14ac:dyDescent="0.25">
      <c r="A5265">
        <v>32311</v>
      </c>
      <c r="B5265" t="s">
        <v>7587</v>
      </c>
      <c r="C5265" t="s">
        <v>7588</v>
      </c>
    </row>
    <row r="5266" spans="1:3" x14ac:dyDescent="0.25">
      <c r="A5266">
        <v>32312</v>
      </c>
      <c r="B5266" t="s">
        <v>7589</v>
      </c>
      <c r="C5266" t="s">
        <v>7590</v>
      </c>
    </row>
    <row r="5267" spans="1:3" x14ac:dyDescent="0.25">
      <c r="A5267">
        <v>32313</v>
      </c>
      <c r="B5267" t="s">
        <v>7591</v>
      </c>
      <c r="C5267" t="s">
        <v>7592</v>
      </c>
    </row>
    <row r="5268" spans="1:3" x14ac:dyDescent="0.25">
      <c r="A5268">
        <v>32314</v>
      </c>
      <c r="B5268" t="s">
        <v>7593</v>
      </c>
      <c r="C5268" t="s">
        <v>7594</v>
      </c>
    </row>
    <row r="5269" spans="1:3" x14ac:dyDescent="0.25">
      <c r="A5269">
        <v>32315</v>
      </c>
      <c r="B5269" t="s">
        <v>7595</v>
      </c>
      <c r="C5269" t="s">
        <v>7596</v>
      </c>
    </row>
    <row r="5270" spans="1:3" x14ac:dyDescent="0.25">
      <c r="A5270">
        <v>32316</v>
      </c>
      <c r="B5270" t="s">
        <v>7597</v>
      </c>
      <c r="C5270" t="s">
        <v>7598</v>
      </c>
    </row>
    <row r="5271" spans="1:3" x14ac:dyDescent="0.25">
      <c r="A5271">
        <v>32317</v>
      </c>
      <c r="B5271" t="s">
        <v>7599</v>
      </c>
      <c r="C5271" t="s">
        <v>7600</v>
      </c>
    </row>
    <row r="5272" spans="1:3" x14ac:dyDescent="0.25">
      <c r="A5272">
        <v>32318</v>
      </c>
      <c r="B5272" t="s">
        <v>7601</v>
      </c>
      <c r="C5272" t="s">
        <v>7602</v>
      </c>
    </row>
    <row r="5273" spans="1:3" x14ac:dyDescent="0.25">
      <c r="A5273">
        <v>32319</v>
      </c>
      <c r="B5273" t="s">
        <v>7603</v>
      </c>
      <c r="C5273" t="s">
        <v>7604</v>
      </c>
    </row>
    <row r="5274" spans="1:3" x14ac:dyDescent="0.25">
      <c r="A5274">
        <v>32320</v>
      </c>
      <c r="B5274" t="s">
        <v>7605</v>
      </c>
      <c r="C5274" t="s">
        <v>7606</v>
      </c>
    </row>
    <row r="5275" spans="1:3" x14ac:dyDescent="0.25">
      <c r="A5275">
        <v>32321</v>
      </c>
      <c r="B5275" t="s">
        <v>7607</v>
      </c>
      <c r="C5275" t="s">
        <v>7608</v>
      </c>
    </row>
    <row r="5276" spans="1:3" x14ac:dyDescent="0.25">
      <c r="A5276">
        <v>32322</v>
      </c>
      <c r="B5276" t="s">
        <v>7609</v>
      </c>
      <c r="C5276" t="s">
        <v>7610</v>
      </c>
    </row>
    <row r="5277" spans="1:3" x14ac:dyDescent="0.25">
      <c r="A5277">
        <v>32323</v>
      </c>
      <c r="B5277" t="s">
        <v>7611</v>
      </c>
      <c r="C5277" t="s">
        <v>7612</v>
      </c>
    </row>
    <row r="5278" spans="1:3" x14ac:dyDescent="0.25">
      <c r="A5278">
        <v>32324</v>
      </c>
      <c r="B5278" t="s">
        <v>7613</v>
      </c>
      <c r="C5278" t="s">
        <v>7614</v>
      </c>
    </row>
    <row r="5279" spans="1:3" x14ac:dyDescent="0.25">
      <c r="A5279">
        <v>32325</v>
      </c>
      <c r="B5279" t="s">
        <v>7615</v>
      </c>
      <c r="C5279" t="s">
        <v>7616</v>
      </c>
    </row>
    <row r="5280" spans="1:3" x14ac:dyDescent="0.25">
      <c r="A5280">
        <v>32326</v>
      </c>
      <c r="B5280" t="s">
        <v>7617</v>
      </c>
      <c r="C5280" t="s">
        <v>7618</v>
      </c>
    </row>
    <row r="5281" spans="1:3" x14ac:dyDescent="0.25">
      <c r="A5281">
        <v>32327</v>
      </c>
      <c r="B5281" t="s">
        <v>7619</v>
      </c>
      <c r="C5281" t="s">
        <v>7620</v>
      </c>
    </row>
    <row r="5282" spans="1:3" x14ac:dyDescent="0.25">
      <c r="A5282">
        <v>32328</v>
      </c>
      <c r="B5282" t="s">
        <v>7621</v>
      </c>
      <c r="C5282" t="s">
        <v>7622</v>
      </c>
    </row>
    <row r="5283" spans="1:3" x14ac:dyDescent="0.25">
      <c r="A5283">
        <v>32329</v>
      </c>
      <c r="B5283" t="s">
        <v>7623</v>
      </c>
      <c r="C5283" t="s">
        <v>7624</v>
      </c>
    </row>
    <row r="5284" spans="1:3" x14ac:dyDescent="0.25">
      <c r="A5284">
        <v>32330</v>
      </c>
      <c r="B5284" t="s">
        <v>7625</v>
      </c>
      <c r="C5284" t="s">
        <v>7626</v>
      </c>
    </row>
    <row r="5285" spans="1:3" x14ac:dyDescent="0.25">
      <c r="A5285">
        <v>32331</v>
      </c>
      <c r="B5285" t="s">
        <v>7627</v>
      </c>
      <c r="C5285" t="s">
        <v>7628</v>
      </c>
    </row>
    <row r="5286" spans="1:3" x14ac:dyDescent="0.25">
      <c r="A5286">
        <v>32332</v>
      </c>
      <c r="B5286" t="s">
        <v>7629</v>
      </c>
      <c r="C5286" t="s">
        <v>7630</v>
      </c>
    </row>
    <row r="5287" spans="1:3" x14ac:dyDescent="0.25">
      <c r="A5287">
        <v>32333</v>
      </c>
      <c r="B5287" t="s">
        <v>7631</v>
      </c>
      <c r="C5287" t="s">
        <v>7632</v>
      </c>
    </row>
    <row r="5288" spans="1:3" x14ac:dyDescent="0.25">
      <c r="A5288">
        <v>32334</v>
      </c>
      <c r="B5288" t="s">
        <v>7633</v>
      </c>
      <c r="C5288" t="s">
        <v>7634</v>
      </c>
    </row>
    <row r="5289" spans="1:3" x14ac:dyDescent="0.25">
      <c r="A5289">
        <v>32335</v>
      </c>
      <c r="B5289" t="s">
        <v>7635</v>
      </c>
      <c r="C5289" t="s">
        <v>7636</v>
      </c>
    </row>
    <row r="5290" spans="1:3" x14ac:dyDescent="0.25">
      <c r="A5290">
        <v>32336</v>
      </c>
      <c r="B5290" t="s">
        <v>7637</v>
      </c>
      <c r="C5290" t="s">
        <v>7638</v>
      </c>
    </row>
    <row r="5291" spans="1:3" x14ac:dyDescent="0.25">
      <c r="A5291">
        <v>32337</v>
      </c>
      <c r="B5291" t="s">
        <v>7639</v>
      </c>
      <c r="C5291" t="s">
        <v>7640</v>
      </c>
    </row>
    <row r="5292" spans="1:3" x14ac:dyDescent="0.25">
      <c r="A5292">
        <v>32338</v>
      </c>
      <c r="B5292" t="s">
        <v>7641</v>
      </c>
      <c r="C5292" t="s">
        <v>7642</v>
      </c>
    </row>
    <row r="5293" spans="1:3" x14ac:dyDescent="0.25">
      <c r="A5293">
        <v>32339</v>
      </c>
      <c r="B5293" t="s">
        <v>7643</v>
      </c>
      <c r="C5293" t="s">
        <v>7644</v>
      </c>
    </row>
    <row r="5294" spans="1:3" x14ac:dyDescent="0.25">
      <c r="A5294">
        <v>32340</v>
      </c>
      <c r="B5294" t="s">
        <v>7645</v>
      </c>
      <c r="C5294" t="s">
        <v>7646</v>
      </c>
    </row>
    <row r="5295" spans="1:3" x14ac:dyDescent="0.25">
      <c r="A5295">
        <v>32341</v>
      </c>
      <c r="B5295" t="s">
        <v>7647</v>
      </c>
      <c r="C5295" t="s">
        <v>7648</v>
      </c>
    </row>
    <row r="5296" spans="1:3" x14ac:dyDescent="0.25">
      <c r="A5296">
        <v>32342</v>
      </c>
      <c r="B5296" t="s">
        <v>7649</v>
      </c>
      <c r="C5296" t="s">
        <v>7650</v>
      </c>
    </row>
    <row r="5297" spans="1:3" x14ac:dyDescent="0.25">
      <c r="A5297">
        <v>32343</v>
      </c>
      <c r="B5297" t="s">
        <v>7651</v>
      </c>
      <c r="C5297" t="s">
        <v>7652</v>
      </c>
    </row>
    <row r="5298" spans="1:3" x14ac:dyDescent="0.25">
      <c r="A5298">
        <v>32344</v>
      </c>
      <c r="B5298" t="s">
        <v>7653</v>
      </c>
      <c r="C5298" t="s">
        <v>7654</v>
      </c>
    </row>
    <row r="5299" spans="1:3" x14ac:dyDescent="0.25">
      <c r="A5299">
        <v>32345</v>
      </c>
      <c r="B5299" t="s">
        <v>7655</v>
      </c>
      <c r="C5299" t="s">
        <v>7656</v>
      </c>
    </row>
    <row r="5300" spans="1:3" x14ac:dyDescent="0.25">
      <c r="A5300">
        <v>32346</v>
      </c>
      <c r="B5300" t="s">
        <v>7657</v>
      </c>
      <c r="C5300" t="s">
        <v>7658</v>
      </c>
    </row>
    <row r="5301" spans="1:3" x14ac:dyDescent="0.25">
      <c r="A5301">
        <v>32347</v>
      </c>
      <c r="B5301" t="s">
        <v>7659</v>
      </c>
      <c r="C5301" t="s">
        <v>7660</v>
      </c>
    </row>
    <row r="5302" spans="1:3" x14ac:dyDescent="0.25">
      <c r="A5302">
        <v>32348</v>
      </c>
      <c r="B5302" t="s">
        <v>7661</v>
      </c>
      <c r="C5302" t="s">
        <v>7662</v>
      </c>
    </row>
    <row r="5303" spans="1:3" x14ac:dyDescent="0.25">
      <c r="A5303">
        <v>32349</v>
      </c>
      <c r="B5303" t="s">
        <v>7663</v>
      </c>
      <c r="C5303" t="s">
        <v>7664</v>
      </c>
    </row>
    <row r="5304" spans="1:3" x14ac:dyDescent="0.25">
      <c r="A5304">
        <v>32350</v>
      </c>
      <c r="B5304" t="s">
        <v>7665</v>
      </c>
      <c r="C5304" t="s">
        <v>7666</v>
      </c>
    </row>
    <row r="5305" spans="1:3" x14ac:dyDescent="0.25">
      <c r="A5305">
        <v>32351</v>
      </c>
      <c r="B5305" t="s">
        <v>7667</v>
      </c>
      <c r="C5305" t="s">
        <v>7668</v>
      </c>
    </row>
    <row r="5306" spans="1:3" x14ac:dyDescent="0.25">
      <c r="A5306">
        <v>32352</v>
      </c>
      <c r="B5306" t="s">
        <v>7669</v>
      </c>
      <c r="C5306" t="s">
        <v>7670</v>
      </c>
    </row>
    <row r="5307" spans="1:3" x14ac:dyDescent="0.25">
      <c r="A5307">
        <v>32353</v>
      </c>
      <c r="B5307" t="s">
        <v>7671</v>
      </c>
      <c r="C5307" t="s">
        <v>7672</v>
      </c>
    </row>
    <row r="5308" spans="1:3" x14ac:dyDescent="0.25">
      <c r="A5308">
        <v>32354</v>
      </c>
      <c r="B5308" t="s">
        <v>7673</v>
      </c>
      <c r="C5308" t="s">
        <v>7674</v>
      </c>
    </row>
    <row r="5309" spans="1:3" x14ac:dyDescent="0.25">
      <c r="A5309">
        <v>32355</v>
      </c>
      <c r="B5309" t="s">
        <v>7675</v>
      </c>
      <c r="C5309" t="s">
        <v>7676</v>
      </c>
    </row>
    <row r="5310" spans="1:3" x14ac:dyDescent="0.25">
      <c r="A5310">
        <v>32356</v>
      </c>
      <c r="B5310" t="s">
        <v>7677</v>
      </c>
      <c r="C5310" t="s">
        <v>7678</v>
      </c>
    </row>
    <row r="5311" spans="1:3" x14ac:dyDescent="0.25">
      <c r="A5311">
        <v>32357</v>
      </c>
      <c r="B5311" t="s">
        <v>7679</v>
      </c>
      <c r="C5311" t="s">
        <v>7680</v>
      </c>
    </row>
    <row r="5312" spans="1:3" x14ac:dyDescent="0.25">
      <c r="A5312">
        <v>32358</v>
      </c>
      <c r="B5312" t="s">
        <v>7681</v>
      </c>
      <c r="C5312" t="s">
        <v>7682</v>
      </c>
    </row>
    <row r="5313" spans="1:3" x14ac:dyDescent="0.25">
      <c r="A5313">
        <v>32359</v>
      </c>
      <c r="B5313" t="s">
        <v>7683</v>
      </c>
      <c r="C5313" t="s">
        <v>7684</v>
      </c>
    </row>
    <row r="5314" spans="1:3" x14ac:dyDescent="0.25">
      <c r="A5314">
        <v>32360</v>
      </c>
      <c r="B5314" t="s">
        <v>7685</v>
      </c>
      <c r="C5314" t="s">
        <v>7686</v>
      </c>
    </row>
    <row r="5315" spans="1:3" x14ac:dyDescent="0.25">
      <c r="A5315">
        <v>32401</v>
      </c>
      <c r="B5315" t="s">
        <v>7687</v>
      </c>
      <c r="C5315" t="s">
        <v>7688</v>
      </c>
    </row>
    <row r="5316" spans="1:3" x14ac:dyDescent="0.25">
      <c r="A5316">
        <v>32402</v>
      </c>
      <c r="B5316" t="s">
        <v>7689</v>
      </c>
      <c r="C5316" t="s">
        <v>7690</v>
      </c>
    </row>
    <row r="5317" spans="1:3" x14ac:dyDescent="0.25">
      <c r="A5317">
        <v>32403</v>
      </c>
      <c r="B5317" t="s">
        <v>7691</v>
      </c>
      <c r="C5317" t="s">
        <v>7692</v>
      </c>
    </row>
    <row r="5318" spans="1:3" x14ac:dyDescent="0.25">
      <c r="A5318">
        <v>32404</v>
      </c>
      <c r="B5318" t="s">
        <v>7693</v>
      </c>
      <c r="C5318" t="s">
        <v>7694</v>
      </c>
    </row>
    <row r="5319" spans="1:3" x14ac:dyDescent="0.25">
      <c r="A5319">
        <v>32405</v>
      </c>
      <c r="B5319" t="s">
        <v>7695</v>
      </c>
      <c r="C5319" t="s">
        <v>7696</v>
      </c>
    </row>
    <row r="5320" spans="1:3" x14ac:dyDescent="0.25">
      <c r="A5320">
        <v>32406</v>
      </c>
      <c r="B5320" t="s">
        <v>7697</v>
      </c>
      <c r="C5320" t="s">
        <v>7698</v>
      </c>
    </row>
    <row r="5321" spans="1:3" x14ac:dyDescent="0.25">
      <c r="A5321">
        <v>32407</v>
      </c>
      <c r="B5321" t="s">
        <v>7699</v>
      </c>
      <c r="C5321" t="s">
        <v>7700</v>
      </c>
    </row>
    <row r="5322" spans="1:3" x14ac:dyDescent="0.25">
      <c r="A5322">
        <v>32408</v>
      </c>
      <c r="B5322" t="s">
        <v>7701</v>
      </c>
      <c r="C5322" t="s">
        <v>7702</v>
      </c>
    </row>
    <row r="5323" spans="1:3" x14ac:dyDescent="0.25">
      <c r="A5323">
        <v>32409</v>
      </c>
      <c r="B5323" t="s">
        <v>7703</v>
      </c>
      <c r="C5323" t="s">
        <v>7704</v>
      </c>
    </row>
    <row r="5324" spans="1:3" x14ac:dyDescent="0.25">
      <c r="A5324">
        <v>32410</v>
      </c>
      <c r="B5324" t="s">
        <v>7705</v>
      </c>
      <c r="C5324" t="s">
        <v>7706</v>
      </c>
    </row>
    <row r="5325" spans="1:3" x14ac:dyDescent="0.25">
      <c r="A5325">
        <v>32411</v>
      </c>
      <c r="B5325" t="s">
        <v>7707</v>
      </c>
      <c r="C5325" t="s">
        <v>7708</v>
      </c>
    </row>
    <row r="5326" spans="1:3" x14ac:dyDescent="0.25">
      <c r="A5326">
        <v>32412</v>
      </c>
      <c r="B5326" t="s">
        <v>7709</v>
      </c>
      <c r="C5326" t="s">
        <v>7710</v>
      </c>
    </row>
    <row r="5327" spans="1:3" x14ac:dyDescent="0.25">
      <c r="A5327">
        <v>32413</v>
      </c>
      <c r="B5327" t="s">
        <v>7711</v>
      </c>
      <c r="C5327" t="s">
        <v>7712</v>
      </c>
    </row>
    <row r="5328" spans="1:3" x14ac:dyDescent="0.25">
      <c r="A5328">
        <v>32414</v>
      </c>
      <c r="B5328" t="s">
        <v>7713</v>
      </c>
      <c r="C5328" t="s">
        <v>7714</v>
      </c>
    </row>
    <row r="5329" spans="1:3" x14ac:dyDescent="0.25">
      <c r="A5329">
        <v>32415</v>
      </c>
      <c r="B5329" t="s">
        <v>7715</v>
      </c>
      <c r="C5329" t="s">
        <v>7716</v>
      </c>
    </row>
    <row r="5330" spans="1:3" x14ac:dyDescent="0.25">
      <c r="A5330">
        <v>32416</v>
      </c>
      <c r="B5330" t="s">
        <v>7717</v>
      </c>
      <c r="C5330" t="s">
        <v>7718</v>
      </c>
    </row>
    <row r="5331" spans="1:3" x14ac:dyDescent="0.25">
      <c r="A5331">
        <v>32417</v>
      </c>
      <c r="B5331" t="s">
        <v>7719</v>
      </c>
      <c r="C5331" t="s">
        <v>7720</v>
      </c>
    </row>
    <row r="5332" spans="1:3" x14ac:dyDescent="0.25">
      <c r="A5332">
        <v>32418</v>
      </c>
      <c r="B5332" t="s">
        <v>7721</v>
      </c>
      <c r="C5332" t="s">
        <v>7722</v>
      </c>
    </row>
    <row r="5333" spans="1:3" x14ac:dyDescent="0.25">
      <c r="A5333">
        <v>32419</v>
      </c>
      <c r="B5333" t="s">
        <v>7723</v>
      </c>
      <c r="C5333" t="s">
        <v>7724</v>
      </c>
    </row>
    <row r="5334" spans="1:3" x14ac:dyDescent="0.25">
      <c r="A5334">
        <v>32420</v>
      </c>
      <c r="B5334" t="s">
        <v>7725</v>
      </c>
      <c r="C5334" t="s">
        <v>7726</v>
      </c>
    </row>
    <row r="5335" spans="1:3" x14ac:dyDescent="0.25">
      <c r="A5335">
        <v>32421</v>
      </c>
      <c r="B5335" t="s">
        <v>7727</v>
      </c>
      <c r="C5335" t="s">
        <v>7728</v>
      </c>
    </row>
    <row r="5336" spans="1:3" x14ac:dyDescent="0.25">
      <c r="A5336">
        <v>32422</v>
      </c>
      <c r="B5336" t="s">
        <v>7729</v>
      </c>
      <c r="C5336" t="s">
        <v>7730</v>
      </c>
    </row>
    <row r="5337" spans="1:3" x14ac:dyDescent="0.25">
      <c r="A5337">
        <v>32423</v>
      </c>
      <c r="B5337" t="s">
        <v>7731</v>
      </c>
      <c r="C5337" t="s">
        <v>7732</v>
      </c>
    </row>
    <row r="5338" spans="1:3" x14ac:dyDescent="0.25">
      <c r="A5338">
        <v>32424</v>
      </c>
      <c r="B5338" t="s">
        <v>7733</v>
      </c>
      <c r="C5338" t="s">
        <v>7734</v>
      </c>
    </row>
    <row r="5339" spans="1:3" x14ac:dyDescent="0.25">
      <c r="A5339">
        <v>32425</v>
      </c>
      <c r="B5339" t="s">
        <v>7735</v>
      </c>
      <c r="C5339" t="s">
        <v>7736</v>
      </c>
    </row>
    <row r="5340" spans="1:3" x14ac:dyDescent="0.25">
      <c r="A5340">
        <v>32426</v>
      </c>
      <c r="B5340" t="s">
        <v>7737</v>
      </c>
      <c r="C5340" t="s">
        <v>7738</v>
      </c>
    </row>
    <row r="5341" spans="1:3" x14ac:dyDescent="0.25">
      <c r="A5341">
        <v>32427</v>
      </c>
      <c r="B5341" t="s">
        <v>7739</v>
      </c>
      <c r="C5341" t="s">
        <v>7740</v>
      </c>
    </row>
    <row r="5342" spans="1:3" x14ac:dyDescent="0.25">
      <c r="A5342">
        <v>32428</v>
      </c>
      <c r="B5342" t="s">
        <v>7741</v>
      </c>
      <c r="C5342" t="s">
        <v>7742</v>
      </c>
    </row>
    <row r="5343" spans="1:3" x14ac:dyDescent="0.25">
      <c r="A5343">
        <v>32429</v>
      </c>
      <c r="B5343" t="s">
        <v>7743</v>
      </c>
      <c r="C5343" t="s">
        <v>7744</v>
      </c>
    </row>
    <row r="5344" spans="1:3" x14ac:dyDescent="0.25">
      <c r="A5344">
        <v>32430</v>
      </c>
      <c r="B5344" t="s">
        <v>7745</v>
      </c>
      <c r="C5344" t="s">
        <v>7746</v>
      </c>
    </row>
    <row r="5345" spans="1:3" x14ac:dyDescent="0.25">
      <c r="A5345">
        <v>32431</v>
      </c>
      <c r="B5345" t="s">
        <v>7747</v>
      </c>
      <c r="C5345" t="s">
        <v>7748</v>
      </c>
    </row>
    <row r="5346" spans="1:3" x14ac:dyDescent="0.25">
      <c r="A5346">
        <v>32432</v>
      </c>
      <c r="B5346" t="s">
        <v>7749</v>
      </c>
      <c r="C5346" t="s">
        <v>7750</v>
      </c>
    </row>
    <row r="5347" spans="1:3" x14ac:dyDescent="0.25">
      <c r="A5347">
        <v>32433</v>
      </c>
      <c r="B5347" t="s">
        <v>7751</v>
      </c>
      <c r="C5347" t="s">
        <v>7752</v>
      </c>
    </row>
    <row r="5348" spans="1:3" x14ac:dyDescent="0.25">
      <c r="A5348">
        <v>32434</v>
      </c>
      <c r="B5348" t="s">
        <v>7753</v>
      </c>
      <c r="C5348" t="s">
        <v>7754</v>
      </c>
    </row>
    <row r="5349" spans="1:3" x14ac:dyDescent="0.25">
      <c r="A5349">
        <v>32435</v>
      </c>
      <c r="B5349" t="s">
        <v>7755</v>
      </c>
      <c r="C5349" t="s">
        <v>7756</v>
      </c>
    </row>
    <row r="5350" spans="1:3" x14ac:dyDescent="0.25">
      <c r="A5350">
        <v>32436</v>
      </c>
      <c r="B5350" t="s">
        <v>7757</v>
      </c>
      <c r="C5350" t="s">
        <v>7758</v>
      </c>
    </row>
    <row r="5351" spans="1:3" x14ac:dyDescent="0.25">
      <c r="A5351">
        <v>32437</v>
      </c>
      <c r="B5351" t="s">
        <v>7759</v>
      </c>
      <c r="C5351" t="s">
        <v>7760</v>
      </c>
    </row>
    <row r="5352" spans="1:3" x14ac:dyDescent="0.25">
      <c r="A5352">
        <v>32438</v>
      </c>
      <c r="B5352" t="s">
        <v>7761</v>
      </c>
      <c r="C5352" t="s">
        <v>7762</v>
      </c>
    </row>
    <row r="5353" spans="1:3" x14ac:dyDescent="0.25">
      <c r="A5353">
        <v>32439</v>
      </c>
      <c r="B5353" t="s">
        <v>7763</v>
      </c>
      <c r="C5353" t="s">
        <v>7764</v>
      </c>
    </row>
    <row r="5354" spans="1:3" x14ac:dyDescent="0.25">
      <c r="A5354">
        <v>32440</v>
      </c>
      <c r="B5354" t="s">
        <v>7765</v>
      </c>
      <c r="C5354" t="s">
        <v>7766</v>
      </c>
    </row>
    <row r="5355" spans="1:3" x14ac:dyDescent="0.25">
      <c r="A5355">
        <v>32441</v>
      </c>
      <c r="B5355" t="s">
        <v>7767</v>
      </c>
      <c r="C5355" t="s">
        <v>7768</v>
      </c>
    </row>
    <row r="5356" spans="1:3" x14ac:dyDescent="0.25">
      <c r="A5356">
        <v>32442</v>
      </c>
      <c r="B5356" t="s">
        <v>7769</v>
      </c>
      <c r="C5356" t="s">
        <v>7770</v>
      </c>
    </row>
    <row r="5357" spans="1:3" x14ac:dyDescent="0.25">
      <c r="A5357">
        <v>32443</v>
      </c>
      <c r="B5357" t="s">
        <v>7771</v>
      </c>
      <c r="C5357" t="s">
        <v>7772</v>
      </c>
    </row>
    <row r="5358" spans="1:3" x14ac:dyDescent="0.25">
      <c r="A5358">
        <v>32444</v>
      </c>
      <c r="B5358" t="s">
        <v>7773</v>
      </c>
      <c r="C5358" t="s">
        <v>7774</v>
      </c>
    </row>
    <row r="5359" spans="1:3" x14ac:dyDescent="0.25">
      <c r="A5359">
        <v>32445</v>
      </c>
      <c r="B5359" t="s">
        <v>7775</v>
      </c>
      <c r="C5359" t="s">
        <v>7776</v>
      </c>
    </row>
    <row r="5360" spans="1:3" x14ac:dyDescent="0.25">
      <c r="A5360">
        <v>32446</v>
      </c>
      <c r="B5360" t="s">
        <v>7777</v>
      </c>
      <c r="C5360" t="s">
        <v>7778</v>
      </c>
    </row>
    <row r="5361" spans="1:3" x14ac:dyDescent="0.25">
      <c r="A5361">
        <v>32447</v>
      </c>
      <c r="B5361" t="s">
        <v>7779</v>
      </c>
      <c r="C5361" t="s">
        <v>7780</v>
      </c>
    </row>
    <row r="5362" spans="1:3" x14ac:dyDescent="0.25">
      <c r="A5362">
        <v>32448</v>
      </c>
      <c r="B5362" t="s">
        <v>7781</v>
      </c>
      <c r="C5362" t="s">
        <v>7782</v>
      </c>
    </row>
    <row r="5363" spans="1:3" x14ac:dyDescent="0.25">
      <c r="A5363">
        <v>32449</v>
      </c>
      <c r="B5363" t="s">
        <v>7783</v>
      </c>
      <c r="C5363" t="s">
        <v>7784</v>
      </c>
    </row>
    <row r="5364" spans="1:3" x14ac:dyDescent="0.25">
      <c r="A5364">
        <v>32450</v>
      </c>
      <c r="B5364" t="s">
        <v>7785</v>
      </c>
      <c r="C5364" t="s">
        <v>7786</v>
      </c>
    </row>
    <row r="5365" spans="1:3" x14ac:dyDescent="0.25">
      <c r="A5365">
        <v>32451</v>
      </c>
      <c r="B5365" t="s">
        <v>7787</v>
      </c>
      <c r="C5365" t="s">
        <v>7788</v>
      </c>
    </row>
    <row r="5366" spans="1:3" x14ac:dyDescent="0.25">
      <c r="A5366">
        <v>32452</v>
      </c>
      <c r="B5366" t="s">
        <v>7789</v>
      </c>
      <c r="C5366" t="s">
        <v>7790</v>
      </c>
    </row>
    <row r="5367" spans="1:3" x14ac:dyDescent="0.25">
      <c r="A5367">
        <v>32453</v>
      </c>
      <c r="B5367" t="s">
        <v>7791</v>
      </c>
      <c r="C5367" t="s">
        <v>7792</v>
      </c>
    </row>
    <row r="5368" spans="1:3" x14ac:dyDescent="0.25">
      <c r="A5368">
        <v>32454</v>
      </c>
      <c r="B5368" t="s">
        <v>7793</v>
      </c>
      <c r="C5368" t="s">
        <v>7794</v>
      </c>
    </row>
    <row r="5369" spans="1:3" x14ac:dyDescent="0.25">
      <c r="A5369">
        <v>32455</v>
      </c>
      <c r="B5369" t="s">
        <v>7795</v>
      </c>
      <c r="C5369" t="s">
        <v>7796</v>
      </c>
    </row>
    <row r="5370" spans="1:3" x14ac:dyDescent="0.25">
      <c r="A5370">
        <v>32456</v>
      </c>
      <c r="B5370" t="s">
        <v>7797</v>
      </c>
      <c r="C5370" t="s">
        <v>7798</v>
      </c>
    </row>
    <row r="5371" spans="1:3" x14ac:dyDescent="0.25">
      <c r="A5371">
        <v>32457</v>
      </c>
      <c r="B5371" t="s">
        <v>7799</v>
      </c>
      <c r="C5371" t="s">
        <v>7800</v>
      </c>
    </row>
    <row r="5372" spans="1:3" x14ac:dyDescent="0.25">
      <c r="A5372">
        <v>32458</v>
      </c>
      <c r="B5372" t="s">
        <v>7801</v>
      </c>
      <c r="C5372" t="s">
        <v>7802</v>
      </c>
    </row>
    <row r="5373" spans="1:3" x14ac:dyDescent="0.25">
      <c r="A5373">
        <v>32459</v>
      </c>
      <c r="B5373" t="s">
        <v>7803</v>
      </c>
      <c r="C5373" t="s">
        <v>7804</v>
      </c>
    </row>
    <row r="5374" spans="1:3" x14ac:dyDescent="0.25">
      <c r="A5374">
        <v>32460</v>
      </c>
      <c r="B5374" t="s">
        <v>7805</v>
      </c>
      <c r="C5374" t="s">
        <v>7806</v>
      </c>
    </row>
    <row r="5375" spans="1:3" x14ac:dyDescent="0.25">
      <c r="A5375">
        <v>32501</v>
      </c>
      <c r="B5375" t="s">
        <v>7807</v>
      </c>
      <c r="C5375" t="s">
        <v>7808</v>
      </c>
    </row>
    <row r="5376" spans="1:3" x14ac:dyDescent="0.25">
      <c r="A5376">
        <v>32502</v>
      </c>
      <c r="B5376" t="s">
        <v>7809</v>
      </c>
      <c r="C5376" t="s">
        <v>7810</v>
      </c>
    </row>
    <row r="5377" spans="1:3" x14ac:dyDescent="0.25">
      <c r="A5377">
        <v>32503</v>
      </c>
      <c r="B5377" t="s">
        <v>7811</v>
      </c>
      <c r="C5377" t="s">
        <v>7812</v>
      </c>
    </row>
    <row r="5378" spans="1:3" x14ac:dyDescent="0.25">
      <c r="A5378">
        <v>32504</v>
      </c>
      <c r="B5378" t="s">
        <v>7813</v>
      </c>
      <c r="C5378" t="s">
        <v>7814</v>
      </c>
    </row>
    <row r="5379" spans="1:3" x14ac:dyDescent="0.25">
      <c r="A5379">
        <v>32505</v>
      </c>
      <c r="B5379" t="s">
        <v>7815</v>
      </c>
      <c r="C5379" t="s">
        <v>7816</v>
      </c>
    </row>
    <row r="5380" spans="1:3" x14ac:dyDescent="0.25">
      <c r="A5380">
        <v>32506</v>
      </c>
      <c r="B5380" t="s">
        <v>7817</v>
      </c>
      <c r="C5380" t="s">
        <v>7818</v>
      </c>
    </row>
    <row r="5381" spans="1:3" x14ac:dyDescent="0.25">
      <c r="A5381">
        <v>32507</v>
      </c>
      <c r="B5381" t="s">
        <v>7819</v>
      </c>
      <c r="C5381" t="s">
        <v>7820</v>
      </c>
    </row>
    <row r="5382" spans="1:3" x14ac:dyDescent="0.25">
      <c r="A5382">
        <v>32508</v>
      </c>
      <c r="B5382" t="s">
        <v>7821</v>
      </c>
      <c r="C5382" t="s">
        <v>7822</v>
      </c>
    </row>
    <row r="5383" spans="1:3" x14ac:dyDescent="0.25">
      <c r="A5383">
        <v>32509</v>
      </c>
      <c r="B5383" t="s">
        <v>7823</v>
      </c>
      <c r="C5383" t="s">
        <v>7824</v>
      </c>
    </row>
    <row r="5384" spans="1:3" x14ac:dyDescent="0.25">
      <c r="A5384">
        <v>32510</v>
      </c>
      <c r="B5384" t="s">
        <v>7825</v>
      </c>
      <c r="C5384" t="s">
        <v>7826</v>
      </c>
    </row>
    <row r="5385" spans="1:3" x14ac:dyDescent="0.25">
      <c r="A5385">
        <v>32511</v>
      </c>
      <c r="B5385" t="s">
        <v>7827</v>
      </c>
      <c r="C5385" t="s">
        <v>7828</v>
      </c>
    </row>
    <row r="5386" spans="1:3" x14ac:dyDescent="0.25">
      <c r="A5386">
        <v>32512</v>
      </c>
      <c r="B5386" t="s">
        <v>7829</v>
      </c>
      <c r="C5386" t="s">
        <v>7830</v>
      </c>
    </row>
    <row r="5387" spans="1:3" x14ac:dyDescent="0.25">
      <c r="A5387">
        <v>32513</v>
      </c>
      <c r="B5387" t="s">
        <v>7831</v>
      </c>
      <c r="C5387" t="s">
        <v>7832</v>
      </c>
    </row>
    <row r="5388" spans="1:3" x14ac:dyDescent="0.25">
      <c r="A5388">
        <v>32514</v>
      </c>
      <c r="B5388" t="s">
        <v>7833</v>
      </c>
      <c r="C5388" t="s">
        <v>7834</v>
      </c>
    </row>
    <row r="5389" spans="1:3" x14ac:dyDescent="0.25">
      <c r="A5389">
        <v>32515</v>
      </c>
      <c r="B5389" t="s">
        <v>7835</v>
      </c>
      <c r="C5389" t="s">
        <v>7836</v>
      </c>
    </row>
    <row r="5390" spans="1:3" x14ac:dyDescent="0.25">
      <c r="A5390">
        <v>32516</v>
      </c>
      <c r="B5390" t="s">
        <v>7837</v>
      </c>
      <c r="C5390" t="s">
        <v>7838</v>
      </c>
    </row>
    <row r="5391" spans="1:3" x14ac:dyDescent="0.25">
      <c r="A5391">
        <v>32517</v>
      </c>
      <c r="B5391" t="s">
        <v>7839</v>
      </c>
      <c r="C5391" t="s">
        <v>7840</v>
      </c>
    </row>
    <row r="5392" spans="1:3" x14ac:dyDescent="0.25">
      <c r="A5392">
        <v>32518</v>
      </c>
      <c r="B5392" t="s">
        <v>7841</v>
      </c>
      <c r="C5392" t="s">
        <v>7842</v>
      </c>
    </row>
    <row r="5393" spans="1:3" x14ac:dyDescent="0.25">
      <c r="A5393">
        <v>32519</v>
      </c>
      <c r="B5393" t="s">
        <v>7843</v>
      </c>
      <c r="C5393" t="s">
        <v>7844</v>
      </c>
    </row>
    <row r="5394" spans="1:3" x14ac:dyDescent="0.25">
      <c r="A5394">
        <v>32520</v>
      </c>
      <c r="B5394" t="s">
        <v>7845</v>
      </c>
      <c r="C5394" t="s">
        <v>7846</v>
      </c>
    </row>
    <row r="5395" spans="1:3" x14ac:dyDescent="0.25">
      <c r="A5395">
        <v>32521</v>
      </c>
      <c r="B5395" t="s">
        <v>7847</v>
      </c>
      <c r="C5395" t="s">
        <v>7848</v>
      </c>
    </row>
    <row r="5396" spans="1:3" x14ac:dyDescent="0.25">
      <c r="A5396">
        <v>32522</v>
      </c>
      <c r="B5396" t="s">
        <v>7849</v>
      </c>
      <c r="C5396" t="s">
        <v>7850</v>
      </c>
    </row>
    <row r="5397" spans="1:3" x14ac:dyDescent="0.25">
      <c r="A5397">
        <v>32523</v>
      </c>
      <c r="B5397" t="s">
        <v>7851</v>
      </c>
      <c r="C5397" t="s">
        <v>7852</v>
      </c>
    </row>
    <row r="5398" spans="1:3" x14ac:dyDescent="0.25">
      <c r="A5398">
        <v>32524</v>
      </c>
      <c r="B5398" t="s">
        <v>7853</v>
      </c>
      <c r="C5398" t="s">
        <v>7854</v>
      </c>
    </row>
    <row r="5399" spans="1:3" x14ac:dyDescent="0.25">
      <c r="A5399">
        <v>32525</v>
      </c>
      <c r="B5399" t="s">
        <v>7855</v>
      </c>
      <c r="C5399" t="s">
        <v>7856</v>
      </c>
    </row>
    <row r="5400" spans="1:3" x14ac:dyDescent="0.25">
      <c r="A5400">
        <v>32526</v>
      </c>
      <c r="B5400" t="s">
        <v>7857</v>
      </c>
      <c r="C5400" t="s">
        <v>7858</v>
      </c>
    </row>
    <row r="5401" spans="1:3" x14ac:dyDescent="0.25">
      <c r="A5401">
        <v>32527</v>
      </c>
      <c r="B5401" t="s">
        <v>7859</v>
      </c>
      <c r="C5401" t="s">
        <v>7860</v>
      </c>
    </row>
    <row r="5402" spans="1:3" x14ac:dyDescent="0.25">
      <c r="A5402">
        <v>32528</v>
      </c>
      <c r="B5402" t="s">
        <v>7861</v>
      </c>
      <c r="C5402" t="s">
        <v>7862</v>
      </c>
    </row>
    <row r="5403" spans="1:3" x14ac:dyDescent="0.25">
      <c r="A5403">
        <v>32529</v>
      </c>
      <c r="B5403" t="s">
        <v>7863</v>
      </c>
      <c r="C5403" t="s">
        <v>7864</v>
      </c>
    </row>
    <row r="5404" spans="1:3" x14ac:dyDescent="0.25">
      <c r="A5404">
        <v>32530</v>
      </c>
      <c r="B5404" t="s">
        <v>7865</v>
      </c>
      <c r="C5404" t="s">
        <v>7866</v>
      </c>
    </row>
    <row r="5405" spans="1:3" x14ac:dyDescent="0.25">
      <c r="A5405">
        <v>32531</v>
      </c>
      <c r="B5405" t="s">
        <v>7867</v>
      </c>
      <c r="C5405" t="s">
        <v>7868</v>
      </c>
    </row>
    <row r="5406" spans="1:3" x14ac:dyDescent="0.25">
      <c r="A5406">
        <v>32532</v>
      </c>
      <c r="B5406" t="s">
        <v>7869</v>
      </c>
      <c r="C5406" t="s">
        <v>7870</v>
      </c>
    </row>
    <row r="5407" spans="1:3" x14ac:dyDescent="0.25">
      <c r="A5407">
        <v>32533</v>
      </c>
      <c r="B5407" t="s">
        <v>7871</v>
      </c>
      <c r="C5407" t="s">
        <v>7872</v>
      </c>
    </row>
    <row r="5408" spans="1:3" x14ac:dyDescent="0.25">
      <c r="A5408">
        <v>32534</v>
      </c>
      <c r="B5408" t="s">
        <v>7873</v>
      </c>
      <c r="C5408" t="s">
        <v>7874</v>
      </c>
    </row>
    <row r="5409" spans="1:3" x14ac:dyDescent="0.25">
      <c r="A5409">
        <v>32535</v>
      </c>
      <c r="B5409" t="s">
        <v>7875</v>
      </c>
      <c r="C5409" t="s">
        <v>7876</v>
      </c>
    </row>
    <row r="5410" spans="1:3" x14ac:dyDescent="0.25">
      <c r="A5410">
        <v>32536</v>
      </c>
      <c r="B5410" t="s">
        <v>7877</v>
      </c>
      <c r="C5410" t="s">
        <v>7878</v>
      </c>
    </row>
    <row r="5411" spans="1:3" x14ac:dyDescent="0.25">
      <c r="A5411">
        <v>32537</v>
      </c>
      <c r="B5411" t="s">
        <v>7879</v>
      </c>
      <c r="C5411" t="s">
        <v>7880</v>
      </c>
    </row>
    <row r="5412" spans="1:3" x14ac:dyDescent="0.25">
      <c r="A5412">
        <v>32538</v>
      </c>
      <c r="B5412" t="s">
        <v>7881</v>
      </c>
      <c r="C5412" t="s">
        <v>7882</v>
      </c>
    </row>
    <row r="5413" spans="1:3" x14ac:dyDescent="0.25">
      <c r="A5413">
        <v>32539</v>
      </c>
      <c r="B5413" t="s">
        <v>7883</v>
      </c>
      <c r="C5413" t="s">
        <v>7884</v>
      </c>
    </row>
    <row r="5414" spans="1:3" x14ac:dyDescent="0.25">
      <c r="A5414">
        <v>32540</v>
      </c>
      <c r="B5414" t="s">
        <v>7885</v>
      </c>
      <c r="C5414" t="s">
        <v>7886</v>
      </c>
    </row>
    <row r="5415" spans="1:3" x14ac:dyDescent="0.25">
      <c r="A5415">
        <v>32541</v>
      </c>
      <c r="B5415" t="s">
        <v>7887</v>
      </c>
      <c r="C5415" t="s">
        <v>7888</v>
      </c>
    </row>
    <row r="5416" spans="1:3" x14ac:dyDescent="0.25">
      <c r="A5416">
        <v>32542</v>
      </c>
      <c r="B5416" t="s">
        <v>7889</v>
      </c>
      <c r="C5416" t="s">
        <v>7890</v>
      </c>
    </row>
    <row r="5417" spans="1:3" x14ac:dyDescent="0.25">
      <c r="A5417">
        <v>32543</v>
      </c>
      <c r="B5417" t="s">
        <v>7891</v>
      </c>
      <c r="C5417" t="s">
        <v>7892</v>
      </c>
    </row>
    <row r="5418" spans="1:3" x14ac:dyDescent="0.25">
      <c r="A5418">
        <v>32544</v>
      </c>
      <c r="B5418" t="s">
        <v>7893</v>
      </c>
      <c r="C5418" t="s">
        <v>7894</v>
      </c>
    </row>
    <row r="5419" spans="1:3" x14ac:dyDescent="0.25">
      <c r="A5419">
        <v>32545</v>
      </c>
      <c r="B5419" t="s">
        <v>7895</v>
      </c>
      <c r="C5419" t="s">
        <v>7896</v>
      </c>
    </row>
    <row r="5420" spans="1:3" x14ac:dyDescent="0.25">
      <c r="A5420">
        <v>32546</v>
      </c>
      <c r="B5420" t="s">
        <v>7897</v>
      </c>
      <c r="C5420" t="s">
        <v>7898</v>
      </c>
    </row>
    <row r="5421" spans="1:3" x14ac:dyDescent="0.25">
      <c r="A5421">
        <v>32547</v>
      </c>
      <c r="B5421" t="s">
        <v>7899</v>
      </c>
      <c r="C5421" t="s">
        <v>7900</v>
      </c>
    </row>
    <row r="5422" spans="1:3" x14ac:dyDescent="0.25">
      <c r="A5422">
        <v>32548</v>
      </c>
      <c r="B5422" t="s">
        <v>7901</v>
      </c>
      <c r="C5422" t="s">
        <v>7902</v>
      </c>
    </row>
    <row r="5423" spans="1:3" x14ac:dyDescent="0.25">
      <c r="A5423">
        <v>32549</v>
      </c>
      <c r="B5423" t="s">
        <v>7903</v>
      </c>
      <c r="C5423" t="s">
        <v>7904</v>
      </c>
    </row>
    <row r="5424" spans="1:3" x14ac:dyDescent="0.25">
      <c r="A5424">
        <v>32550</v>
      </c>
      <c r="B5424" t="s">
        <v>7905</v>
      </c>
      <c r="C5424" t="s">
        <v>7906</v>
      </c>
    </row>
    <row r="5425" spans="1:3" x14ac:dyDescent="0.25">
      <c r="A5425">
        <v>32551</v>
      </c>
      <c r="B5425" t="s">
        <v>7907</v>
      </c>
      <c r="C5425" t="s">
        <v>7908</v>
      </c>
    </row>
    <row r="5426" spans="1:3" x14ac:dyDescent="0.25">
      <c r="A5426">
        <v>32552</v>
      </c>
      <c r="B5426" t="s">
        <v>7909</v>
      </c>
      <c r="C5426" t="s">
        <v>7910</v>
      </c>
    </row>
    <row r="5427" spans="1:3" x14ac:dyDescent="0.25">
      <c r="A5427">
        <v>32553</v>
      </c>
      <c r="B5427" t="s">
        <v>7911</v>
      </c>
      <c r="C5427" t="s">
        <v>7912</v>
      </c>
    </row>
    <row r="5428" spans="1:3" x14ac:dyDescent="0.25">
      <c r="A5428">
        <v>32554</v>
      </c>
      <c r="B5428" t="s">
        <v>7913</v>
      </c>
      <c r="C5428" t="s">
        <v>7914</v>
      </c>
    </row>
    <row r="5429" spans="1:3" x14ac:dyDescent="0.25">
      <c r="A5429">
        <v>32555</v>
      </c>
      <c r="B5429" t="s">
        <v>7915</v>
      </c>
      <c r="C5429" t="s">
        <v>7916</v>
      </c>
    </row>
    <row r="5430" spans="1:3" x14ac:dyDescent="0.25">
      <c r="A5430">
        <v>32556</v>
      </c>
      <c r="B5430" t="s">
        <v>7917</v>
      </c>
      <c r="C5430" t="s">
        <v>7918</v>
      </c>
    </row>
    <row r="5431" spans="1:3" x14ac:dyDescent="0.25">
      <c r="A5431">
        <v>32557</v>
      </c>
      <c r="B5431" t="s">
        <v>7919</v>
      </c>
      <c r="C5431" t="s">
        <v>7920</v>
      </c>
    </row>
    <row r="5432" spans="1:3" x14ac:dyDescent="0.25">
      <c r="A5432">
        <v>32558</v>
      </c>
      <c r="B5432" t="s">
        <v>7921</v>
      </c>
      <c r="C5432" t="s">
        <v>7922</v>
      </c>
    </row>
    <row r="5433" spans="1:3" x14ac:dyDescent="0.25">
      <c r="A5433">
        <v>32559</v>
      </c>
      <c r="B5433" t="s">
        <v>7923</v>
      </c>
      <c r="C5433" t="s">
        <v>7924</v>
      </c>
    </row>
    <row r="5434" spans="1:3" x14ac:dyDescent="0.25">
      <c r="A5434">
        <v>32560</v>
      </c>
      <c r="B5434" t="s">
        <v>7925</v>
      </c>
      <c r="C5434" t="s">
        <v>7926</v>
      </c>
    </row>
    <row r="5435" spans="1:3" x14ac:dyDescent="0.25">
      <c r="A5435">
        <v>32601</v>
      </c>
      <c r="B5435" t="s">
        <v>7927</v>
      </c>
      <c r="C5435" t="e">
        <f>+proj=utm +zone=1 +datum=WGQ84 +units=m +no_defs</f>
        <v>#NAME?</v>
      </c>
    </row>
    <row r="5436" spans="1:3" x14ac:dyDescent="0.25">
      <c r="A5436">
        <v>32602</v>
      </c>
      <c r="B5436" t="s">
        <v>7928</v>
      </c>
      <c r="C5436" t="e">
        <f>+proj=utm +zone=2 +datum=WGQ84 +units=m +no_defs</f>
        <v>#NAME?</v>
      </c>
    </row>
    <row r="5437" spans="1:3" x14ac:dyDescent="0.25">
      <c r="A5437">
        <v>32603</v>
      </c>
      <c r="B5437" t="s">
        <v>7929</v>
      </c>
      <c r="C5437" t="e">
        <f>+proj=utm +zone=3 +datum=WGQ84 +units=m +no_defs</f>
        <v>#NAME?</v>
      </c>
    </row>
    <row r="5438" spans="1:3" x14ac:dyDescent="0.25">
      <c r="A5438">
        <v>32604</v>
      </c>
      <c r="B5438" t="s">
        <v>7930</v>
      </c>
      <c r="C5438" t="e">
        <f>+proj=utm +zone=4 +datum=WGQ84 +units=m +no_defs</f>
        <v>#NAME?</v>
      </c>
    </row>
    <row r="5439" spans="1:3" x14ac:dyDescent="0.25">
      <c r="A5439">
        <v>4337</v>
      </c>
      <c r="B5439" t="s">
        <v>7931</v>
      </c>
      <c r="C5439" t="e">
        <f>+proj=geocent +ellps=GRQ80 +units=m +no_defs</f>
        <v>#NAME?</v>
      </c>
    </row>
    <row r="5440" spans="1:3" x14ac:dyDescent="0.25">
      <c r="A5440">
        <v>32623</v>
      </c>
      <c r="B5440" t="s">
        <v>7932</v>
      </c>
      <c r="C5440" t="e">
        <f>+proj=utm +zone=23 +datum=WGQ84 +units=m +no_defs</f>
        <v>#NAME?</v>
      </c>
    </row>
    <row r="5441" spans="1:3" x14ac:dyDescent="0.25">
      <c r="A5441">
        <v>32624</v>
      </c>
      <c r="B5441" t="s">
        <v>7933</v>
      </c>
      <c r="C5441" t="e">
        <f>+proj=utm +zone=24 +datum=WGQ84 +units=m +no_defs</f>
        <v>#NAME?</v>
      </c>
    </row>
    <row r="5442" spans="1:3" x14ac:dyDescent="0.25">
      <c r="A5442">
        <v>32625</v>
      </c>
      <c r="B5442" t="s">
        <v>7934</v>
      </c>
      <c r="C5442" t="e">
        <f>+proj=utm +zone=25 +datum=WGQ84 +units=m +no_defs</f>
        <v>#NAME?</v>
      </c>
    </row>
    <row r="5443" spans="1:3" x14ac:dyDescent="0.25">
      <c r="A5443">
        <v>32626</v>
      </c>
      <c r="B5443" t="s">
        <v>7935</v>
      </c>
      <c r="C5443" t="e">
        <f>+proj=utm +zone=26 +datum=WGQ84 +units=m +no_defs</f>
        <v>#NAME?</v>
      </c>
    </row>
    <row r="5444" spans="1:3" x14ac:dyDescent="0.25">
      <c r="A5444">
        <v>32627</v>
      </c>
      <c r="B5444" t="s">
        <v>7936</v>
      </c>
      <c r="C5444" t="e">
        <f>+proj=utm +zone=27 +datum=WGQ84 +units=m +no_defs</f>
        <v>#NAME?</v>
      </c>
    </row>
    <row r="5445" spans="1:3" x14ac:dyDescent="0.25">
      <c r="A5445">
        <v>32628</v>
      </c>
      <c r="B5445" t="s">
        <v>7937</v>
      </c>
      <c r="C5445" t="e">
        <f>+proj=utm +zone=28 +datum=WGQ84 +units=m +no_defs</f>
        <v>#NAME?</v>
      </c>
    </row>
    <row r="5446" spans="1:3" x14ac:dyDescent="0.25">
      <c r="A5446">
        <v>32629</v>
      </c>
      <c r="B5446" t="s">
        <v>7938</v>
      </c>
      <c r="C5446" t="e">
        <f>+proj=utm +zone=29 +datum=WGQ84 +units=m +no_defs</f>
        <v>#NAME?</v>
      </c>
    </row>
    <row r="5447" spans="1:3" x14ac:dyDescent="0.25">
      <c r="A5447">
        <v>32630</v>
      </c>
      <c r="B5447" t="s">
        <v>7939</v>
      </c>
      <c r="C5447" t="e">
        <f>+proj=utm +zone=30 +datum=WGQ84 +units=m +no_defs</f>
        <v>#NAME?</v>
      </c>
    </row>
    <row r="5448" spans="1:3" x14ac:dyDescent="0.25">
      <c r="A5448">
        <v>32631</v>
      </c>
      <c r="B5448" t="s">
        <v>7940</v>
      </c>
      <c r="C5448" t="e">
        <f>+proj=utm +zone=31 +datum=WGQ84 +units=m +no_defs</f>
        <v>#NAME?</v>
      </c>
    </row>
    <row r="5449" spans="1:3" x14ac:dyDescent="0.25">
      <c r="A5449">
        <v>32632</v>
      </c>
      <c r="B5449" t="s">
        <v>7941</v>
      </c>
      <c r="C5449" t="e">
        <f>+proj=utm +zone=32 +datum=WGQ84 +units=m +no_defs</f>
        <v>#NAME?</v>
      </c>
    </row>
    <row r="5450" spans="1:3" x14ac:dyDescent="0.25">
      <c r="A5450">
        <v>32633</v>
      </c>
      <c r="B5450" t="s">
        <v>7942</v>
      </c>
      <c r="C5450" t="e">
        <f>+proj=utm +zone=33 +datum=WGQ84 +units=m +no_defs</f>
        <v>#NAME?</v>
      </c>
    </row>
    <row r="5451" spans="1:3" x14ac:dyDescent="0.25">
      <c r="A5451">
        <v>6309</v>
      </c>
      <c r="B5451" t="s">
        <v>7943</v>
      </c>
      <c r="C5451" t="e">
        <f>+proj=geocent +ellps=WGQ84 +units=m +no_defs</f>
        <v>#NAME?</v>
      </c>
    </row>
    <row r="5452" spans="1:3" x14ac:dyDescent="0.25">
      <c r="A5452">
        <v>32634</v>
      </c>
      <c r="B5452" t="s">
        <v>7944</v>
      </c>
      <c r="C5452" t="e">
        <f>+proj=utm +zone=34 +datum=WGQ84 +units=m +no_defs</f>
        <v>#NAME?</v>
      </c>
    </row>
    <row r="5453" spans="1:3" x14ac:dyDescent="0.25">
      <c r="A5453">
        <v>32635</v>
      </c>
      <c r="B5453" t="s">
        <v>7945</v>
      </c>
      <c r="C5453" t="e">
        <f>+proj=utm +zone=35 +datum=WGQ84 +units=m +no_defs</f>
        <v>#NAME?</v>
      </c>
    </row>
    <row r="5454" spans="1:3" x14ac:dyDescent="0.25">
      <c r="A5454">
        <v>32636</v>
      </c>
      <c r="B5454" t="s">
        <v>7946</v>
      </c>
      <c r="C5454" t="e">
        <f>+proj=utm +zone=36 +datum=WGQ84 +units=m +no_defs</f>
        <v>#NAME?</v>
      </c>
    </row>
    <row r="5455" spans="1:3" x14ac:dyDescent="0.25">
      <c r="A5455">
        <v>32637</v>
      </c>
      <c r="B5455" t="s">
        <v>7947</v>
      </c>
      <c r="C5455" t="e">
        <f>+proj=utm +zone=37 +datum=WGQ84 +units=m +no_defs</f>
        <v>#NAME?</v>
      </c>
    </row>
    <row r="5456" spans="1:3" x14ac:dyDescent="0.25">
      <c r="A5456">
        <v>32638</v>
      </c>
      <c r="B5456" t="s">
        <v>7948</v>
      </c>
      <c r="C5456" t="e">
        <f>+proj=utm +zone=38 +datum=WGQ84 +units=m +no_defs</f>
        <v>#NAME?</v>
      </c>
    </row>
    <row r="5457" spans="1:3" x14ac:dyDescent="0.25">
      <c r="A5457">
        <v>32639</v>
      </c>
      <c r="B5457" t="s">
        <v>7949</v>
      </c>
      <c r="C5457" t="e">
        <f>+proj=utm +zone=39 +datum=WGQ84 +units=m +no_defs</f>
        <v>#NAME?</v>
      </c>
    </row>
    <row r="5458" spans="1:3" x14ac:dyDescent="0.25">
      <c r="A5458">
        <v>32640</v>
      </c>
      <c r="B5458" t="s">
        <v>7950</v>
      </c>
      <c r="C5458" t="e">
        <f>+proj=utm +zone=40 +datum=WGQ84 +units=m +no_defs</f>
        <v>#NAME?</v>
      </c>
    </row>
    <row r="5459" spans="1:3" x14ac:dyDescent="0.25">
      <c r="A5459">
        <v>32641</v>
      </c>
      <c r="B5459" t="s">
        <v>7951</v>
      </c>
      <c r="C5459" t="e">
        <f>+proj=utm +zone=41 +datum=WGQ84 +units=m +no_defs</f>
        <v>#NAME?</v>
      </c>
    </row>
    <row r="5460" spans="1:3" x14ac:dyDescent="0.25">
      <c r="A5460">
        <v>32642</v>
      </c>
      <c r="B5460" t="s">
        <v>7952</v>
      </c>
      <c r="C5460" t="e">
        <f>+proj=utm +zone=42 +datum=WGQ84 +units=m +no_defs</f>
        <v>#NAME?</v>
      </c>
    </row>
    <row r="5461" spans="1:3" x14ac:dyDescent="0.25">
      <c r="A5461">
        <v>32643</v>
      </c>
      <c r="B5461" t="s">
        <v>7953</v>
      </c>
      <c r="C5461" t="e">
        <f>+proj=utm +zone=43 +datum=WGQ84 +units=m +no_defs</f>
        <v>#NAME?</v>
      </c>
    </row>
    <row r="5462" spans="1:3" x14ac:dyDescent="0.25">
      <c r="A5462">
        <v>32644</v>
      </c>
      <c r="B5462" t="s">
        <v>7954</v>
      </c>
      <c r="C5462" t="e">
        <f>+proj=utm +zone=44 +datum=WGQ84 +units=m +no_defs</f>
        <v>#NAME?</v>
      </c>
    </row>
    <row r="5463" spans="1:3" x14ac:dyDescent="0.25">
      <c r="A5463">
        <v>7660</v>
      </c>
      <c r="B5463" t="s">
        <v>7955</v>
      </c>
      <c r="C5463" t="e">
        <f>+proj=geocent +ellps=WGQ84 +units=m +no_defs</f>
        <v>#NAME?</v>
      </c>
    </row>
    <row r="5464" spans="1:3" x14ac:dyDescent="0.25">
      <c r="A5464">
        <v>32645</v>
      </c>
      <c r="B5464" t="s">
        <v>7956</v>
      </c>
      <c r="C5464" t="e">
        <f>+proj=utm +zone=45 +datum=WGQ84 +units=m +no_defs</f>
        <v>#NAME?</v>
      </c>
    </row>
    <row r="5465" spans="1:3" x14ac:dyDescent="0.25">
      <c r="A5465">
        <v>32646</v>
      </c>
      <c r="B5465" t="s">
        <v>7957</v>
      </c>
      <c r="C5465" t="e">
        <f>+proj=utm +zone=46 +datum=WGQ84 +units=m +no_defs</f>
        <v>#NAME?</v>
      </c>
    </row>
    <row r="5466" spans="1:3" x14ac:dyDescent="0.25">
      <c r="A5466">
        <v>32647</v>
      </c>
      <c r="B5466" t="s">
        <v>7958</v>
      </c>
      <c r="C5466" t="e">
        <f>+proj=utm +zone=47 +datum=WGQ84 +units=m +no_defs</f>
        <v>#NAME?</v>
      </c>
    </row>
    <row r="5467" spans="1:3" x14ac:dyDescent="0.25">
      <c r="A5467">
        <v>32648</v>
      </c>
      <c r="B5467" t="s">
        <v>7959</v>
      </c>
      <c r="C5467" t="e">
        <f>+proj=utm +zone=48 +datum=WGQ84 +units=m +no_defs</f>
        <v>#NAME?</v>
      </c>
    </row>
    <row r="5468" spans="1:3" x14ac:dyDescent="0.25">
      <c r="A5468">
        <v>32649</v>
      </c>
      <c r="B5468" t="s">
        <v>7960</v>
      </c>
      <c r="C5468" t="e">
        <f>+proj=utm +zone=49 +datum=WGQ84 +units=m +no_defs</f>
        <v>#NAME?</v>
      </c>
    </row>
    <row r="5469" spans="1:3" x14ac:dyDescent="0.25">
      <c r="A5469">
        <v>32650</v>
      </c>
      <c r="B5469" t="s">
        <v>7961</v>
      </c>
      <c r="C5469" t="e">
        <f>+proj=utm +zone=50 +datum=WGQ84 +units=m +no_defs</f>
        <v>#NAME?</v>
      </c>
    </row>
    <row r="5470" spans="1:3" x14ac:dyDescent="0.25">
      <c r="A5470">
        <v>32651</v>
      </c>
      <c r="B5470" t="s">
        <v>7962</v>
      </c>
      <c r="C5470" t="e">
        <f>+proj=utm +zone=51 +datum=WGQ84 +units=m +no_defs</f>
        <v>#NAME?</v>
      </c>
    </row>
    <row r="5471" spans="1:3" x14ac:dyDescent="0.25">
      <c r="A5471">
        <v>32652</v>
      </c>
      <c r="B5471" t="s">
        <v>7963</v>
      </c>
      <c r="C5471" t="e">
        <f>+proj=utm +zone=52 +datum=WGQ84 +units=m +no_defs</f>
        <v>#NAME?</v>
      </c>
    </row>
    <row r="5472" spans="1:3" x14ac:dyDescent="0.25">
      <c r="A5472">
        <v>32653</v>
      </c>
      <c r="B5472" t="s">
        <v>7964</v>
      </c>
      <c r="C5472" t="e">
        <f>+proj=utm +zone=53 +datum=WGQ84 +units=m +no_defs</f>
        <v>#NAME?</v>
      </c>
    </row>
    <row r="5473" spans="1:3" x14ac:dyDescent="0.25">
      <c r="A5473">
        <v>32654</v>
      </c>
      <c r="B5473" t="s">
        <v>7965</v>
      </c>
      <c r="C5473" t="e">
        <f>+proj=utm +zone=54 +datum=WGQ84 +units=m +no_defs</f>
        <v>#NAME?</v>
      </c>
    </row>
    <row r="5474" spans="1:3" x14ac:dyDescent="0.25">
      <c r="A5474">
        <v>32655</v>
      </c>
      <c r="B5474" t="s">
        <v>7966</v>
      </c>
      <c r="C5474" t="e">
        <f>+proj=utm +zone=55 +datum=WGQ84 +units=m +no_defs</f>
        <v>#NAME?</v>
      </c>
    </row>
    <row r="5475" spans="1:3" x14ac:dyDescent="0.25">
      <c r="A5475">
        <v>7662</v>
      </c>
      <c r="B5475" t="s">
        <v>7967</v>
      </c>
      <c r="C5475" t="e">
        <f>+proj=geocent +ellps=WGQ84 +units=m +no_defs</f>
        <v>#NAME?</v>
      </c>
    </row>
    <row r="5476" spans="1:3" x14ac:dyDescent="0.25">
      <c r="A5476">
        <v>32656</v>
      </c>
      <c r="B5476" t="s">
        <v>7968</v>
      </c>
      <c r="C5476" t="e">
        <f>+proj=utm +zone=56 +datum=WGQ84 +units=m +no_defs</f>
        <v>#NAME?</v>
      </c>
    </row>
    <row r="5477" spans="1:3" x14ac:dyDescent="0.25">
      <c r="A5477">
        <v>32657</v>
      </c>
      <c r="B5477" t="s">
        <v>7969</v>
      </c>
      <c r="C5477" t="e">
        <f>+proj=utm +zone=57 +datum=WGQ84 +units=m +no_defs</f>
        <v>#NAME?</v>
      </c>
    </row>
    <row r="5478" spans="1:3" x14ac:dyDescent="0.25">
      <c r="A5478">
        <v>32658</v>
      </c>
      <c r="B5478" t="s">
        <v>7970</v>
      </c>
      <c r="C5478" t="e">
        <f>+proj=utm +zone=58 +datum=WGQ84 +units=m +no_defs</f>
        <v>#NAME?</v>
      </c>
    </row>
    <row r="5479" spans="1:3" x14ac:dyDescent="0.25">
      <c r="A5479">
        <v>32659</v>
      </c>
      <c r="B5479" t="s">
        <v>7971</v>
      </c>
      <c r="C5479" t="e">
        <f>+proj=utm +zone=59 +datum=WGQ84 +units=m +no_defs</f>
        <v>#NAME?</v>
      </c>
    </row>
    <row r="5480" spans="1:3" x14ac:dyDescent="0.25">
      <c r="A5480">
        <v>32660</v>
      </c>
      <c r="B5480" t="s">
        <v>7972</v>
      </c>
      <c r="C5480" t="e">
        <f>+proj=utm +zone=60 +datum=WGQ84 +units=m +no_defs</f>
        <v>#NAME?</v>
      </c>
    </row>
    <row r="5481" spans="1:3" x14ac:dyDescent="0.25">
      <c r="A5481">
        <v>32661</v>
      </c>
      <c r="B5481" t="s">
        <v>7973</v>
      </c>
      <c r="C5481" t="e">
        <f>+proj=stere +lat_0=90 +lat_ts=90 +lon_0=0 +k=0.994 +x_0=2000000 +y_0=2000000 +datum=WGQ84 +units=m +no_defs</f>
        <v>#NAME?</v>
      </c>
    </row>
    <row r="5482" spans="1:3" x14ac:dyDescent="0.25">
      <c r="A5482">
        <v>32662</v>
      </c>
      <c r="B5482" t="s">
        <v>7974</v>
      </c>
      <c r="C5482" t="e">
        <f>+proj=eqc +lat_ts=0 +lat_0=0 +lon_0=0 +x_0=0 +y_0=0 +datum=WGQ84 +units=m +no_defs</f>
        <v>#NAME?</v>
      </c>
    </row>
    <row r="5483" spans="1:3" x14ac:dyDescent="0.25">
      <c r="A5483">
        <v>32663</v>
      </c>
      <c r="B5483" t="s">
        <v>7975</v>
      </c>
      <c r="C5483" t="e">
        <f>+proj=eqc +lat_ts=0 +lat_0=0 +lon_0=0 +x_0=0 +y_0=0 +datum=WGQ84 +units=m +no_defs</f>
        <v>#NAME?</v>
      </c>
    </row>
    <row r="5484" spans="1:3" x14ac:dyDescent="0.25">
      <c r="A5484">
        <v>32664</v>
      </c>
      <c r="B5484" t="s">
        <v>7976</v>
      </c>
      <c r="C5484" t="e">
        <f>+proj=tmerc +lat_0=0 +lon_0=-99 +k=0.9996 +x_0=500000.001016002 +y_0=0 +datum=WGQ84 +units=us-ft +no_defs</f>
        <v>#NAME?</v>
      </c>
    </row>
    <row r="5485" spans="1:3" x14ac:dyDescent="0.25">
      <c r="A5485">
        <v>32665</v>
      </c>
      <c r="B5485" t="s">
        <v>7977</v>
      </c>
      <c r="C5485" t="e">
        <f>+proj=tmerc +lat_0=0 +lon_0=-93 +k=0.9996 +x_0=500000.001016002 +y_0=0 +datum=WGQ84 +units=us-ft +no_defs</f>
        <v>#NAME?</v>
      </c>
    </row>
    <row r="5486" spans="1:3" x14ac:dyDescent="0.25">
      <c r="A5486">
        <v>32666</v>
      </c>
      <c r="B5486" t="s">
        <v>7978</v>
      </c>
      <c r="C5486" t="e">
        <f>+proj=tmerc +lat_0=0 +lon_0=-87 +k=0.9996 +x_0=500000.001016002 +y_0=0 +datum=WGQ84 +units=us-ft +no_defs</f>
        <v>#NAME?</v>
      </c>
    </row>
    <row r="5487" spans="1:3" x14ac:dyDescent="0.25">
      <c r="A5487">
        <v>32667</v>
      </c>
      <c r="B5487" t="s">
        <v>7979</v>
      </c>
      <c r="C5487" t="e">
        <f>+proj=tmerc +lat_0=0 +lon_0=-81 +k=0.9996 +x_0=500000.001016002 +y_0=0 +datum=WGQ84 +units=us-ft +no_defs</f>
        <v>#NAME?</v>
      </c>
    </row>
    <row r="5488" spans="1:3" x14ac:dyDescent="0.25">
      <c r="A5488">
        <v>32701</v>
      </c>
      <c r="B5488" t="s">
        <v>7980</v>
      </c>
      <c r="C5488" t="e">
        <f>+proj=utm +zone=1 +south +datum=WGQ84 +units=m +no_defs</f>
        <v>#NAME?</v>
      </c>
    </row>
    <row r="5489" spans="1:3" x14ac:dyDescent="0.25">
      <c r="A5489">
        <v>32702</v>
      </c>
      <c r="B5489" t="s">
        <v>7981</v>
      </c>
      <c r="C5489" t="e">
        <f>+proj=utm +zone=2 +south +datum=WGQ84 +units=m +no_defs</f>
        <v>#NAME?</v>
      </c>
    </row>
    <row r="5490" spans="1:3" x14ac:dyDescent="0.25">
      <c r="A5490">
        <v>32703</v>
      </c>
      <c r="B5490" t="s">
        <v>7982</v>
      </c>
      <c r="C5490" t="e">
        <f>+proj=utm +zone=3 +south +datum=WGQ84 +units=m +no_defs</f>
        <v>#NAME?</v>
      </c>
    </row>
    <row r="5491" spans="1:3" x14ac:dyDescent="0.25">
      <c r="A5491">
        <v>32704</v>
      </c>
      <c r="B5491" t="s">
        <v>7983</v>
      </c>
      <c r="C5491" t="e">
        <f>+proj=utm +zone=4 +south +datum=WGQ84 +units=m +no_defs</f>
        <v>#NAME?</v>
      </c>
    </row>
    <row r="5492" spans="1:3" x14ac:dyDescent="0.25">
      <c r="A5492">
        <v>32705</v>
      </c>
      <c r="B5492" t="s">
        <v>7984</v>
      </c>
      <c r="C5492" t="e">
        <f>+proj=utm +zone=5 +south +datum=WGQ84 +units=m +no_defs</f>
        <v>#NAME?</v>
      </c>
    </row>
    <row r="5493" spans="1:3" x14ac:dyDescent="0.25">
      <c r="A5493">
        <v>32706</v>
      </c>
      <c r="B5493" t="s">
        <v>7985</v>
      </c>
      <c r="C5493" t="e">
        <f>+proj=utm +zone=6 +south +datum=WGQ84 +units=m +no_defs</f>
        <v>#NAME?</v>
      </c>
    </row>
    <row r="5494" spans="1:3" x14ac:dyDescent="0.25">
      <c r="A5494">
        <v>32707</v>
      </c>
      <c r="B5494" t="s">
        <v>7986</v>
      </c>
      <c r="C5494" t="e">
        <f>+proj=utm +zone=7 +south +datum=WGQ84 +units=m +no_defs</f>
        <v>#NAME?</v>
      </c>
    </row>
    <row r="5495" spans="1:3" x14ac:dyDescent="0.25">
      <c r="A5495">
        <v>32708</v>
      </c>
      <c r="B5495" t="s">
        <v>7987</v>
      </c>
      <c r="C5495" t="e">
        <f>+proj=utm +zone=8 +south +datum=WGQ84 +units=m +no_defs</f>
        <v>#NAME?</v>
      </c>
    </row>
    <row r="5496" spans="1:3" x14ac:dyDescent="0.25">
      <c r="A5496">
        <v>32709</v>
      </c>
      <c r="B5496" t="s">
        <v>7988</v>
      </c>
      <c r="C5496" t="e">
        <f>+proj=utm +zone=9 +south +datum=WGQ84 +units=m +no_defs</f>
        <v>#NAME?</v>
      </c>
    </row>
    <row r="5497" spans="1:3" x14ac:dyDescent="0.25">
      <c r="A5497">
        <v>32710</v>
      </c>
      <c r="B5497" t="s">
        <v>7989</v>
      </c>
      <c r="C5497" t="e">
        <f>+proj=utm +zone=10 +south +datum=WGQ84 +units=m +no_defs</f>
        <v>#NAME?</v>
      </c>
    </row>
    <row r="5498" spans="1:3" x14ac:dyDescent="0.25">
      <c r="A5498">
        <v>32711</v>
      </c>
      <c r="B5498" t="s">
        <v>7990</v>
      </c>
      <c r="C5498" t="e">
        <f>+proj=utm +zone=11 +south +datum=WGQ84 +units=m +no_defs</f>
        <v>#NAME?</v>
      </c>
    </row>
    <row r="5499" spans="1:3" x14ac:dyDescent="0.25">
      <c r="A5499">
        <v>32712</v>
      </c>
      <c r="B5499" t="s">
        <v>7991</v>
      </c>
      <c r="C5499" t="e">
        <f>+proj=utm +zone=12 +south +datum=WGQ84 +units=m +no_defs</f>
        <v>#NAME?</v>
      </c>
    </row>
    <row r="5500" spans="1:3" x14ac:dyDescent="0.25">
      <c r="A5500">
        <v>32713</v>
      </c>
      <c r="B5500" t="s">
        <v>7992</v>
      </c>
      <c r="C5500" t="e">
        <f>+proj=utm +zone=13 +south +datum=WGQ84 +units=m +no_defs</f>
        <v>#NAME?</v>
      </c>
    </row>
    <row r="5501" spans="1:3" x14ac:dyDescent="0.25">
      <c r="A5501">
        <v>32714</v>
      </c>
      <c r="B5501" t="s">
        <v>7993</v>
      </c>
      <c r="C5501" t="e">
        <f>+proj=utm +zone=14 +south +datum=WGQ84 +units=m +no_defs</f>
        <v>#NAME?</v>
      </c>
    </row>
    <row r="5502" spans="1:3" x14ac:dyDescent="0.25">
      <c r="A5502">
        <v>32715</v>
      </c>
      <c r="B5502" t="s">
        <v>7994</v>
      </c>
      <c r="C5502" t="e">
        <f>+proj=utm +zone=15 +south +datum=WGQ84 +units=m +no_defs</f>
        <v>#NAME?</v>
      </c>
    </row>
    <row r="5503" spans="1:3" x14ac:dyDescent="0.25">
      <c r="A5503">
        <v>32716</v>
      </c>
      <c r="B5503" t="s">
        <v>7995</v>
      </c>
      <c r="C5503" t="e">
        <f>+proj=utm +zone=16 +south +datum=WGQ84 +units=m +no_defs</f>
        <v>#NAME?</v>
      </c>
    </row>
    <row r="5504" spans="1:3" x14ac:dyDescent="0.25">
      <c r="A5504">
        <v>32717</v>
      </c>
      <c r="B5504" t="s">
        <v>7996</v>
      </c>
      <c r="C5504" t="e">
        <f>+proj=utm +zone=17 +south +datum=WGQ84 +units=m +no_defs</f>
        <v>#NAME?</v>
      </c>
    </row>
    <row r="5505" spans="1:3" x14ac:dyDescent="0.25">
      <c r="A5505">
        <v>32718</v>
      </c>
      <c r="B5505" t="s">
        <v>7997</v>
      </c>
      <c r="C5505" t="e">
        <f>+proj=utm +zone=18 +south +datum=WGQ84 +units=m +no_defs</f>
        <v>#NAME?</v>
      </c>
    </row>
    <row r="5506" spans="1:3" x14ac:dyDescent="0.25">
      <c r="A5506">
        <v>32719</v>
      </c>
      <c r="B5506" t="s">
        <v>7998</v>
      </c>
      <c r="C5506" t="e">
        <f>+proj=utm +zone=19 +south +datum=WGQ84 +units=m +no_defs</f>
        <v>#NAME?</v>
      </c>
    </row>
    <row r="5507" spans="1:3" x14ac:dyDescent="0.25">
      <c r="A5507">
        <v>32720</v>
      </c>
      <c r="B5507" t="s">
        <v>7999</v>
      </c>
      <c r="C5507" t="e">
        <f>+proj=utm +zone=20 +south +datum=WGQ84 +units=m +no_defs</f>
        <v>#NAME?</v>
      </c>
    </row>
    <row r="5508" spans="1:3" x14ac:dyDescent="0.25">
      <c r="A5508">
        <v>32721</v>
      </c>
      <c r="B5508" t="s">
        <v>8000</v>
      </c>
      <c r="C5508" t="e">
        <f>+proj=utm +zone=21 +south +datum=WGQ84 +units=m +no_defs</f>
        <v>#NAME?</v>
      </c>
    </row>
    <row r="5509" spans="1:3" x14ac:dyDescent="0.25">
      <c r="A5509">
        <v>32722</v>
      </c>
      <c r="B5509" t="s">
        <v>8001</v>
      </c>
      <c r="C5509" t="e">
        <f>+proj=utm +zone=22 +south +datum=WGQ84 +units=m +no_defs</f>
        <v>#NAME?</v>
      </c>
    </row>
    <row r="5510" spans="1:3" x14ac:dyDescent="0.25">
      <c r="A5510">
        <v>32723</v>
      </c>
      <c r="B5510" t="s">
        <v>8002</v>
      </c>
      <c r="C5510" t="e">
        <f>+proj=utm +zone=23 +south +datum=WGQ84 +units=m +no_defs</f>
        <v>#NAME?</v>
      </c>
    </row>
    <row r="5511" spans="1:3" x14ac:dyDescent="0.25">
      <c r="A5511">
        <v>32724</v>
      </c>
      <c r="B5511" t="s">
        <v>8003</v>
      </c>
      <c r="C5511" t="e">
        <f>+proj=utm +zone=24 +south +datum=WGQ84 +units=m +no_defs</f>
        <v>#NAME?</v>
      </c>
    </row>
    <row r="5512" spans="1:3" x14ac:dyDescent="0.25">
      <c r="A5512">
        <v>32725</v>
      </c>
      <c r="B5512" t="s">
        <v>8004</v>
      </c>
      <c r="C5512" t="e">
        <f>+proj=utm +zone=25 +south +datum=WGQ84 +units=m +no_defs</f>
        <v>#NAME?</v>
      </c>
    </row>
    <row r="5513" spans="1:3" x14ac:dyDescent="0.25">
      <c r="A5513">
        <v>32726</v>
      </c>
      <c r="B5513" t="s">
        <v>8005</v>
      </c>
      <c r="C5513" t="e">
        <f>+proj=utm +zone=26 +south +datum=WGQ84 +units=m +no_defs</f>
        <v>#NAME?</v>
      </c>
    </row>
    <row r="5514" spans="1:3" x14ac:dyDescent="0.25">
      <c r="A5514">
        <v>32727</v>
      </c>
      <c r="B5514" t="s">
        <v>8006</v>
      </c>
      <c r="C5514" t="e">
        <f>+proj=utm +zone=27 +south +datum=WGQ84 +units=m +no_defs</f>
        <v>#NAME?</v>
      </c>
    </row>
    <row r="5515" spans="1:3" x14ac:dyDescent="0.25">
      <c r="A5515">
        <v>32728</v>
      </c>
      <c r="B5515" t="s">
        <v>8007</v>
      </c>
      <c r="C5515" t="e">
        <f>+proj=utm +zone=28 +south +datum=WGQ84 +units=m +no_defs</f>
        <v>#NAME?</v>
      </c>
    </row>
    <row r="5516" spans="1:3" x14ac:dyDescent="0.25">
      <c r="A5516">
        <v>32729</v>
      </c>
      <c r="B5516" t="s">
        <v>8008</v>
      </c>
      <c r="C5516" t="e">
        <f>+proj=utm +zone=29 +south +datum=WGQ84 +units=m +no_defs</f>
        <v>#NAME?</v>
      </c>
    </row>
    <row r="5517" spans="1:3" x14ac:dyDescent="0.25">
      <c r="A5517">
        <v>32730</v>
      </c>
      <c r="B5517" t="s">
        <v>8009</v>
      </c>
      <c r="C5517" t="e">
        <f>+proj=utm +zone=30 +south +datum=WGQ84 +units=m +no_defs</f>
        <v>#NAME?</v>
      </c>
    </row>
    <row r="5518" spans="1:3" x14ac:dyDescent="0.25">
      <c r="A5518">
        <v>32731</v>
      </c>
      <c r="B5518" t="s">
        <v>8010</v>
      </c>
      <c r="C5518" t="e">
        <f>+proj=utm +zone=31 +south +datum=WGQ84 +units=m +no_defs</f>
        <v>#NAME?</v>
      </c>
    </row>
    <row r="5519" spans="1:3" x14ac:dyDescent="0.25">
      <c r="A5519">
        <v>32732</v>
      </c>
      <c r="B5519" t="s">
        <v>8011</v>
      </c>
      <c r="C5519" t="e">
        <f>+proj=utm +zone=32 +south +datum=WGQ84 +units=m +no_defs</f>
        <v>#NAME?</v>
      </c>
    </row>
    <row r="5520" spans="1:3" x14ac:dyDescent="0.25">
      <c r="A5520">
        <v>32733</v>
      </c>
      <c r="B5520" t="s">
        <v>8012</v>
      </c>
      <c r="C5520" t="e">
        <f>+proj=utm +zone=33 +south +datum=WGQ84 +units=m +no_defs</f>
        <v>#NAME?</v>
      </c>
    </row>
    <row r="5521" spans="1:3" x14ac:dyDescent="0.25">
      <c r="A5521">
        <v>32734</v>
      </c>
      <c r="B5521" t="s">
        <v>8013</v>
      </c>
      <c r="C5521" t="e">
        <f>+proj=utm +zone=34 +south +datum=WGQ84 +units=m +no_defs</f>
        <v>#NAME?</v>
      </c>
    </row>
    <row r="5522" spans="1:3" x14ac:dyDescent="0.25">
      <c r="A5522">
        <v>32735</v>
      </c>
      <c r="B5522" t="s">
        <v>8014</v>
      </c>
      <c r="C5522" t="e">
        <f>+proj=utm +zone=35 +south +datum=WGQ84 +units=m +no_defs</f>
        <v>#NAME?</v>
      </c>
    </row>
    <row r="5523" spans="1:3" x14ac:dyDescent="0.25">
      <c r="A5523">
        <v>32736</v>
      </c>
      <c r="B5523" t="s">
        <v>8015</v>
      </c>
      <c r="C5523" t="e">
        <f>+proj=utm +zone=36 +south +datum=WGQ84 +units=m +no_defs</f>
        <v>#NAME?</v>
      </c>
    </row>
    <row r="5524" spans="1:3" x14ac:dyDescent="0.25">
      <c r="A5524">
        <v>32737</v>
      </c>
      <c r="B5524" t="s">
        <v>8016</v>
      </c>
      <c r="C5524" t="e">
        <f>+proj=utm +zone=37 +south +datum=WGQ84 +units=m +no_defs</f>
        <v>#NAME?</v>
      </c>
    </row>
    <row r="5525" spans="1:3" x14ac:dyDescent="0.25">
      <c r="A5525">
        <v>32738</v>
      </c>
      <c r="B5525" t="s">
        <v>8017</v>
      </c>
      <c r="C5525" t="e">
        <f>+proj=utm +zone=38 +south +datum=WGQ84 +units=m +no_defs</f>
        <v>#NAME?</v>
      </c>
    </row>
    <row r="5526" spans="1:3" x14ac:dyDescent="0.25">
      <c r="A5526">
        <v>32739</v>
      </c>
      <c r="B5526" t="s">
        <v>8018</v>
      </c>
      <c r="C5526" t="e">
        <f>+proj=utm +zone=39 +south +datum=WGQ84 +units=m +no_defs</f>
        <v>#NAME?</v>
      </c>
    </row>
    <row r="5527" spans="1:3" x14ac:dyDescent="0.25">
      <c r="A5527">
        <v>32740</v>
      </c>
      <c r="B5527" t="s">
        <v>8019</v>
      </c>
      <c r="C5527" t="e">
        <f>+proj=utm +zone=40 +south +datum=WGQ84 +units=m +no_defs</f>
        <v>#NAME?</v>
      </c>
    </row>
    <row r="5528" spans="1:3" x14ac:dyDescent="0.25">
      <c r="A5528">
        <v>32741</v>
      </c>
      <c r="B5528" t="s">
        <v>8020</v>
      </c>
      <c r="C5528" t="e">
        <f>+proj=utm +zone=41 +south +datum=WGQ84 +units=m +no_defs</f>
        <v>#NAME?</v>
      </c>
    </row>
    <row r="5529" spans="1:3" x14ac:dyDescent="0.25">
      <c r="A5529">
        <v>32742</v>
      </c>
      <c r="B5529" t="s">
        <v>8021</v>
      </c>
      <c r="C5529" t="e">
        <f>+proj=utm +zone=42 +south +datum=WGQ84 +units=m +no_defs</f>
        <v>#NAME?</v>
      </c>
    </row>
    <row r="5530" spans="1:3" x14ac:dyDescent="0.25">
      <c r="A5530">
        <v>32743</v>
      </c>
      <c r="B5530" t="s">
        <v>8022</v>
      </c>
      <c r="C5530" t="e">
        <f>+proj=utm +zone=43 +south +datum=WGQ84 +units=m +no_defs</f>
        <v>#NAME?</v>
      </c>
    </row>
    <row r="5531" spans="1:3" x14ac:dyDescent="0.25">
      <c r="A5531">
        <v>32744</v>
      </c>
      <c r="B5531" t="s">
        <v>8023</v>
      </c>
      <c r="C5531" t="e">
        <f>+proj=utm +zone=44 +south +datum=WGQ84 +units=m +no_defs</f>
        <v>#NAME?</v>
      </c>
    </row>
    <row r="5532" spans="1:3" x14ac:dyDescent="0.25">
      <c r="A5532">
        <v>32745</v>
      </c>
      <c r="B5532" t="s">
        <v>8024</v>
      </c>
      <c r="C5532" t="e">
        <f>+proj=utm +zone=45 +south +datum=WGQ84 +units=m +no_defs</f>
        <v>#NAME?</v>
      </c>
    </row>
    <row r="5533" spans="1:3" x14ac:dyDescent="0.25">
      <c r="A5533">
        <v>32746</v>
      </c>
      <c r="B5533" t="s">
        <v>8025</v>
      </c>
      <c r="C5533" t="e">
        <f>+proj=utm +zone=46 +south +datum=WGQ84 +units=m +no_defs</f>
        <v>#NAME?</v>
      </c>
    </row>
    <row r="5534" spans="1:3" x14ac:dyDescent="0.25">
      <c r="A5534">
        <v>32747</v>
      </c>
      <c r="B5534" t="s">
        <v>8026</v>
      </c>
      <c r="C5534" t="e">
        <f>+proj=utm +zone=47 +south +datum=WGQ84 +units=m +no_defs</f>
        <v>#NAME?</v>
      </c>
    </row>
    <row r="5535" spans="1:3" x14ac:dyDescent="0.25">
      <c r="A5535">
        <v>32748</v>
      </c>
      <c r="B5535" t="s">
        <v>8027</v>
      </c>
      <c r="C5535" t="e">
        <f>+proj=utm +zone=48 +south +datum=WGQ84 +units=m +no_defs</f>
        <v>#NAME?</v>
      </c>
    </row>
    <row r="5536" spans="1:3" x14ac:dyDescent="0.25">
      <c r="A5536">
        <v>32749</v>
      </c>
      <c r="B5536" t="s">
        <v>8028</v>
      </c>
      <c r="C5536" t="e">
        <f>+proj=utm +zone=49 +south +datum=WGQ84 +units=m +no_defs</f>
        <v>#NAME?</v>
      </c>
    </row>
    <row r="5537" spans="1:3" x14ac:dyDescent="0.25">
      <c r="A5537">
        <v>32750</v>
      </c>
      <c r="B5537" t="s">
        <v>8029</v>
      </c>
      <c r="C5537" t="e">
        <f>+proj=utm +zone=50 +south +datum=WGQ84 +units=m +no_defs</f>
        <v>#NAME?</v>
      </c>
    </row>
    <row r="5538" spans="1:3" x14ac:dyDescent="0.25">
      <c r="A5538">
        <v>32751</v>
      </c>
      <c r="B5538" t="s">
        <v>8030</v>
      </c>
      <c r="C5538" t="e">
        <f>+proj=utm +zone=51 +south +datum=WGQ84 +units=m +no_defs</f>
        <v>#NAME?</v>
      </c>
    </row>
    <row r="5539" spans="1:3" x14ac:dyDescent="0.25">
      <c r="A5539">
        <v>32752</v>
      </c>
      <c r="B5539" t="s">
        <v>8031</v>
      </c>
      <c r="C5539" t="e">
        <f>+proj=utm +zone=52 +south +datum=WGQ84 +units=m +no_defs</f>
        <v>#NAME?</v>
      </c>
    </row>
    <row r="5540" spans="1:3" x14ac:dyDescent="0.25">
      <c r="A5540">
        <v>32753</v>
      </c>
      <c r="B5540" t="s">
        <v>8032</v>
      </c>
      <c r="C5540" t="e">
        <f>+proj=utm +zone=53 +south +datum=WGQ84 +units=m +no_defs</f>
        <v>#NAME?</v>
      </c>
    </row>
    <row r="5541" spans="1:3" x14ac:dyDescent="0.25">
      <c r="A5541">
        <v>32754</v>
      </c>
      <c r="B5541" t="s">
        <v>8033</v>
      </c>
      <c r="C5541" t="e">
        <f>+proj=utm +zone=54 +south +datum=WGQ84 +units=m +no_defs</f>
        <v>#NAME?</v>
      </c>
    </row>
    <row r="5542" spans="1:3" x14ac:dyDescent="0.25">
      <c r="A5542">
        <v>32755</v>
      </c>
      <c r="B5542" t="s">
        <v>8034</v>
      </c>
      <c r="C5542" t="e">
        <f>+proj=utm +zone=55 +south +datum=WGQ84 +units=m +no_defs</f>
        <v>#NAME?</v>
      </c>
    </row>
    <row r="5543" spans="1:3" x14ac:dyDescent="0.25">
      <c r="A5543">
        <v>32756</v>
      </c>
      <c r="B5543" t="s">
        <v>8035</v>
      </c>
      <c r="C5543" t="e">
        <f>+proj=utm +zone=56 +south +datum=WGQ84 +units=m +no_defs</f>
        <v>#NAME?</v>
      </c>
    </row>
    <row r="5544" spans="1:3" x14ac:dyDescent="0.25">
      <c r="A5544">
        <v>32757</v>
      </c>
      <c r="B5544" t="s">
        <v>8036</v>
      </c>
      <c r="C5544" t="e">
        <f>+proj=utm +zone=57 +south +datum=WGQ84 +units=m +no_defs</f>
        <v>#NAME?</v>
      </c>
    </row>
    <row r="5545" spans="1:3" x14ac:dyDescent="0.25">
      <c r="A5545">
        <v>32758</v>
      </c>
      <c r="B5545" t="s">
        <v>8037</v>
      </c>
      <c r="C5545" t="e">
        <f>+proj=utm +zone=58 +south +datum=WGQ84 +units=m +no_defs</f>
        <v>#NAME?</v>
      </c>
    </row>
    <row r="5546" spans="1:3" x14ac:dyDescent="0.25">
      <c r="A5546">
        <v>32759</v>
      </c>
      <c r="B5546" t="s">
        <v>8038</v>
      </c>
      <c r="C5546" t="e">
        <f>+proj=utm +zone=59 +south +datum=WGQ84 +units=m +no_defs</f>
        <v>#NAME?</v>
      </c>
    </row>
    <row r="5547" spans="1:3" x14ac:dyDescent="0.25">
      <c r="A5547">
        <v>32760</v>
      </c>
      <c r="B5547" t="s">
        <v>8039</v>
      </c>
      <c r="C5547" t="e">
        <f>+proj=utm +zone=60 +south +datum=WGQ84 +units=m +no_defs</f>
        <v>#NAME?</v>
      </c>
    </row>
    <row r="5548" spans="1:3" x14ac:dyDescent="0.25">
      <c r="A5548">
        <v>32761</v>
      </c>
      <c r="B5548" t="s">
        <v>8040</v>
      </c>
      <c r="C5548" t="e">
        <f>+proj=stere +lat_0=-90 +lat_ts=-90 +lon_0=0 +k=0.994 +x_0=2000000 +y_0=2000000 +datum=WGQ84 +units=m +no_defs</f>
        <v>#NAME?</v>
      </c>
    </row>
    <row r="5549" spans="1:3" x14ac:dyDescent="0.25">
      <c r="A5549">
        <v>32766</v>
      </c>
      <c r="B5549" t="s">
        <v>8041</v>
      </c>
      <c r="C5549" t="e">
        <f>+proj=tmerc +lat_0=0 +lon_0=36 +k=0.9996 +x_0=500000 +y_0=10000000 +datum=WGQ84 +units=m +no_defs</f>
        <v>#NAME?</v>
      </c>
    </row>
    <row r="5550" spans="1:3" x14ac:dyDescent="0.25">
      <c r="A5550">
        <v>3822</v>
      </c>
      <c r="B5550" t="s">
        <v>8042</v>
      </c>
      <c r="C5550" t="e">
        <f>+proj=geocent +ellps=GRQ80 +units=m +no_defs</f>
        <v>#NAME?</v>
      </c>
    </row>
    <row r="5551" spans="1:3" x14ac:dyDescent="0.25">
      <c r="A5551">
        <v>3887</v>
      </c>
      <c r="B5551" t="s">
        <v>8043</v>
      </c>
      <c r="C5551" t="e">
        <f>+proj=geocent +ellps=GRQ80 +units=m +no_defs</f>
        <v>#NAME?</v>
      </c>
    </row>
    <row r="5552" spans="1:3" x14ac:dyDescent="0.25">
      <c r="A5552">
        <v>4000</v>
      </c>
      <c r="B5552" t="s">
        <v>8044</v>
      </c>
      <c r="C5552" t="e">
        <f>+proj=geocent +ellps=GRQ80 +units=m +no_defs</f>
        <v>#NAME?</v>
      </c>
    </row>
    <row r="5553" spans="1:3" x14ac:dyDescent="0.25">
      <c r="A5553">
        <v>4039</v>
      </c>
      <c r="B5553" t="s">
        <v>8045</v>
      </c>
      <c r="C5553" t="e">
        <f>+proj=geocent +ellps=GRQ80 +units=m +no_defs</f>
        <v>#NAME?</v>
      </c>
    </row>
    <row r="5554" spans="1:3" x14ac:dyDescent="0.25">
      <c r="A5554">
        <v>4073</v>
      </c>
      <c r="B5554" t="s">
        <v>8046</v>
      </c>
      <c r="C5554" t="e">
        <f>+proj=geocent +ellps=GRQ80 +units=m +no_defs</f>
        <v>#NAME?</v>
      </c>
    </row>
    <row r="5555" spans="1:3" x14ac:dyDescent="0.25">
      <c r="A5555">
        <v>6317</v>
      </c>
      <c r="B5555" t="s">
        <v>8047</v>
      </c>
      <c r="C5555" t="e">
        <f>+proj=geocent +ellps=GRQ80 +units=m +no_defs</f>
        <v>#NAME?</v>
      </c>
    </row>
    <row r="5556" spans="1:3" x14ac:dyDescent="0.25">
      <c r="A5556">
        <v>6320</v>
      </c>
      <c r="B5556" t="s">
        <v>8048</v>
      </c>
      <c r="C5556" t="e">
        <f>+proj=geocent +ellps=GRQ80 +units=m +no_defs</f>
        <v>#NAME?</v>
      </c>
    </row>
    <row r="5557" spans="1:3" x14ac:dyDescent="0.25">
      <c r="A5557">
        <v>6323</v>
      </c>
      <c r="B5557" t="s">
        <v>8049</v>
      </c>
      <c r="C5557" t="e">
        <f>+proj=geocent +ellps=GRQ80 +units=m +no_defs</f>
        <v>#NAME?</v>
      </c>
    </row>
    <row r="5558" spans="1:3" x14ac:dyDescent="0.25">
      <c r="A5558">
        <v>6363</v>
      </c>
      <c r="B5558" t="s">
        <v>8050</v>
      </c>
      <c r="C5558" t="e">
        <f>+proj=geocent +ellps=GRQ80 +units=m +no_defs</f>
        <v>#NAME?</v>
      </c>
    </row>
    <row r="5559" spans="1:3" x14ac:dyDescent="0.25">
      <c r="A5559">
        <v>6666</v>
      </c>
      <c r="B5559" t="s">
        <v>8051</v>
      </c>
      <c r="C5559" t="e">
        <f>+proj=geocent +ellps=GRQ80 +units=m +no_defs</f>
        <v>#NAME?</v>
      </c>
    </row>
    <row r="5560" spans="1:3" x14ac:dyDescent="0.25">
      <c r="A5560">
        <v>6704</v>
      </c>
      <c r="B5560" t="s">
        <v>8052</v>
      </c>
      <c r="C5560" t="e">
        <f>+proj=geocent +ellps=GRQ80 +units=m +no_defs</f>
        <v>#NAME?</v>
      </c>
    </row>
    <row r="5561" spans="1:3" x14ac:dyDescent="0.25">
      <c r="A5561">
        <v>6781</v>
      </c>
      <c r="B5561" t="s">
        <v>8053</v>
      </c>
      <c r="C5561" t="e">
        <f>+proj=geocent +ellps=GRQ80 +units=m +no_defs</f>
        <v>#NAME?</v>
      </c>
    </row>
    <row r="5562" spans="1:3" x14ac:dyDescent="0.25">
      <c r="A5562">
        <v>6934</v>
      </c>
      <c r="B5562" t="s">
        <v>8054</v>
      </c>
      <c r="C5562" t="e">
        <f>+proj=geocent +ellps=GRQ80 +units=m +no_defs</f>
        <v>#NAME?</v>
      </c>
    </row>
    <row r="5563" spans="1:3" x14ac:dyDescent="0.25">
      <c r="A5563">
        <v>6978</v>
      </c>
      <c r="B5563" t="s">
        <v>8055</v>
      </c>
      <c r="C5563" t="e">
        <f>+proj=geocent +ellps=GRQ80 +units=m +no_defs</f>
        <v>#NAME?</v>
      </c>
    </row>
    <row r="5564" spans="1:3" x14ac:dyDescent="0.25">
      <c r="A5564">
        <v>6981</v>
      </c>
      <c r="B5564" t="s">
        <v>8056</v>
      </c>
      <c r="C5564" t="e">
        <f>+proj=geocent +ellps=GRQ80 +units=m +no_defs</f>
        <v>#NAME?</v>
      </c>
    </row>
    <row r="5565" spans="1:3" x14ac:dyDescent="0.25">
      <c r="A5565">
        <v>6985</v>
      </c>
      <c r="B5565" t="s">
        <v>8057</v>
      </c>
      <c r="C5565" t="e">
        <f>+proj=geocent +ellps=GRQ80 +units=m +no_defs</f>
        <v>#NAME?</v>
      </c>
    </row>
    <row r="5566" spans="1:3" x14ac:dyDescent="0.25">
      <c r="A5566">
        <v>6988</v>
      </c>
      <c r="B5566" t="s">
        <v>8058</v>
      </c>
      <c r="C5566" t="e">
        <f>+proj=geocent +ellps=GRQ80 +units=m +no_defs</f>
        <v>#NAME?</v>
      </c>
    </row>
    <row r="5567" spans="1:3" x14ac:dyDescent="0.25">
      <c r="A5567">
        <v>7071</v>
      </c>
      <c r="B5567" t="s">
        <v>8059</v>
      </c>
      <c r="C5567" t="e">
        <f>+proj=geocent +ellps=GRQ80 +units=m +no_defs</f>
        <v>#NAME?</v>
      </c>
    </row>
    <row r="5568" spans="1:3" x14ac:dyDescent="0.25">
      <c r="A5568">
        <v>7134</v>
      </c>
      <c r="B5568" t="s">
        <v>8060</v>
      </c>
      <c r="C5568" t="e">
        <f>+proj=geocent +ellps=WGQ84 +units=m +no_defs</f>
        <v>#NAME?</v>
      </c>
    </row>
    <row r="5569" spans="1:3" x14ac:dyDescent="0.25">
      <c r="A5569">
        <v>7137</v>
      </c>
      <c r="B5569" t="s">
        <v>8061</v>
      </c>
      <c r="C5569" t="e">
        <f>+proj=geocent +ellps=WGQ84 +units=m +no_defs</f>
        <v>#NAME?</v>
      </c>
    </row>
    <row r="5570" spans="1:3" x14ac:dyDescent="0.25">
      <c r="A5570">
        <v>7371</v>
      </c>
      <c r="B5570" t="s">
        <v>8062</v>
      </c>
      <c r="C5570" t="e">
        <f>+proj=geocent +ellps=GRQ80 +units=m +no_defs</f>
        <v>#NAME?</v>
      </c>
    </row>
    <row r="5571" spans="1:3" x14ac:dyDescent="0.25">
      <c r="A5571">
        <v>7656</v>
      </c>
      <c r="B5571" t="s">
        <v>8063</v>
      </c>
      <c r="C5571" t="e">
        <f>+proj=geocent +ellps=WGQ84 +units=m +no_defs</f>
        <v>#NAME?</v>
      </c>
    </row>
    <row r="5572" spans="1:3" x14ac:dyDescent="0.25">
      <c r="A5572">
        <v>7658</v>
      </c>
      <c r="B5572" t="s">
        <v>8064</v>
      </c>
      <c r="C5572" t="e">
        <f>+proj=geocent +ellps=WGQ84 +units=m +no_defs</f>
        <v>#NAME?</v>
      </c>
    </row>
    <row r="5573" spans="1:3" x14ac:dyDescent="0.25">
      <c r="A5573">
        <v>7679</v>
      </c>
      <c r="B5573" t="s">
        <v>8065</v>
      </c>
      <c r="C5573" t="e">
        <f>+proj=geocent +a=6378136 +b=6356751.36174571 +units=m +no_defs</f>
        <v>#NAME?</v>
      </c>
    </row>
    <row r="5574" spans="1:3" x14ac:dyDescent="0.25">
      <c r="A5574">
        <v>7681</v>
      </c>
      <c r="B5574" t="s">
        <v>8066</v>
      </c>
      <c r="C5574" t="e">
        <f>+proj=geocent +a=6378136.5 +b=6356751.7579556 +units=m +no_defs</f>
        <v>#NAME?</v>
      </c>
    </row>
    <row r="5575" spans="1:3" x14ac:dyDescent="0.25">
      <c r="A5575">
        <v>7684</v>
      </c>
      <c r="B5575" t="s">
        <v>8067</v>
      </c>
      <c r="C5575" t="e">
        <f>+proj=geocent +ellps=GRQ80 +units=m +no_defs</f>
        <v>#NAME?</v>
      </c>
    </row>
    <row r="5576" spans="1:3" x14ac:dyDescent="0.25">
      <c r="A5576">
        <v>7789</v>
      </c>
      <c r="B5576" t="s">
        <v>8068</v>
      </c>
      <c r="C5576" t="e">
        <f>+proj=geocent +ellps=GRQ80 +units=m +no_defs</f>
        <v>#NAME?</v>
      </c>
    </row>
    <row r="5577" spans="1:3" x14ac:dyDescent="0.25">
      <c r="A5577">
        <v>7796</v>
      </c>
      <c r="B5577" t="s">
        <v>8069</v>
      </c>
      <c r="C5577" t="e">
        <f>+proj=geocent +ellps=GRQ80 +units=m +no_defs</f>
        <v>#NAME?</v>
      </c>
    </row>
    <row r="5578" spans="1:3" x14ac:dyDescent="0.25">
      <c r="A5578">
        <v>7815</v>
      </c>
      <c r="B5578" t="s">
        <v>8070</v>
      </c>
      <c r="C5578" t="e">
        <f>+proj=geocent +ellps=WGQ84 +units=m +no_defs</f>
        <v>#NAME?</v>
      </c>
    </row>
    <row r="5579" spans="1:3" x14ac:dyDescent="0.25">
      <c r="A5579">
        <v>7842</v>
      </c>
      <c r="B5579" t="s">
        <v>8071</v>
      </c>
      <c r="C5579" t="e">
        <f>+proj=geocent +ellps=GRQ80 +units=m +no_defs</f>
        <v>#NAME?</v>
      </c>
    </row>
    <row r="5580" spans="1:3" x14ac:dyDescent="0.25">
      <c r="A5580">
        <v>7879</v>
      </c>
      <c r="B5580" t="s">
        <v>8072</v>
      </c>
      <c r="C5580" t="e">
        <f>+proj=geocent +ellps=WGQ84 +units=m +no_defs</f>
        <v>#NAME?</v>
      </c>
    </row>
    <row r="5581" spans="1:3" x14ac:dyDescent="0.25">
      <c r="A5581">
        <v>7884</v>
      </c>
      <c r="B5581" t="s">
        <v>8073</v>
      </c>
      <c r="C5581" t="e">
        <f>+proj=geocent +ellps=GRQ80 +units=m +no_defs</f>
        <v>#NAME?</v>
      </c>
    </row>
    <row r="5582" spans="1:3" x14ac:dyDescent="0.25">
      <c r="A5582">
        <v>7914</v>
      </c>
      <c r="B5582" t="s">
        <v>8074</v>
      </c>
      <c r="C5582" t="e">
        <f>+proj=geocent +ellps=GRQ80 +units=m +no_defs</f>
        <v>#NAME?</v>
      </c>
    </row>
    <row r="5583" spans="1:3" x14ac:dyDescent="0.25">
      <c r="A5583">
        <v>7916</v>
      </c>
      <c r="B5583" t="s">
        <v>8075</v>
      </c>
      <c r="C5583" t="e">
        <f>+proj=geocent +ellps=GRQ80 +units=m +no_defs</f>
        <v>#NAME?</v>
      </c>
    </row>
    <row r="5584" spans="1:3" x14ac:dyDescent="0.25">
      <c r="A5584">
        <v>7918</v>
      </c>
      <c r="B5584" t="s">
        <v>8076</v>
      </c>
      <c r="C5584" t="e">
        <f>+proj=geocent +ellps=GRQ80 +units=m +no_defs</f>
        <v>#NAME?</v>
      </c>
    </row>
    <row r="5585" spans="1:3" x14ac:dyDescent="0.25">
      <c r="A5585">
        <v>7920</v>
      </c>
      <c r="B5585" t="s">
        <v>8077</v>
      </c>
      <c r="C5585" t="e">
        <f>+proj=geocent +ellps=GRQ80 +units=m +no_defs</f>
        <v>#NAME?</v>
      </c>
    </row>
    <row r="5586" spans="1:3" x14ac:dyDescent="0.25">
      <c r="A5586">
        <v>7922</v>
      </c>
      <c r="B5586" t="s">
        <v>8078</v>
      </c>
      <c r="C5586" t="e">
        <f>+proj=geocent +ellps=GRQ80 +units=m +no_defs</f>
        <v>#NAME?</v>
      </c>
    </row>
    <row r="5587" spans="1:3" x14ac:dyDescent="0.25">
      <c r="A5587">
        <v>7924</v>
      </c>
      <c r="B5587" t="s">
        <v>8079</v>
      </c>
      <c r="C5587" t="e">
        <f>+proj=geocent +ellps=GRQ80 +units=m +no_defs</f>
        <v>#NAME?</v>
      </c>
    </row>
    <row r="5588" spans="1:3" x14ac:dyDescent="0.25">
      <c r="A5588">
        <v>7926</v>
      </c>
      <c r="B5588" t="s">
        <v>8080</v>
      </c>
      <c r="C5588" t="e">
        <f>+proj=geocent +ellps=GRQ80 +units=m +no_defs</f>
        <v>#NAME?</v>
      </c>
    </row>
    <row r="5589" spans="1:3" x14ac:dyDescent="0.25">
      <c r="A5589">
        <v>7928</v>
      </c>
      <c r="B5589" t="s">
        <v>8081</v>
      </c>
      <c r="C5589" t="e">
        <f>+proj=geocent +ellps=GRQ80 +units=m +no_defs</f>
        <v>#NAME?</v>
      </c>
    </row>
    <row r="5590" spans="1:3" x14ac:dyDescent="0.25">
      <c r="A5590">
        <v>7930</v>
      </c>
      <c r="B5590" t="s">
        <v>8082</v>
      </c>
      <c r="C5590" t="e">
        <f>+proj=geocent +ellps=GRQ80 +units=m +no_defs</f>
        <v>#NAME?</v>
      </c>
    </row>
    <row r="5591" spans="1:3" x14ac:dyDescent="0.25">
      <c r="A5591">
        <v>8084</v>
      </c>
      <c r="B5591" t="s">
        <v>8083</v>
      </c>
      <c r="C5591" t="e">
        <f>+proj=geocent +ellps=GRQ80 +units=m +no_defs</f>
        <v>#NAME?</v>
      </c>
    </row>
    <row r="5592" spans="1:3" x14ac:dyDescent="0.25">
      <c r="A5592">
        <v>8227</v>
      </c>
      <c r="B5592" t="s">
        <v>8084</v>
      </c>
      <c r="C5592" t="e">
        <f>+proj=geocent +ellps=GRQ80 +units=m +no_defs</f>
        <v>#NAME?</v>
      </c>
    </row>
    <row r="5593" spans="1:3" x14ac:dyDescent="0.25">
      <c r="A5593">
        <v>8230</v>
      </c>
      <c r="B5593" t="s">
        <v>8085</v>
      </c>
      <c r="C5593" t="e">
        <f>+proj=geocent +ellps=GRQ80 +units=m +no_defs</f>
        <v>#NAME?</v>
      </c>
    </row>
    <row r="5594" spans="1:3" x14ac:dyDescent="0.25">
      <c r="A5594">
        <v>8233</v>
      </c>
      <c r="B5594" t="s">
        <v>8086</v>
      </c>
      <c r="C5594" t="e">
        <f>+proj=geocent +ellps=GRQ80 +units=m +no_defs</f>
        <v>#NAME?</v>
      </c>
    </row>
    <row r="5595" spans="1:3" x14ac:dyDescent="0.25">
      <c r="A5595">
        <v>8238</v>
      </c>
      <c r="B5595" t="s">
        <v>8087</v>
      </c>
      <c r="C5595" t="e">
        <f>+proj=geocent +ellps=GRQ80 +units=m +no_defs</f>
        <v>#NAME?</v>
      </c>
    </row>
    <row r="5596" spans="1:3" x14ac:dyDescent="0.25">
      <c r="A5596">
        <v>8242</v>
      </c>
      <c r="B5596" t="s">
        <v>8088</v>
      </c>
      <c r="C5596" t="e">
        <f>+proj=geocent +ellps=GRQ80 +units=m +no_defs</f>
        <v>#NAME?</v>
      </c>
    </row>
    <row r="5597" spans="1:3" x14ac:dyDescent="0.25">
      <c r="A5597">
        <v>8247</v>
      </c>
      <c r="B5597" t="s">
        <v>8089</v>
      </c>
      <c r="C5597" t="e">
        <f>+proj=geocent +ellps=GRQ80 +units=m +no_defs</f>
        <v>#NAME?</v>
      </c>
    </row>
    <row r="5598" spans="1:3" x14ac:dyDescent="0.25">
      <c r="A5598">
        <v>8250</v>
      </c>
      <c r="B5598" t="s">
        <v>8090</v>
      </c>
      <c r="C5598" t="e">
        <f>+proj=geocent +ellps=GRQ80 +units=m +no_defs</f>
        <v>#NAME?</v>
      </c>
    </row>
    <row r="5599" spans="1:3" x14ac:dyDescent="0.25">
      <c r="A5599">
        <v>8253</v>
      </c>
      <c r="B5599" t="s">
        <v>8091</v>
      </c>
      <c r="C5599" t="e">
        <f>+proj=geocent +ellps=GRQ80 +units=m +no_defs</f>
        <v>#NAME?</v>
      </c>
    </row>
    <row r="5600" spans="1:3" x14ac:dyDescent="0.25">
      <c r="A5600">
        <v>3901</v>
      </c>
      <c r="B5600" t="s">
        <v>8092</v>
      </c>
      <c r="C5600" t="s">
        <v>8093</v>
      </c>
    </row>
    <row r="5601" spans="1:3" x14ac:dyDescent="0.25">
      <c r="A5601">
        <v>3902</v>
      </c>
      <c r="B5601" t="s">
        <v>8094</v>
      </c>
      <c r="C5601" t="s">
        <v>8095</v>
      </c>
    </row>
    <row r="5602" spans="1:3" x14ac:dyDescent="0.25">
      <c r="A5602">
        <v>3903</v>
      </c>
      <c r="B5602" t="s">
        <v>8096</v>
      </c>
      <c r="C5602" t="s">
        <v>8095</v>
      </c>
    </row>
    <row r="5603" spans="1:3" x14ac:dyDescent="0.25">
      <c r="A5603">
        <v>5500</v>
      </c>
      <c r="B5603" t="s">
        <v>8097</v>
      </c>
      <c r="C5603" t="s">
        <v>8098</v>
      </c>
    </row>
    <row r="5604" spans="1:3" x14ac:dyDescent="0.25">
      <c r="A5604">
        <v>4097</v>
      </c>
      <c r="B5604" t="s">
        <v>8099</v>
      </c>
      <c r="C5604" t="s">
        <v>8100</v>
      </c>
    </row>
    <row r="5605" spans="1:3" x14ac:dyDescent="0.25">
      <c r="A5605">
        <v>4098</v>
      </c>
      <c r="B5605" t="s">
        <v>8101</v>
      </c>
      <c r="C5605" t="s">
        <v>8102</v>
      </c>
    </row>
    <row r="5606" spans="1:3" x14ac:dyDescent="0.25">
      <c r="A5606">
        <v>4099</v>
      </c>
      <c r="B5606" t="s">
        <v>8103</v>
      </c>
      <c r="C5606" t="s">
        <v>8104</v>
      </c>
    </row>
    <row r="5607" spans="1:3" x14ac:dyDescent="0.25">
      <c r="A5607">
        <v>4100</v>
      </c>
      <c r="B5607" t="s">
        <v>8105</v>
      </c>
      <c r="C5607" t="s">
        <v>8106</v>
      </c>
    </row>
    <row r="5608" spans="1:3" x14ac:dyDescent="0.25">
      <c r="A5608">
        <v>5318</v>
      </c>
      <c r="B5608" t="s">
        <v>8107</v>
      </c>
      <c r="C5608" t="s">
        <v>8108</v>
      </c>
    </row>
    <row r="5609" spans="1:3" x14ac:dyDescent="0.25">
      <c r="A5609">
        <v>5498</v>
      </c>
      <c r="B5609" t="s">
        <v>8109</v>
      </c>
      <c r="C5609" t="e">
        <f>+proj=longlat +datum=NAB83 +geoidgrids=g2012a_conus.gtx,g2012a_alaska.gtx,g2012a_guam.gtx,g2012a_hawaii.gtx,g2012a_puertorico.gtx,g2012a_samoa.gtx +vunits=m +no_defs</f>
        <v>#NAME?</v>
      </c>
    </row>
    <row r="5610" spans="1:3" x14ac:dyDescent="0.25">
      <c r="A5610">
        <v>5499</v>
      </c>
      <c r="B5610" t="s">
        <v>8110</v>
      </c>
      <c r="C5610" t="s">
        <v>8098</v>
      </c>
    </row>
    <row r="5611" spans="1:3" x14ac:dyDescent="0.25">
      <c r="A5611">
        <v>5554</v>
      </c>
      <c r="B5611" t="s">
        <v>8111</v>
      </c>
      <c r="C5611" t="s">
        <v>8112</v>
      </c>
    </row>
    <row r="5612" spans="1:3" x14ac:dyDescent="0.25">
      <c r="A5612">
        <v>5555</v>
      </c>
      <c r="B5612" t="s">
        <v>8113</v>
      </c>
      <c r="C5612" t="s">
        <v>8114</v>
      </c>
    </row>
    <row r="5613" spans="1:3" x14ac:dyDescent="0.25">
      <c r="A5613">
        <v>5556</v>
      </c>
      <c r="B5613" t="s">
        <v>8115</v>
      </c>
      <c r="C5613" t="s">
        <v>8116</v>
      </c>
    </row>
    <row r="5614" spans="1:3" x14ac:dyDescent="0.25">
      <c r="A5614">
        <v>5598</v>
      </c>
      <c r="B5614" t="s">
        <v>8117</v>
      </c>
      <c r="C5614" t="s">
        <v>8118</v>
      </c>
    </row>
    <row r="5615" spans="1:3" x14ac:dyDescent="0.25">
      <c r="A5615">
        <v>5628</v>
      </c>
      <c r="B5615" t="s">
        <v>8119</v>
      </c>
      <c r="C5615" t="s">
        <v>8120</v>
      </c>
    </row>
    <row r="5616" spans="1:3" x14ac:dyDescent="0.25">
      <c r="A5616">
        <v>5698</v>
      </c>
      <c r="B5616" t="s">
        <v>8121</v>
      </c>
      <c r="C5616" t="s">
        <v>8122</v>
      </c>
    </row>
    <row r="5617" spans="1:3" x14ac:dyDescent="0.25">
      <c r="A5617">
        <v>5699</v>
      </c>
      <c r="B5617" t="s">
        <v>8123</v>
      </c>
      <c r="C5617" t="s">
        <v>8122</v>
      </c>
    </row>
    <row r="5618" spans="1:3" x14ac:dyDescent="0.25">
      <c r="A5618">
        <v>5846</v>
      </c>
      <c r="B5618" t="s">
        <v>8124</v>
      </c>
      <c r="C5618" t="s">
        <v>8125</v>
      </c>
    </row>
    <row r="5619" spans="1:3" x14ac:dyDescent="0.25">
      <c r="A5619">
        <v>5707</v>
      </c>
      <c r="B5619" t="s">
        <v>8126</v>
      </c>
      <c r="C5619" t="s">
        <v>8127</v>
      </c>
    </row>
    <row r="5620" spans="1:3" x14ac:dyDescent="0.25">
      <c r="A5620">
        <v>5708</v>
      </c>
      <c r="B5620" t="s">
        <v>8128</v>
      </c>
      <c r="C5620" t="s">
        <v>8129</v>
      </c>
    </row>
    <row r="5621" spans="1:3" x14ac:dyDescent="0.25">
      <c r="A5621">
        <v>5832</v>
      </c>
      <c r="B5621" t="s">
        <v>8130</v>
      </c>
      <c r="C5621" t="e">
        <f>+proj=tmerc +lat_0=0 +lon_0=6 +k=1 +x_0=2500000 +y_0=0 +ellps=bessel +units=m +vunits=m +no_defs</f>
        <v>#NAME?</v>
      </c>
    </row>
    <row r="5622" spans="1:3" x14ac:dyDescent="0.25">
      <c r="A5622">
        <v>5833</v>
      </c>
      <c r="B5622" t="s">
        <v>8131</v>
      </c>
      <c r="C5622" t="e">
        <f>+proj=tmerc +lat_0=0 +lon_0=9 +k=1 +x_0=3500000 +y_0=0 +ellps=bessel +units=m +vunits=m +no_defs</f>
        <v>#NAME?</v>
      </c>
    </row>
    <row r="5623" spans="1:3" x14ac:dyDescent="0.25">
      <c r="A5623">
        <v>5834</v>
      </c>
      <c r="B5623" t="s">
        <v>8132</v>
      </c>
      <c r="C5623" t="e">
        <f>+proj=tmerc +lat_0=0 +lon_0=12 +k=1 +x_0=4500000 +y_0=0 +ellps=bessel +units=m +vunits=m +no_defs</f>
        <v>#NAME?</v>
      </c>
    </row>
    <row r="5624" spans="1:3" x14ac:dyDescent="0.25">
      <c r="A5624">
        <v>5835</v>
      </c>
      <c r="B5624" t="s">
        <v>8133</v>
      </c>
      <c r="C5624" t="e">
        <f>+proj=tmerc +lat_0=0 +lon_0=15 +k=1 +x_0=5500000 +y_0=0 +ellps=bessel +units=m +vunits=m +no_defs</f>
        <v>#NAME?</v>
      </c>
    </row>
    <row r="5625" spans="1:3" x14ac:dyDescent="0.25">
      <c r="A5625">
        <v>5845</v>
      </c>
      <c r="B5625" t="s">
        <v>8134</v>
      </c>
      <c r="C5625" t="s">
        <v>8116</v>
      </c>
    </row>
    <row r="5626" spans="1:3" x14ac:dyDescent="0.25">
      <c r="A5626">
        <v>5847</v>
      </c>
      <c r="B5626" t="s">
        <v>8135</v>
      </c>
      <c r="C5626" t="s">
        <v>8136</v>
      </c>
    </row>
    <row r="5627" spans="1:3" x14ac:dyDescent="0.25">
      <c r="A5627">
        <v>5848</v>
      </c>
      <c r="B5627" t="s">
        <v>8137</v>
      </c>
      <c r="C5627" t="s">
        <v>8138</v>
      </c>
    </row>
    <row r="5628" spans="1:3" x14ac:dyDescent="0.25">
      <c r="A5628">
        <v>5849</v>
      </c>
      <c r="B5628" t="s">
        <v>8139</v>
      </c>
      <c r="C5628" t="s">
        <v>8140</v>
      </c>
    </row>
    <row r="5629" spans="1:3" x14ac:dyDescent="0.25">
      <c r="A5629">
        <v>5850</v>
      </c>
      <c r="B5629" t="s">
        <v>8141</v>
      </c>
      <c r="C5629" t="s">
        <v>8142</v>
      </c>
    </row>
    <row r="5630" spans="1:3" x14ac:dyDescent="0.25">
      <c r="A5630">
        <v>5851</v>
      </c>
      <c r="B5630" t="s">
        <v>8143</v>
      </c>
      <c r="C5630" t="s">
        <v>8144</v>
      </c>
    </row>
    <row r="5631" spans="1:3" x14ac:dyDescent="0.25">
      <c r="A5631">
        <v>5852</v>
      </c>
      <c r="B5631" t="s">
        <v>8145</v>
      </c>
      <c r="C5631" t="s">
        <v>8146</v>
      </c>
    </row>
    <row r="5632" spans="1:3" x14ac:dyDescent="0.25">
      <c r="A5632">
        <v>5853</v>
      </c>
      <c r="B5632" t="s">
        <v>8147</v>
      </c>
      <c r="C5632" t="s">
        <v>8148</v>
      </c>
    </row>
    <row r="5633" spans="1:3" x14ac:dyDescent="0.25">
      <c r="A5633">
        <v>5854</v>
      </c>
      <c r="B5633" t="s">
        <v>8149</v>
      </c>
      <c r="C5633" t="s">
        <v>8150</v>
      </c>
    </row>
    <row r="5634" spans="1:3" x14ac:dyDescent="0.25">
      <c r="A5634">
        <v>5855</v>
      </c>
      <c r="B5634" t="s">
        <v>8151</v>
      </c>
      <c r="C5634" t="s">
        <v>8152</v>
      </c>
    </row>
    <row r="5635" spans="1:3" x14ac:dyDescent="0.25">
      <c r="A5635">
        <v>5856</v>
      </c>
      <c r="B5635" t="s">
        <v>8153</v>
      </c>
      <c r="C5635" t="s">
        <v>8154</v>
      </c>
    </row>
    <row r="5636" spans="1:3" x14ac:dyDescent="0.25">
      <c r="A5636">
        <v>5857</v>
      </c>
      <c r="B5636" t="s">
        <v>8155</v>
      </c>
      <c r="C5636" t="s">
        <v>8156</v>
      </c>
    </row>
    <row r="5637" spans="1:3" x14ac:dyDescent="0.25">
      <c r="A5637">
        <v>5942</v>
      </c>
      <c r="B5637" t="s">
        <v>8157</v>
      </c>
      <c r="C5637" t="s">
        <v>8120</v>
      </c>
    </row>
    <row r="5638" spans="1:3" x14ac:dyDescent="0.25">
      <c r="A5638">
        <v>5945</v>
      </c>
      <c r="B5638" t="s">
        <v>8158</v>
      </c>
      <c r="C5638" t="s">
        <v>8159</v>
      </c>
    </row>
    <row r="5639" spans="1:3" x14ac:dyDescent="0.25">
      <c r="A5639">
        <v>5946</v>
      </c>
      <c r="B5639" t="s">
        <v>8160</v>
      </c>
      <c r="C5639" t="s">
        <v>8161</v>
      </c>
    </row>
    <row r="5640" spans="1:3" x14ac:dyDescent="0.25">
      <c r="A5640">
        <v>5947</v>
      </c>
      <c r="B5640" t="s">
        <v>8162</v>
      </c>
      <c r="C5640" t="s">
        <v>8163</v>
      </c>
    </row>
    <row r="5641" spans="1:3" x14ac:dyDescent="0.25">
      <c r="A5641">
        <v>5948</v>
      </c>
      <c r="B5641" t="s">
        <v>8164</v>
      </c>
      <c r="C5641" t="s">
        <v>8165</v>
      </c>
    </row>
    <row r="5642" spans="1:3" x14ac:dyDescent="0.25">
      <c r="A5642">
        <v>5949</v>
      </c>
      <c r="B5642" t="s">
        <v>8166</v>
      </c>
      <c r="C5642" t="s">
        <v>8167</v>
      </c>
    </row>
    <row r="5643" spans="1:3" x14ac:dyDescent="0.25">
      <c r="A5643">
        <v>5950</v>
      </c>
      <c r="B5643" t="s">
        <v>8168</v>
      </c>
      <c r="C5643" t="s">
        <v>8169</v>
      </c>
    </row>
    <row r="5644" spans="1:3" x14ac:dyDescent="0.25">
      <c r="A5644">
        <v>5951</v>
      </c>
      <c r="B5644" t="s">
        <v>8170</v>
      </c>
      <c r="C5644" t="s">
        <v>8171</v>
      </c>
    </row>
    <row r="5645" spans="1:3" x14ac:dyDescent="0.25">
      <c r="A5645">
        <v>5952</v>
      </c>
      <c r="B5645" t="s">
        <v>8172</v>
      </c>
      <c r="C5645" t="s">
        <v>8173</v>
      </c>
    </row>
    <row r="5646" spans="1:3" x14ac:dyDescent="0.25">
      <c r="A5646">
        <v>5953</v>
      </c>
      <c r="B5646" t="s">
        <v>8174</v>
      </c>
      <c r="C5646" t="s">
        <v>8175</v>
      </c>
    </row>
    <row r="5647" spans="1:3" x14ac:dyDescent="0.25">
      <c r="A5647">
        <v>5954</v>
      </c>
      <c r="B5647" t="s">
        <v>8176</v>
      </c>
      <c r="C5647" t="s">
        <v>8177</v>
      </c>
    </row>
    <row r="5648" spans="1:3" x14ac:dyDescent="0.25">
      <c r="A5648">
        <v>5955</v>
      </c>
      <c r="B5648" t="s">
        <v>8178</v>
      </c>
      <c r="C5648" t="s">
        <v>8179</v>
      </c>
    </row>
    <row r="5649" spans="1:3" x14ac:dyDescent="0.25">
      <c r="A5649">
        <v>7409</v>
      </c>
      <c r="B5649" t="s">
        <v>8180</v>
      </c>
      <c r="C5649" t="s">
        <v>8120</v>
      </c>
    </row>
    <row r="5650" spans="1:3" x14ac:dyDescent="0.25">
      <c r="A5650">
        <v>5956</v>
      </c>
      <c r="B5650" t="s">
        <v>8181</v>
      </c>
      <c r="C5650" t="s">
        <v>8182</v>
      </c>
    </row>
    <row r="5651" spans="1:3" x14ac:dyDescent="0.25">
      <c r="A5651">
        <v>5957</v>
      </c>
      <c r="B5651" t="s">
        <v>8183</v>
      </c>
      <c r="C5651" t="s">
        <v>8184</v>
      </c>
    </row>
    <row r="5652" spans="1:3" x14ac:dyDescent="0.25">
      <c r="A5652">
        <v>5958</v>
      </c>
      <c r="B5652" t="s">
        <v>8185</v>
      </c>
      <c r="C5652" t="s">
        <v>8186</v>
      </c>
    </row>
    <row r="5653" spans="1:3" x14ac:dyDescent="0.25">
      <c r="A5653">
        <v>5959</v>
      </c>
      <c r="B5653" t="s">
        <v>8187</v>
      </c>
      <c r="C5653" t="s">
        <v>8188</v>
      </c>
    </row>
    <row r="5654" spans="1:3" x14ac:dyDescent="0.25">
      <c r="A5654">
        <v>5960</v>
      </c>
      <c r="B5654" t="s">
        <v>8189</v>
      </c>
      <c r="C5654" t="s">
        <v>8190</v>
      </c>
    </row>
    <row r="5655" spans="1:3" x14ac:dyDescent="0.25">
      <c r="A5655">
        <v>5961</v>
      </c>
      <c r="B5655" t="s">
        <v>8191</v>
      </c>
      <c r="C5655" t="s">
        <v>8192</v>
      </c>
    </row>
    <row r="5656" spans="1:3" x14ac:dyDescent="0.25">
      <c r="A5656">
        <v>5962</v>
      </c>
      <c r="B5656" t="s">
        <v>8193</v>
      </c>
      <c r="C5656" t="s">
        <v>8194</v>
      </c>
    </row>
    <row r="5657" spans="1:3" x14ac:dyDescent="0.25">
      <c r="A5657">
        <v>7410</v>
      </c>
      <c r="B5657" t="s">
        <v>8195</v>
      </c>
      <c r="C5657" t="s">
        <v>8196</v>
      </c>
    </row>
    <row r="5658" spans="1:3" x14ac:dyDescent="0.25">
      <c r="A5658">
        <v>5963</v>
      </c>
      <c r="B5658" t="s">
        <v>8197</v>
      </c>
      <c r="C5658" t="s">
        <v>8198</v>
      </c>
    </row>
    <row r="5659" spans="1:3" x14ac:dyDescent="0.25">
      <c r="A5659">
        <v>5964</v>
      </c>
      <c r="B5659" t="s">
        <v>8199</v>
      </c>
      <c r="C5659" t="s">
        <v>8200</v>
      </c>
    </row>
    <row r="5660" spans="1:3" x14ac:dyDescent="0.25">
      <c r="A5660">
        <v>5965</v>
      </c>
      <c r="B5660" t="s">
        <v>8201</v>
      </c>
      <c r="C5660" t="s">
        <v>8202</v>
      </c>
    </row>
    <row r="5661" spans="1:3" x14ac:dyDescent="0.25">
      <c r="A5661">
        <v>5966</v>
      </c>
      <c r="B5661" t="s">
        <v>8203</v>
      </c>
      <c r="C5661" t="s">
        <v>8204</v>
      </c>
    </row>
    <row r="5662" spans="1:3" x14ac:dyDescent="0.25">
      <c r="A5662">
        <v>5967</v>
      </c>
      <c r="B5662" t="s">
        <v>8205</v>
      </c>
      <c r="C5662" t="s">
        <v>8206</v>
      </c>
    </row>
    <row r="5663" spans="1:3" x14ac:dyDescent="0.25">
      <c r="A5663">
        <v>5968</v>
      </c>
      <c r="B5663" t="s">
        <v>8207</v>
      </c>
      <c r="C5663" t="s">
        <v>8208</v>
      </c>
    </row>
    <row r="5664" spans="1:3" x14ac:dyDescent="0.25">
      <c r="A5664">
        <v>5969</v>
      </c>
      <c r="B5664" t="s">
        <v>8209</v>
      </c>
      <c r="C5664" t="s">
        <v>8210</v>
      </c>
    </row>
    <row r="5665" spans="1:3" x14ac:dyDescent="0.25">
      <c r="A5665">
        <v>5970</v>
      </c>
      <c r="B5665" t="s">
        <v>8211</v>
      </c>
      <c r="C5665" t="s">
        <v>8212</v>
      </c>
    </row>
    <row r="5666" spans="1:3" x14ac:dyDescent="0.25">
      <c r="A5666">
        <v>5971</v>
      </c>
      <c r="B5666" t="s">
        <v>8213</v>
      </c>
      <c r="C5666" t="s">
        <v>8112</v>
      </c>
    </row>
    <row r="5667" spans="1:3" x14ac:dyDescent="0.25">
      <c r="A5667">
        <v>5972</v>
      </c>
      <c r="B5667" t="s">
        <v>8214</v>
      </c>
      <c r="C5667" t="s">
        <v>8114</v>
      </c>
    </row>
    <row r="5668" spans="1:3" x14ac:dyDescent="0.25">
      <c r="A5668">
        <v>5973</v>
      </c>
      <c r="B5668" t="s">
        <v>8215</v>
      </c>
      <c r="C5668" t="s">
        <v>8116</v>
      </c>
    </row>
    <row r="5669" spans="1:3" x14ac:dyDescent="0.25">
      <c r="A5669">
        <v>5974</v>
      </c>
      <c r="B5669" t="s">
        <v>8216</v>
      </c>
      <c r="C5669" t="s">
        <v>8217</v>
      </c>
    </row>
    <row r="5670" spans="1:3" x14ac:dyDescent="0.25">
      <c r="A5670">
        <v>5975</v>
      </c>
      <c r="B5670" t="s">
        <v>8218</v>
      </c>
      <c r="C5670" t="s">
        <v>8095</v>
      </c>
    </row>
    <row r="5671" spans="1:3" x14ac:dyDescent="0.25">
      <c r="A5671">
        <v>5976</v>
      </c>
      <c r="B5671" t="s">
        <v>8219</v>
      </c>
      <c r="C5671" t="s">
        <v>8220</v>
      </c>
    </row>
    <row r="5672" spans="1:3" x14ac:dyDescent="0.25">
      <c r="A5672">
        <v>6144</v>
      </c>
      <c r="B5672" t="s">
        <v>8221</v>
      </c>
      <c r="C5672" t="s">
        <v>8120</v>
      </c>
    </row>
    <row r="5673" spans="1:3" x14ac:dyDescent="0.25">
      <c r="A5673">
        <v>6145</v>
      </c>
      <c r="B5673" t="s">
        <v>8222</v>
      </c>
      <c r="C5673" t="s">
        <v>8159</v>
      </c>
    </row>
    <row r="5674" spans="1:3" x14ac:dyDescent="0.25">
      <c r="A5674">
        <v>6146</v>
      </c>
      <c r="B5674" t="s">
        <v>8223</v>
      </c>
      <c r="C5674" t="s">
        <v>8161</v>
      </c>
    </row>
    <row r="5675" spans="1:3" x14ac:dyDescent="0.25">
      <c r="A5675">
        <v>6147</v>
      </c>
      <c r="B5675" t="s">
        <v>8224</v>
      </c>
      <c r="C5675" t="s">
        <v>8163</v>
      </c>
    </row>
    <row r="5676" spans="1:3" x14ac:dyDescent="0.25">
      <c r="A5676">
        <v>6148</v>
      </c>
      <c r="B5676" t="s">
        <v>8225</v>
      </c>
      <c r="C5676" t="s">
        <v>8165</v>
      </c>
    </row>
    <row r="5677" spans="1:3" x14ac:dyDescent="0.25">
      <c r="A5677">
        <v>6149</v>
      </c>
      <c r="B5677" t="s">
        <v>8226</v>
      </c>
      <c r="C5677" t="s">
        <v>8167</v>
      </c>
    </row>
    <row r="5678" spans="1:3" x14ac:dyDescent="0.25">
      <c r="A5678">
        <v>6150</v>
      </c>
      <c r="B5678" t="s">
        <v>8227</v>
      </c>
      <c r="C5678" t="s">
        <v>8169</v>
      </c>
    </row>
    <row r="5679" spans="1:3" x14ac:dyDescent="0.25">
      <c r="A5679">
        <v>6151</v>
      </c>
      <c r="B5679" t="s">
        <v>8228</v>
      </c>
      <c r="C5679" t="s">
        <v>8171</v>
      </c>
    </row>
    <row r="5680" spans="1:3" x14ac:dyDescent="0.25">
      <c r="A5680">
        <v>6152</v>
      </c>
      <c r="B5680" t="s">
        <v>8229</v>
      </c>
      <c r="C5680" t="s">
        <v>8173</v>
      </c>
    </row>
    <row r="5681" spans="1:3" x14ac:dyDescent="0.25">
      <c r="A5681">
        <v>6153</v>
      </c>
      <c r="B5681" t="s">
        <v>8230</v>
      </c>
      <c r="C5681" t="s">
        <v>8175</v>
      </c>
    </row>
    <row r="5682" spans="1:3" x14ac:dyDescent="0.25">
      <c r="A5682">
        <v>6154</v>
      </c>
      <c r="B5682" t="s">
        <v>8231</v>
      </c>
      <c r="C5682" t="s">
        <v>8177</v>
      </c>
    </row>
    <row r="5683" spans="1:3" x14ac:dyDescent="0.25">
      <c r="A5683">
        <v>6155</v>
      </c>
      <c r="B5683" t="s">
        <v>8232</v>
      </c>
      <c r="C5683" t="s">
        <v>8179</v>
      </c>
    </row>
    <row r="5684" spans="1:3" x14ac:dyDescent="0.25">
      <c r="A5684">
        <v>6156</v>
      </c>
      <c r="B5684" t="s">
        <v>8233</v>
      </c>
      <c r="C5684" t="s">
        <v>8182</v>
      </c>
    </row>
    <row r="5685" spans="1:3" x14ac:dyDescent="0.25">
      <c r="A5685">
        <v>6157</v>
      </c>
      <c r="B5685" t="s">
        <v>8234</v>
      </c>
      <c r="C5685" t="s">
        <v>8184</v>
      </c>
    </row>
    <row r="5686" spans="1:3" x14ac:dyDescent="0.25">
      <c r="A5686">
        <v>6158</v>
      </c>
      <c r="B5686" t="s">
        <v>8235</v>
      </c>
      <c r="C5686" t="s">
        <v>8186</v>
      </c>
    </row>
    <row r="5687" spans="1:3" x14ac:dyDescent="0.25">
      <c r="A5687">
        <v>6159</v>
      </c>
      <c r="B5687" t="s">
        <v>8236</v>
      </c>
      <c r="C5687" t="s">
        <v>8188</v>
      </c>
    </row>
    <row r="5688" spans="1:3" x14ac:dyDescent="0.25">
      <c r="A5688">
        <v>6160</v>
      </c>
      <c r="B5688" t="s">
        <v>8237</v>
      </c>
      <c r="C5688" t="s">
        <v>8190</v>
      </c>
    </row>
    <row r="5689" spans="1:3" x14ac:dyDescent="0.25">
      <c r="A5689">
        <v>6161</v>
      </c>
      <c r="B5689" t="s">
        <v>8238</v>
      </c>
      <c r="C5689" t="s">
        <v>8192</v>
      </c>
    </row>
    <row r="5690" spans="1:3" x14ac:dyDescent="0.25">
      <c r="A5690">
        <v>6162</v>
      </c>
      <c r="B5690" t="s">
        <v>8239</v>
      </c>
      <c r="C5690" t="s">
        <v>8194</v>
      </c>
    </row>
    <row r="5691" spans="1:3" x14ac:dyDescent="0.25">
      <c r="A5691">
        <v>6163</v>
      </c>
      <c r="B5691" t="s">
        <v>8240</v>
      </c>
      <c r="C5691" t="s">
        <v>8198</v>
      </c>
    </row>
    <row r="5692" spans="1:3" x14ac:dyDescent="0.25">
      <c r="A5692">
        <v>6164</v>
      </c>
      <c r="B5692" t="s">
        <v>8241</v>
      </c>
      <c r="C5692" t="s">
        <v>8200</v>
      </c>
    </row>
    <row r="5693" spans="1:3" x14ac:dyDescent="0.25">
      <c r="A5693">
        <v>6165</v>
      </c>
      <c r="B5693" t="s">
        <v>8242</v>
      </c>
      <c r="C5693" t="s">
        <v>8202</v>
      </c>
    </row>
    <row r="5694" spans="1:3" x14ac:dyDescent="0.25">
      <c r="A5694">
        <v>6166</v>
      </c>
      <c r="B5694" t="s">
        <v>8243</v>
      </c>
      <c r="C5694" t="s">
        <v>8204</v>
      </c>
    </row>
    <row r="5695" spans="1:3" x14ac:dyDescent="0.25">
      <c r="A5695">
        <v>6167</v>
      </c>
      <c r="B5695" t="s">
        <v>8244</v>
      </c>
      <c r="C5695" t="s">
        <v>8206</v>
      </c>
    </row>
    <row r="5696" spans="1:3" x14ac:dyDescent="0.25">
      <c r="A5696">
        <v>6168</v>
      </c>
      <c r="B5696" t="s">
        <v>8245</v>
      </c>
      <c r="C5696" t="s">
        <v>8208</v>
      </c>
    </row>
    <row r="5697" spans="1:3" x14ac:dyDescent="0.25">
      <c r="A5697">
        <v>6169</v>
      </c>
      <c r="B5697" t="s">
        <v>8246</v>
      </c>
      <c r="C5697" t="s">
        <v>8210</v>
      </c>
    </row>
    <row r="5698" spans="1:3" x14ac:dyDescent="0.25">
      <c r="A5698">
        <v>6170</v>
      </c>
      <c r="B5698" t="s">
        <v>8247</v>
      </c>
      <c r="C5698" t="s">
        <v>8212</v>
      </c>
    </row>
    <row r="5699" spans="1:3" x14ac:dyDescent="0.25">
      <c r="A5699">
        <v>6171</v>
      </c>
      <c r="B5699" t="s">
        <v>8248</v>
      </c>
      <c r="C5699" t="s">
        <v>8112</v>
      </c>
    </row>
    <row r="5700" spans="1:3" x14ac:dyDescent="0.25">
      <c r="A5700">
        <v>6172</v>
      </c>
      <c r="B5700" t="s">
        <v>8249</v>
      </c>
      <c r="C5700" t="s">
        <v>8114</v>
      </c>
    </row>
    <row r="5701" spans="1:3" x14ac:dyDescent="0.25">
      <c r="A5701">
        <v>6173</v>
      </c>
      <c r="B5701" t="s">
        <v>8250</v>
      </c>
      <c r="C5701" t="s">
        <v>8116</v>
      </c>
    </row>
    <row r="5702" spans="1:3" x14ac:dyDescent="0.25">
      <c r="A5702">
        <v>6174</v>
      </c>
      <c r="B5702" t="s">
        <v>8251</v>
      </c>
      <c r="C5702" t="s">
        <v>8217</v>
      </c>
    </row>
    <row r="5703" spans="1:3" x14ac:dyDescent="0.25">
      <c r="A5703">
        <v>6175</v>
      </c>
      <c r="B5703" t="s">
        <v>8252</v>
      </c>
      <c r="C5703" t="s">
        <v>8095</v>
      </c>
    </row>
    <row r="5704" spans="1:3" x14ac:dyDescent="0.25">
      <c r="A5704">
        <v>6176</v>
      </c>
      <c r="B5704" t="s">
        <v>8253</v>
      </c>
      <c r="C5704" t="s">
        <v>8220</v>
      </c>
    </row>
    <row r="5705" spans="1:3" x14ac:dyDescent="0.25">
      <c r="A5705">
        <v>6190</v>
      </c>
      <c r="B5705" t="s">
        <v>8254</v>
      </c>
      <c r="C5705" t="s">
        <v>8255</v>
      </c>
    </row>
    <row r="5706" spans="1:3" x14ac:dyDescent="0.25">
      <c r="A5706">
        <v>6349</v>
      </c>
      <c r="B5706" t="s">
        <v>8256</v>
      </c>
      <c r="C5706" t="e">
        <f>+proj=longlat +ellps=GRQ80 +geoidgrids=g2012a_conus.gtx,g2012a_alaska.gtx,g2012a_guam.gtx,g2012a_hawaii.gtx,g2012a_puertorico.gtx,g2012a_samoa.gtx +vunits=m +no_defs</f>
        <v>#NAME?</v>
      </c>
    </row>
    <row r="5707" spans="1:3" x14ac:dyDescent="0.25">
      <c r="A5707">
        <v>6649</v>
      </c>
      <c r="B5707" t="s">
        <v>8257</v>
      </c>
      <c r="C5707" t="s">
        <v>8120</v>
      </c>
    </row>
    <row r="5708" spans="1:3" x14ac:dyDescent="0.25">
      <c r="A5708">
        <v>6650</v>
      </c>
      <c r="B5708" t="s">
        <v>8258</v>
      </c>
      <c r="C5708" t="s">
        <v>8259</v>
      </c>
    </row>
    <row r="5709" spans="1:3" x14ac:dyDescent="0.25">
      <c r="A5709">
        <v>6651</v>
      </c>
      <c r="B5709" t="s">
        <v>8260</v>
      </c>
      <c r="C5709" t="s">
        <v>8261</v>
      </c>
    </row>
    <row r="5710" spans="1:3" x14ac:dyDescent="0.25">
      <c r="A5710">
        <v>6652</v>
      </c>
      <c r="B5710" t="s">
        <v>8262</v>
      </c>
      <c r="C5710" t="s">
        <v>8263</v>
      </c>
    </row>
    <row r="5711" spans="1:3" x14ac:dyDescent="0.25">
      <c r="A5711">
        <v>6653</v>
      </c>
      <c r="B5711" t="s">
        <v>8264</v>
      </c>
      <c r="C5711" t="s">
        <v>8265</v>
      </c>
    </row>
    <row r="5712" spans="1:3" x14ac:dyDescent="0.25">
      <c r="A5712">
        <v>6654</v>
      </c>
      <c r="B5712" t="s">
        <v>8266</v>
      </c>
      <c r="C5712" t="s">
        <v>8267</v>
      </c>
    </row>
    <row r="5713" spans="1:3" x14ac:dyDescent="0.25">
      <c r="A5713">
        <v>6655</v>
      </c>
      <c r="B5713" t="s">
        <v>8268</v>
      </c>
      <c r="C5713" t="s">
        <v>8269</v>
      </c>
    </row>
    <row r="5714" spans="1:3" x14ac:dyDescent="0.25">
      <c r="A5714">
        <v>6656</v>
      </c>
      <c r="B5714" t="s">
        <v>8270</v>
      </c>
      <c r="C5714" t="s">
        <v>8271</v>
      </c>
    </row>
    <row r="5715" spans="1:3" x14ac:dyDescent="0.25">
      <c r="A5715">
        <v>6657</v>
      </c>
      <c r="B5715" t="s">
        <v>8272</v>
      </c>
      <c r="C5715" t="s">
        <v>8273</v>
      </c>
    </row>
    <row r="5716" spans="1:3" x14ac:dyDescent="0.25">
      <c r="A5716">
        <v>6658</v>
      </c>
      <c r="B5716" t="s">
        <v>8274</v>
      </c>
      <c r="C5716" t="s">
        <v>8275</v>
      </c>
    </row>
    <row r="5717" spans="1:3" x14ac:dyDescent="0.25">
      <c r="A5717">
        <v>6659</v>
      </c>
      <c r="B5717" t="s">
        <v>8276</v>
      </c>
      <c r="C5717" t="s">
        <v>8277</v>
      </c>
    </row>
    <row r="5718" spans="1:3" x14ac:dyDescent="0.25">
      <c r="A5718">
        <v>6660</v>
      </c>
      <c r="B5718" t="s">
        <v>8278</v>
      </c>
      <c r="C5718" t="s">
        <v>8279</v>
      </c>
    </row>
    <row r="5719" spans="1:3" x14ac:dyDescent="0.25">
      <c r="A5719">
        <v>6661</v>
      </c>
      <c r="B5719" t="s">
        <v>8280</v>
      </c>
      <c r="C5719" t="s">
        <v>8281</v>
      </c>
    </row>
    <row r="5720" spans="1:3" x14ac:dyDescent="0.25">
      <c r="A5720">
        <v>6662</v>
      </c>
      <c r="B5720" t="s">
        <v>8282</v>
      </c>
      <c r="C5720" t="s">
        <v>8283</v>
      </c>
    </row>
    <row r="5721" spans="1:3" x14ac:dyDescent="0.25">
      <c r="A5721">
        <v>6663</v>
      </c>
      <c r="B5721" t="s">
        <v>8284</v>
      </c>
      <c r="C5721" t="s">
        <v>8285</v>
      </c>
    </row>
    <row r="5722" spans="1:3" x14ac:dyDescent="0.25">
      <c r="A5722">
        <v>6664</v>
      </c>
      <c r="B5722" t="s">
        <v>8286</v>
      </c>
      <c r="C5722" t="s">
        <v>8287</v>
      </c>
    </row>
    <row r="5723" spans="1:3" x14ac:dyDescent="0.25">
      <c r="A5723">
        <v>6665</v>
      </c>
      <c r="B5723" t="s">
        <v>8288</v>
      </c>
      <c r="C5723" t="s">
        <v>8289</v>
      </c>
    </row>
    <row r="5724" spans="1:3" x14ac:dyDescent="0.25">
      <c r="A5724">
        <v>6696</v>
      </c>
      <c r="B5724" t="s">
        <v>8290</v>
      </c>
      <c r="C5724" t="s">
        <v>8120</v>
      </c>
    </row>
    <row r="5725" spans="1:3" x14ac:dyDescent="0.25">
      <c r="A5725">
        <v>6697</v>
      </c>
      <c r="B5725" t="s">
        <v>8291</v>
      </c>
      <c r="C5725" t="e">
        <f>+proj=longlat +ellps=GRQ80 +vunits=m +no_defs</f>
        <v>#NAME?</v>
      </c>
    </row>
    <row r="5726" spans="1:3" x14ac:dyDescent="0.25">
      <c r="A5726">
        <v>6700</v>
      </c>
      <c r="B5726" t="s">
        <v>8292</v>
      </c>
      <c r="C5726" t="s">
        <v>8293</v>
      </c>
    </row>
    <row r="5727" spans="1:3" x14ac:dyDescent="0.25">
      <c r="A5727">
        <v>6871</v>
      </c>
      <c r="B5727" t="s">
        <v>8294</v>
      </c>
      <c r="C5727" t="e">
        <f>+proj=merc +lon_0=0 +k=1 +x_0=0 +y_0=0 +datum=WGQ84 +units=m +geoidgrids=egm08_25.gtx +vunits=m +no_defs</f>
        <v>#NAME?</v>
      </c>
    </row>
    <row r="5728" spans="1:3" x14ac:dyDescent="0.25">
      <c r="A5728">
        <v>6893</v>
      </c>
      <c r="B5728" t="s">
        <v>8295</v>
      </c>
      <c r="C5728" t="e">
        <f>+proj=merc +lon_0=0 +k=1 +x_0=0 +y_0=0 +datum=WGQ84 +units=m +geoidgrids=egm08_25.gtx +vunits=m +no_defs</f>
        <v>#NAME?</v>
      </c>
    </row>
    <row r="5729" spans="1:3" x14ac:dyDescent="0.25">
      <c r="A5729">
        <v>6917</v>
      </c>
      <c r="B5729" t="s">
        <v>8296</v>
      </c>
      <c r="C5729" t="e">
        <f>+proj=longlat +ellps=WGQ84 +vunits=m +no_defs</f>
        <v>#NAME?</v>
      </c>
    </row>
    <row r="5730" spans="1:3" x14ac:dyDescent="0.25">
      <c r="A5730">
        <v>6927</v>
      </c>
      <c r="B5730" t="s">
        <v>8297</v>
      </c>
      <c r="C5730" t="e">
        <f>+proj=tmerc +lat_0=1.36666666666666 +lon_0=103.833333333333 +k=1 +x_0=28001.642 +y_0=38744.572 +ellps=WGQ84 +units=m +vunits=m +no_defs</f>
        <v>#NAME?</v>
      </c>
    </row>
    <row r="5731" spans="1:3" x14ac:dyDescent="0.25">
      <c r="A5731">
        <v>7400</v>
      </c>
      <c r="B5731" t="s">
        <v>8298</v>
      </c>
      <c r="C5731" t="s">
        <v>8299</v>
      </c>
    </row>
    <row r="5732" spans="1:3" x14ac:dyDescent="0.25">
      <c r="A5732">
        <v>7401</v>
      </c>
      <c r="B5732" t="s">
        <v>8300</v>
      </c>
      <c r="C5732" t="s">
        <v>8301</v>
      </c>
    </row>
    <row r="5733" spans="1:3" x14ac:dyDescent="0.25">
      <c r="A5733">
        <v>7402</v>
      </c>
      <c r="B5733" t="s">
        <v>8302</v>
      </c>
      <c r="C5733" t="s">
        <v>8301</v>
      </c>
    </row>
    <row r="5734" spans="1:3" x14ac:dyDescent="0.25">
      <c r="A5734">
        <v>7403</v>
      </c>
      <c r="B5734" t="s">
        <v>8303</v>
      </c>
      <c r="C5734" t="s">
        <v>8304</v>
      </c>
    </row>
    <row r="5735" spans="1:3" x14ac:dyDescent="0.25">
      <c r="A5735">
        <v>7404</v>
      </c>
      <c r="B5735" t="s">
        <v>8305</v>
      </c>
      <c r="C5735" t="s">
        <v>8306</v>
      </c>
    </row>
    <row r="5736" spans="1:3" x14ac:dyDescent="0.25">
      <c r="A5736">
        <v>7405</v>
      </c>
      <c r="B5736" t="s">
        <v>8307</v>
      </c>
      <c r="C5736" t="e">
        <f>+proj=tmerc +lat_0=49 +lon_0=-2 +k=0.9996012717 +x_0=400000 +y_0=-100000 +datum=OSGB36 +units=m +vunits=m +no_defs</f>
        <v>#NAME?</v>
      </c>
    </row>
    <row r="5737" spans="1:3" x14ac:dyDescent="0.25">
      <c r="A5737">
        <v>7406</v>
      </c>
      <c r="B5737" t="s">
        <v>8308</v>
      </c>
      <c r="C5737" t="e">
        <f>+proj=longlat +datum=NAB27 +vunits=us-ft +no_defs</f>
        <v>#NAME?</v>
      </c>
    </row>
    <row r="5738" spans="1:3" x14ac:dyDescent="0.25">
      <c r="A5738">
        <v>7407</v>
      </c>
      <c r="B5738" t="s">
        <v>8309</v>
      </c>
      <c r="C5738" t="e">
        <f>+proj=lcc +lat_1=34.65 +lat_2=36.1833333333333 +lat_0=34 +lon_0=-101.5 +x_0=609601.219202438 +y_0=0 +datum=NAB27 +units=us-ft +vunits=us-ft +no_defs</f>
        <v>#NAME?</v>
      </c>
    </row>
    <row r="5739" spans="1:3" x14ac:dyDescent="0.25">
      <c r="A5739">
        <v>7408</v>
      </c>
      <c r="B5739" t="s">
        <v>8310</v>
      </c>
      <c r="C5739" t="s">
        <v>8311</v>
      </c>
    </row>
    <row r="5740" spans="1:3" x14ac:dyDescent="0.25">
      <c r="A5740">
        <v>7411</v>
      </c>
      <c r="B5740" t="s">
        <v>8312</v>
      </c>
      <c r="C5740" t="s">
        <v>8301</v>
      </c>
    </row>
    <row r="5741" spans="1:3" x14ac:dyDescent="0.25">
      <c r="A5741">
        <v>7412</v>
      </c>
      <c r="B5741" t="s">
        <v>8313</v>
      </c>
      <c r="C5741" t="s">
        <v>8301</v>
      </c>
    </row>
    <row r="5742" spans="1:3" x14ac:dyDescent="0.25">
      <c r="A5742">
        <v>7413</v>
      </c>
      <c r="B5742" t="s">
        <v>8314</v>
      </c>
      <c r="C5742" t="s">
        <v>8304</v>
      </c>
    </row>
    <row r="5743" spans="1:3" x14ac:dyDescent="0.25">
      <c r="A5743">
        <v>7414</v>
      </c>
      <c r="B5743" t="s">
        <v>8315</v>
      </c>
      <c r="C5743" t="s">
        <v>8293</v>
      </c>
    </row>
    <row r="5744" spans="1:3" x14ac:dyDescent="0.25">
      <c r="A5744">
        <v>7415</v>
      </c>
      <c r="B5744" t="s">
        <v>8316</v>
      </c>
      <c r="C5744" t="s">
        <v>8317</v>
      </c>
    </row>
    <row r="5745" spans="1:3" x14ac:dyDescent="0.25">
      <c r="A5745">
        <v>7416</v>
      </c>
      <c r="B5745" t="s">
        <v>8318</v>
      </c>
      <c r="C5745" t="s">
        <v>8114</v>
      </c>
    </row>
    <row r="5746" spans="1:3" x14ac:dyDescent="0.25">
      <c r="A5746">
        <v>7417</v>
      </c>
      <c r="B5746" t="s">
        <v>8319</v>
      </c>
      <c r="C5746" t="s">
        <v>8116</v>
      </c>
    </row>
    <row r="5747" spans="1:3" x14ac:dyDescent="0.25">
      <c r="A5747">
        <v>7418</v>
      </c>
      <c r="B5747" t="s">
        <v>8320</v>
      </c>
      <c r="C5747" t="s">
        <v>8321</v>
      </c>
    </row>
    <row r="5748" spans="1:3" x14ac:dyDescent="0.25">
      <c r="A5748">
        <v>7419</v>
      </c>
      <c r="B5748" t="s">
        <v>8322</v>
      </c>
      <c r="C5748" t="s">
        <v>8323</v>
      </c>
    </row>
    <row r="5749" spans="1:3" x14ac:dyDescent="0.25">
      <c r="A5749">
        <v>7420</v>
      </c>
      <c r="B5749" t="s">
        <v>8324</v>
      </c>
      <c r="C5749" t="s">
        <v>8325</v>
      </c>
    </row>
    <row r="5750" spans="1:3" x14ac:dyDescent="0.25">
      <c r="A5750">
        <v>7421</v>
      </c>
      <c r="B5750" t="s">
        <v>8326</v>
      </c>
      <c r="C5750" t="s">
        <v>8301</v>
      </c>
    </row>
    <row r="5751" spans="1:3" x14ac:dyDescent="0.25">
      <c r="A5751">
        <v>7422</v>
      </c>
      <c r="B5751" t="s">
        <v>8327</v>
      </c>
      <c r="C5751" t="s">
        <v>8304</v>
      </c>
    </row>
    <row r="5752" spans="1:3" x14ac:dyDescent="0.25">
      <c r="A5752">
        <v>7423</v>
      </c>
      <c r="B5752" t="s">
        <v>8328</v>
      </c>
      <c r="C5752" t="s">
        <v>8120</v>
      </c>
    </row>
    <row r="5753" spans="1:3" x14ac:dyDescent="0.25">
      <c r="A5753">
        <v>7954</v>
      </c>
      <c r="B5753" t="s">
        <v>8329</v>
      </c>
      <c r="C5753" t="s">
        <v>8330</v>
      </c>
    </row>
    <row r="5754" spans="1:3" x14ac:dyDescent="0.25">
      <c r="A5754">
        <v>7955</v>
      </c>
      <c r="B5754" t="s">
        <v>8331</v>
      </c>
      <c r="C5754" t="s">
        <v>8332</v>
      </c>
    </row>
    <row r="5755" spans="1:3" x14ac:dyDescent="0.25">
      <c r="A5755">
        <v>7956</v>
      </c>
      <c r="B5755" t="s">
        <v>8333</v>
      </c>
      <c r="C5755" t="s">
        <v>8334</v>
      </c>
    </row>
    <row r="5756" spans="1:3" x14ac:dyDescent="0.25">
      <c r="A5756">
        <v>8349</v>
      </c>
      <c r="B5756" t="s">
        <v>8335</v>
      </c>
      <c r="C5756" t="s">
        <v>8120</v>
      </c>
    </row>
    <row r="5757" spans="1:3" x14ac:dyDescent="0.25">
      <c r="A5757">
        <v>8350</v>
      </c>
      <c r="B5757" t="s">
        <v>8336</v>
      </c>
      <c r="C5757" t="s">
        <v>8120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spatial_ref_sys_WKT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SamDevelopers</dc:creator>
  <cp:lastModifiedBy>Fouad</cp:lastModifiedBy>
  <dcterms:created xsi:type="dcterms:W3CDTF">2020-11-10T08:38:17Z</dcterms:created>
  <dcterms:modified xsi:type="dcterms:W3CDTF">2020-11-11T13:40:59Z</dcterms:modified>
</cp:coreProperties>
</file>