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ele\Downloads\"/>
    </mc:Choice>
  </mc:AlternateContent>
  <xr:revisionPtr revIDLastSave="0" documentId="13_ncr:1_{EA9BD9F1-D5F9-4E22-996C-07FB25338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º Trimestre" sheetId="1" r:id="rId1"/>
    <sheet name="Planilh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P53" i="1"/>
  <c r="Q53" i="1"/>
  <c r="R53" i="1"/>
  <c r="S53" i="1"/>
  <c r="T53" i="1"/>
  <c r="N53" i="1"/>
  <c r="T43" i="1"/>
  <c r="T44" i="1"/>
  <c r="T45" i="1"/>
  <c r="T47" i="1"/>
  <c r="T48" i="1"/>
  <c r="T49" i="1"/>
  <c r="T50" i="1"/>
  <c r="T51" i="1"/>
  <c r="T52" i="1"/>
  <c r="T42" i="1"/>
  <c r="S43" i="1"/>
  <c r="S44" i="1"/>
  <c r="S45" i="1"/>
  <c r="S46" i="1"/>
  <c r="T46" i="1" s="1"/>
  <c r="S47" i="1"/>
  <c r="S48" i="1"/>
  <c r="S49" i="1"/>
  <c r="S50" i="1"/>
  <c r="S51" i="1"/>
  <c r="S52" i="1"/>
  <c r="S42" i="1"/>
  <c r="R43" i="1"/>
  <c r="R44" i="1"/>
  <c r="R45" i="1"/>
  <c r="R46" i="1"/>
  <c r="R47" i="1"/>
  <c r="R48" i="1"/>
  <c r="R49" i="1"/>
  <c r="R50" i="1"/>
  <c r="R51" i="1"/>
  <c r="R52" i="1"/>
  <c r="R42" i="1"/>
  <c r="Q43" i="1"/>
  <c r="Q44" i="1"/>
  <c r="Q45" i="1"/>
  <c r="Q46" i="1"/>
  <c r="Q47" i="1"/>
  <c r="Q48" i="1"/>
  <c r="Q49" i="1"/>
  <c r="Q50" i="1"/>
  <c r="Q51" i="1"/>
  <c r="Q52" i="1"/>
  <c r="Q42" i="1"/>
  <c r="H62" i="1"/>
  <c r="H61" i="1"/>
  <c r="H60" i="1"/>
  <c r="H59" i="1"/>
  <c r="P39" i="1"/>
  <c r="M36" i="1"/>
  <c r="M37" i="1" s="1"/>
  <c r="M38" i="1" s="1"/>
  <c r="N36" i="1"/>
  <c r="N37" i="1" s="1"/>
  <c r="N38" i="1" s="1"/>
  <c r="O36" i="1"/>
  <c r="O37" i="1" s="1"/>
  <c r="O38" i="1" s="1"/>
  <c r="L36" i="1"/>
  <c r="L37" i="1" s="1"/>
  <c r="L38" i="1" s="1"/>
  <c r="P30" i="1"/>
  <c r="P31" i="1"/>
  <c r="P32" i="1"/>
  <c r="P33" i="1"/>
  <c r="P34" i="1"/>
  <c r="P29" i="1"/>
  <c r="P36" i="1" s="1"/>
  <c r="P26" i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44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35" i="1"/>
  <c r="E35" i="1" s="1"/>
  <c r="G25" i="1"/>
  <c r="G26" i="1"/>
  <c r="G27" i="1"/>
  <c r="G28" i="1"/>
  <c r="G29" i="1"/>
  <c r="G30" i="1"/>
  <c r="G31" i="1"/>
  <c r="G24" i="1"/>
  <c r="F25" i="1"/>
  <c r="F26" i="1"/>
  <c r="F27" i="1"/>
  <c r="F28" i="1"/>
  <c r="F29" i="1"/>
  <c r="F30" i="1"/>
  <c r="F31" i="1"/>
  <c r="F24" i="1"/>
  <c r="Q21" i="1"/>
  <c r="Q23" i="1" s="1"/>
  <c r="P21" i="1"/>
  <c r="P23" i="1" s="1"/>
  <c r="O21" i="1"/>
  <c r="O23" i="1" s="1"/>
  <c r="N21" i="1"/>
  <c r="N23" i="1" s="1"/>
  <c r="M21" i="1"/>
  <c r="M23" i="1" s="1"/>
  <c r="L21" i="1"/>
  <c r="L23" i="1" s="1"/>
  <c r="C19" i="1"/>
  <c r="E17" i="1"/>
  <c r="D17" i="1"/>
  <c r="C17" i="1"/>
  <c r="I11" i="1"/>
  <c r="I12" i="1"/>
  <c r="I13" i="1"/>
  <c r="I14" i="1"/>
  <c r="I15" i="1"/>
  <c r="I10" i="1"/>
  <c r="H11" i="1"/>
  <c r="H12" i="1"/>
  <c r="H13" i="1"/>
  <c r="H14" i="1"/>
  <c r="H15" i="1"/>
  <c r="H10" i="1"/>
  <c r="G11" i="1"/>
  <c r="G12" i="1"/>
  <c r="G13" i="1"/>
  <c r="G14" i="1"/>
  <c r="G15" i="1"/>
  <c r="G10" i="1"/>
  <c r="F11" i="1"/>
  <c r="F12" i="1"/>
  <c r="F13" i="1"/>
  <c r="F14" i="1"/>
  <c r="F15" i="1"/>
  <c r="F10" i="1"/>
  <c r="S3" i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P37" i="1" l="1"/>
  <c r="P38" i="1" s="1"/>
  <c r="H31" i="1"/>
  <c r="H30" i="1"/>
  <c r="H29" i="1"/>
  <c r="H28" i="1"/>
  <c r="H27" i="1"/>
  <c r="H26" i="1"/>
  <c r="H25" i="1"/>
  <c r="H24" i="1"/>
  <c r="H17" i="1"/>
  <c r="I17" i="1"/>
  <c r="G17" i="1"/>
  <c r="F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52111-4331-48B3-B5B8-81201C15495A}" keepAlive="1" name="Consulta - Page006" description="Conexão com a consulta 'Page006' na pasta de trabalho." type="5" refreshedVersion="0" background="1">
    <dbPr connection="Provider=Microsoft.Mashup.OleDb.1;Data Source=$Workbook$;Location=Page006;Extended Properties=&quot;&quot;" command="SELECT * FROM [Page006]"/>
  </connection>
</connections>
</file>

<file path=xl/sharedStrings.xml><?xml version="1.0" encoding="utf-8"?>
<sst xmlns="http://schemas.openxmlformats.org/spreadsheetml/2006/main" count="238" uniqueCount="177">
  <si>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</si>
  <si>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</si>
  <si>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</si>
  <si>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</si>
  <si>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</si>
  <si>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</si>
  <si>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</si>
  <si>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</si>
  <si>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</si>
  <si>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</si>
  <si>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</si>
  <si>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</si>
  <si>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</si>
  <si>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</si>
  <si>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</si>
  <si>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 xml:space="preserve">Totais </t>
  </si>
  <si>
    <t>Total do Semestre</t>
  </si>
  <si>
    <t>Janeiro</t>
  </si>
  <si>
    <t>Fevereiro</t>
  </si>
  <si>
    <t>Março</t>
  </si>
  <si>
    <t>Abril</t>
  </si>
  <si>
    <t>Maio</t>
  </si>
  <si>
    <t>Salário</t>
  </si>
  <si>
    <t>ÁGUA</t>
  </si>
  <si>
    <t>LUZ</t>
  </si>
  <si>
    <t>ESCOLA</t>
  </si>
  <si>
    <t>IPTU</t>
  </si>
  <si>
    <t>IPVA</t>
  </si>
  <si>
    <t>SHOPPPING</t>
  </si>
  <si>
    <t>COMBUSTÍVEL</t>
  </si>
  <si>
    <t>ACADEMIA</t>
  </si>
  <si>
    <t>TOTAL DE CONTAS</t>
  </si>
  <si>
    <t>SALDO</t>
  </si>
  <si>
    <t>Junho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</si>
  <si>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</si>
  <si>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</si>
  <si>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</si>
  <si>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</si>
  <si>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</si>
  <si>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</si>
  <si>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</si>
  <si>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</si>
  <si>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</si>
  <si>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helena</t>
  </si>
  <si>
    <t>maria</t>
  </si>
  <si>
    <t>gabriela</t>
  </si>
  <si>
    <t>edson</t>
  </si>
  <si>
    <t>elisangela</t>
  </si>
  <si>
    <t>regina</t>
  </si>
  <si>
    <t>paulo</t>
  </si>
  <si>
    <t>Valor do Dolar</t>
  </si>
  <si>
    <t>Produtos</t>
  </si>
  <si>
    <t>Qtd</t>
  </si>
  <si>
    <t>Preço Unit</t>
  </si>
  <si>
    <t>Total US$</t>
  </si>
  <si>
    <t>Total R$</t>
  </si>
  <si>
    <t>Caneta Azul</t>
  </si>
  <si>
    <t>Caneta Vermelha</t>
  </si>
  <si>
    <t>Caderno</t>
  </si>
  <si>
    <t>Régua</t>
  </si>
  <si>
    <t>Lápis</t>
  </si>
  <si>
    <t>Papel</t>
  </si>
  <si>
    <t>Tinta</t>
  </si>
  <si>
    <t>Nome</t>
  </si>
  <si>
    <t>Aumento</t>
  </si>
  <si>
    <t>Novo Salário</t>
  </si>
  <si>
    <t>J</t>
  </si>
  <si>
    <t>Lambarildo</t>
  </si>
  <si>
    <t>Maria</t>
  </si>
  <si>
    <t>Manoel</t>
  </si>
  <si>
    <t>S</t>
  </si>
  <si>
    <t>A</t>
  </si>
  <si>
    <t>Até 1000</t>
  </si>
  <si>
    <t>Mais de 1000</t>
  </si>
  <si>
    <t>Receita Bruta</t>
  </si>
  <si>
    <t>Jan-Mar</t>
  </si>
  <si>
    <t>Abr-Jun</t>
  </si>
  <si>
    <t>Jul-Set</t>
  </si>
  <si>
    <t>Out-Dez</t>
  </si>
  <si>
    <t>Total do Ano</t>
  </si>
  <si>
    <t>Valor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</si>
  <si>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</si>
  <si>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</si>
  <si>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</si>
  <si>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</si>
  <si>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</si>
  <si>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</si>
  <si>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</si>
  <si>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Receita Líquida</t>
  </si>
  <si>
    <t>Situação</t>
  </si>
  <si>
    <t>Valor Acumulado do Ano de Despesas</t>
  </si>
  <si>
    <t>Total do Trimestre</t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</si>
  <si>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</si>
  <si>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</si>
  <si>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</si>
  <si>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</si>
  <si>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</si>
  <si>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</si>
  <si>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</si>
  <si>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</si>
  <si>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</si>
  <si>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</si>
  <si>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</si>
  <si>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</si>
  <si>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</si>
  <si>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</si>
  <si>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</si>
  <si>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</si>
  <si>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</si>
  <si>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</si>
  <si>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</si>
  <si>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</si>
  <si>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</si>
  <si>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</si>
  <si>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</si>
  <si>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</si>
  <si>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</si>
  <si>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</si>
  <si>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</si>
  <si>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</si>
  <si>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</si>
  <si>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</si>
  <si>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</si>
  <si>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</si>
  <si>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</si>
  <si>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</si>
  <si>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</si>
  <si>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</si>
  <si>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</si>
  <si>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</si>
  <si>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</si>
  <si>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</si>
  <si>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</si>
  <si>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</si>
  <si>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</si>
  <si>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</si>
  <si>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</si>
  <si>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</si>
  <si>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</si>
  <si>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</si>
  <si>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</si>
  <si>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</si>
  <si>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</si>
  <si>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</si>
  <si>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</si>
  <si>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</si>
  <si>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</si>
  <si>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</si>
  <si>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</si>
  <si>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</si>
  <si>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</si>
  <si>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</si>
  <si>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</si>
  <si>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</si>
  <si>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</si>
  <si>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</si>
  <si>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</si>
  <si>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>ana</t>
  </si>
  <si>
    <t>Estoque</t>
  </si>
  <si>
    <t>Custo (R$)</t>
  </si>
  <si>
    <t>Venda (R$)</t>
  </si>
  <si>
    <t>Total (R$)</t>
  </si>
  <si>
    <t>Custo (US$)</t>
  </si>
  <si>
    <t>Venda (US$)</t>
  </si>
  <si>
    <t>Total (US$)</t>
  </si>
  <si>
    <t>Borracha</t>
  </si>
  <si>
    <t>Caderno 100 fls</t>
  </si>
  <si>
    <t>Caderno 200 fls</t>
  </si>
  <si>
    <t>Lapiseira</t>
  </si>
  <si>
    <t>Régua 15 cm</t>
  </si>
  <si>
    <t>Régua 30 cm</t>
  </si>
  <si>
    <t>Giz de Cera</t>
  </si>
  <si>
    <t>Cola</t>
  </si>
  <si>
    <t>Compasso</t>
  </si>
  <si>
    <t>Totais</t>
  </si>
  <si>
    <t>Porc. De Lucro</t>
  </si>
  <si>
    <t>Valor do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</si>
</sst>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16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4" xfId="0" applyFont="1" applyBorder="1"/>
    <xf numFmtId="164" fontId="0" fillId="0" borderId="4" xfId="0" applyNumberFormat="1" applyBorder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/>
    <xf numFmtId="164" fontId="0" fillId="0" borderId="1" xfId="0" applyNumberForma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0" fillId="2" borderId="0" xfId="0" applyNumberFormat="1" applyFill="1"/>
    <xf numFmtId="0" fontId="0" fillId="2" borderId="0" xfId="0" applyFill="1" applyBorder="1"/>
    <xf numFmtId="0" fontId="1" fillId="2" borderId="0" xfId="0" applyFont="1" applyFill="1"/>
    <xf numFmtId="10" fontId="0" fillId="0" borderId="0" xfId="0" applyNumberFormat="1"/>
    <xf numFmtId="0" fontId="0" fillId="0" borderId="0" xfId="0" applyFont="1" applyAlignment="1">
      <alignment vertical="center" wrapText="1"/>
    </xf>
  </cellXfs>
  <cellStyles count="2">
    <cellStyle name="Normal" xfId="0" builtinId="0"/>
    <cellStyle name="Porcentagem" xfId="1" builtinId="5"/>
  </cellStyles>
  <dxfs count="10">
    <dxf>
      <font>
        <b val="0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1FEA4-76C6-46D6-97D4-FC07F5F5863C}" name="Tabela1" displayName="Tabela1" ref="M41:T53" totalsRowShown="0" headerRowDxfId="2" dataDxfId="3">
  <autoFilter ref="M41:T53" xr:uid="{FCD1FEA4-76C6-46D6-97D4-FC07F5F5863C}"/>
  <tableColumns count="8">
    <tableColumn id="1" xr3:uid="{9D089299-9E43-4628-8B77-8990DA315A54}" name="Produto" dataDxfId="0"/>
    <tableColumn id="2" xr3:uid="{25E193E2-7708-4C4D-A65B-D7B781BBB141}" name="Estoque" dataDxfId="1"/>
    <tableColumn id="3" xr3:uid="{B020740A-DF45-41F7-B3C8-AC944B3AE34A}" name="Custo (R$)" dataDxfId="9"/>
    <tableColumn id="4" xr3:uid="{C7425F24-F0D0-4E87-AC69-A80EDB62147C}" name="Venda (R$)" dataDxfId="8"/>
    <tableColumn id="5" xr3:uid="{C65938F5-998D-4060-839E-F12031FFF6DB}" name="Total (R$)" dataDxfId="7"/>
    <tableColumn id="6" xr3:uid="{8BF884DC-7A69-40DF-8CE8-F793C5F7CA4C}" name="Custo (US$)" dataDxfId="6"/>
    <tableColumn id="7" xr3:uid="{98AC1E69-AF9E-453C-B1A3-514DF0BD98D6}" name="Venda (US$)" dataDxfId="5"/>
    <tableColumn id="8" xr3:uid="{A7421A42-A99E-48AF-BD53-496248840A7B}" name="Total (US$)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I43" workbookViewId="0">
      <selection activeCell="R56" sqref="R56"/>
    </sheetView>
  </sheetViews>
  <sheetFormatPr defaultRowHeight="14.4"/>
  <cols>
    <col min="1" max="1" width="15.88671875" bestFit="1" customWidth="1"/>
    <col min="2" max="2" width="10.5546875" bestFit="1" customWidth="1"/>
    <col min="3" max="3" width="14.5546875" bestFit="1" customWidth="1"/>
    <col min="4" max="4" width="11.6640625" bestFit="1" customWidth="1"/>
    <col min="5" max="5" width="13.33203125" bestFit="1" customWidth="1"/>
    <col min="6" max="6" width="12.44140625" customWidth="1"/>
    <col min="7" max="7" width="13.6640625" bestFit="1" customWidth="1"/>
    <col min="8" max="8" width="21.77734375" bestFit="1" customWidth="1"/>
    <col min="9" max="9" width="11.5546875" bestFit="1" customWidth="1"/>
    <col min="10" max="10" width="11.44140625" bestFit="1" customWidth="1"/>
    <col min="11" max="11" width="16.6640625" bestFit="1" customWidth="1"/>
    <col min="12" max="12" width="12.5546875" bestFit="1" customWidth="1"/>
    <col min="13" max="13" width="19.44140625" bestFit="1" customWidth="1"/>
    <col min="14" max="15" width="12.5546875" bestFit="1" customWidth="1"/>
    <col min="16" max="16" width="33.33203125" customWidth="1"/>
    <col min="17" max="17" width="11.5546875" bestFit="1" customWidth="1"/>
    <col min="18" max="18" width="12.77734375" customWidth="1"/>
    <col min="19" max="19" width="13.44140625" customWidth="1"/>
    <col min="20" max="20" width="12.21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2"/>
    </row>
    <row r="2" spans="1:20">
      <c r="A2">
        <v>1</v>
      </c>
      <c r="B2" t="s">
        <v>9</v>
      </c>
      <c r="C2" s="2">
        <v>4500</v>
      </c>
      <c r="D2" s="2">
        <v>5040</v>
      </c>
      <c r="E2" s="2">
        <v>5696</v>
      </c>
      <c r="F2" s="2">
        <v>15236</v>
      </c>
      <c r="G2" s="2">
        <v>5696</v>
      </c>
      <c r="H2" s="2">
        <v>4500</v>
      </c>
      <c r="I2" s="2">
        <v>5145.33</v>
      </c>
      <c r="J2" s="12"/>
      <c r="K2" s="22">
        <v>1</v>
      </c>
      <c r="L2" t="s">
        <v>9</v>
      </c>
      <c r="M2" s="2">
        <v>4500</v>
      </c>
      <c r="N2" s="2">
        <v>5040</v>
      </c>
      <c r="O2" s="2">
        <v>5696</v>
      </c>
      <c r="P2" s="2">
        <f>SUM(M2+N2+O2)</f>
        <v>15236</v>
      </c>
      <c r="Q2" s="2">
        <f>LARGE(M2:O2, 1)</f>
        <v>5696</v>
      </c>
      <c r="R2" s="2">
        <f>SMALL(M2:O2, 1)</f>
        <v>4500</v>
      </c>
      <c r="S2" s="2">
        <f>AVERAGE(M2:O2)</f>
        <v>5078.666666666667</v>
      </c>
      <c r="T2" s="12"/>
    </row>
    <row r="3" spans="1:20">
      <c r="A3">
        <v>2</v>
      </c>
      <c r="B3" t="s">
        <v>10</v>
      </c>
      <c r="C3" s="2">
        <v>6250</v>
      </c>
      <c r="D3" s="2">
        <v>7000</v>
      </c>
      <c r="E3" s="2">
        <v>7910</v>
      </c>
      <c r="F3" s="2">
        <v>21160</v>
      </c>
      <c r="G3" s="2">
        <v>7910</v>
      </c>
      <c r="H3" s="2">
        <v>6250</v>
      </c>
      <c r="I3" s="2">
        <v>7053.33</v>
      </c>
      <c r="J3" s="12"/>
      <c r="K3" s="22">
        <v>2</v>
      </c>
      <c r="L3" t="s">
        <v>10</v>
      </c>
      <c r="M3" s="2">
        <v>6250</v>
      </c>
      <c r="N3" s="2">
        <v>7000</v>
      </c>
      <c r="O3" s="2">
        <v>7910</v>
      </c>
      <c r="P3" s="2">
        <f t="shared" ref="P3:P7" si="0">SUM(M3+N3+O3)</f>
        <v>21160</v>
      </c>
      <c r="Q3" s="2">
        <f t="shared" ref="Q3:Q7" si="1">LARGE(M3:O3, 1)</f>
        <v>7910</v>
      </c>
      <c r="R3" s="2">
        <f t="shared" ref="R3:R7" si="2">SMALL(M3:O3, 1)</f>
        <v>6250</v>
      </c>
      <c r="S3" s="2">
        <f t="shared" ref="S3:S7" si="3">AVERAGE(M3:O3)</f>
        <v>7053.333333333333</v>
      </c>
      <c r="T3" s="12"/>
    </row>
    <row r="4" spans="1:20">
      <c r="A4">
        <v>3</v>
      </c>
      <c r="B4" t="s">
        <v>11</v>
      </c>
      <c r="C4" s="2">
        <v>3300</v>
      </c>
      <c r="D4" s="2">
        <v>3696</v>
      </c>
      <c r="E4" s="2">
        <v>4176</v>
      </c>
      <c r="F4" s="2">
        <v>11172</v>
      </c>
      <c r="G4" s="2">
        <v>4176</v>
      </c>
      <c r="H4" s="2">
        <v>3300</v>
      </c>
      <c r="I4" s="2">
        <v>3722</v>
      </c>
      <c r="J4" s="12"/>
      <c r="K4" s="22">
        <v>3</v>
      </c>
      <c r="L4" t="s">
        <v>11</v>
      </c>
      <c r="M4" s="2">
        <v>3300</v>
      </c>
      <c r="N4" s="2">
        <v>3696</v>
      </c>
      <c r="O4" s="2">
        <v>4176</v>
      </c>
      <c r="P4" s="2">
        <f t="shared" si="0"/>
        <v>11172</v>
      </c>
      <c r="Q4" s="2">
        <f t="shared" si="1"/>
        <v>4176</v>
      </c>
      <c r="R4" s="2">
        <f t="shared" si="2"/>
        <v>3300</v>
      </c>
      <c r="S4" s="2">
        <f t="shared" si="3"/>
        <v>3724</v>
      </c>
      <c r="T4" s="12"/>
    </row>
    <row r="5" spans="1:20">
      <c r="A5">
        <v>4</v>
      </c>
      <c r="B5" t="s">
        <v>12</v>
      </c>
      <c r="C5" s="2">
        <v>8000</v>
      </c>
      <c r="D5" s="2">
        <v>8690</v>
      </c>
      <c r="E5" s="2">
        <v>10125</v>
      </c>
      <c r="F5" s="2">
        <v>26815</v>
      </c>
      <c r="G5" s="2">
        <v>10125</v>
      </c>
      <c r="H5" s="2">
        <v>8000</v>
      </c>
      <c r="I5" s="2">
        <v>8938.33</v>
      </c>
      <c r="J5" s="12"/>
      <c r="K5" s="22">
        <v>4</v>
      </c>
      <c r="L5" t="s">
        <v>12</v>
      </c>
      <c r="M5" s="2">
        <v>8000</v>
      </c>
      <c r="N5" s="2">
        <v>8690</v>
      </c>
      <c r="O5" s="2">
        <v>10125</v>
      </c>
      <c r="P5" s="2">
        <f t="shared" si="0"/>
        <v>26815</v>
      </c>
      <c r="Q5" s="2">
        <f t="shared" si="1"/>
        <v>10125</v>
      </c>
      <c r="R5" s="2">
        <f t="shared" si="2"/>
        <v>8000</v>
      </c>
      <c r="S5" s="2">
        <f t="shared" si="3"/>
        <v>8938.3333333333339</v>
      </c>
      <c r="T5" s="12"/>
    </row>
    <row r="6" spans="1:20">
      <c r="A6">
        <v>5</v>
      </c>
      <c r="B6" t="s">
        <v>13</v>
      </c>
      <c r="C6" s="2">
        <v>4557</v>
      </c>
      <c r="D6" s="2">
        <v>5104</v>
      </c>
      <c r="E6" s="2">
        <v>5676</v>
      </c>
      <c r="F6" s="2">
        <v>15337</v>
      </c>
      <c r="G6" s="2">
        <v>5676</v>
      </c>
      <c r="H6" s="2">
        <v>4557</v>
      </c>
      <c r="I6" s="2">
        <v>5145.67</v>
      </c>
      <c r="J6" s="12"/>
      <c r="K6" s="22">
        <v>5</v>
      </c>
      <c r="L6" t="s">
        <v>13</v>
      </c>
      <c r="M6" s="2">
        <v>4557</v>
      </c>
      <c r="N6" s="2">
        <v>5104</v>
      </c>
      <c r="O6" s="2">
        <v>5676</v>
      </c>
      <c r="P6" s="2">
        <f t="shared" si="0"/>
        <v>15337</v>
      </c>
      <c r="Q6" s="2">
        <f t="shared" si="1"/>
        <v>5676</v>
      </c>
      <c r="R6" s="2">
        <f t="shared" si="2"/>
        <v>4557</v>
      </c>
      <c r="S6" s="2">
        <f t="shared" si="3"/>
        <v>5112.333333333333</v>
      </c>
      <c r="T6" s="12"/>
    </row>
    <row r="7" spans="1:20">
      <c r="A7">
        <v>6</v>
      </c>
      <c r="B7" t="s">
        <v>14</v>
      </c>
      <c r="C7" s="2">
        <v>3260</v>
      </c>
      <c r="D7" s="2">
        <v>3640</v>
      </c>
      <c r="E7" s="2">
        <v>4113</v>
      </c>
      <c r="F7" s="2">
        <v>11013</v>
      </c>
      <c r="G7" s="2">
        <v>4113</v>
      </c>
      <c r="H7" s="2">
        <v>3260</v>
      </c>
      <c r="I7" s="2">
        <v>3671.67</v>
      </c>
      <c r="J7" s="12"/>
      <c r="K7" s="22">
        <v>6</v>
      </c>
      <c r="L7" t="s">
        <v>14</v>
      </c>
      <c r="M7" s="2">
        <v>3260</v>
      </c>
      <c r="N7" s="2">
        <v>3640</v>
      </c>
      <c r="O7" s="2">
        <v>4113</v>
      </c>
      <c r="P7" s="2">
        <f t="shared" si="0"/>
        <v>11013</v>
      </c>
      <c r="Q7" s="2">
        <f t="shared" si="1"/>
        <v>4113</v>
      </c>
      <c r="R7" s="2">
        <f t="shared" si="2"/>
        <v>3260</v>
      </c>
      <c r="S7" s="2">
        <f t="shared" si="3"/>
        <v>3671</v>
      </c>
      <c r="T7" s="12"/>
    </row>
    <row r="8" spans="1:20"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2"/>
      <c r="K9" s="28"/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  <c r="Q9" s="1" t="s">
        <v>33</v>
      </c>
      <c r="T9" s="12"/>
    </row>
    <row r="10" spans="1:20">
      <c r="A10">
        <v>1</v>
      </c>
      <c r="B10" t="s">
        <v>9</v>
      </c>
      <c r="C10" s="2">
        <v>6265</v>
      </c>
      <c r="D10" s="2">
        <v>6954</v>
      </c>
      <c r="E10" s="2">
        <v>7858</v>
      </c>
      <c r="F10" s="2">
        <f>SUM(C10:E10)</f>
        <v>21077</v>
      </c>
      <c r="G10" s="2">
        <f>LARGE(C10:E10, 1)</f>
        <v>7858</v>
      </c>
      <c r="H10" s="2">
        <f>SMALL(C10:E10,1)</f>
        <v>6265</v>
      </c>
      <c r="I10" s="2">
        <f>AVERAGE(C10:E10,1)</f>
        <v>5269.5</v>
      </c>
      <c r="J10" s="12"/>
      <c r="K10" s="29" t="s">
        <v>22</v>
      </c>
      <c r="L10" s="30">
        <v>500</v>
      </c>
      <c r="M10" s="30">
        <v>750</v>
      </c>
      <c r="N10" s="30">
        <v>800</v>
      </c>
      <c r="O10" s="30">
        <v>700</v>
      </c>
      <c r="P10" s="30">
        <v>654</v>
      </c>
      <c r="Q10" s="30">
        <v>700</v>
      </c>
      <c r="T10" s="12"/>
    </row>
    <row r="11" spans="1:20">
      <c r="A11">
        <v>2</v>
      </c>
      <c r="B11" t="s">
        <v>10</v>
      </c>
      <c r="C11" s="2">
        <v>8701</v>
      </c>
      <c r="D11" s="2">
        <v>9658</v>
      </c>
      <c r="E11" s="2">
        <v>10197</v>
      </c>
      <c r="F11" s="2">
        <f t="shared" ref="F11:F15" si="4">SUM(C11:E11)</f>
        <v>28556</v>
      </c>
      <c r="G11" s="2">
        <f t="shared" ref="G11:G15" si="5">LARGE(C11:E11, 1)</f>
        <v>10197</v>
      </c>
      <c r="H11" s="2">
        <f t="shared" ref="H11:H15" si="6">SMALL(C11:E11,1)</f>
        <v>8701</v>
      </c>
      <c r="I11" s="2">
        <f t="shared" ref="I11:I15" si="7">AVERAGE(C11:E11,1)</f>
        <v>7139.25</v>
      </c>
      <c r="J11" s="12"/>
      <c r="K11" s="33"/>
      <c r="L11" s="34"/>
      <c r="M11" s="34"/>
      <c r="N11" s="34"/>
      <c r="O11" s="34"/>
      <c r="P11" s="34"/>
      <c r="Q11" s="34"/>
      <c r="T11" s="12"/>
    </row>
    <row r="12" spans="1:20">
      <c r="A12">
        <v>3</v>
      </c>
      <c r="B12" t="s">
        <v>11</v>
      </c>
      <c r="C12" s="2">
        <v>4569</v>
      </c>
      <c r="D12" s="2">
        <v>5099</v>
      </c>
      <c r="E12" s="2">
        <v>5769</v>
      </c>
      <c r="F12" s="2">
        <f t="shared" si="4"/>
        <v>15437</v>
      </c>
      <c r="G12" s="2">
        <f t="shared" si="5"/>
        <v>5769</v>
      </c>
      <c r="H12" s="2">
        <f t="shared" si="6"/>
        <v>4569</v>
      </c>
      <c r="I12" s="2">
        <f t="shared" si="7"/>
        <v>3859.5</v>
      </c>
      <c r="J12" s="12"/>
      <c r="K12" s="29" t="s">
        <v>23</v>
      </c>
      <c r="L12" s="30">
        <v>10</v>
      </c>
      <c r="M12" s="30">
        <v>15</v>
      </c>
      <c r="N12" s="30">
        <v>15</v>
      </c>
      <c r="O12" s="30">
        <v>12</v>
      </c>
      <c r="P12" s="30">
        <v>12</v>
      </c>
      <c r="Q12" s="30">
        <v>11</v>
      </c>
      <c r="T12" s="12"/>
    </row>
    <row r="13" spans="1:20">
      <c r="A13">
        <v>4</v>
      </c>
      <c r="B13" t="s">
        <v>12</v>
      </c>
      <c r="C13" s="2">
        <v>12341</v>
      </c>
      <c r="D13" s="2">
        <v>12365</v>
      </c>
      <c r="E13" s="2">
        <v>13969</v>
      </c>
      <c r="F13" s="2">
        <f t="shared" si="4"/>
        <v>38675</v>
      </c>
      <c r="G13" s="2">
        <f t="shared" si="5"/>
        <v>13969</v>
      </c>
      <c r="H13" s="2">
        <f t="shared" si="6"/>
        <v>12341</v>
      </c>
      <c r="I13" s="2">
        <f t="shared" si="7"/>
        <v>9669</v>
      </c>
      <c r="J13" s="12"/>
      <c r="K13" s="29" t="s">
        <v>24</v>
      </c>
      <c r="L13" s="30">
        <v>50</v>
      </c>
      <c r="M13" s="30">
        <v>60</v>
      </c>
      <c r="N13" s="30">
        <v>54</v>
      </c>
      <c r="O13" s="30">
        <v>55</v>
      </c>
      <c r="P13" s="30">
        <v>54</v>
      </c>
      <c r="Q13" s="30">
        <v>56</v>
      </c>
      <c r="T13" s="12"/>
    </row>
    <row r="14" spans="1:20">
      <c r="A14">
        <v>5</v>
      </c>
      <c r="B14" t="s">
        <v>13</v>
      </c>
      <c r="C14" s="2">
        <v>6344</v>
      </c>
      <c r="D14" s="2">
        <v>7042</v>
      </c>
      <c r="E14" s="2">
        <v>7957</v>
      </c>
      <c r="F14" s="2">
        <f t="shared" si="4"/>
        <v>21343</v>
      </c>
      <c r="G14" s="2">
        <f t="shared" si="5"/>
        <v>7957</v>
      </c>
      <c r="H14" s="2">
        <f t="shared" si="6"/>
        <v>6344</v>
      </c>
      <c r="I14" s="2">
        <f t="shared" si="7"/>
        <v>5336</v>
      </c>
      <c r="J14" s="12"/>
      <c r="K14" s="29" t="s">
        <v>25</v>
      </c>
      <c r="L14" s="30">
        <v>300</v>
      </c>
      <c r="M14" s="30">
        <v>250</v>
      </c>
      <c r="N14" s="30">
        <v>300</v>
      </c>
      <c r="O14" s="30">
        <v>300</v>
      </c>
      <c r="P14" s="30">
        <v>200</v>
      </c>
      <c r="Q14" s="30">
        <v>200</v>
      </c>
      <c r="T14" s="12"/>
    </row>
    <row r="15" spans="1:20" ht="15" customHeight="1">
      <c r="A15">
        <v>6</v>
      </c>
      <c r="B15" t="s">
        <v>14</v>
      </c>
      <c r="C15" s="2">
        <v>4525</v>
      </c>
      <c r="D15" s="2">
        <v>5022</v>
      </c>
      <c r="E15" s="2">
        <v>5671</v>
      </c>
      <c r="F15" s="2">
        <f t="shared" si="4"/>
        <v>15218</v>
      </c>
      <c r="G15" s="2">
        <f t="shared" si="5"/>
        <v>5671</v>
      </c>
      <c r="H15" s="2">
        <f t="shared" si="6"/>
        <v>4525</v>
      </c>
      <c r="I15" s="2">
        <f t="shared" si="7"/>
        <v>3804.75</v>
      </c>
      <c r="J15" s="12"/>
      <c r="K15" s="29" t="s">
        <v>26</v>
      </c>
      <c r="L15" s="30">
        <v>40</v>
      </c>
      <c r="M15" s="30">
        <v>40</v>
      </c>
      <c r="N15" s="30">
        <v>40</v>
      </c>
      <c r="O15" s="30">
        <v>40</v>
      </c>
      <c r="P15" s="30">
        <v>40</v>
      </c>
      <c r="Q15" s="30">
        <v>40</v>
      </c>
      <c r="T15" s="12"/>
    </row>
    <row r="16" spans="1:20">
      <c r="J16" s="12"/>
      <c r="K16" s="29" t="s">
        <v>27</v>
      </c>
      <c r="L16" s="30">
        <v>10</v>
      </c>
      <c r="M16" s="30">
        <v>15</v>
      </c>
      <c r="N16" s="30">
        <v>14</v>
      </c>
      <c r="O16" s="30">
        <v>15</v>
      </c>
      <c r="P16" s="30">
        <v>20</v>
      </c>
      <c r="Q16" s="30">
        <v>31</v>
      </c>
      <c r="T16" s="12"/>
    </row>
    <row r="17" spans="1:20">
      <c r="A17" s="6" t="s">
        <v>15</v>
      </c>
      <c r="B17" s="5"/>
      <c r="C17" s="7">
        <f t="shared" ref="C17:I17" si="8">SUM(C10:C15)</f>
        <v>42745</v>
      </c>
      <c r="D17" s="7">
        <f t="shared" si="8"/>
        <v>46140</v>
      </c>
      <c r="E17" s="7">
        <f t="shared" si="8"/>
        <v>51421</v>
      </c>
      <c r="F17" s="7">
        <f t="shared" si="8"/>
        <v>140306</v>
      </c>
      <c r="G17" s="7">
        <f t="shared" si="8"/>
        <v>51421</v>
      </c>
      <c r="H17" s="7">
        <f t="shared" si="8"/>
        <v>42745</v>
      </c>
      <c r="I17" s="8">
        <f t="shared" si="8"/>
        <v>35078</v>
      </c>
      <c r="J17" s="12"/>
      <c r="K17" s="29" t="s">
        <v>28</v>
      </c>
      <c r="L17" s="30">
        <v>120</v>
      </c>
      <c r="M17" s="30">
        <v>150</v>
      </c>
      <c r="N17" s="30">
        <v>130</v>
      </c>
      <c r="O17" s="30">
        <v>200</v>
      </c>
      <c r="P17" s="30">
        <v>150</v>
      </c>
      <c r="Q17" s="30">
        <v>190</v>
      </c>
      <c r="T17" s="12"/>
    </row>
    <row r="18" spans="1:20">
      <c r="A18" s="4"/>
      <c r="J18" s="12"/>
      <c r="K18" s="31" t="s">
        <v>29</v>
      </c>
      <c r="L18" s="32">
        <v>50</v>
      </c>
      <c r="M18" s="32">
        <v>60</v>
      </c>
      <c r="N18" s="32">
        <v>65</v>
      </c>
      <c r="O18" s="32">
        <v>70</v>
      </c>
      <c r="P18" s="32">
        <v>65</v>
      </c>
      <c r="Q18" s="32">
        <v>85</v>
      </c>
      <c r="T18" s="12"/>
    </row>
    <row r="19" spans="1:20">
      <c r="A19" s="6" t="s">
        <v>16</v>
      </c>
      <c r="B19" s="5"/>
      <c r="C19" s="8">
        <f>SUM(C10:E15)</f>
        <v>140306</v>
      </c>
      <c r="J19" s="12"/>
      <c r="K19" s="29" t="s">
        <v>30</v>
      </c>
      <c r="L19" s="30">
        <v>145</v>
      </c>
      <c r="M19" s="30">
        <v>145</v>
      </c>
      <c r="N19" s="30">
        <v>145</v>
      </c>
      <c r="O19" s="30">
        <v>145</v>
      </c>
      <c r="P19" s="30">
        <v>100</v>
      </c>
      <c r="Q19" s="30">
        <v>145</v>
      </c>
      <c r="T19" s="12"/>
    </row>
    <row r="20" spans="1:20">
      <c r="J20" s="12"/>
      <c r="K20" s="33"/>
      <c r="L20" s="35"/>
      <c r="M20" s="35"/>
      <c r="N20" s="35"/>
      <c r="O20" s="35"/>
      <c r="P20" s="35"/>
      <c r="Q20" s="35"/>
      <c r="T20" s="12"/>
    </row>
    <row r="21" spans="1:2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9" t="s">
        <v>31</v>
      </c>
      <c r="L21" s="30">
        <f t="shared" ref="L21:Q21" si="9">SUM(L12:L19)</f>
        <v>725</v>
      </c>
      <c r="M21" s="30">
        <f t="shared" si="9"/>
        <v>735</v>
      </c>
      <c r="N21" s="30">
        <f t="shared" si="9"/>
        <v>763</v>
      </c>
      <c r="O21" s="30">
        <f t="shared" si="9"/>
        <v>837</v>
      </c>
      <c r="P21" s="30">
        <f t="shared" si="9"/>
        <v>641</v>
      </c>
      <c r="Q21" s="30">
        <f t="shared" si="9"/>
        <v>758</v>
      </c>
      <c r="T21" s="12"/>
    </row>
    <row r="22" spans="1:20">
      <c r="J22" s="12"/>
      <c r="K22" s="33"/>
      <c r="L22" s="35"/>
      <c r="M22" s="35"/>
      <c r="N22" s="35"/>
      <c r="O22" s="35"/>
      <c r="P22" s="35"/>
      <c r="Q22" s="35"/>
      <c r="T22" s="12"/>
    </row>
    <row r="23" spans="1:20">
      <c r="A23" s="11" t="s">
        <v>34</v>
      </c>
      <c r="B23" s="9" t="s">
        <v>35</v>
      </c>
      <c r="C23" s="9" t="s">
        <v>36</v>
      </c>
      <c r="D23" s="9" t="s">
        <v>37</v>
      </c>
      <c r="E23" s="9" t="s">
        <v>38</v>
      </c>
      <c r="F23" s="9" t="s">
        <v>39</v>
      </c>
      <c r="G23" s="9" t="s">
        <v>40</v>
      </c>
      <c r="H23" s="9" t="s">
        <v>41</v>
      </c>
      <c r="J23" s="12"/>
      <c r="K23" s="29" t="s">
        <v>32</v>
      </c>
      <c r="L23" s="30">
        <f>SUM(L10-L21)</f>
        <v>-225</v>
      </c>
      <c r="M23" s="30">
        <f t="shared" ref="M23:Q23" si="10">SUM(M10-M21)</f>
        <v>15</v>
      </c>
      <c r="N23" s="30">
        <f>SUM(N10-N21)</f>
        <v>37</v>
      </c>
      <c r="O23" s="30">
        <f t="shared" si="10"/>
        <v>-137</v>
      </c>
      <c r="P23" s="30">
        <f t="shared" si="10"/>
        <v>13</v>
      </c>
      <c r="Q23" s="30">
        <f t="shared" si="10"/>
        <v>-58</v>
      </c>
      <c r="T23" s="12"/>
    </row>
    <row r="24" spans="1:20">
      <c r="A24" s="3">
        <v>1</v>
      </c>
      <c r="B24" t="s">
        <v>42</v>
      </c>
      <c r="C24" s="2">
        <v>853</v>
      </c>
      <c r="D24" s="10">
        <v>0.1</v>
      </c>
      <c r="E24" s="10">
        <v>0.09</v>
      </c>
      <c r="F24" s="2">
        <f>SUM(C24*D24)</f>
        <v>85.300000000000011</v>
      </c>
      <c r="G24" s="2">
        <f>SUM(C24*E24)</f>
        <v>76.77</v>
      </c>
      <c r="H24" s="2">
        <f>SUM(C24+F24-G24)</f>
        <v>861.53</v>
      </c>
      <c r="J24" s="12"/>
      <c r="K24" s="13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s="3">
        <v>2</v>
      </c>
      <c r="B25" t="s">
        <v>44</v>
      </c>
      <c r="C25" s="2">
        <v>951</v>
      </c>
      <c r="D25" s="10">
        <v>9.9900000000000003E-2</v>
      </c>
      <c r="E25" s="10">
        <v>0.08</v>
      </c>
      <c r="F25" s="2">
        <f t="shared" ref="F25:F31" si="11">SUM(C25*D25)</f>
        <v>95.004900000000006</v>
      </c>
      <c r="G25" s="2">
        <f t="shared" ref="G25:G31" si="12">SUM(C25*E25)</f>
        <v>76.08</v>
      </c>
      <c r="H25" s="2">
        <f t="shared" ref="H25:H31" si="13">SUM(C25+F25-G25)</f>
        <v>969.92489999999987</v>
      </c>
      <c r="J25" s="12"/>
      <c r="K25" s="24" t="s">
        <v>74</v>
      </c>
      <c r="L25" s="24" t="s">
        <v>75</v>
      </c>
      <c r="M25" s="24" t="s">
        <v>76</v>
      </c>
      <c r="N25" s="24" t="s">
        <v>77</v>
      </c>
      <c r="O25" s="24" t="s">
        <v>78</v>
      </c>
      <c r="P25" s="24" t="s">
        <v>79</v>
      </c>
      <c r="Q25" s="12"/>
    </row>
    <row r="26" spans="1:20">
      <c r="A26" s="3">
        <v>3</v>
      </c>
      <c r="B26" t="s">
        <v>43</v>
      </c>
      <c r="C26" s="2">
        <v>456</v>
      </c>
      <c r="D26" s="10">
        <v>8.6400000000000005E-2</v>
      </c>
      <c r="E26" s="10">
        <v>0.06</v>
      </c>
      <c r="F26" s="2">
        <f t="shared" si="11"/>
        <v>39.398400000000002</v>
      </c>
      <c r="G26" s="2">
        <f t="shared" si="12"/>
        <v>27.36</v>
      </c>
      <c r="H26" s="2">
        <f t="shared" si="13"/>
        <v>468.03839999999997</v>
      </c>
      <c r="J26" s="12"/>
      <c r="K26" s="25" t="s">
        <v>80</v>
      </c>
      <c r="L26" s="23">
        <v>140000</v>
      </c>
      <c r="M26" s="23">
        <v>165000</v>
      </c>
      <c r="N26" s="23">
        <v>208000</v>
      </c>
      <c r="O26" s="23">
        <v>280000</v>
      </c>
      <c r="P26" s="2">
        <f>SUM(L26:O26)</f>
        <v>793000</v>
      </c>
      <c r="Q26" s="12"/>
    </row>
    <row r="27" spans="1:20">
      <c r="A27" s="3">
        <v>4</v>
      </c>
      <c r="B27" t="s">
        <v>45</v>
      </c>
      <c r="C27" s="2">
        <v>500</v>
      </c>
      <c r="D27" s="10">
        <v>0.08</v>
      </c>
      <c r="E27" s="10">
        <v>0.06</v>
      </c>
      <c r="F27" s="2">
        <f t="shared" si="11"/>
        <v>40</v>
      </c>
      <c r="G27" s="2">
        <f t="shared" si="12"/>
        <v>30</v>
      </c>
      <c r="H27" s="2">
        <f t="shared" si="13"/>
        <v>510</v>
      </c>
      <c r="J27" s="12"/>
      <c r="K27" s="18"/>
      <c r="L27" s="19"/>
      <c r="M27" s="19"/>
      <c r="N27" s="19"/>
      <c r="O27" s="19"/>
      <c r="P27" s="20"/>
      <c r="Q27" s="12"/>
    </row>
    <row r="28" spans="1:20">
      <c r="A28" s="3">
        <v>5</v>
      </c>
      <c r="B28" t="s">
        <v>46</v>
      </c>
      <c r="C28" s="2">
        <v>850</v>
      </c>
      <c r="D28" s="10">
        <v>0.08</v>
      </c>
      <c r="E28" s="10">
        <v>7.0000000000000007E-2</v>
      </c>
      <c r="F28" s="2">
        <f t="shared" si="11"/>
        <v>68</v>
      </c>
      <c r="G28" s="2">
        <f t="shared" si="12"/>
        <v>59.500000000000007</v>
      </c>
      <c r="H28" s="2">
        <f t="shared" si="13"/>
        <v>858.5</v>
      </c>
      <c r="J28" s="12"/>
      <c r="K28" s="24" t="s">
        <v>81</v>
      </c>
      <c r="L28" s="24" t="s">
        <v>75</v>
      </c>
      <c r="M28" s="24" t="s">
        <v>76</v>
      </c>
      <c r="N28" s="24" t="s">
        <v>77</v>
      </c>
      <c r="O28" s="24" t="s">
        <v>78</v>
      </c>
      <c r="P28" s="24" t="s">
        <v>79</v>
      </c>
      <c r="Q28" s="12"/>
    </row>
    <row r="29" spans="1:20">
      <c r="A29" s="3">
        <v>6</v>
      </c>
      <c r="B29" t="s">
        <v>47</v>
      </c>
      <c r="C29" s="2">
        <v>459</v>
      </c>
      <c r="D29" s="10">
        <v>0.06</v>
      </c>
      <c r="E29" s="10">
        <v>0.05</v>
      </c>
      <c r="F29" s="2">
        <f t="shared" si="11"/>
        <v>27.54</v>
      </c>
      <c r="G29" s="2">
        <f t="shared" si="12"/>
        <v>22.950000000000003</v>
      </c>
      <c r="H29" s="2">
        <f t="shared" si="13"/>
        <v>463.59000000000003</v>
      </c>
      <c r="J29" s="12"/>
      <c r="K29" s="26" t="s">
        <v>82</v>
      </c>
      <c r="L29" s="36">
        <v>20000</v>
      </c>
      <c r="M29" s="36">
        <v>26000</v>
      </c>
      <c r="N29" s="36">
        <v>33800</v>
      </c>
      <c r="O29" s="36">
        <v>43940</v>
      </c>
      <c r="P29" s="37">
        <f>SUM(L29:O29)</f>
        <v>123740</v>
      </c>
      <c r="Q29" s="12"/>
    </row>
    <row r="30" spans="1:20">
      <c r="A30" s="3">
        <v>7</v>
      </c>
      <c r="B30" t="s">
        <v>48</v>
      </c>
      <c r="C30" s="2">
        <v>478</v>
      </c>
      <c r="D30" s="10">
        <v>7.0000000000000007E-2</v>
      </c>
      <c r="E30" s="10">
        <v>0.05</v>
      </c>
      <c r="F30" s="2">
        <f t="shared" si="11"/>
        <v>33.46</v>
      </c>
      <c r="G30" s="2">
        <f t="shared" si="12"/>
        <v>23.900000000000002</v>
      </c>
      <c r="H30" s="2">
        <f t="shared" si="13"/>
        <v>487.56</v>
      </c>
      <c r="J30" s="12"/>
      <c r="K30" s="26" t="s">
        <v>83</v>
      </c>
      <c r="L30" s="36">
        <v>20000</v>
      </c>
      <c r="M30" s="36">
        <v>15600</v>
      </c>
      <c r="N30" s="36">
        <v>20280</v>
      </c>
      <c r="O30" s="36">
        <v>26364</v>
      </c>
      <c r="P30" s="37">
        <f t="shared" ref="P30:P34" si="14">SUM(L30:O30)</f>
        <v>82244</v>
      </c>
      <c r="Q30" s="12"/>
    </row>
    <row r="31" spans="1:20">
      <c r="A31" s="3">
        <v>8</v>
      </c>
      <c r="B31" t="s">
        <v>49</v>
      </c>
      <c r="C31" s="2">
        <v>658</v>
      </c>
      <c r="D31" s="10">
        <v>5.9900000000000002E-2</v>
      </c>
      <c r="E31" s="10">
        <v>0.04</v>
      </c>
      <c r="F31" s="2">
        <f t="shared" si="11"/>
        <v>39.414200000000001</v>
      </c>
      <c r="G31" s="2">
        <f t="shared" si="12"/>
        <v>26.32</v>
      </c>
      <c r="H31" s="2">
        <f t="shared" si="13"/>
        <v>671.0942</v>
      </c>
      <c r="J31" s="12"/>
      <c r="K31" s="26" t="s">
        <v>84</v>
      </c>
      <c r="L31" s="36">
        <v>12000</v>
      </c>
      <c r="M31" s="36">
        <v>20930</v>
      </c>
      <c r="N31" s="36">
        <v>27209</v>
      </c>
      <c r="O31" s="36">
        <v>35371.699999999997</v>
      </c>
      <c r="P31" s="37">
        <f t="shared" si="14"/>
        <v>95510.7</v>
      </c>
      <c r="Q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6" t="s">
        <v>85</v>
      </c>
      <c r="L32" s="36">
        <v>16100</v>
      </c>
      <c r="M32" s="36">
        <v>28870</v>
      </c>
      <c r="N32" s="36">
        <v>33631</v>
      </c>
      <c r="O32" s="36">
        <v>43720.3</v>
      </c>
      <c r="P32" s="37">
        <f t="shared" si="14"/>
        <v>122321.3</v>
      </c>
      <c r="Q32" s="12"/>
    </row>
    <row r="33" spans="1:21">
      <c r="A33" s="9" t="s">
        <v>50</v>
      </c>
      <c r="B33" s="9">
        <v>2.94</v>
      </c>
      <c r="C33" s="9"/>
      <c r="D33" s="9"/>
      <c r="E33" s="9"/>
      <c r="F33" s="12"/>
      <c r="G33" s="12"/>
      <c r="H33" s="12"/>
      <c r="I33" s="12"/>
      <c r="J33" s="12"/>
      <c r="K33" s="26" t="s">
        <v>86</v>
      </c>
      <c r="L33" s="36">
        <v>19900</v>
      </c>
      <c r="M33" s="36">
        <v>39000</v>
      </c>
      <c r="N33" s="36">
        <v>50700</v>
      </c>
      <c r="O33" s="36">
        <v>65910</v>
      </c>
      <c r="P33" s="37">
        <f t="shared" si="14"/>
        <v>175510</v>
      </c>
      <c r="Q33" s="12"/>
    </row>
    <row r="34" spans="1:21">
      <c r="A34" s="9" t="s">
        <v>51</v>
      </c>
      <c r="B34" s="9" t="s">
        <v>52</v>
      </c>
      <c r="C34" s="9" t="s">
        <v>53</v>
      </c>
      <c r="D34" s="9" t="s">
        <v>55</v>
      </c>
      <c r="E34" s="9" t="s">
        <v>54</v>
      </c>
      <c r="F34" s="12"/>
      <c r="G34" s="12"/>
      <c r="H34" s="12"/>
      <c r="I34" s="12"/>
      <c r="J34" s="38"/>
      <c r="K34" s="26" t="s">
        <v>87</v>
      </c>
      <c r="L34" s="36">
        <v>25000</v>
      </c>
      <c r="M34" s="36">
        <v>32500</v>
      </c>
      <c r="N34" s="36">
        <v>42250</v>
      </c>
      <c r="O34" s="36">
        <v>54925</v>
      </c>
      <c r="P34" s="37">
        <f t="shared" si="14"/>
        <v>154675</v>
      </c>
      <c r="Q34" s="12"/>
    </row>
    <row r="35" spans="1:21">
      <c r="A35" s="9" t="s">
        <v>56</v>
      </c>
      <c r="B35" s="2">
        <v>500</v>
      </c>
      <c r="C35" s="2">
        <v>0.15</v>
      </c>
      <c r="D35" s="2">
        <f>SUM(B35*C35)</f>
        <v>75</v>
      </c>
      <c r="E35" s="14">
        <f>SUM(D35/2.94)</f>
        <v>25.510204081632654</v>
      </c>
      <c r="F35" s="12"/>
      <c r="G35" s="40"/>
      <c r="H35" s="38"/>
      <c r="I35" s="38"/>
      <c r="J35" s="38"/>
      <c r="K35" s="18"/>
      <c r="L35" s="21"/>
      <c r="M35" s="21"/>
      <c r="N35" s="21"/>
      <c r="O35" s="21"/>
      <c r="P35" s="21"/>
      <c r="Q35" s="12"/>
    </row>
    <row r="36" spans="1:21">
      <c r="A36" s="9" t="s">
        <v>57</v>
      </c>
      <c r="B36" s="2">
        <v>750</v>
      </c>
      <c r="C36" s="2">
        <v>0.15</v>
      </c>
      <c r="D36" s="2">
        <f t="shared" ref="D36:D41" si="15">SUM(B36*C36)</f>
        <v>112.5</v>
      </c>
      <c r="E36" s="14">
        <f t="shared" ref="E36:E41" si="16">SUM(D36/2.94)</f>
        <v>38.265306122448983</v>
      </c>
      <c r="F36" s="12"/>
      <c r="G36" s="12"/>
      <c r="H36" s="38"/>
      <c r="I36" s="38"/>
      <c r="J36" s="38"/>
      <c r="K36" s="26" t="s">
        <v>91</v>
      </c>
      <c r="L36" s="36">
        <f>SUM(L29:L34)</f>
        <v>113000</v>
      </c>
      <c r="M36" s="36">
        <f t="shared" ref="M36:P36" si="17">SUM(M29:M34)</f>
        <v>162900</v>
      </c>
      <c r="N36" s="36">
        <f t="shared" si="17"/>
        <v>207870</v>
      </c>
      <c r="O36" s="36">
        <f t="shared" si="17"/>
        <v>270231</v>
      </c>
      <c r="P36" s="36">
        <f t="shared" si="17"/>
        <v>754001</v>
      </c>
      <c r="Q36" s="12"/>
    </row>
    <row r="37" spans="1:21">
      <c r="A37" s="9" t="s">
        <v>58</v>
      </c>
      <c r="B37" s="2">
        <v>250</v>
      </c>
      <c r="C37" s="2">
        <v>10</v>
      </c>
      <c r="D37" s="2">
        <f t="shared" si="15"/>
        <v>2500</v>
      </c>
      <c r="E37" s="14">
        <f t="shared" si="16"/>
        <v>850.34013605442181</v>
      </c>
      <c r="F37" s="12"/>
      <c r="G37" s="12"/>
      <c r="H37" s="38"/>
      <c r="I37" s="38"/>
      <c r="J37" s="38"/>
      <c r="K37" s="26" t="s">
        <v>88</v>
      </c>
      <c r="L37" s="36">
        <f>SUM(L26-L36)</f>
        <v>27000</v>
      </c>
      <c r="M37" s="36">
        <f t="shared" ref="M37:P37" si="18">SUM(M26-M36)</f>
        <v>2100</v>
      </c>
      <c r="N37" s="36">
        <f t="shared" si="18"/>
        <v>130</v>
      </c>
      <c r="O37" s="36">
        <f t="shared" si="18"/>
        <v>9769</v>
      </c>
      <c r="P37" s="36">
        <f t="shared" si="18"/>
        <v>38999</v>
      </c>
      <c r="Q37" s="12"/>
    </row>
    <row r="38" spans="1:21">
      <c r="A38" s="9" t="s">
        <v>59</v>
      </c>
      <c r="B38" s="2">
        <v>310</v>
      </c>
      <c r="C38" s="2">
        <v>0.5</v>
      </c>
      <c r="D38" s="2">
        <f t="shared" si="15"/>
        <v>155</v>
      </c>
      <c r="E38" s="14">
        <f t="shared" si="16"/>
        <v>52.721088435374149</v>
      </c>
      <c r="F38" s="12"/>
      <c r="G38" s="12"/>
      <c r="H38" s="38"/>
      <c r="I38" s="38"/>
      <c r="J38" s="38"/>
      <c r="K38" s="26" t="s">
        <v>89</v>
      </c>
      <c r="L38" s="27" t="str">
        <f>IF(L37&lt;1000,"Prejuízo Total",IF(L37&lt;5000,"Lucro Médio","Lucro Total"))</f>
        <v>Lucro Total</v>
      </c>
      <c r="M38" s="27" t="str">
        <f t="shared" ref="M38:P38" si="19">IF(M37&lt;1000,"Prejuízo Total",IF(M37&lt;5000,"Lucro Médio","Lucro Total"))</f>
        <v>Lucro Médio</v>
      </c>
      <c r="N38" s="27" t="str">
        <f t="shared" si="19"/>
        <v>Prejuízo Total</v>
      </c>
      <c r="O38" s="27" t="str">
        <f t="shared" si="19"/>
        <v>Lucro Total</v>
      </c>
      <c r="P38" s="27" t="str">
        <f t="shared" si="19"/>
        <v>Lucro Total</v>
      </c>
      <c r="Q38" s="12"/>
    </row>
    <row r="39" spans="1:21" ht="57.6">
      <c r="A39" s="9" t="s">
        <v>60</v>
      </c>
      <c r="B39" s="2">
        <v>500</v>
      </c>
      <c r="C39" s="2">
        <v>0.1</v>
      </c>
      <c r="D39" s="2">
        <f t="shared" si="15"/>
        <v>50</v>
      </c>
      <c r="E39" s="14">
        <f t="shared" si="16"/>
        <v>17.006802721088437</v>
      </c>
      <c r="F39" s="12"/>
      <c r="G39" s="12"/>
      <c r="H39" s="38"/>
      <c r="I39" s="38"/>
      <c r="J39" s="38"/>
      <c r="O39" s="26" t="s">
        <v>90</v>
      </c>
      <c r="P39" s="30">
        <f>SUM(P29:P34)</f>
        <v>754001</v>
      </c>
      <c r="Q39" s="12"/>
    </row>
    <row r="40" spans="1:21">
      <c r="A40" s="9" t="s">
        <v>61</v>
      </c>
      <c r="B40" s="2">
        <v>1500</v>
      </c>
      <c r="C40" s="2">
        <v>2.5</v>
      </c>
      <c r="D40" s="2">
        <f t="shared" si="15"/>
        <v>3750</v>
      </c>
      <c r="E40" s="14">
        <f t="shared" si="16"/>
        <v>1275.5102040816328</v>
      </c>
      <c r="F40" s="12"/>
      <c r="G40" s="12"/>
      <c r="H40" s="38"/>
      <c r="I40" s="38"/>
      <c r="J40" s="38"/>
      <c r="K40" s="12"/>
      <c r="L40" s="12"/>
      <c r="M40" s="39"/>
      <c r="N40" s="39"/>
      <c r="O40" s="39"/>
      <c r="P40" s="39"/>
      <c r="Q40" s="12"/>
      <c r="R40" s="12"/>
      <c r="S40" s="12"/>
      <c r="T40" s="12"/>
      <c r="U40" s="12"/>
    </row>
    <row r="41" spans="1:21" ht="28.8">
      <c r="A41" s="9" t="s">
        <v>62</v>
      </c>
      <c r="B41" s="2">
        <v>190</v>
      </c>
      <c r="C41" s="2">
        <v>6</v>
      </c>
      <c r="D41" s="2">
        <f t="shared" si="15"/>
        <v>1140</v>
      </c>
      <c r="E41" s="14">
        <f t="shared" si="16"/>
        <v>387.75510204081633</v>
      </c>
      <c r="F41" s="12"/>
      <c r="G41" s="16" t="s">
        <v>63</v>
      </c>
      <c r="H41" s="16" t="s">
        <v>92</v>
      </c>
      <c r="I41" s="16" t="s">
        <v>93</v>
      </c>
      <c r="J41" s="16" t="s">
        <v>94</v>
      </c>
      <c r="K41" s="16" t="s">
        <v>95</v>
      </c>
      <c r="L41" s="12"/>
      <c r="M41" s="16" t="s">
        <v>1</v>
      </c>
      <c r="N41" s="16" t="s">
        <v>158</v>
      </c>
      <c r="O41" s="16" t="s">
        <v>159</v>
      </c>
      <c r="P41" s="16" t="s">
        <v>160</v>
      </c>
      <c r="Q41" s="16" t="s">
        <v>161</v>
      </c>
      <c r="R41" s="16" t="s">
        <v>162</v>
      </c>
      <c r="S41" s="16" t="s">
        <v>163</v>
      </c>
      <c r="T41" s="16" t="s">
        <v>164</v>
      </c>
      <c r="U41" s="12"/>
    </row>
    <row r="42" spans="1:21" ht="28.8">
      <c r="A42" s="12"/>
      <c r="B42" s="12"/>
      <c r="C42" s="12"/>
      <c r="D42" s="12"/>
      <c r="E42" s="12"/>
      <c r="F42" s="12"/>
      <c r="G42" s="17" t="s">
        <v>96</v>
      </c>
      <c r="H42" s="17" t="s">
        <v>97</v>
      </c>
      <c r="I42" s="17" t="s">
        <v>98</v>
      </c>
      <c r="J42" s="17" t="s">
        <v>99</v>
      </c>
      <c r="K42" s="17" t="s">
        <v>100</v>
      </c>
      <c r="L42" s="12"/>
      <c r="M42" s="42" t="s">
        <v>165</v>
      </c>
      <c r="N42" s="17">
        <v>500</v>
      </c>
      <c r="O42" s="17">
        <v>0.5</v>
      </c>
      <c r="P42" s="17">
        <v>0.55000000000000004</v>
      </c>
      <c r="Q42" s="17">
        <f>SUM(P42*N42)</f>
        <v>275</v>
      </c>
      <c r="R42" s="17">
        <f>SUM(O42*3.34)</f>
        <v>1.67</v>
      </c>
      <c r="S42" s="17">
        <f>SUM(R42*(1+N55))</f>
        <v>1.8787499999999999</v>
      </c>
      <c r="T42" s="17">
        <f>SUM(S42*N42)</f>
        <v>939.375</v>
      </c>
      <c r="U42" s="12"/>
    </row>
    <row r="43" spans="1:21" ht="28.8">
      <c r="A43" s="9" t="s">
        <v>63</v>
      </c>
      <c r="B43" s="9" t="s">
        <v>22</v>
      </c>
      <c r="C43" s="9" t="s">
        <v>64</v>
      </c>
      <c r="D43" s="9" t="s">
        <v>65</v>
      </c>
      <c r="E43" s="12"/>
      <c r="F43" s="12"/>
      <c r="G43" s="17" t="s">
        <v>42</v>
      </c>
      <c r="H43" s="17" t="s">
        <v>101</v>
      </c>
      <c r="I43" s="17" t="s">
        <v>102</v>
      </c>
      <c r="J43" s="17" t="s">
        <v>103</v>
      </c>
      <c r="K43" s="17" t="s">
        <v>100</v>
      </c>
      <c r="L43" s="12"/>
      <c r="M43" s="42" t="s">
        <v>166</v>
      </c>
      <c r="N43" s="17">
        <v>200</v>
      </c>
      <c r="O43" s="17">
        <v>2.57</v>
      </c>
      <c r="P43" s="17">
        <v>2.7</v>
      </c>
      <c r="Q43" s="17">
        <f t="shared" ref="Q43:Q52" si="20">SUM(P43*N43)</f>
        <v>540</v>
      </c>
      <c r="R43" s="17">
        <f t="shared" ref="R43:R52" si="21">SUM(O43*3.34)</f>
        <v>8.5837999999999983</v>
      </c>
      <c r="S43" s="17">
        <f t="shared" ref="S43:S52" si="22">SUM(R43*(1+N56))</f>
        <v>8.5837999999999983</v>
      </c>
      <c r="T43" s="17">
        <f t="shared" ref="T43:T52" si="23">SUM(S43*N43)</f>
        <v>1716.7599999999998</v>
      </c>
      <c r="U43" s="12"/>
    </row>
    <row r="44" spans="1:21">
      <c r="A44" s="9" t="s">
        <v>66</v>
      </c>
      <c r="B44" s="2">
        <v>900</v>
      </c>
      <c r="C44" s="2">
        <f>IF(B44&lt;=1000, B44*40%, B44*30%)</f>
        <v>360</v>
      </c>
      <c r="D44" s="2">
        <v>1260</v>
      </c>
      <c r="E44" s="12"/>
      <c r="F44" s="12"/>
      <c r="G44" s="17" t="s">
        <v>104</v>
      </c>
      <c r="H44" s="17" t="s">
        <v>105</v>
      </c>
      <c r="I44" s="17" t="s">
        <v>98</v>
      </c>
      <c r="J44" s="17" t="s">
        <v>106</v>
      </c>
      <c r="K44" s="17" t="s">
        <v>107</v>
      </c>
      <c r="L44" s="12"/>
      <c r="M44" s="42" t="s">
        <v>167</v>
      </c>
      <c r="N44" s="17">
        <v>300</v>
      </c>
      <c r="O44" s="17">
        <v>5</v>
      </c>
      <c r="P44" s="17">
        <v>5.5</v>
      </c>
      <c r="Q44" s="17">
        <f t="shared" si="20"/>
        <v>1650</v>
      </c>
      <c r="R44" s="17">
        <f t="shared" si="21"/>
        <v>16.7</v>
      </c>
      <c r="S44" s="17">
        <f t="shared" si="22"/>
        <v>72.477999999999994</v>
      </c>
      <c r="T44" s="17">
        <f t="shared" si="23"/>
        <v>21743.399999999998</v>
      </c>
      <c r="U44" s="12"/>
    </row>
    <row r="45" spans="1:21" ht="28.8">
      <c r="A45" t="s">
        <v>69</v>
      </c>
      <c r="B45" s="2">
        <v>1200</v>
      </c>
      <c r="C45" s="2">
        <f t="shared" ref="C45:C51" si="24">IF(B45&lt;=1000, B45*40%, B45*30%)</f>
        <v>360</v>
      </c>
      <c r="D45" s="2">
        <f>SUM(B45+C45)</f>
        <v>1560</v>
      </c>
      <c r="E45" s="12"/>
      <c r="F45" s="12"/>
      <c r="G45" s="17" t="s">
        <v>108</v>
      </c>
      <c r="H45" s="17" t="s">
        <v>109</v>
      </c>
      <c r="I45" s="17" t="s">
        <v>110</v>
      </c>
      <c r="J45" s="17" t="s">
        <v>111</v>
      </c>
      <c r="K45" s="17" t="s">
        <v>100</v>
      </c>
      <c r="L45" s="12"/>
      <c r="M45" s="42" t="s">
        <v>56</v>
      </c>
      <c r="N45" s="17">
        <v>1000</v>
      </c>
      <c r="O45" s="17">
        <v>0.15</v>
      </c>
      <c r="P45" s="17">
        <v>0.25</v>
      </c>
      <c r="Q45" s="17">
        <f t="shared" si="20"/>
        <v>250</v>
      </c>
      <c r="R45" s="17">
        <f t="shared" si="21"/>
        <v>0.501</v>
      </c>
      <c r="S45" s="17">
        <f t="shared" si="22"/>
        <v>0.501</v>
      </c>
      <c r="T45" s="17">
        <f t="shared" si="23"/>
        <v>501</v>
      </c>
      <c r="U45" s="12"/>
    </row>
    <row r="46" spans="1:21" ht="28.8">
      <c r="A46" t="s">
        <v>68</v>
      </c>
      <c r="B46" s="2">
        <v>1500</v>
      </c>
      <c r="C46" s="2">
        <f t="shared" si="24"/>
        <v>450</v>
      </c>
      <c r="D46" s="2">
        <f t="shared" ref="D46:D51" si="25">SUM(B46+C46)</f>
        <v>1950</v>
      </c>
      <c r="E46" s="12"/>
      <c r="F46" s="12"/>
      <c r="G46" s="17" t="s">
        <v>112</v>
      </c>
      <c r="H46" s="17" t="s">
        <v>113</v>
      </c>
      <c r="I46" s="17" t="s">
        <v>114</v>
      </c>
      <c r="J46" s="17" t="s">
        <v>115</v>
      </c>
      <c r="K46" s="17" t="s">
        <v>100</v>
      </c>
      <c r="L46" s="12"/>
      <c r="M46" s="42" t="s">
        <v>57</v>
      </c>
      <c r="N46" s="17">
        <v>1000</v>
      </c>
      <c r="O46" s="17">
        <v>0.15</v>
      </c>
      <c r="P46" s="17">
        <v>0.25</v>
      </c>
      <c r="Q46" s="17">
        <f t="shared" si="20"/>
        <v>250</v>
      </c>
      <c r="R46" s="17">
        <f t="shared" si="21"/>
        <v>0.501</v>
      </c>
      <c r="S46" s="17">
        <f t="shared" si="22"/>
        <v>0.501</v>
      </c>
      <c r="T46" s="17">
        <f t="shared" si="23"/>
        <v>501</v>
      </c>
      <c r="U46" s="12"/>
    </row>
    <row r="47" spans="1:21">
      <c r="A47" t="s">
        <v>67</v>
      </c>
      <c r="B47" s="2">
        <v>2000</v>
      </c>
      <c r="C47" s="2">
        <f t="shared" si="24"/>
        <v>600</v>
      </c>
      <c r="D47" s="2">
        <f t="shared" si="25"/>
        <v>2600</v>
      </c>
      <c r="E47" s="12"/>
      <c r="F47" s="12"/>
      <c r="G47" s="17" t="s">
        <v>116</v>
      </c>
      <c r="H47" s="17" t="s">
        <v>117</v>
      </c>
      <c r="I47" s="17" t="s">
        <v>98</v>
      </c>
      <c r="J47" s="17" t="s">
        <v>118</v>
      </c>
      <c r="K47" s="17" t="s">
        <v>119</v>
      </c>
      <c r="L47" s="12"/>
      <c r="M47" s="42" t="s">
        <v>168</v>
      </c>
      <c r="N47" s="17">
        <v>200</v>
      </c>
      <c r="O47" s="17">
        <v>3</v>
      </c>
      <c r="P47" s="17">
        <v>3.5</v>
      </c>
      <c r="Q47" s="17">
        <f t="shared" si="20"/>
        <v>700</v>
      </c>
      <c r="R47" s="17">
        <f t="shared" si="21"/>
        <v>10.02</v>
      </c>
      <c r="S47" s="17">
        <f t="shared" si="22"/>
        <v>10.02</v>
      </c>
      <c r="T47" s="17">
        <f t="shared" si="23"/>
        <v>2004</v>
      </c>
      <c r="U47" s="12"/>
    </row>
    <row r="48" spans="1:21">
      <c r="A48" t="s">
        <v>70</v>
      </c>
      <c r="B48" s="2">
        <v>1400</v>
      </c>
      <c r="C48" s="2">
        <f t="shared" si="24"/>
        <v>420</v>
      </c>
      <c r="D48" s="2">
        <f t="shared" si="25"/>
        <v>1820</v>
      </c>
      <c r="E48" s="12"/>
      <c r="F48" s="12"/>
      <c r="G48" s="17" t="s">
        <v>120</v>
      </c>
      <c r="H48" s="17" t="s">
        <v>121</v>
      </c>
      <c r="I48" s="17" t="s">
        <v>122</v>
      </c>
      <c r="J48" s="17" t="s">
        <v>123</v>
      </c>
      <c r="K48" s="17" t="s">
        <v>100</v>
      </c>
      <c r="L48" s="12"/>
      <c r="M48" s="42" t="s">
        <v>169</v>
      </c>
      <c r="N48" s="17">
        <v>500</v>
      </c>
      <c r="O48" s="17">
        <v>0.25</v>
      </c>
      <c r="P48" s="17">
        <v>0.3</v>
      </c>
      <c r="Q48" s="17">
        <f t="shared" si="20"/>
        <v>150</v>
      </c>
      <c r="R48" s="17">
        <f t="shared" si="21"/>
        <v>0.83499999999999996</v>
      </c>
      <c r="S48" s="17">
        <f t="shared" si="22"/>
        <v>0.83499999999999996</v>
      </c>
      <c r="T48" s="17">
        <f t="shared" si="23"/>
        <v>417.5</v>
      </c>
      <c r="U48" s="12"/>
    </row>
    <row r="49" spans="1:21" ht="28.8">
      <c r="A49" t="s">
        <v>71</v>
      </c>
      <c r="B49" s="2">
        <v>990</v>
      </c>
      <c r="C49" s="2">
        <f t="shared" si="24"/>
        <v>396</v>
      </c>
      <c r="D49" s="2">
        <f t="shared" si="25"/>
        <v>1386</v>
      </c>
      <c r="E49" s="12"/>
      <c r="F49" s="12"/>
      <c r="G49" s="17" t="s">
        <v>124</v>
      </c>
      <c r="H49" s="17" t="s">
        <v>125</v>
      </c>
      <c r="I49" s="17" t="s">
        <v>126</v>
      </c>
      <c r="J49" s="17" t="s">
        <v>127</v>
      </c>
      <c r="K49" s="17" t="s">
        <v>100</v>
      </c>
      <c r="L49" s="12"/>
      <c r="M49" s="42" t="s">
        <v>170</v>
      </c>
      <c r="N49" s="17">
        <v>500</v>
      </c>
      <c r="O49" s="17">
        <v>0.35</v>
      </c>
      <c r="P49" s="17">
        <v>0.45</v>
      </c>
      <c r="Q49" s="17">
        <f t="shared" si="20"/>
        <v>225</v>
      </c>
      <c r="R49" s="17">
        <f t="shared" si="21"/>
        <v>1.1689999999999998</v>
      </c>
      <c r="S49" s="17">
        <f t="shared" si="22"/>
        <v>1.1689999999999998</v>
      </c>
      <c r="T49" s="17">
        <f t="shared" si="23"/>
        <v>584.49999999999989</v>
      </c>
      <c r="U49" s="12"/>
    </row>
    <row r="50" spans="1:21">
      <c r="A50" t="s">
        <v>70</v>
      </c>
      <c r="B50" s="2">
        <v>854</v>
      </c>
      <c r="C50" s="2">
        <f t="shared" si="24"/>
        <v>341.6</v>
      </c>
      <c r="D50" s="2">
        <f t="shared" si="25"/>
        <v>1195.5999999999999</v>
      </c>
      <c r="E50" s="12"/>
      <c r="F50" s="12"/>
      <c r="G50" s="17" t="s">
        <v>128</v>
      </c>
      <c r="H50" s="17" t="s">
        <v>129</v>
      </c>
      <c r="I50" s="17" t="s">
        <v>130</v>
      </c>
      <c r="J50" s="17" t="s">
        <v>131</v>
      </c>
      <c r="K50" s="17" t="s">
        <v>132</v>
      </c>
      <c r="L50" s="12"/>
      <c r="M50" s="42" t="s">
        <v>171</v>
      </c>
      <c r="N50" s="17">
        <v>50</v>
      </c>
      <c r="O50" s="17">
        <v>6</v>
      </c>
      <c r="P50" s="17">
        <v>6.5</v>
      </c>
      <c r="Q50" s="17">
        <f t="shared" si="20"/>
        <v>325</v>
      </c>
      <c r="R50" s="17">
        <f t="shared" si="21"/>
        <v>20.04</v>
      </c>
      <c r="S50" s="17">
        <f t="shared" si="22"/>
        <v>20.04</v>
      </c>
      <c r="T50" s="17">
        <f t="shared" si="23"/>
        <v>1002</v>
      </c>
      <c r="U50" s="12"/>
    </row>
    <row r="51" spans="1:21">
      <c r="A51" t="s">
        <v>71</v>
      </c>
      <c r="B51" s="2">
        <v>1100</v>
      </c>
      <c r="C51" s="2">
        <f t="shared" si="24"/>
        <v>330</v>
      </c>
      <c r="D51" s="2">
        <f t="shared" si="25"/>
        <v>1430</v>
      </c>
      <c r="E51" s="12"/>
      <c r="F51" s="12"/>
      <c r="G51" s="17" t="s">
        <v>68</v>
      </c>
      <c r="H51" s="17" t="s">
        <v>133</v>
      </c>
      <c r="I51" s="17" t="s">
        <v>134</v>
      </c>
      <c r="J51" s="17" t="s">
        <v>135</v>
      </c>
      <c r="K51" s="17" t="s">
        <v>136</v>
      </c>
      <c r="L51" s="12"/>
      <c r="M51" s="42" t="s">
        <v>172</v>
      </c>
      <c r="N51" s="17">
        <v>100</v>
      </c>
      <c r="O51" s="17">
        <v>3.14</v>
      </c>
      <c r="P51" s="17">
        <v>4</v>
      </c>
      <c r="Q51" s="17">
        <f t="shared" si="20"/>
        <v>400</v>
      </c>
      <c r="R51" s="17">
        <f t="shared" si="21"/>
        <v>10.4876</v>
      </c>
      <c r="S51" s="17">
        <f t="shared" si="22"/>
        <v>10.4876</v>
      </c>
      <c r="T51" s="17">
        <f t="shared" si="23"/>
        <v>1048.76</v>
      </c>
      <c r="U51" s="12"/>
    </row>
    <row r="52" spans="1:21">
      <c r="E52" s="12"/>
      <c r="F52" s="12"/>
      <c r="G52" s="17" t="s">
        <v>137</v>
      </c>
      <c r="H52" s="17" t="s">
        <v>138</v>
      </c>
      <c r="I52" s="17" t="s">
        <v>139</v>
      </c>
      <c r="J52" s="17" t="s">
        <v>111</v>
      </c>
      <c r="K52" s="17" t="s">
        <v>100</v>
      </c>
      <c r="L52" s="12"/>
      <c r="M52" s="42" t="s">
        <v>173</v>
      </c>
      <c r="N52" s="17">
        <v>100</v>
      </c>
      <c r="O52" s="17">
        <v>5.68</v>
      </c>
      <c r="P52" s="17">
        <v>6</v>
      </c>
      <c r="Q52" s="17">
        <f t="shared" si="20"/>
        <v>600</v>
      </c>
      <c r="R52" s="17">
        <f t="shared" si="21"/>
        <v>18.9712</v>
      </c>
      <c r="S52" s="17">
        <f t="shared" si="22"/>
        <v>18.9712</v>
      </c>
      <c r="T52" s="17">
        <f t="shared" si="23"/>
        <v>1897.12</v>
      </c>
      <c r="U52" s="12"/>
    </row>
    <row r="53" spans="1:21">
      <c r="A53" t="s">
        <v>72</v>
      </c>
      <c r="B53" s="15">
        <v>0.4</v>
      </c>
      <c r="E53" s="12"/>
      <c r="F53" s="12"/>
      <c r="G53" s="17" t="s">
        <v>140</v>
      </c>
      <c r="H53" s="17" t="s">
        <v>141</v>
      </c>
      <c r="I53" s="17" t="s">
        <v>142</v>
      </c>
      <c r="J53" s="17" t="s">
        <v>103</v>
      </c>
      <c r="K53" s="17" t="s">
        <v>100</v>
      </c>
      <c r="L53" s="12"/>
      <c r="M53" s="42" t="s">
        <v>174</v>
      </c>
      <c r="N53" s="17">
        <f>SUM(N42:N52)</f>
        <v>4450</v>
      </c>
      <c r="O53" s="17">
        <f t="shared" ref="O53:T53" si="26">SUM(O42:O52)</f>
        <v>26.79</v>
      </c>
      <c r="P53" s="17">
        <f t="shared" si="26"/>
        <v>30</v>
      </c>
      <c r="Q53" s="17">
        <f t="shared" si="26"/>
        <v>5365</v>
      </c>
      <c r="R53" s="17">
        <f t="shared" si="26"/>
        <v>89.478599999999986</v>
      </c>
      <c r="S53" s="17">
        <f t="shared" si="26"/>
        <v>145.46534999999997</v>
      </c>
      <c r="T53" s="17">
        <f t="shared" si="26"/>
        <v>32355.414999999994</v>
      </c>
      <c r="U53" s="12"/>
    </row>
    <row r="54" spans="1:21" ht="28.8">
      <c r="A54" t="s">
        <v>73</v>
      </c>
      <c r="B54" s="15">
        <v>0.3</v>
      </c>
      <c r="E54" s="12"/>
      <c r="F54" s="12"/>
      <c r="G54" s="17" t="s">
        <v>143</v>
      </c>
      <c r="H54" s="17" t="s">
        <v>144</v>
      </c>
      <c r="I54" s="17" t="s">
        <v>98</v>
      </c>
      <c r="J54" s="17" t="s">
        <v>145</v>
      </c>
      <c r="K54" s="17" t="s">
        <v>146</v>
      </c>
      <c r="L54" s="12"/>
      <c r="U54" s="12"/>
    </row>
    <row r="55" spans="1:21">
      <c r="A55" s="12"/>
      <c r="B55" s="12"/>
      <c r="C55" s="12"/>
      <c r="D55" s="12"/>
      <c r="E55" s="12"/>
      <c r="F55" s="12"/>
      <c r="G55" s="17" t="s">
        <v>147</v>
      </c>
      <c r="H55" s="17" t="s">
        <v>148</v>
      </c>
      <c r="I55" s="17" t="s">
        <v>149</v>
      </c>
      <c r="J55" s="17" t="s">
        <v>150</v>
      </c>
      <c r="K55" s="17" t="s">
        <v>151</v>
      </c>
      <c r="L55" s="12"/>
      <c r="M55" t="s">
        <v>175</v>
      </c>
      <c r="N55" s="41">
        <v>0.125</v>
      </c>
      <c r="U55" s="12"/>
    </row>
    <row r="56" spans="1:21" ht="28.8">
      <c r="F56" s="12"/>
      <c r="G56" s="17" t="s">
        <v>152</v>
      </c>
      <c r="H56" s="17" t="s">
        <v>153</v>
      </c>
      <c r="I56" s="17" t="s">
        <v>154</v>
      </c>
      <c r="J56" s="17" t="s">
        <v>155</v>
      </c>
      <c r="K56" s="17" t="s">
        <v>156</v>
      </c>
      <c r="L56" s="12"/>
      <c r="U56" s="12"/>
    </row>
    <row r="57" spans="1:21">
      <c r="F57" s="12"/>
      <c r="L57" s="12"/>
      <c r="M57" t="s">
        <v>176</v>
      </c>
      <c r="N57">
        <v>3.34</v>
      </c>
      <c r="U57" s="12"/>
    </row>
    <row r="58" spans="1:21">
      <c r="F58" s="12"/>
      <c r="G58" s="16" t="s">
        <v>63</v>
      </c>
      <c r="H58" s="17" t="s">
        <v>157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>
      <c r="F59" s="12"/>
      <c r="G59" s="16" t="s">
        <v>92</v>
      </c>
      <c r="H59" t="str">
        <f>VLOOKUP(H58, G42:K56, 2, FALSE)</f>
        <v>Rodovia Anhanguera, km 180</v>
      </c>
      <c r="I59" s="17"/>
      <c r="J59" s="17"/>
      <c r="K59" s="17"/>
      <c r="L59" s="12"/>
    </row>
    <row r="60" spans="1:21">
      <c r="F60" s="12"/>
      <c r="G60" s="16" t="s">
        <v>93</v>
      </c>
      <c r="H60" t="str">
        <f>VLOOKUP(H58, G42:K56, 3, FALSE)</f>
        <v>Centro</v>
      </c>
      <c r="L60" s="12"/>
    </row>
    <row r="61" spans="1:21">
      <c r="F61" s="12"/>
      <c r="G61" s="16" t="s">
        <v>94</v>
      </c>
      <c r="H61" t="str">
        <f>VLOOKUP(H58, G42:K56, 4, FALSE)</f>
        <v>Leme</v>
      </c>
      <c r="L61" s="12"/>
    </row>
    <row r="62" spans="1:21">
      <c r="F62" s="12"/>
      <c r="G62" s="16" t="s">
        <v>95</v>
      </c>
      <c r="H62" t="str">
        <f>VLOOKUP(H58, G42:K56, 5, FALSE)</f>
        <v>SP</v>
      </c>
      <c r="L62" s="12"/>
    </row>
    <row r="63" spans="1:21">
      <c r="F63" s="12"/>
      <c r="G63" s="12"/>
      <c r="H63" s="12"/>
      <c r="I63" s="12"/>
      <c r="J63" s="12"/>
      <c r="K63" s="12"/>
      <c r="L63" s="12"/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ECFA-561E-4179-9C91-EC13DFD9BD24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D o R 4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A 6 E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H h a U 8 5 l 7 n Q B A A D l A g A A E w A c A E Z v c m 1 1 b G F z L 1 N l Y 3 R p b 2 4 x L m 0 g o h g A K K A U A A A A A A A A A A A A A A A A A A A A A A A A A A A A d Z H P a g I x E M b v g u 8 w x I v C s r i 0 t X / E g 6 i l Q g 9 C 7 U k 9 j J t R A 9 n M k s T W I j 5 M T 3 2 Q v l i z a t t D m 1 w S f v P N f B 8 T R 7 l X b O D p d G f d e q 1 e c x u 0 J G G C a 2 q 3 O 9 A D T b 5 e g 3 D u 2 X g K Y C J X 6 R S X m l z z X m l K B x U 3 3 j X F 4 G 7 + 7 M i 6 u d u S p v m Q X 4 1 m l G 7 + q J z H d L T L S a e l X I l W A r N x U W o q Q i N W 5 j 2 R p R d i 0 U p O X p V 9 F r y O n v v Z W P b E O Z F Y H G Z D 9 L g 4 K x t i g E v 6 / E C 9 Y Q c T y w W / K M l O h O 5 j y v T I P D 0 Q y p C t e R w d / M + 4 r / V T j h q t 6 3 m 7 p Z 8 E D T F V J U N f e 7 I o + X f c 1 K J x K 7 b F g P W 2 M N O 3 M i w i m i L Z 7 8 V J m I k E f B C D p 5 0 / J L A X 7 d s W j D Q u 2 a I F h F K j U X q D g E t U O 0 6 A Q F L J y o X X t 2 p b w N p + v q 9 U z q E I e Z h s M A j y Y A g F O 1 9 l P Q + 4 + 2 N 4 C n I R 4 Z c R f h X h n Q i / j v C b C L + N 8 K w d K 1 S r H B v f u U y r 7 R 8 O r X p N m f + / r f s F U E s B A i 0 A F A A C A A g A D o R 4 W s P F S M K l A A A A 9 g A A A B I A A A A A A A A A A A A A A A A A A A A A A E N v b m Z p Z y 9 Q Y W N r Y W d l L n h t b F B L A Q I t A B Q A A g A I A A 6 E e F o P y u m r p A A A A O k A A A A T A A A A A A A A A A A A A A A A A P E A A A B b Q 2 9 u d G V u d F 9 U e X B l c 1 0 u e G 1 s U E s B A i 0 A F A A C A A g A D o R 4 W l P O Z e 5 0 A Q A A 5 Q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g 8 A A A A A A A C 8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O T V i M W E 2 L T k 2 O D M t N G E w M S 1 i O D M 3 L W Q w M T h h Z W Y x Z j Z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F Q x O T o z M T o 1 N y 4 x N j M 4 M j I 4 W i I g L z 4 8 R W 5 0 c n k g V H l w Z T 0 i R m l s b E N v b H V t b l R 5 c G V z I i B W Y W x 1 Z T 0 i c 0 J n W U d C Z 1 l H Q m d Z R 0 J n T T 0 i I C 8 + P E V u d H J 5 I F R 5 c G U 9 I k Z p b G x D b 2 x 1 b W 5 O Y W 1 l c y I g V m F s d W U 9 I n N b J n F 1 b 3 Q 7 Q 2 9 s d W 1 u M S Z x d W 9 0 O y w m c X V v d D s w O S k g R W x h Y m 9 y Y X I g Y S B w b G F u a W x o Y S B h Y m F p e G 8 s I G U g Z G V w b 2 l z L C B l b G F i b 3 J h c i B 1 b S B n c s O h Z m l j b y B k Z S B j b 2 x 1 b m F z L C B j b 2 1 v I G 1 v c 3 R y Y W R v I G F i Y W l 4 b z o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F 1 d G 9 S Z W 1 v d m V k Q 2 9 s d W 1 u c z E u e 0 N v b H V t b j E s M H 0 m c X V v d D s s J n F 1 b 3 Q 7 U 2 V j d G l v b j E v U G F n Z T A w N i 9 B d X R v U m V t b 3 Z l Z E N v b H V t b n M x L n s w O S k g R W x h Y m 9 y Y X I g Y S B w b G F u a W x o Y S B h Y m F p e G 8 s I G U g Z G V w b 2 l z L C B l b G F i b 3 J h c i B 1 b S B n c s O h Z m l j b y B k Z S B j b 2 x 1 b m F z L C B j b 2 1 v I G 1 v c 3 R y Y W R v I G F i Y W l 4 b z o s M X 0 m c X V v d D s s J n F 1 b 3 Q 7 U 2 V j d G l v b j E v U G F n Z T A w N i 9 B d X R v U m V t b 3 Z l Z E N v b H V t b n M x L n t D b 2 x 1 b W 4 z L D J 9 J n F 1 b 3 Q 7 L C Z x d W 9 0 O 1 N l Y 3 R p b 2 4 x L 1 B h Z 2 U w M D Y v Q X V 0 b 1 J l b W 9 2 Z W R D b 2 x 1 b W 5 z M S 5 7 Q 2 9 s d W 1 u N C w z f S Z x d W 9 0 O y w m c X V v d D t T Z W N 0 a W 9 u M S 9 Q Y W d l M D A 2 L 0 F 1 d G 9 S Z W 1 v d m V k Q 2 9 s d W 1 u c z E u e 0 N v b H V t b j U s N H 0 m c X V v d D s s J n F 1 b 3 Q 7 U 2 V j d G l v b j E v U G F n Z T A w N i 9 B d X R v U m V t b 3 Z l Z E N v b H V t b n M x L n t D b 2 x 1 b W 4 2 L D V 9 J n F 1 b 3 Q 7 L C Z x d W 9 0 O 1 N l Y 3 R p b 2 4 x L 1 B h Z 2 U w M D Y v Q X V 0 b 1 J l b W 9 2 Z W R D b 2 x 1 b W 5 z M S 5 7 Q 2 9 s d W 1 u N y w 2 f S Z x d W 9 0 O y w m c X V v d D t T Z W N 0 a W 9 u M S 9 Q Y W d l M D A 2 L 0 F 1 d G 9 S Z W 1 v d m V k Q 2 9 s d W 1 u c z E u e 0 N v b H V t b j g s N 3 0 m c X V v d D s s J n F 1 b 3 Q 7 U 2 V j d G l v b j E v U G F n Z T A w N i 9 B d X R v U m V t b 3 Z l Z E N v b H V t b n M x L n t D b 2 x 1 b W 4 5 L D h 9 J n F 1 b 3 Q 7 L C Z x d W 9 0 O 1 N l Y 3 R p b 2 4 x L 1 B h Z 2 U w M D Y v Q X V 0 b 1 J l b W 9 2 Z W R D b 2 x 1 b W 5 z M S 5 7 Q 2 9 s d W 1 u M T A s O X 0 m c X V v d D s s J n F 1 b 3 Q 7 U 2 V j d G l v b j E v U G F n Z T A w N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D Y v Q X V 0 b 1 J l b W 9 2 Z W R D b 2 x 1 b W 5 z M S 5 7 Q 2 9 s d W 1 u M S w w f S Z x d W 9 0 O y w m c X V v d D t T Z W N 0 a W 9 u M S 9 Q Y W d l M D A 2 L 0 F 1 d G 9 S Z W 1 v d m V k Q 2 9 s d W 1 u c z E u e z A 5 K S B F b G F i b 3 J h c i B h I H B s Y W 5 p b G h h I G F i Y W l 4 b y w g Z S B k Z X B v a X M s I G V s Y W J v c m F y I H V t I G d y w 6 F m a W N v I G R l I G N v b H V u Y X M s I G N v b W 8 g b W 9 z d H J h Z G 8 g Y W J h a X h v O i w x f S Z x d W 9 0 O y w m c X V v d D t T Z W N 0 a W 9 u M S 9 Q Y W d l M D A 2 L 0 F 1 d G 9 S Z W 1 v d m V k Q 2 9 s d W 1 u c z E u e 0 N v b H V t b j M s M n 0 m c X V v d D s s J n F 1 b 3 Q 7 U 2 V j d G l v b j E v U G F n Z T A w N i 9 B d X R v U m V t b 3 Z l Z E N v b H V t b n M x L n t D b 2 x 1 b W 4 0 L D N 9 J n F 1 b 3 Q 7 L C Z x d W 9 0 O 1 N l Y 3 R p b 2 4 x L 1 B h Z 2 U w M D Y v Q X V 0 b 1 J l b W 9 2 Z W R D b 2 x 1 b W 5 z M S 5 7 Q 2 9 s d W 1 u N S w 0 f S Z x d W 9 0 O y w m c X V v d D t T Z W N 0 a W 9 u M S 9 Q Y W d l M D A 2 L 0 F 1 d G 9 S Z W 1 v d m V k Q 2 9 s d W 1 u c z E u e 0 N v b H V t b j Y s N X 0 m c X V v d D s s J n F 1 b 3 Q 7 U 2 V j d G l v b j E v U G F n Z T A w N i 9 B d X R v U m V t b 3 Z l Z E N v b H V t b n M x L n t D b 2 x 1 b W 4 3 L D Z 9 J n F 1 b 3 Q 7 L C Z x d W 9 0 O 1 N l Y 3 R p b 2 4 x L 1 B h Z 2 U w M D Y v Q X V 0 b 1 J l b W 9 2 Z W R D b 2 x 1 b W 5 z M S 5 7 Q 2 9 s d W 1 u O C w 3 f S Z x d W 9 0 O y w m c X V v d D t T Z W N 0 a W 9 u M S 9 Q Y W d l M D A 2 L 0 F 1 d G 9 S Z W 1 v d m V k Q 2 9 s d W 1 u c z E u e 0 N v b H V t b j k s O H 0 m c X V v d D s s J n F 1 b 3 Q 7 U 2 V j d G l v b j E v U G F n Z T A w N i 9 B d X R v U m V t b 3 Z l Z E N v b H V t b n M x L n t D b 2 x 1 b W 4 x M C w 5 f S Z x d W 9 0 O y w m c X V v d D t T Z W N 0 a W 9 u M S 9 Q Y W d l M D A 2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2 i J m / n M A Q 7 y L x I d L I z b s A A A A A A I A A A A A A B B m A A A A A Q A A I A A A A L U S h 4 V r Y D o I H p h S T s m A B M S u c n a l n d l F I i s 9 r / M q V d N I A A A A A A 6 A A A A A A g A A I A A A A K J t 1 B 3 9 f r x p f Z r X k s S 3 G 4 9 + O n g 0 l S / 5 o r X N O m p C s F E 6 U A A A A D g W G 4 7 Q 2 r + q O U l 5 O A 2 5 B 9 o s R E J g n 2 D T X v v S x J M 8 + j q M F E q 2 t u J r j R U h e G g g j s l J P H o 3 M x h X F Q m q U 6 n n t I 7 f N r / C z 4 1 X 6 n y + e N 3 X P 7 s x J t M r Q A A A A P v D G 6 j N 4 4 3 O y o P 5 9 C t C u n X r o u k D E f y 2 4 1 Q r 7 l Z y Y J T t N e / R u w e G 6 I / y j I 7 S g v Y 7 C B t t k s U o w Y Z Y D 0 w m 9 J 0 v 3 H g = < / D a t a M a s h u p > 
</file>

<file path=customXml/itemProps1.xml><?xml version="1.0" encoding="utf-8"?>
<ds:datastoreItem xmlns:ds="http://schemas.openxmlformats.org/officeDocument/2006/customXml" ds:itemID="{100C3735-2C42-4230-8AD6-2C2636ECA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1º Trimestre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HIGOR CASTRO.TADS020</cp:lastModifiedBy>
  <dcterms:created xsi:type="dcterms:W3CDTF">2025-03-24T17:51:48Z</dcterms:created>
  <dcterms:modified xsi:type="dcterms:W3CDTF">2025-03-25T23:35:52Z</dcterms:modified>
</cp:coreProperties>
</file>