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customProperty"/>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028"/>
  <workbookPr checkCompatibility="1" autoCompressPictures="0"/>
  <bookViews>
    <workbookView xWindow="0" yWindow="0" windowWidth="28740" windowHeight="15900" tabRatio="788" activeTab="5"/>
  </bookViews>
  <sheets>
    <sheet name="Jan" sheetId="14" r:id="rId1"/>
    <sheet name="Feb" sheetId="19" r:id="rId2"/>
    <sheet name="Mar" sheetId="20" r:id="rId3"/>
    <sheet name="Apr" sheetId="22" r:id="rId4"/>
    <sheet name="May" sheetId="24" r:id="rId5"/>
    <sheet name="Jun" sheetId="25" r:id="rId6"/>
    <sheet name="Jul" sheetId="26" r:id="rId7"/>
    <sheet name="Aug" sheetId="32" r:id="rId8"/>
    <sheet name="Sep" sheetId="28" r:id="rId9"/>
    <sheet name="Oct" sheetId="29" r:id="rId10"/>
    <sheet name="Nov" sheetId="30" r:id="rId11"/>
    <sheet name="Dec" sheetId="31" r:id="rId12"/>
    <sheet name="Lookup List" sheetId="15" r:id="rId13"/>
    <sheet name="Sheet1" sheetId="33" r:id="rId14"/>
  </sheets>
  <definedNames>
    <definedName name="AprSun1">DATE(CalendarYear,4,1)-WEEKDAY(DATE(CalendarYear,4,1))+1</definedName>
    <definedName name="AugSun1">DATE(CalendarYear,8,1)-WEEKDAY(DATE(CalendarYear,8,1))+1</definedName>
    <definedName name="CalendarYear">Jan!$K$1</definedName>
    <definedName name="DecSun1">DATE(CalendarYear,12,1)-WEEKDAY(DATE(CalendarYear,12,1))+1</definedName>
    <definedName name="FebSun1">DATE(CalendarYear,2,1)-WEEKDAY(DATE(CalendarYear,2,1))+1</definedName>
    <definedName name="JanSun1">DATE(CalendarYear,1,1)-WEEKDAY(DATE(CalendarYear,1,1))+1</definedName>
    <definedName name="JulSun1">DATE(CalendarYear,7,1)-WEEKDAY(DATE(CalendarYear,7,1))+1</definedName>
    <definedName name="JunSun1">DATE(CalendarYear,6,1)-WEEKDAY(DATE(CalendarYear,6,1))+1</definedName>
    <definedName name="MarSun1">DATE(CalendarYear,3,1)-WEEKDAY(DATE(CalendarYear,3,1))+1</definedName>
    <definedName name="MaySun1">DATE(CalendarYear,5,1)-WEEKDAY(DATE(CalendarYear,5,1))+1</definedName>
    <definedName name="NovSun1">DATE(CalendarYear,11,1)-WEEKDAY(DATE(CalendarYear,11,1))+1</definedName>
    <definedName name="OctSun1">DATE(CalendarYear,10,1)-WEEKDAY(DATE(CalendarYear,10,1))+1</definedName>
    <definedName name="_xlnm.Print_Area" localSheetId="0">Jan!$A$1:$H$14</definedName>
    <definedName name="SepSun1">DATE(CalendarYear,9,1)-WEEKDAY(DATE(CalendarYear,9,1))+1</definedName>
    <definedName name="Year">YearLookup[]</definedName>
  </definedNames>
  <calcPr calcId="140001" concurrentCalc="0"/>
  <webPublishing allowPng="1" targetScreenSize="1024x768" dpi="72" codePage="10000"/>
  <extLst>
    <ext xmlns:mx="http://schemas.microsoft.com/office/mac/excel/2008/main" uri="{7523E5D3-25F3-A5E0-1632-64F254C22452}">
      <mx:AutoWeb TWS="4" Flags="0" Path="Macintosh HD:Users:alisonfox:Documents:Websites:acme_w3css:team_website:FIL Publishing Calendar.htm" Sheet="Jun">
        <f>B1:H34</f>
      </mx:AutoWeb>
      <mx:CRTarget Flags="8192"/>
      <mx:ArchID Flags="2"/>
    </ext>
  </extLst>
</workbook>
</file>

<file path=xl/calcChain.xml><?xml version="1.0" encoding="utf-8"?>
<calcChain xmlns="http://schemas.openxmlformats.org/spreadsheetml/2006/main">
  <c r="E24" i="25" l="1"/>
  <c r="E31" i="25"/>
  <c r="G12" i="25"/>
  <c r="G23" i="25"/>
  <c r="F18" i="25"/>
  <c r="G19" i="25"/>
  <c r="F26" i="25"/>
  <c r="G31" i="25"/>
  <c r="G28" i="25"/>
  <c r="F29" i="25"/>
  <c r="F28" i="25"/>
  <c r="B27" i="25"/>
  <c r="C27" i="25"/>
  <c r="D27" i="25"/>
  <c r="E27" i="25"/>
  <c r="F27" i="25"/>
  <c r="G27" i="25"/>
  <c r="H27" i="25"/>
  <c r="F8" i="25"/>
  <c r="C13" i="32"/>
  <c r="B13" i="32"/>
  <c r="H11" i="32"/>
  <c r="G11" i="32"/>
  <c r="F11" i="32"/>
  <c r="E11" i="32"/>
  <c r="D11" i="32"/>
  <c r="C11" i="32"/>
  <c r="B11" i="32"/>
  <c r="H9" i="32"/>
  <c r="G9" i="32"/>
  <c r="F9" i="32"/>
  <c r="E9" i="32"/>
  <c r="D9" i="32"/>
  <c r="C9" i="32"/>
  <c r="B9" i="32"/>
  <c r="H7" i="32"/>
  <c r="G7" i="32"/>
  <c r="F7" i="32"/>
  <c r="E7" i="32"/>
  <c r="D7" i="32"/>
  <c r="C7" i="32"/>
  <c r="B7" i="32"/>
  <c r="H5" i="32"/>
  <c r="G5" i="32"/>
  <c r="F5" i="32"/>
  <c r="E5" i="32"/>
  <c r="D5" i="32"/>
  <c r="C5" i="32"/>
  <c r="B5" i="32"/>
  <c r="H3" i="32"/>
  <c r="G3" i="32"/>
  <c r="F3" i="32"/>
  <c r="E3" i="32"/>
  <c r="D3" i="32"/>
  <c r="C3" i="32"/>
  <c r="B3" i="32"/>
  <c r="B1" i="32"/>
  <c r="B1" i="28"/>
  <c r="C13" i="31"/>
  <c r="B13" i="31"/>
  <c r="H11" i="31"/>
  <c r="G11" i="31"/>
  <c r="F11" i="31"/>
  <c r="E11" i="31"/>
  <c r="D11" i="31"/>
  <c r="C11" i="31"/>
  <c r="B11" i="31"/>
  <c r="H9" i="31"/>
  <c r="G9" i="31"/>
  <c r="F9" i="31"/>
  <c r="E9" i="31"/>
  <c r="D9" i="31"/>
  <c r="C9" i="31"/>
  <c r="B9" i="31"/>
  <c r="H7" i="31"/>
  <c r="G7" i="31"/>
  <c r="F7" i="31"/>
  <c r="E7" i="31"/>
  <c r="D7" i="31"/>
  <c r="C7" i="31"/>
  <c r="B7" i="31"/>
  <c r="H5" i="31"/>
  <c r="G5" i="31"/>
  <c r="F5" i="31"/>
  <c r="E5" i="31"/>
  <c r="D5" i="31"/>
  <c r="C5" i="31"/>
  <c r="B5" i="31"/>
  <c r="H3" i="31"/>
  <c r="G3" i="31"/>
  <c r="F3" i="31"/>
  <c r="E3" i="31"/>
  <c r="D3" i="31"/>
  <c r="C3" i="31"/>
  <c r="B3" i="31"/>
  <c r="B1" i="31"/>
  <c r="B13" i="30"/>
  <c r="H11" i="30"/>
  <c r="G11" i="30"/>
  <c r="F11" i="30"/>
  <c r="E11" i="30"/>
  <c r="D11" i="30"/>
  <c r="C11" i="30"/>
  <c r="B11" i="30"/>
  <c r="H9" i="30"/>
  <c r="G9" i="30"/>
  <c r="F9" i="30"/>
  <c r="E9" i="30"/>
  <c r="D9" i="30"/>
  <c r="C9" i="30"/>
  <c r="B9" i="30"/>
  <c r="H7" i="30"/>
  <c r="G7" i="30"/>
  <c r="F7" i="30"/>
  <c r="E7" i="30"/>
  <c r="D7" i="30"/>
  <c r="C7" i="30"/>
  <c r="B7" i="30"/>
  <c r="H5" i="30"/>
  <c r="G5" i="30"/>
  <c r="F5" i="30"/>
  <c r="E5" i="30"/>
  <c r="D5" i="30"/>
  <c r="C5" i="30"/>
  <c r="B5" i="30"/>
  <c r="H3" i="30"/>
  <c r="G3" i="30"/>
  <c r="F3" i="30"/>
  <c r="E3" i="30"/>
  <c r="D3" i="30"/>
  <c r="C3" i="30"/>
  <c r="B3" i="30"/>
  <c r="B1" i="30"/>
  <c r="C13" i="29"/>
  <c r="B13" i="29"/>
  <c r="H11" i="29"/>
  <c r="G11" i="29"/>
  <c r="F11" i="29"/>
  <c r="E11" i="29"/>
  <c r="D11" i="29"/>
  <c r="C11" i="29"/>
  <c r="B11" i="29"/>
  <c r="H9" i="29"/>
  <c r="G9" i="29"/>
  <c r="F9" i="29"/>
  <c r="E9" i="29"/>
  <c r="D9" i="29"/>
  <c r="C9" i="29"/>
  <c r="B9" i="29"/>
  <c r="H7" i="29"/>
  <c r="G7" i="29"/>
  <c r="F7" i="29"/>
  <c r="E7" i="29"/>
  <c r="D7" i="29"/>
  <c r="C7" i="29"/>
  <c r="B7" i="29"/>
  <c r="H5" i="29"/>
  <c r="G5" i="29"/>
  <c r="F5" i="29"/>
  <c r="E5" i="29"/>
  <c r="D5" i="29"/>
  <c r="C5" i="29"/>
  <c r="B5" i="29"/>
  <c r="H3" i="29"/>
  <c r="G3" i="29"/>
  <c r="F3" i="29"/>
  <c r="E3" i="29"/>
  <c r="D3" i="29"/>
  <c r="C3" i="29"/>
  <c r="B3" i="29"/>
  <c r="B1" i="29"/>
  <c r="B13" i="28"/>
  <c r="H11" i="28"/>
  <c r="G11" i="28"/>
  <c r="F11" i="28"/>
  <c r="E11" i="28"/>
  <c r="D11" i="28"/>
  <c r="C11" i="28"/>
  <c r="B11" i="28"/>
  <c r="H9" i="28"/>
  <c r="G9" i="28"/>
  <c r="F9" i="28"/>
  <c r="E9" i="28"/>
  <c r="D9" i="28"/>
  <c r="C9" i="28"/>
  <c r="B9" i="28"/>
  <c r="H7" i="28"/>
  <c r="G7" i="28"/>
  <c r="F7" i="28"/>
  <c r="E7" i="28"/>
  <c r="D7" i="28"/>
  <c r="C7" i="28"/>
  <c r="B7" i="28"/>
  <c r="H5" i="28"/>
  <c r="G5" i="28"/>
  <c r="F5" i="28"/>
  <c r="E5" i="28"/>
  <c r="D5" i="28"/>
  <c r="C5" i="28"/>
  <c r="B5" i="28"/>
  <c r="H3" i="28"/>
  <c r="G3" i="28"/>
  <c r="F3" i="28"/>
  <c r="E3" i="28"/>
  <c r="D3" i="28"/>
  <c r="C3" i="28"/>
  <c r="B3" i="28"/>
  <c r="C32" i="26"/>
  <c r="B32" i="26"/>
  <c r="H26" i="26"/>
  <c r="G26" i="26"/>
  <c r="F26" i="26"/>
  <c r="E26" i="26"/>
  <c r="D26" i="26"/>
  <c r="C26" i="26"/>
  <c r="B26" i="26"/>
  <c r="H20" i="26"/>
  <c r="G20" i="26"/>
  <c r="F20" i="26"/>
  <c r="E20" i="26"/>
  <c r="D20" i="26"/>
  <c r="C20" i="26"/>
  <c r="B20" i="26"/>
  <c r="H14" i="26"/>
  <c r="G14" i="26"/>
  <c r="F14" i="26"/>
  <c r="E14" i="26"/>
  <c r="D14" i="26"/>
  <c r="C14" i="26"/>
  <c r="B14" i="26"/>
  <c r="H8" i="26"/>
  <c r="G8" i="26"/>
  <c r="F8" i="26"/>
  <c r="E8" i="26"/>
  <c r="D8" i="26"/>
  <c r="C8" i="26"/>
  <c r="B8" i="26"/>
  <c r="H3" i="26"/>
  <c r="G3" i="26"/>
  <c r="F3" i="26"/>
  <c r="E3" i="26"/>
  <c r="D3" i="26"/>
  <c r="C3" i="26"/>
  <c r="B3" i="26"/>
  <c r="B1" i="26"/>
  <c r="B33" i="25"/>
  <c r="H21" i="25"/>
  <c r="G21" i="25"/>
  <c r="F21" i="25"/>
  <c r="E21" i="25"/>
  <c r="D21" i="25"/>
  <c r="C21" i="25"/>
  <c r="B21" i="25"/>
  <c r="H15" i="25"/>
  <c r="G15" i="25"/>
  <c r="F15" i="25"/>
  <c r="E15" i="25"/>
  <c r="D15" i="25"/>
  <c r="C15" i="25"/>
  <c r="B15" i="25"/>
  <c r="H9" i="25"/>
  <c r="G9" i="25"/>
  <c r="F9" i="25"/>
  <c r="E9" i="25"/>
  <c r="D9" i="25"/>
  <c r="C9" i="25"/>
  <c r="B9" i="25"/>
  <c r="H3" i="25"/>
  <c r="G3" i="25"/>
  <c r="F3" i="25"/>
  <c r="E3" i="25"/>
  <c r="D3" i="25"/>
  <c r="C3" i="25"/>
  <c r="B3" i="25"/>
  <c r="B1" i="25"/>
  <c r="C13" i="24"/>
  <c r="B13" i="24"/>
  <c r="H11" i="24"/>
  <c r="G11" i="24"/>
  <c r="F11" i="24"/>
  <c r="E11" i="24"/>
  <c r="D11" i="24"/>
  <c r="C11" i="24"/>
  <c r="B11" i="24"/>
  <c r="H9" i="24"/>
  <c r="G9" i="24"/>
  <c r="F9" i="24"/>
  <c r="E9" i="24"/>
  <c r="D9" i="24"/>
  <c r="C9" i="24"/>
  <c r="B9" i="24"/>
  <c r="H7" i="24"/>
  <c r="G7" i="24"/>
  <c r="F7" i="24"/>
  <c r="E7" i="24"/>
  <c r="D7" i="24"/>
  <c r="C7" i="24"/>
  <c r="B7" i="24"/>
  <c r="H5" i="24"/>
  <c r="G5" i="24"/>
  <c r="F5" i="24"/>
  <c r="E5" i="24"/>
  <c r="D5" i="24"/>
  <c r="C5" i="24"/>
  <c r="B5" i="24"/>
  <c r="H3" i="24"/>
  <c r="G3" i="24"/>
  <c r="F3" i="24"/>
  <c r="E3" i="24"/>
  <c r="D3" i="24"/>
  <c r="C3" i="24"/>
  <c r="B3" i="24"/>
  <c r="B1" i="24"/>
  <c r="B13" i="22"/>
  <c r="H11" i="22"/>
  <c r="G11" i="22"/>
  <c r="F11" i="22"/>
  <c r="E11" i="22"/>
  <c r="D11" i="22"/>
  <c r="C11" i="22"/>
  <c r="B11" i="22"/>
  <c r="H9" i="22"/>
  <c r="G9" i="22"/>
  <c r="F9" i="22"/>
  <c r="E9" i="22"/>
  <c r="D9" i="22"/>
  <c r="C9" i="22"/>
  <c r="B9" i="22"/>
  <c r="H7" i="22"/>
  <c r="G7" i="22"/>
  <c r="F7" i="22"/>
  <c r="E7" i="22"/>
  <c r="D7" i="22"/>
  <c r="C7" i="22"/>
  <c r="B7" i="22"/>
  <c r="H5" i="22"/>
  <c r="G5" i="22"/>
  <c r="F5" i="22"/>
  <c r="E5" i="22"/>
  <c r="D5" i="22"/>
  <c r="C5" i="22"/>
  <c r="B5" i="22"/>
  <c r="H3" i="22"/>
  <c r="G3" i="22"/>
  <c r="F3" i="22"/>
  <c r="E3" i="22"/>
  <c r="D3" i="22"/>
  <c r="C3" i="22"/>
  <c r="B3" i="22"/>
  <c r="B1" i="22"/>
  <c r="H11" i="19"/>
  <c r="G11" i="19"/>
  <c r="F11" i="19"/>
  <c r="E11" i="19"/>
  <c r="D11" i="19"/>
  <c r="C11" i="19"/>
  <c r="B11" i="19"/>
  <c r="H9" i="19"/>
  <c r="G9" i="19"/>
  <c r="F9" i="19"/>
  <c r="E9" i="19"/>
  <c r="D9" i="19"/>
  <c r="C9" i="19"/>
  <c r="B9" i="19"/>
  <c r="H7" i="19"/>
  <c r="G7" i="19"/>
  <c r="F7" i="19"/>
  <c r="E7" i="19"/>
  <c r="D7" i="19"/>
  <c r="C7" i="19"/>
  <c r="B7" i="19"/>
  <c r="H5" i="19"/>
  <c r="G5" i="19"/>
  <c r="F5" i="19"/>
  <c r="E5" i="19"/>
  <c r="D5" i="19"/>
  <c r="C5" i="19"/>
  <c r="B5" i="19"/>
  <c r="H3" i="19"/>
  <c r="G3" i="19"/>
  <c r="F3" i="19"/>
  <c r="E3" i="19"/>
  <c r="D3" i="19"/>
  <c r="C3" i="19"/>
  <c r="B3" i="19"/>
  <c r="C13" i="20"/>
  <c r="B13" i="20"/>
  <c r="H11" i="20"/>
  <c r="G11" i="20"/>
  <c r="F11" i="20"/>
  <c r="E11" i="20"/>
  <c r="D11" i="20"/>
  <c r="C11" i="20"/>
  <c r="B11" i="20"/>
  <c r="H9" i="20"/>
  <c r="G9" i="20"/>
  <c r="F9" i="20"/>
  <c r="E9" i="20"/>
  <c r="D9" i="20"/>
  <c r="C9" i="20"/>
  <c r="B9" i="20"/>
  <c r="H7" i="20"/>
  <c r="G7" i="20"/>
  <c r="F7" i="20"/>
  <c r="E7" i="20"/>
  <c r="D7" i="20"/>
  <c r="C7" i="20"/>
  <c r="B7" i="20"/>
  <c r="H5" i="20"/>
  <c r="G5" i="20"/>
  <c r="F5" i="20"/>
  <c r="E5" i="20"/>
  <c r="D5" i="20"/>
  <c r="C5" i="20"/>
  <c r="B5" i="20"/>
  <c r="H3" i="20"/>
  <c r="G3" i="20"/>
  <c r="F3" i="20"/>
  <c r="E3" i="20"/>
  <c r="D3" i="20"/>
  <c r="C3" i="20"/>
  <c r="B3" i="20"/>
  <c r="B1" i="20"/>
  <c r="B1" i="19"/>
  <c r="C13" i="14"/>
  <c r="B13" i="14"/>
  <c r="H11" i="14"/>
  <c r="G11" i="14"/>
  <c r="F11" i="14"/>
  <c r="E11" i="14"/>
  <c r="D11" i="14"/>
  <c r="C11" i="14"/>
  <c r="B11" i="14"/>
  <c r="H9" i="14"/>
  <c r="G9" i="14"/>
  <c r="F9" i="14"/>
  <c r="E9" i="14"/>
  <c r="D9" i="14"/>
  <c r="B9" i="14"/>
  <c r="C9" i="14"/>
  <c r="H7" i="14"/>
  <c r="G7" i="14"/>
  <c r="F7" i="14"/>
  <c r="E7" i="14"/>
  <c r="D7" i="14"/>
  <c r="C7" i="14"/>
  <c r="B7" i="14"/>
  <c r="H5" i="14"/>
  <c r="G5" i="14"/>
  <c r="F5" i="14"/>
  <c r="E5" i="14"/>
  <c r="D5" i="14"/>
  <c r="C5" i="14"/>
  <c r="B5" i="14"/>
  <c r="F3" i="14"/>
  <c r="B3" i="14"/>
  <c r="H3" i="14"/>
  <c r="G3" i="14"/>
  <c r="E3" i="14"/>
  <c r="D3" i="14"/>
  <c r="C3" i="14"/>
  <c r="B1" i="14"/>
</calcChain>
</file>

<file path=xl/comments1.xml><?xml version="1.0" encoding="utf-8"?>
<comments xmlns="http://schemas.openxmlformats.org/spreadsheetml/2006/main">
  <authors>
    <author xml:space="preserve">   </author>
  </authors>
  <commentList>
    <comment ref="J4" authorId="0">
      <text>
        <r>
          <rPr>
            <b/>
            <sz val="9"/>
            <color indexed="81"/>
            <rFont val="Geneva"/>
          </rPr>
          <t>When you click in the cell that displays the year above, you see a pop-up list of years from which to select. When you make a selection, the calendar sheets for all months in this workbook automatically update.
To change the available years in that list, see the Lookup List sheet.
Note: Formulas exist in all cells that display dates as well as those that appear blank within the calendar cells of rows that contain date values, in order for the calendar to update automatically.  If you manually change the text in those cells, the calendar will no longer be able to update automatically.
You can, however, type text in the taller cells beneath each date cell, such as where you see 'Sample text' written in the first available taller cell in this calendar.</t>
        </r>
      </text>
    </comment>
    <comment ref="J11" authorId="0">
      <text>
        <r>
          <rPr>
            <b/>
            <sz val="9"/>
            <color indexed="81"/>
            <rFont val="Geneva"/>
          </rPr>
          <t>Easily apply your own look to this calendar. This template is formatted using themes that enable you to apply fonts, colors, and graphic formatting effects throughout the workbook with just a click.
Find themes on the Home tab, in the Themes group. Select from dozens of built-in themes available in the Themes gallery or find options to change just the theme fonts or theme colors.</t>
        </r>
      </text>
    </comment>
  </commentList>
</comments>
</file>

<file path=xl/comments2.xml><?xml version="1.0" encoding="utf-8"?>
<comments xmlns="http://schemas.openxmlformats.org/spreadsheetml/2006/main">
  <authors>
    <author xml:space="preserve">   </author>
  </authors>
  <commentList>
    <comment ref="C4" authorId="0">
      <text>
        <r>
          <rPr>
            <b/>
            <sz val="9"/>
            <color indexed="81"/>
            <rFont val="Geneva"/>
          </rPr>
          <t>This list populates the options that appear in the pop-up list for the year on the January sheet. To add additional years, begin typing in the cell directly beneath the last existing entry and the list will automatically expand.</t>
        </r>
      </text>
    </comment>
  </commentList>
</comments>
</file>

<file path=xl/sharedStrings.xml><?xml version="1.0" encoding="utf-8"?>
<sst xmlns="http://schemas.openxmlformats.org/spreadsheetml/2006/main" count="183" uniqueCount="89">
  <si>
    <t>Sunday</t>
  </si>
  <si>
    <t>Monday</t>
  </si>
  <si>
    <t>Tuesday</t>
  </si>
  <si>
    <t>Wednesday</t>
  </si>
  <si>
    <t>Thursday</t>
  </si>
  <si>
    <t>Friday</t>
  </si>
  <si>
    <t>Saturday</t>
  </si>
  <si>
    <t>Year</t>
  </si>
  <si>
    <t>Notes:</t>
  </si>
  <si>
    <t>Notes</t>
  </si>
  <si>
    <t>Select
Year:</t>
  </si>
  <si>
    <t>Sample text.</t>
  </si>
  <si>
    <t>First Name</t>
  </si>
  <si>
    <t>Last Name</t>
  </si>
  <si>
    <t>Group Member</t>
  </si>
  <si>
    <t>Street 1</t>
  </si>
  <si>
    <t>Street 2</t>
  </si>
  <si>
    <t>Street 3</t>
  </si>
  <si>
    <t>City</t>
  </si>
  <si>
    <t>State</t>
  </si>
  <si>
    <t>Zip</t>
  </si>
  <si>
    <t>Alan</t>
  </si>
  <si>
    <t>Womack</t>
  </si>
  <si>
    <t>Yes</t>
  </si>
  <si>
    <t>13223 Black Mountain Rd.</t>
  </si>
  <si>
    <t>Addison</t>
  </si>
  <si>
    <t>CA</t>
  </si>
  <si>
    <t>Doug</t>
  </si>
  <si>
    <t>Parent</t>
  </si>
  <si>
    <t xml:space="preserve">400 Pacific Ave Ground Floor </t>
  </si>
  <si>
    <t>Albany</t>
  </si>
  <si>
    <t>NY</t>
  </si>
  <si>
    <t>Graham</t>
  </si>
  <si>
    <t>McClelland</t>
  </si>
  <si>
    <t>1800 Grant St.</t>
  </si>
  <si>
    <t>Ashville</t>
  </si>
  <si>
    <t>WY</t>
  </si>
  <si>
    <t>95111-2704</t>
  </si>
  <si>
    <t>AM</t>
  </si>
  <si>
    <t>White</t>
  </si>
  <si>
    <t>633 Battery St</t>
  </si>
  <si>
    <t>Atlanta</t>
  </si>
  <si>
    <t>GA</t>
  </si>
  <si>
    <t>Chuck</t>
  </si>
  <si>
    <t>Schulze</t>
  </si>
  <si>
    <t>6045 Madbury Court</t>
  </si>
  <si>
    <t>Austin</t>
  </si>
  <si>
    <t>TX</t>
  </si>
  <si>
    <t>Leonard</t>
  </si>
  <si>
    <t>Kieran</t>
  </si>
  <si>
    <t>9594 1st Ave NE</t>
  </si>
  <si>
    <t>#390</t>
  </si>
  <si>
    <t>Bloomfield</t>
  </si>
  <si>
    <t>MA</t>
  </si>
  <si>
    <t xml:space="preserve">Alan </t>
  </si>
  <si>
    <t>Williams</t>
  </si>
  <si>
    <t>609 E Liberty</t>
  </si>
  <si>
    <t>Boston</t>
  </si>
  <si>
    <t>99207-2857</t>
  </si>
  <si>
    <t xml:space="preserve">Lonn </t>
  </si>
  <si>
    <t>Isaacs</t>
  </si>
  <si>
    <t>38 York St</t>
  </si>
  <si>
    <t>Boulder</t>
  </si>
  <si>
    <t>CO</t>
  </si>
  <si>
    <t>Mac</t>
  </si>
  <si>
    <t>Ingulsrud</t>
  </si>
  <si>
    <t>2515 Hallbeck Dr.</t>
  </si>
  <si>
    <t>Carmichael</t>
  </si>
  <si>
    <t>Brian</t>
  </si>
  <si>
    <t>Upton</t>
  </si>
  <si>
    <t>5007 NE 52nd Street</t>
  </si>
  <si>
    <t>Cedarhurst</t>
  </si>
  <si>
    <t>WA</t>
  </si>
  <si>
    <t>Matt</t>
  </si>
  <si>
    <t>Holbert</t>
  </si>
  <si>
    <t>321 Garden Ave</t>
  </si>
  <si>
    <t>OH</t>
  </si>
  <si>
    <t>Bruce</t>
  </si>
  <si>
    <t>Tam</t>
  </si>
  <si>
    <t>10 Gipson Lane</t>
  </si>
  <si>
    <t>Champaign</t>
  </si>
  <si>
    <t>NM</t>
  </si>
  <si>
    <t>Michael</t>
  </si>
  <si>
    <t>Golding</t>
  </si>
  <si>
    <t>19785 W. PMB 632</t>
  </si>
  <si>
    <t>IL</t>
  </si>
  <si>
    <t>Deke</t>
  </si>
  <si>
    <t>Gauthier</t>
  </si>
  <si>
    <t>Chicago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</si>
</sst>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yyyy"/>
    <numFmt numFmtId="165" formatCode="d"/>
    <numFmt numFmtId="166" formatCode="00000"/>
  </numFmts>
  <fonts count="19" x14ac:knownFonts="1">
    <font>
      <sz val="11"/>
      <name val="Century Gothic"/>
      <family val="2"/>
      <scheme val="minor"/>
    </font>
    <font>
      <sz val="8"/>
      <name val="Arial"/>
      <family val="2"/>
    </font>
    <font>
      <b/>
      <sz val="11"/>
      <color theme="0"/>
      <name val="Century Gothic"/>
      <family val="2"/>
      <scheme val="minor"/>
    </font>
    <font>
      <sz val="11"/>
      <color theme="0"/>
      <name val="Century Gothic"/>
      <family val="2"/>
      <scheme val="minor"/>
    </font>
    <font>
      <sz val="11"/>
      <name val="Arial"/>
      <family val="2"/>
    </font>
    <font>
      <sz val="11"/>
      <name val="Century Gothic"/>
      <family val="2"/>
    </font>
    <font>
      <sz val="11"/>
      <name val="Century Gothic"/>
      <family val="2"/>
      <scheme val="minor"/>
    </font>
    <font>
      <sz val="11"/>
      <color theme="1" tint="0.249977111117893"/>
      <name val="Arial"/>
      <family val="2"/>
    </font>
    <font>
      <sz val="11"/>
      <color theme="1" tint="0.249977111117893"/>
      <name val="Century Gothic"/>
      <family val="2"/>
      <scheme val="minor"/>
    </font>
    <font>
      <b/>
      <sz val="28"/>
      <color theme="1" tint="0.34998626667073579"/>
      <name val="Century Gothic"/>
      <family val="2"/>
      <scheme val="minor"/>
    </font>
    <font>
      <b/>
      <sz val="14"/>
      <color theme="0"/>
      <name val="Century Gothic"/>
      <family val="2"/>
      <scheme val="minor"/>
    </font>
    <font>
      <sz val="14"/>
      <color theme="1" tint="0.34998626667073579"/>
      <name val="Century Gothic"/>
      <family val="2"/>
      <scheme val="minor"/>
    </font>
    <font>
      <sz val="10"/>
      <color theme="1" tint="0.249977111117893"/>
      <name val="Century Gothic"/>
      <family val="2"/>
      <scheme val="minor"/>
    </font>
    <font>
      <sz val="14"/>
      <color theme="1" tint="0.249977111117893"/>
      <name val="Century Gothic"/>
      <family val="2"/>
      <scheme val="minor"/>
    </font>
    <font>
      <b/>
      <sz val="9"/>
      <color indexed="81"/>
      <name val="Geneva"/>
    </font>
    <font>
      <sz val="10"/>
      <name val="Arial"/>
      <charset val="204"/>
    </font>
    <font>
      <u/>
      <sz val="11"/>
      <color theme="10"/>
      <name val="Century Gothic"/>
      <family val="2"/>
      <scheme val="minor"/>
    </font>
    <font>
      <u/>
      <sz val="11"/>
      <color theme="11"/>
      <name val="Century Gothic"/>
      <family val="2"/>
      <scheme val="minor"/>
    </font>
    <font>
      <sz val="10"/>
      <color theme="4" tint="0.39997558519241921"/>
      <name val="Century Gothic"/>
      <scheme val="minor"/>
    </font>
  </fonts>
  <fills count="7">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4"/>
      </patternFill>
    </fill>
    <fill>
      <patternFill patternType="solid">
        <fgColor theme="4" tint="0.59999389629810485"/>
        <bgColor indexed="65"/>
      </patternFill>
    </fill>
    <fill>
      <patternFill patternType="solid">
        <fgColor theme="8"/>
      </patternFill>
    </fill>
  </fills>
  <borders count="37">
    <border>
      <left/>
      <right/>
      <top/>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bottom style="thin">
        <color theme="4" tint="0.39994506668294322"/>
      </bottom>
      <diagonal/>
    </border>
    <border>
      <left style="thick">
        <color theme="1" tint="0.499984740745262"/>
      </left>
      <right style="thick">
        <color theme="1" tint="0.499984740745262"/>
      </right>
      <top style="thick">
        <color theme="1" tint="0.499984740745262"/>
      </top>
      <bottom style="thick">
        <color theme="1" tint="0.499984740745262"/>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style="medium">
        <color theme="4" tint="-0.24994659260841701"/>
      </left>
      <right style="thin">
        <color theme="4" tint="0.39994506668294322"/>
      </right>
      <top style="thin">
        <color theme="4" tint="0.39994506668294322"/>
      </top>
      <bottom style="thin">
        <color theme="4" tint="0.39994506668294322"/>
      </bottom>
      <diagonal/>
    </border>
    <border>
      <left style="thin">
        <color theme="4" tint="0.39994506668294322"/>
      </left>
      <right style="medium">
        <color theme="4" tint="-0.24994659260841701"/>
      </right>
      <top style="thin">
        <color theme="4" tint="0.39994506668294322"/>
      </top>
      <bottom style="thin">
        <color theme="4" tint="0.39994506668294322"/>
      </bottom>
      <diagonal/>
    </border>
    <border>
      <left style="thin">
        <color theme="4" tint="0.39994506668294322"/>
      </left>
      <right style="medium">
        <color theme="4" tint="-0.24994659260841701"/>
      </right>
      <top/>
      <bottom style="thin">
        <color theme="4" tint="0.39994506668294322"/>
      </bottom>
      <diagonal/>
    </border>
    <border>
      <left style="medium">
        <color theme="4" tint="-0.24994659260841701"/>
      </left>
      <right style="thin">
        <color theme="4" tint="0.39994506668294322"/>
      </right>
      <top style="thin">
        <color theme="4" tint="0.39994506668294322"/>
      </top>
      <bottom style="medium">
        <color theme="4" tint="-0.24994659260841701"/>
      </bottom>
      <diagonal/>
    </border>
    <border>
      <left style="thin">
        <color theme="4" tint="0.39994506668294322"/>
      </left>
      <right style="thin">
        <color theme="4" tint="0.39994506668294322"/>
      </right>
      <top style="thin">
        <color theme="4" tint="0.39994506668294322"/>
      </top>
      <bottom style="medium">
        <color theme="4" tint="-0.24994659260841701"/>
      </bottom>
      <diagonal/>
    </border>
    <border>
      <left style="medium">
        <color theme="4" tint="-0.24994659260841701"/>
      </left>
      <right style="thin">
        <color theme="4" tint="0.39994506668294322"/>
      </right>
      <top style="medium">
        <color theme="4" tint="-0.24994659260841701"/>
      </top>
      <bottom/>
      <diagonal/>
    </border>
    <border>
      <left style="thin">
        <color theme="4" tint="0.39994506668294322"/>
      </left>
      <right style="thin">
        <color theme="4" tint="0.39994506668294322"/>
      </right>
      <top style="medium">
        <color theme="4" tint="-0.24994659260841701"/>
      </top>
      <bottom/>
      <diagonal/>
    </border>
    <border>
      <left style="thin">
        <color theme="4" tint="0.39994506668294322"/>
      </left>
      <right style="medium">
        <color theme="4" tint="-0.24994659260841701"/>
      </right>
      <top style="medium">
        <color theme="4" tint="-0.24994659260841701"/>
      </top>
      <bottom/>
      <diagonal/>
    </border>
    <border>
      <left style="medium">
        <color theme="4" tint="-0.24994659260841701"/>
      </left>
      <right style="thin">
        <color theme="4" tint="0.39994506668294322"/>
      </right>
      <top style="medium">
        <color theme="4" tint="-0.24994659260841701"/>
      </top>
      <bottom style="thin">
        <color theme="4" tint="0.39994506668294322"/>
      </bottom>
      <diagonal/>
    </border>
    <border>
      <left style="thin">
        <color theme="4" tint="0.39994506668294322"/>
      </left>
      <right style="thin">
        <color theme="4" tint="0.39994506668294322"/>
      </right>
      <top style="medium">
        <color theme="4" tint="-0.24994659260841701"/>
      </top>
      <bottom style="thin">
        <color theme="4" tint="0.39994506668294322"/>
      </bottom>
      <diagonal/>
    </border>
    <border>
      <left style="thin">
        <color theme="4" tint="0.39994506668294322"/>
      </left>
      <right style="medium">
        <color theme="4" tint="-0.24994659260841701"/>
      </right>
      <top style="medium">
        <color theme="4" tint="-0.24994659260841701"/>
      </top>
      <bottom style="thin">
        <color theme="4" tint="0.39994506668294322"/>
      </bottom>
      <diagonal/>
    </border>
    <border>
      <left style="medium">
        <color theme="4" tint="-0.24994659260841701"/>
      </left>
      <right style="thin">
        <color theme="4" tint="0.39994506668294322"/>
      </right>
      <top/>
      <bottom style="thin">
        <color theme="4" tint="0.39994506668294322"/>
      </bottom>
      <diagonal/>
    </border>
    <border>
      <left style="thin">
        <color theme="4" tint="0.39994506668294322"/>
      </left>
      <right/>
      <top style="thin">
        <color theme="4" tint="0.39994506668294322"/>
      </top>
      <bottom style="medium">
        <color theme="4" tint="-0.24994659260841701"/>
      </bottom>
      <diagonal/>
    </border>
    <border>
      <left/>
      <right/>
      <top style="thin">
        <color theme="4" tint="0.39994506668294322"/>
      </top>
      <bottom style="medium">
        <color theme="4" tint="-0.24994659260841701"/>
      </bottom>
      <diagonal/>
    </border>
    <border>
      <left/>
      <right style="medium">
        <color theme="4" tint="-0.24994659260841701"/>
      </right>
      <top style="thin">
        <color theme="4" tint="0.39994506668294322"/>
      </top>
      <bottom style="medium">
        <color theme="4" tint="-0.24994659260841701"/>
      </bottom>
      <diagonal/>
    </border>
    <border>
      <left style="medium">
        <color theme="4" tint="-0.24994659260841701"/>
      </left>
      <right/>
      <top style="thin">
        <color theme="4" tint="0.39994506668294322"/>
      </top>
      <bottom style="medium">
        <color theme="4" tint="-0.24994659260841701"/>
      </bottom>
      <diagonal/>
    </border>
    <border>
      <left style="thin">
        <color theme="4" tint="0.39994506668294322"/>
      </left>
      <right style="thin">
        <color theme="4" tint="0.39994506668294322"/>
      </right>
      <top style="thin">
        <color theme="4" tint="0.39994506668294322"/>
      </top>
      <bottom/>
      <diagonal/>
    </border>
    <border>
      <left style="thin">
        <color theme="4" tint="0.39997558519241921"/>
      </left>
      <right style="thin">
        <color theme="4" tint="0.39997558519241921"/>
      </right>
      <top style="thin">
        <color theme="4" tint="0.39997558519241921"/>
      </top>
      <bottom/>
      <diagonal/>
    </border>
    <border>
      <left style="thin">
        <color theme="4" tint="0.39997558519241921"/>
      </left>
      <right style="thin">
        <color theme="4" tint="0.39997558519241921"/>
      </right>
      <top/>
      <bottom/>
      <diagonal/>
    </border>
    <border>
      <left style="thin">
        <color theme="4" tint="0.39997558519241921"/>
      </left>
      <right style="thin">
        <color theme="4" tint="0.39997558519241921"/>
      </right>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bottom/>
      <diagonal/>
    </border>
    <border>
      <left style="thin">
        <color theme="4" tint="0.39997558519241921"/>
      </left>
      <right/>
      <top/>
      <bottom style="thin">
        <color theme="4" tint="0.39997558519241921"/>
      </bottom>
      <diagonal/>
    </border>
    <border>
      <left style="thin">
        <color theme="4" tint="0.39994506668294322"/>
      </left>
      <right style="medium">
        <color theme="4" tint="-0.24994659260841701"/>
      </right>
      <top style="thin">
        <color theme="4" tint="0.39994506668294322"/>
      </top>
      <bottom/>
      <diagonal/>
    </border>
    <border>
      <left style="thin">
        <color theme="4" tint="0.39997558519241921"/>
      </left>
      <right style="medium">
        <color theme="4" tint="-0.249977111117893"/>
      </right>
      <top style="thin">
        <color theme="4" tint="0.39997558519241921"/>
      </top>
      <bottom/>
      <diagonal/>
    </border>
    <border>
      <left style="thin">
        <color theme="4" tint="0.39997558519241921"/>
      </left>
      <right style="medium">
        <color theme="4" tint="-0.249977111117893"/>
      </right>
      <top/>
      <bottom/>
      <diagonal/>
    </border>
    <border>
      <left style="thin">
        <color theme="4" tint="0.39997558519241921"/>
      </left>
      <right style="medium">
        <color theme="4" tint="-0.249977111117893"/>
      </right>
      <top/>
      <bottom style="thin">
        <color theme="4" tint="0.39997558519241921"/>
      </bottom>
      <diagonal/>
    </border>
    <border>
      <left style="medium">
        <color theme="4" tint="-0.24994659260841701"/>
      </left>
      <right style="thin">
        <color theme="4" tint="0.39994506668294322"/>
      </right>
      <top style="thin">
        <color theme="4" tint="0.39994506668294322"/>
      </top>
      <bottom/>
      <diagonal/>
    </border>
    <border>
      <left style="medium">
        <color theme="4" tint="-0.249977111117893"/>
      </left>
      <right style="thin">
        <color theme="4" tint="0.39997558519241921"/>
      </right>
      <top style="thin">
        <color theme="4" tint="0.39997558519241921"/>
      </top>
      <bottom/>
      <diagonal/>
    </border>
    <border>
      <left style="medium">
        <color theme="4" tint="-0.249977111117893"/>
      </left>
      <right style="thin">
        <color theme="4" tint="0.39997558519241921"/>
      </right>
      <top/>
      <bottom/>
      <diagonal/>
    </border>
    <border>
      <left style="medium">
        <color theme="4" tint="-0.249977111117893"/>
      </left>
      <right style="thin">
        <color theme="4" tint="0.39997558519241921"/>
      </right>
      <top/>
      <bottom style="thin">
        <color theme="4" tint="0.39997558519241921"/>
      </bottom>
      <diagonal/>
    </border>
  </borders>
  <cellStyleXfs count="9">
    <xf numFmtId="0" fontId="0" fillId="0" borderId="0"/>
    <xf numFmtId="0" fontId="9" fillId="0" borderId="0" applyNumberFormat="0" applyFill="0" applyAlignment="0" applyProtection="0"/>
    <xf numFmtId="0" fontId="2" fillId="4" borderId="1" applyNumberFormat="0" applyAlignment="0" applyProtection="0"/>
    <xf numFmtId="0" fontId="11" fillId="5" borderId="0" applyNumberFormat="0" applyBorder="0" applyAlignment="0" applyProtection="0"/>
    <xf numFmtId="0" fontId="10" fillId="6" borderId="3" applyNumberForma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69">
    <xf numFmtId="0" fontId="0" fillId="0" borderId="0" xfId="0"/>
    <xf numFmtId="0" fontId="4" fillId="2" borderId="0" xfId="0" applyFont="1" applyFill="1"/>
    <xf numFmtId="0" fontId="5" fillId="2" borderId="0" xfId="0" applyFont="1" applyFill="1"/>
    <xf numFmtId="0" fontId="5" fillId="0" borderId="0" xfId="0" applyFont="1"/>
    <xf numFmtId="0" fontId="4" fillId="0" borderId="0" xfId="0" applyFont="1"/>
    <xf numFmtId="165" fontId="8" fillId="0" borderId="1" xfId="0" applyNumberFormat="1" applyFont="1" applyFill="1" applyBorder="1" applyAlignment="1">
      <alignment horizontal="left" vertical="center" wrapText="1" indent="1"/>
    </xf>
    <xf numFmtId="165" fontId="8" fillId="2" borderId="1" xfId="0" applyNumberFormat="1" applyFont="1" applyFill="1" applyBorder="1" applyAlignment="1">
      <alignment horizontal="left" vertical="center" wrapText="1" indent="1"/>
    </xf>
    <xf numFmtId="0" fontId="11" fillId="5" borderId="4" xfId="3" applyBorder="1" applyAlignment="1">
      <alignment horizontal="right" vertical="center" wrapText="1"/>
    </xf>
    <xf numFmtId="0" fontId="11" fillId="5" borderId="5" xfId="3" applyBorder="1" applyAlignment="1">
      <alignment vertical="center"/>
    </xf>
    <xf numFmtId="165" fontId="7" fillId="0" borderId="6" xfId="0" applyNumberFormat="1" applyFont="1" applyBorder="1" applyAlignment="1">
      <alignment horizontal="left" vertical="center" indent="1"/>
    </xf>
    <xf numFmtId="165" fontId="8" fillId="0" borderId="7" xfId="0" applyNumberFormat="1" applyFont="1" applyFill="1" applyBorder="1" applyAlignment="1">
      <alignment horizontal="left" vertical="center" wrapText="1" indent="1"/>
    </xf>
    <xf numFmtId="165" fontId="8" fillId="0" borderId="6" xfId="0" applyNumberFormat="1" applyFont="1" applyFill="1" applyBorder="1" applyAlignment="1">
      <alignment horizontal="left" vertical="center" wrapText="1" indent="1"/>
    </xf>
    <xf numFmtId="165" fontId="8" fillId="2" borderId="6" xfId="0" applyNumberFormat="1" applyFont="1" applyFill="1" applyBorder="1" applyAlignment="1">
      <alignment horizontal="left" vertical="center" wrapText="1" indent="1"/>
    </xf>
    <xf numFmtId="165" fontId="8" fillId="2" borderId="7" xfId="0" applyNumberFormat="1" applyFont="1" applyFill="1" applyBorder="1" applyAlignment="1">
      <alignment horizontal="left" vertical="center" wrapText="1" indent="1"/>
    </xf>
    <xf numFmtId="0" fontId="8" fillId="0" borderId="10" xfId="0" applyFont="1" applyFill="1" applyBorder="1" applyAlignment="1">
      <alignment horizontal="left" vertical="center" wrapText="1" indent="1"/>
    </xf>
    <xf numFmtId="0" fontId="2" fillId="4" borderId="11" xfId="2" applyBorder="1" applyAlignment="1">
      <alignment horizontal="center" vertical="center"/>
    </xf>
    <xf numFmtId="0" fontId="2" fillId="4" borderId="12" xfId="2" applyBorder="1" applyAlignment="1">
      <alignment horizontal="center" vertical="center"/>
    </xf>
    <xf numFmtId="0" fontId="2" fillId="4" borderId="13" xfId="2" applyBorder="1" applyAlignment="1">
      <alignment horizontal="center" vertical="center"/>
    </xf>
    <xf numFmtId="0" fontId="2" fillId="4" borderId="14" xfId="2" applyBorder="1" applyAlignment="1">
      <alignment horizontal="center" vertical="center"/>
    </xf>
    <xf numFmtId="0" fontId="2" fillId="4" borderId="15" xfId="2" applyBorder="1" applyAlignment="1">
      <alignment horizontal="center" vertical="center"/>
    </xf>
    <xf numFmtId="0" fontId="2" fillId="4" borderId="16" xfId="2" applyBorder="1" applyAlignment="1">
      <alignment horizontal="center" vertical="center"/>
    </xf>
    <xf numFmtId="0" fontId="4" fillId="0" borderId="0" xfId="0" applyFont="1"/>
    <xf numFmtId="0" fontId="6" fillId="0" borderId="0" xfId="0" applyFont="1"/>
    <xf numFmtId="0" fontId="6" fillId="0" borderId="0" xfId="0" applyFont="1" applyFill="1"/>
    <xf numFmtId="165" fontId="8" fillId="2" borderId="2" xfId="0" applyNumberFormat="1" applyFont="1" applyFill="1" applyBorder="1" applyAlignment="1">
      <alignment horizontal="left" vertical="center" wrapText="1" indent="1"/>
    </xf>
    <xf numFmtId="0" fontId="12" fillId="0" borderId="1" xfId="0" applyFont="1" applyFill="1" applyBorder="1" applyAlignment="1">
      <alignment horizontal="left" vertical="center" wrapText="1" indent="1"/>
    </xf>
    <xf numFmtId="0" fontId="12" fillId="2" borderId="1" xfId="0" applyFont="1" applyFill="1" applyBorder="1" applyAlignment="1">
      <alignment horizontal="left" vertical="center" wrapText="1" indent="1"/>
    </xf>
    <xf numFmtId="0" fontId="12" fillId="0" borderId="10" xfId="0" applyFont="1" applyFill="1" applyBorder="1" applyAlignment="1">
      <alignment horizontal="left" vertical="center" wrapText="1" indent="1"/>
    </xf>
    <xf numFmtId="165" fontId="8" fillId="2" borderId="17" xfId="0" applyNumberFormat="1" applyFont="1" applyFill="1" applyBorder="1" applyAlignment="1">
      <alignment horizontal="left" vertical="center" wrapText="1" indent="1"/>
    </xf>
    <xf numFmtId="0" fontId="12" fillId="5" borderId="6" xfId="3" applyFont="1" applyBorder="1" applyAlignment="1">
      <alignment horizontal="left" vertical="center" wrapText="1" indent="1"/>
    </xf>
    <xf numFmtId="0" fontId="12" fillId="5" borderId="7" xfId="3" applyFont="1" applyBorder="1" applyAlignment="1">
      <alignment horizontal="left" vertical="center" wrapText="1" indent="1"/>
    </xf>
    <xf numFmtId="0" fontId="12" fillId="5" borderId="9" xfId="3" applyFont="1" applyBorder="1" applyAlignment="1">
      <alignment horizontal="left" vertical="center" wrapText="1" indent="1"/>
    </xf>
    <xf numFmtId="0" fontId="13" fillId="5" borderId="9" xfId="3" applyFont="1" applyBorder="1" applyAlignment="1">
      <alignment horizontal="left" vertical="center" wrapText="1" indent="1"/>
    </xf>
    <xf numFmtId="0" fontId="12" fillId="3" borderId="6" xfId="0" applyFont="1" applyFill="1" applyBorder="1" applyAlignment="1">
      <alignment horizontal="left" vertical="center" wrapText="1" indent="1"/>
    </xf>
    <xf numFmtId="164" fontId="9" fillId="2" borderId="0" xfId="1" applyNumberFormat="1" applyFill="1" applyAlignment="1">
      <alignment horizontal="center" vertical="center"/>
    </xf>
    <xf numFmtId="0" fontId="3" fillId="4" borderId="18" xfId="2" applyFont="1" applyBorder="1" applyAlignment="1">
      <alignment horizontal="left" vertical="center" wrapText="1"/>
    </xf>
    <xf numFmtId="0" fontId="3" fillId="4" borderId="19" xfId="2" applyFont="1" applyBorder="1" applyAlignment="1">
      <alignment horizontal="left" vertical="center" wrapText="1"/>
    </xf>
    <xf numFmtId="0" fontId="3" fillId="4" borderId="20" xfId="2" applyFont="1" applyBorder="1" applyAlignment="1">
      <alignment horizontal="left" vertical="center" wrapText="1"/>
    </xf>
    <xf numFmtId="165" fontId="2" fillId="4" borderId="2" xfId="2" applyNumberFormat="1" applyBorder="1" applyAlignment="1">
      <alignment horizontal="left" vertical="center" wrapText="1"/>
    </xf>
    <xf numFmtId="165" fontId="2" fillId="4" borderId="8" xfId="2" applyNumberFormat="1" applyBorder="1" applyAlignment="1">
      <alignment horizontal="left" vertical="center" wrapText="1"/>
    </xf>
    <xf numFmtId="0" fontId="3" fillId="4" borderId="21" xfId="2" applyFont="1" applyBorder="1" applyAlignment="1">
      <alignment horizontal="left" vertical="center" wrapText="1"/>
    </xf>
    <xf numFmtId="165" fontId="2" fillId="4" borderId="6" xfId="2" applyNumberFormat="1" applyFont="1" applyBorder="1" applyAlignment="1">
      <alignment horizontal="left" vertical="center" wrapText="1"/>
    </xf>
    <xf numFmtId="165" fontId="2" fillId="4" borderId="1" xfId="2" applyNumberFormat="1" applyFont="1" applyBorder="1" applyAlignment="1">
      <alignment horizontal="left" vertical="center" wrapText="1"/>
    </xf>
    <xf numFmtId="165" fontId="2" fillId="4" borderId="7" xfId="2" applyNumberFormat="1" applyFont="1" applyBorder="1" applyAlignment="1">
      <alignment horizontal="left" vertical="center" wrapText="1"/>
    </xf>
    <xf numFmtId="165" fontId="2" fillId="4" borderId="1" xfId="2" applyNumberFormat="1" applyBorder="1" applyAlignment="1">
      <alignment horizontal="left" vertical="center" wrapText="1"/>
    </xf>
    <xf numFmtId="165" fontId="2" fillId="4" borderId="7" xfId="2" applyNumberFormat="1" applyBorder="1" applyAlignment="1">
      <alignment horizontal="left" vertical="center" wrapText="1"/>
    </xf>
    <xf numFmtId="0" fontId="0" fillId="0" borderId="0" xfId="0" applyFont="1" applyAlignment="1"/>
    <xf numFmtId="166" fontId="0" fillId="0" borderId="0" xfId="0" applyNumberFormat="1" applyFont="1" applyAlignment="1"/>
    <xf numFmtId="0" fontId="15" fillId="0" borderId="0" xfId="0" applyFont="1" applyAlignment="1"/>
    <xf numFmtId="0" fontId="15" fillId="0" borderId="0" xfId="0" applyFont="1" applyAlignment="1">
      <alignment horizontal="left"/>
    </xf>
    <xf numFmtId="166" fontId="15" fillId="0" borderId="0" xfId="0" applyNumberFormat="1" applyFont="1" applyAlignment="1"/>
    <xf numFmtId="0" fontId="0" fillId="0" borderId="0" xfId="0" applyFont="1" applyAlignment="1">
      <alignment horizontal="left"/>
    </xf>
    <xf numFmtId="166" fontId="15" fillId="0" borderId="0" xfId="0" applyNumberFormat="1" applyFont="1" applyAlignment="1">
      <alignment horizontal="left"/>
    </xf>
    <xf numFmtId="0" fontId="0" fillId="0" borderId="0" xfId="0" applyAlignment="1"/>
    <xf numFmtId="165" fontId="8" fillId="2" borderId="22" xfId="0" applyNumberFormat="1" applyFont="1" applyFill="1" applyBorder="1" applyAlignment="1">
      <alignment horizontal="left" vertical="center" wrapText="1" indent="1"/>
    </xf>
    <xf numFmtId="0" fontId="18" fillId="0" borderId="23" xfId="0" applyFont="1" applyFill="1" applyBorder="1" applyAlignment="1">
      <alignment horizontal="left" vertical="center" wrapText="1" indent="1"/>
    </xf>
    <xf numFmtId="0" fontId="18" fillId="0" borderId="24" xfId="0" applyFont="1" applyFill="1" applyBorder="1" applyAlignment="1">
      <alignment horizontal="left" vertical="center" wrapText="1" indent="1"/>
    </xf>
    <xf numFmtId="0" fontId="18" fillId="0" borderId="25" xfId="0" applyFont="1" applyFill="1" applyBorder="1" applyAlignment="1">
      <alignment horizontal="left" vertical="center" wrapText="1" indent="1"/>
    </xf>
    <xf numFmtId="0" fontId="18" fillId="0" borderId="26" xfId="0" applyFont="1" applyFill="1" applyBorder="1" applyAlignment="1">
      <alignment horizontal="left" vertical="center" wrapText="1" indent="1"/>
    </xf>
    <xf numFmtId="0" fontId="18" fillId="0" borderId="27" xfId="0" applyFont="1" applyFill="1" applyBorder="1" applyAlignment="1">
      <alignment horizontal="left" vertical="center" wrapText="1" indent="1"/>
    </xf>
    <xf numFmtId="0" fontId="18" fillId="0" borderId="28" xfId="0" applyFont="1" applyFill="1" applyBorder="1" applyAlignment="1">
      <alignment horizontal="left" vertical="center" wrapText="1" indent="1"/>
    </xf>
    <xf numFmtId="165" fontId="8" fillId="2" borderId="29" xfId="0" applyNumberFormat="1" applyFont="1" applyFill="1" applyBorder="1" applyAlignment="1">
      <alignment horizontal="left" vertical="center" wrapText="1" indent="1"/>
    </xf>
    <xf numFmtId="0" fontId="12" fillId="5" borderId="30" xfId="3" applyFont="1" applyBorder="1" applyAlignment="1">
      <alignment horizontal="left" vertical="center" wrapText="1" indent="1"/>
    </xf>
    <xf numFmtId="0" fontId="12" fillId="5" borderId="31" xfId="3" applyFont="1" applyBorder="1" applyAlignment="1">
      <alignment horizontal="left" vertical="center" wrapText="1" indent="1"/>
    </xf>
    <xf numFmtId="0" fontId="12" fillId="5" borderId="32" xfId="3" applyFont="1" applyBorder="1" applyAlignment="1">
      <alignment horizontal="left" vertical="center" wrapText="1" indent="1"/>
    </xf>
    <xf numFmtId="165" fontId="8" fillId="2" borderId="33" xfId="0" applyNumberFormat="1" applyFont="1" applyFill="1" applyBorder="1" applyAlignment="1">
      <alignment horizontal="left" vertical="center" wrapText="1" indent="1"/>
    </xf>
    <xf numFmtId="0" fontId="12" fillId="5" borderId="34" xfId="3" applyFont="1" applyBorder="1" applyAlignment="1">
      <alignment horizontal="left" vertical="center" wrapText="1" indent="1"/>
    </xf>
    <xf numFmtId="0" fontId="12" fillId="5" borderId="35" xfId="3" applyFont="1" applyBorder="1" applyAlignment="1">
      <alignment horizontal="left" vertical="center" wrapText="1" indent="1"/>
    </xf>
    <xf numFmtId="0" fontId="12" fillId="5" borderId="36" xfId="3" applyFont="1" applyBorder="1" applyAlignment="1">
      <alignment horizontal="left" vertical="center" wrapText="1" indent="1"/>
    </xf>
  </cellXfs>
  <cellStyles count="9">
    <cellStyle name="40% - Accent1" xfId="3" builtinId="31" customBuiltin="1"/>
    <cellStyle name="Accent1" xfId="2" builtinId="29" customBuiltin="1"/>
    <cellStyle name="Accent5" xfId="4" builtinId="45" customBuiltin="1"/>
    <cellStyle name="Followed Hyperlink" xfId="6" builtinId="9" hidden="1"/>
    <cellStyle name="Followed Hyperlink" xfId="8" builtinId="9" hidden="1"/>
    <cellStyle name="Heading 1" xfId="1" builtinId="16" customBuiltin="1"/>
    <cellStyle name="Hyperlink" xfId="5" builtinId="8" hidden="1"/>
    <cellStyle name="Hyperlink" xfId="7" builtinId="8" hidden="1"/>
    <cellStyle name="Normal" xfId="0" builtinId="0" customBuiltin="1"/>
  </cellStyles>
  <dxfs count="3">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F1F2F5"/>
      <rgbColor rgb="00008080"/>
      <rgbColor rgb="00E4EAF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314265"/>
      <rgbColor rgb="00CCFFCC"/>
      <rgbColor rgb="00FFEECD"/>
      <rgbColor rgb="00D0D8E2"/>
      <rgbColor rgb="00FF99CC"/>
      <rgbColor rgb="00CC99FF"/>
      <rgbColor rgb="00FFCC99"/>
      <rgbColor rgb="003366FF"/>
      <rgbColor rgb="0033CCCC"/>
      <rgbColor rgb="0099CC00"/>
      <rgbColor rgb="00FFCC00"/>
      <rgbColor rgb="00FF9900"/>
      <rgbColor rgb="00FF6600"/>
      <rgbColor rgb="00717789"/>
      <rgbColor rgb="00969696"/>
      <rgbColor rgb="00003366"/>
      <rgbColor rgb="00339966"/>
      <rgbColor rgb="00003300"/>
      <rgbColor rgb="00333300"/>
      <rgbColor rgb="00993300"/>
      <rgbColor rgb="00993366"/>
      <rgbColor rgb="00333399"/>
      <rgbColor rgb="004B4B4B"/>
    </indexedColors>
  </colors>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ables/table1.xml><?xml version="1.0" encoding="utf-8"?>
<table xmlns="http://schemas.openxmlformats.org/spreadsheetml/2006/main" id="1" name="YearLookup" displayName="YearLookup" ref="A1:A12" totalsRowShown="0" headerRowDxfId="2" dataDxfId="1">
  <autoFilter ref="A1:A12"/>
  <tableColumns count="1">
    <tableColumn id="1" name="Year" dataDxfId="0"/>
  </tableColumns>
  <tableStyleInfo name="TableStyleMedium2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othecary">
  <a:themeElements>
    <a:clrScheme name="Apothecary">
      <a:dk1>
        <a:sysClr val="windowText" lastClr="000000"/>
      </a:dk1>
      <a:lt1>
        <a:sysClr val="window" lastClr="FFFFFF"/>
      </a:lt1>
      <a:dk2>
        <a:srgbClr val="564B3C"/>
      </a:dk2>
      <a:lt2>
        <a:srgbClr val="ECEDD1"/>
      </a:lt2>
      <a:accent1>
        <a:srgbClr val="93A299"/>
      </a:accent1>
      <a:accent2>
        <a:srgbClr val="CF543F"/>
      </a:accent2>
      <a:accent3>
        <a:srgbClr val="B5AE53"/>
      </a:accent3>
      <a:accent4>
        <a:srgbClr val="848058"/>
      </a:accent4>
      <a:accent5>
        <a:srgbClr val="E8B54D"/>
      </a:accent5>
      <a:accent6>
        <a:srgbClr val="786C71"/>
      </a:accent6>
      <a:hlink>
        <a:srgbClr val="CCCC00"/>
      </a:hlink>
      <a:folHlink>
        <a:srgbClr val="B2B2B2"/>
      </a:folHlink>
    </a:clrScheme>
    <a:fontScheme name="Calendar">
      <a:majorFont>
        <a:latin typeface="Century Gothic"/>
        <a:ea typeface=""/>
        <a:cs typeface=""/>
      </a:majorFont>
      <a:minorFont>
        <a:latin typeface="Century Gothic"/>
        <a:ea typeface=""/>
        <a:cs typeface=""/>
      </a:minorFont>
    </a:fontScheme>
    <a:fmtScheme name="Apothecary">
      <a:fillStyleLst>
        <a:solidFill>
          <a:schemeClr val="phClr"/>
        </a:solidFill>
        <a:gradFill rotWithShape="1">
          <a:gsLst>
            <a:gs pos="0">
              <a:schemeClr val="phClr">
                <a:tint val="1000"/>
                <a:satMod val="100000"/>
              </a:schemeClr>
            </a:gs>
            <a:gs pos="68000">
              <a:schemeClr val="phClr">
                <a:tint val="77000"/>
                <a:satMod val="100000"/>
              </a:schemeClr>
            </a:gs>
            <a:gs pos="81000">
              <a:schemeClr val="phClr">
                <a:tint val="79000"/>
                <a:satMod val="100000"/>
              </a:schemeClr>
            </a:gs>
            <a:gs pos="86000">
              <a:schemeClr val="phClr">
                <a:tint val="73000"/>
                <a:satMod val="100000"/>
              </a:schemeClr>
            </a:gs>
            <a:gs pos="100000">
              <a:schemeClr val="phClr">
                <a:tint val="35000"/>
                <a:satMod val="100000"/>
              </a:schemeClr>
            </a:gs>
          </a:gsLst>
          <a:lin ang="5400000" scaled="0"/>
        </a:gradFill>
        <a:gradFill rotWithShape="1">
          <a:gsLst>
            <a:gs pos="0">
              <a:schemeClr val="phClr">
                <a:tint val="73000"/>
                <a:shade val="100000"/>
                <a:satMod val="150000"/>
              </a:schemeClr>
            </a:gs>
            <a:gs pos="25000">
              <a:schemeClr val="phClr">
                <a:tint val="96000"/>
                <a:shade val="80000"/>
                <a:satMod val="105000"/>
              </a:schemeClr>
            </a:gs>
            <a:gs pos="38000">
              <a:schemeClr val="phClr">
                <a:tint val="96000"/>
                <a:shade val="59000"/>
                <a:satMod val="120000"/>
              </a:schemeClr>
            </a:gs>
            <a:gs pos="55000">
              <a:schemeClr val="phClr">
                <a:tint val="100000"/>
                <a:shade val="57000"/>
                <a:satMod val="120000"/>
              </a:schemeClr>
            </a:gs>
            <a:gs pos="80000">
              <a:schemeClr val="phClr">
                <a:tint val="100000"/>
                <a:shade val="56000"/>
                <a:satMod val="145000"/>
              </a:schemeClr>
            </a:gs>
            <a:gs pos="88000">
              <a:schemeClr val="phClr">
                <a:tint val="100000"/>
                <a:shade val="63000"/>
                <a:satMod val="160000"/>
              </a:schemeClr>
            </a:gs>
            <a:gs pos="100000">
              <a:schemeClr val="phClr">
                <a:tint val="99000"/>
                <a:shade val="100000"/>
                <a:satMod val="155000"/>
              </a:schemeClr>
            </a:gs>
          </a:gsLst>
          <a:lin ang="54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scene3d>
            <a:camera prst="orthographicFront">
              <a:rot lat="0" lon="0" rev="0"/>
            </a:camera>
            <a:lightRig rig="glow" dir="tl">
              <a:rot lat="0" lon="0" rev="1800000"/>
            </a:lightRig>
          </a:scene3d>
          <a:sp3d contourW="10160" prstMaterial="dkEdge">
            <a:bevelT w="0" h="0" prst="angle"/>
            <a:contourClr>
              <a:schemeClr val="phClr">
                <a:shade val="30000"/>
                <a:satMod val="150000"/>
              </a:schemeClr>
            </a:contourClr>
          </a:sp3d>
        </a:effectStyle>
        <a:effectStyle>
          <a:effectLst>
            <a:glow rad="50800">
              <a:schemeClr val="phClr">
                <a:tint val="68000"/>
                <a:shade val="93000"/>
                <a:alpha val="37000"/>
                <a:satMod val="250000"/>
              </a:schemeClr>
            </a:glow>
          </a:effectLst>
          <a:scene3d>
            <a:camera prst="orthographicFront">
              <a:rot lat="0" lon="0" rev="0"/>
            </a:camera>
            <a:lightRig rig="glow" dir="t">
              <a:rot lat="0" lon="0" rev="1800000"/>
            </a:lightRig>
          </a:scene3d>
          <a:sp3d contourW="10160" prstMaterial="dkEdge">
            <a:bevelT w="20320" h="19050" prst="angle"/>
            <a:contourClr>
              <a:schemeClr val="phClr">
                <a:shade val="30000"/>
                <a:satMod val="150000"/>
              </a:schemeClr>
            </a:contourClr>
          </a:sp3d>
        </a:effectStyle>
      </a:effectStyleLst>
      <a:bgFillStyleLst>
        <a:solidFill>
          <a:schemeClr val="phClr"/>
        </a:solidFill>
        <a:solidFill>
          <a:schemeClr val="phClr">
            <a:tint val="93000"/>
            <a:satMod val="140000"/>
          </a:schemeClr>
        </a:solidFill>
        <a:blipFill rotWithShape="1">
          <a:blip xmlns:r="http://schemas.openxmlformats.org/officeDocument/2006/relationships" r:embed="rId1">
            <a:duotone>
              <a:schemeClr val="phClr">
                <a:tint val="70000"/>
                <a:satMod val="170000"/>
              </a:schemeClr>
              <a:schemeClr val="phClr">
                <a:shade val="70000"/>
                <a:satMod val="13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table" Target="../tables/table1.x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K14"/>
  <sheetViews>
    <sheetView showGridLines="0" workbookViewId="0">
      <selection activeCell="C4" sqref="C4"/>
    </sheetView>
  </sheetViews>
  <sheetFormatPr baseColWidth="10" defaultColWidth="8.7109375" defaultRowHeight="13" x14ac:dyDescent="0"/>
  <cols>
    <col min="1" max="1" width="2.42578125" style="1" customWidth="1"/>
    <col min="2" max="8" width="17.5703125" style="4" customWidth="1"/>
    <col min="9" max="9" width="8.7109375" style="4"/>
    <col min="10" max="10" width="15.28515625" style="4" customWidth="1"/>
    <col min="11" max="11" width="16.7109375" style="4" customWidth="1"/>
    <col min="12" max="16384" width="8.7109375" style="4"/>
  </cols>
  <sheetData>
    <row r="1" spans="1:11" s="1" customFormat="1" ht="59.25" customHeight="1" thickBot="1">
      <c r="B1" s="34">
        <f>DATE(CalendarYear,1,1)</f>
        <v>42736</v>
      </c>
      <c r="C1" s="34"/>
      <c r="D1" s="34"/>
      <c r="E1" s="34"/>
      <c r="F1" s="34"/>
      <c r="G1" s="34"/>
      <c r="H1" s="34"/>
      <c r="J1" s="7" t="s">
        <v>10</v>
      </c>
      <c r="K1" s="8">
        <v>2017</v>
      </c>
    </row>
    <row r="2" spans="1:11" s="3" customFormat="1" ht="21.75" customHeight="1">
      <c r="A2" s="2"/>
      <c r="B2" s="15" t="s">
        <v>0</v>
      </c>
      <c r="C2" s="16" t="s">
        <v>1</v>
      </c>
      <c r="D2" s="16" t="s">
        <v>2</v>
      </c>
      <c r="E2" s="16" t="s">
        <v>3</v>
      </c>
      <c r="F2" s="16" t="s">
        <v>4</v>
      </c>
      <c r="G2" s="16" t="s">
        <v>5</v>
      </c>
      <c r="H2" s="17" t="s">
        <v>6</v>
      </c>
    </row>
    <row r="3" spans="1:11" ht="14" customHeight="1">
      <c r="B3" s="9">
        <f>IF(AND(YEAR(JanSun1)=CalendarYear,MONTH(JanSun1)=1),JanSun1, "")</f>
        <v>42736</v>
      </c>
      <c r="C3" s="5">
        <f>IF(AND(YEAR(JanSun1+1)=CalendarYear,MONTH(JanSun1+1)=1),JanSun1+1, "")</f>
        <v>42737</v>
      </c>
      <c r="D3" s="5">
        <f>IF(AND(YEAR(JanSun1+2)=CalendarYear,MONTH(JanSun1+2)=1),JanSun1+2, "")</f>
        <v>42738</v>
      </c>
      <c r="E3" s="5">
        <f>IF(AND(YEAR(JanSun1+3)=CalendarYear,MONTH(JanSun1+3)=1),JanSun1+3, "")</f>
        <v>42739</v>
      </c>
      <c r="F3" s="5">
        <f>IF(AND(YEAR(JanSun1+4)=CalendarYear,MONTH(JanSun1+4)=1),JanSun1+4, "")</f>
        <v>42740</v>
      </c>
      <c r="G3" s="5">
        <f>IF(AND(YEAR(JanSun1+5)=CalendarYear,MONTH(JanSun1+5)=1),JanSun1+5, "")</f>
        <v>42741</v>
      </c>
      <c r="H3" s="10">
        <f>IF(AND(YEAR(JanSun1+6)=CalendarYear,MONTH(JanSun1+6)=1),JanSun1+6, "")</f>
        <v>42742</v>
      </c>
    </row>
    <row r="4" spans="1:11" ht="58" customHeight="1">
      <c r="B4" s="29" t="s">
        <v>11</v>
      </c>
      <c r="C4" s="25"/>
      <c r="D4" s="26"/>
      <c r="E4" s="26"/>
      <c r="F4" s="26"/>
      <c r="G4" s="26"/>
      <c r="H4" s="30"/>
    </row>
    <row r="5" spans="1:11" ht="14" customHeight="1">
      <c r="B5" s="11">
        <f>IF(AND(YEAR(JanSun1+7)=CalendarYear,MONTH(JanSun1+7)=1),JanSun1+7, "")</f>
        <v>42743</v>
      </c>
      <c r="C5" s="5">
        <f>IF(AND(YEAR(JanSun1+8)=CalendarYear,MONTH(JanSun1+8)=1),JanSun1+8, "")</f>
        <v>42744</v>
      </c>
      <c r="D5" s="5">
        <f>IF(AND(YEAR(JanSun1+9)=CalendarYear,MONTH(JanSun1+9)=1),JanSun1+9, "")</f>
        <v>42745</v>
      </c>
      <c r="E5" s="5">
        <f>IF(AND(YEAR(JanSun1+10)=CalendarYear,MONTH(JanSun1+10)=1),JanSun1+10, "")</f>
        <v>42746</v>
      </c>
      <c r="F5" s="5">
        <f>IF(AND(YEAR(JanSun1+11)=CalendarYear,MONTH(JanSun1+11)=1),JanSun1+11, "")</f>
        <v>42747</v>
      </c>
      <c r="G5" s="5">
        <f>IF(AND(YEAR(JanSun1+12)=CalendarYear,MONTH(JanSun1+12)=1),JanSun1+12,"")</f>
        <v>42748</v>
      </c>
      <c r="H5" s="10">
        <f>IF(AND(YEAR(JanSun1+13)=CalendarYear,MONTH(JanSun1+13)=1),JanSun1+13, "")</f>
        <v>42749</v>
      </c>
    </row>
    <row r="6" spans="1:11" ht="58" customHeight="1">
      <c r="B6" s="29"/>
      <c r="C6" s="25"/>
      <c r="D6" s="26"/>
      <c r="E6" s="26"/>
      <c r="F6" s="26"/>
      <c r="G6" s="26"/>
      <c r="H6" s="30"/>
    </row>
    <row r="7" spans="1:11" ht="14" customHeight="1">
      <c r="B7" s="11">
        <f>IF(AND(YEAR(JanSun1+14)=CalendarYear,MONTH(JanSun1+14)=1),JanSun1+14, "")</f>
        <v>42750</v>
      </c>
      <c r="C7" s="5">
        <f>IF(AND(YEAR(JanSun1+15)=CalendarYear,MONTH(JanSun1+15)=1),JanSun1+15, "")</f>
        <v>42751</v>
      </c>
      <c r="D7" s="5">
        <f>IF(AND(YEAR(JanSun1+16)=CalendarYear,MONTH(JanSun1+16)=1),JanSun1+16, "")</f>
        <v>42752</v>
      </c>
      <c r="E7" s="5">
        <f>IF(AND(YEAR(JanSun1+17)=CalendarYear,MONTH(JanSun1+17)=1),JanSun1+17, "")</f>
        <v>42753</v>
      </c>
      <c r="F7" s="5">
        <f>IF(AND(YEAR(JanSun1+18)=CalendarYear,MONTH(JanSun1+18)=1),JanSun1+18, "")</f>
        <v>42754</v>
      </c>
      <c r="G7" s="5">
        <f>IF(AND(YEAR(JanSun1+19)=CalendarYear,MONTH(JanSun1+19)=1),JanSun1+19, "")</f>
        <v>42755</v>
      </c>
      <c r="H7" s="10">
        <f>IF(AND(YEAR(JanSun1+20)=CalendarYear,MONTH(JanSun1+20)=1),JanSun1+20, "")</f>
        <v>42756</v>
      </c>
    </row>
    <row r="8" spans="1:11" ht="58" customHeight="1">
      <c r="B8" s="29"/>
      <c r="C8" s="25"/>
      <c r="D8" s="26"/>
      <c r="E8" s="26"/>
      <c r="F8" s="26"/>
      <c r="G8" s="26"/>
      <c r="H8" s="30"/>
    </row>
    <row r="9" spans="1:11" ht="14" customHeight="1">
      <c r="B9" s="12">
        <f>IF(AND(YEAR(JanSun1+21)=CalendarYear,MONTH(JanSun1+21)=1),JanSun1+21, "")</f>
        <v>42757</v>
      </c>
      <c r="C9" s="6">
        <f>IF(AND(YEAR(JanSun1+22)=CalendarYear,MONTH(JanSun1+22)=1),JanSun1+22, "")</f>
        <v>42758</v>
      </c>
      <c r="D9" s="6">
        <f>IF(AND(YEAR(JanSun1+23)=CalendarYear,MONTH(JanSun1+23)=1),JanSun1+23, "")</f>
        <v>42759</v>
      </c>
      <c r="E9" s="6">
        <f>IF(AND(YEAR(JanSun1+24)=CalendarYear,MONTH(JanSun1+24)=1),JanSun1+24, "")</f>
        <v>42760</v>
      </c>
      <c r="F9" s="6">
        <f>IF(AND(YEAR(JanSun1+25)=CalendarYear,MONTH(JanSun1+25)=1),JanSun1+25, "")</f>
        <v>42761</v>
      </c>
      <c r="G9" s="6">
        <f>IF(AND(YEAR(JanSun1+26)=CalendarYear,MONTH(JanSun1+26)=1),JanSun1+26, "")</f>
        <v>42762</v>
      </c>
      <c r="H9" s="13">
        <f>IF(AND(YEAR(JanSun1+27)=CalendarYear,MONTH(JanSun1+27)=1),JanSun1+27, "")</f>
        <v>42763</v>
      </c>
    </row>
    <row r="10" spans="1:11" ht="58" customHeight="1">
      <c r="B10" s="29"/>
      <c r="C10" s="25"/>
      <c r="D10" s="26"/>
      <c r="E10" s="26"/>
      <c r="F10" s="26"/>
      <c r="G10" s="26"/>
      <c r="H10" s="30"/>
    </row>
    <row r="11" spans="1:11" ht="14" customHeight="1">
      <c r="B11" s="12">
        <f>IF(AND(YEAR(JanSun1+28)=CalendarYear,MONTH(JanSun1+28)=1),JanSun1+28, "")</f>
        <v>42764</v>
      </c>
      <c r="C11" s="6">
        <f>IF(AND(YEAR(JanSun1+29)=CalendarYear,MONTH(JanSun1+29)=1),JanSun1+29, "")</f>
        <v>42765</v>
      </c>
      <c r="D11" s="6">
        <f>IF(AND(YEAR(JanSun1+30)=CalendarYear,MONTH(JanSun1+30)=1),JanSun1+30, "")</f>
        <v>42766</v>
      </c>
      <c r="E11" s="6" t="str">
        <f>IF(AND(YEAR(JanSun1+31)=CalendarYear,MONTH(JanSun1+31)=1),JanSun1+31, "")</f>
        <v/>
      </c>
      <c r="F11" s="6" t="str">
        <f>IF(AND(YEAR(JanSun1+32)=CalendarYear,MONTH(JanSun1+32)=1),JanSun1+32, "")</f>
        <v/>
      </c>
      <c r="G11" s="6" t="str">
        <f>IF(AND(YEAR(JanSun1+33)=CalendarYear,MONTH(JanSun1+33)=1),JanSun1+33, "")</f>
        <v/>
      </c>
      <c r="H11" s="13" t="str">
        <f>IF(AND(YEAR(JanSun1+34)=CalendarYear,MONTH(JanSun1+34)=1),JanSun1+34, "")</f>
        <v/>
      </c>
    </row>
    <row r="12" spans="1:11" ht="58" customHeight="1">
      <c r="B12" s="29"/>
      <c r="C12" s="25"/>
      <c r="D12" s="26"/>
      <c r="E12" s="26"/>
      <c r="F12" s="25"/>
      <c r="G12" s="25"/>
      <c r="H12" s="30"/>
    </row>
    <row r="13" spans="1:11" ht="14" customHeight="1">
      <c r="B13" s="12" t="str">
        <f>IF(AND(YEAR(JanSun1+35)=CalendarYear,MONTH(JanSun1+35)=1),JanSun1+35, "")</f>
        <v/>
      </c>
      <c r="C13" s="6" t="str">
        <f>IF(AND(YEAR(JanSun1+36)=CalendarYear,MONTH(JanSun1+36)=1),JanSun1+36, "")</f>
        <v/>
      </c>
      <c r="D13" s="38" t="s">
        <v>8</v>
      </c>
      <c r="E13" s="38"/>
      <c r="F13" s="38"/>
      <c r="G13" s="38"/>
      <c r="H13" s="39"/>
    </row>
    <row r="14" spans="1:11" ht="58" customHeight="1" thickBot="1">
      <c r="B14" s="31"/>
      <c r="C14" s="27"/>
      <c r="D14" s="35"/>
      <c r="E14" s="36"/>
      <c r="F14" s="36"/>
      <c r="G14" s="36"/>
      <c r="H14" s="37"/>
    </row>
  </sheetData>
  <mergeCells count="3">
    <mergeCell ref="B1:H1"/>
    <mergeCell ref="D14:H14"/>
    <mergeCell ref="D13:H13"/>
  </mergeCells>
  <phoneticPr fontId="1" type="noConversion"/>
  <dataValidations count="1">
    <dataValidation type="list" allowBlank="1" showInputMessage="1" showErrorMessage="1" sqref="K1">
      <formula1>Year</formula1>
    </dataValidation>
  </dataValidations>
  <printOptions horizontalCentered="1"/>
  <pageMargins left="0.5" right="0.5" top="0.75" bottom="0.75" header="0.5" footer="0.5"/>
  <headerFooter alignWithMargins="0"/>
  <customProperties>
    <customPr name="SheetChanged" r:id="rId1"/>
  </customProperties>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heetViews>
  <sheetFormatPr baseColWidth="10" defaultColWidth="8.7109375" defaultRowHeight="13" x14ac:dyDescent="0"/>
  <cols>
    <col min="1" max="1" width="2.42578125" style="1" customWidth="1"/>
    <col min="2" max="8" width="17.5703125" style="4" customWidth="1"/>
    <col min="9" max="16384" width="8.7109375" style="4"/>
  </cols>
  <sheetData>
    <row r="1" spans="1:8" s="1" customFormat="1" ht="59.25" customHeight="1" thickBot="1">
      <c r="B1" s="34">
        <f>DATE(CalendarYear,10,1)</f>
        <v>43009</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 customHeight="1">
      <c r="B3" s="9">
        <f>IF(AND(YEAR(OctSun1)=CalendarYear,MONTH(OctSun1)=10),OctSun1, "")</f>
        <v>43009</v>
      </c>
      <c r="C3" s="5">
        <f>IF(AND(YEAR(OctSun1+1)=CalendarYear,MONTH(OctSun1+1)=10),OctSun1+1, "")</f>
        <v>43010</v>
      </c>
      <c r="D3" s="5">
        <f>IF(AND(YEAR(OctSun1+2)=CalendarYear,MONTH(OctSun1+2)=10),OctSun1+2, "")</f>
        <v>43011</v>
      </c>
      <c r="E3" s="5">
        <f>IF(AND(YEAR(OctSun1+3)=CalendarYear,MONTH(OctSun1+3)=10),OctSun1+3, "")</f>
        <v>43012</v>
      </c>
      <c r="F3" s="5">
        <f>IF(AND(YEAR(OctSun1+4)=CalendarYear,MONTH(OctSun1+4)=10),OctSun1+4, "")</f>
        <v>43013</v>
      </c>
      <c r="G3" s="5">
        <f>IF(AND(YEAR(OctSun1+5)=CalendarYear,MONTH(OctSun1+5)=10),OctSun1+5, "")</f>
        <v>43014</v>
      </c>
      <c r="H3" s="10">
        <f>IF(AND(YEAR(OctSun1+6)=CalendarYear,MONTH(OctSun1+6)=10),OctSun1+6, "")</f>
        <v>43015</v>
      </c>
    </row>
    <row r="4" spans="1:8" ht="58" customHeight="1">
      <c r="B4" s="29"/>
      <c r="C4" s="25"/>
      <c r="D4" s="26"/>
      <c r="E4" s="26"/>
      <c r="F4" s="26"/>
      <c r="G4" s="26"/>
      <c r="H4" s="30"/>
    </row>
    <row r="5" spans="1:8" ht="14" customHeight="1">
      <c r="B5" s="11">
        <f>IF(AND(YEAR(OctSun1+7)=CalendarYear,MONTH(OctSun1+7)=10),OctSun1+7, "")</f>
        <v>43016</v>
      </c>
      <c r="C5" s="5">
        <f>IF(AND(YEAR(OctSun1+8)=CalendarYear,MONTH(OctSun1+8)=10),OctSun1+8, "")</f>
        <v>43017</v>
      </c>
      <c r="D5" s="5">
        <f>IF(AND(YEAR(OctSun1+9)=CalendarYear,MONTH(OctSun1+9)=10),OctSun1+9, "")</f>
        <v>43018</v>
      </c>
      <c r="E5" s="5">
        <f>IF(AND(YEAR(OctSun1+10)=CalendarYear,MONTH(OctSun1+10)=10),OctSun1+10, "")</f>
        <v>43019</v>
      </c>
      <c r="F5" s="5">
        <f>IF(AND(YEAR(OctSun1+11)=CalendarYear,MONTH(OctSun1+11)=10),OctSun1+11, "")</f>
        <v>43020</v>
      </c>
      <c r="G5" s="5">
        <f>IF(AND(YEAR(OctSun1+12)=CalendarYear,MONTH(OctSun1+12)=10),OctSun1+12,"")</f>
        <v>43021</v>
      </c>
      <c r="H5" s="10">
        <f>IF(AND(YEAR(OctSun1+13)=CalendarYear,MONTH(OctSun1+13)=10),OctSun1+13, "")</f>
        <v>43022</v>
      </c>
    </row>
    <row r="6" spans="1:8" ht="58" customHeight="1">
      <c r="B6" s="29"/>
      <c r="C6" s="25"/>
      <c r="D6" s="26"/>
      <c r="E6" s="26"/>
      <c r="F6" s="26"/>
      <c r="G6" s="26"/>
      <c r="H6" s="30"/>
    </row>
    <row r="7" spans="1:8" ht="14" customHeight="1">
      <c r="B7" s="11">
        <f>IF(AND(YEAR(OctSun1+14)=CalendarYear,MONTH(OctSun1+14)=10),OctSun1+14, "")</f>
        <v>43023</v>
      </c>
      <c r="C7" s="5">
        <f>IF(AND(YEAR(OctSun1+15)=CalendarYear,MONTH(OctSun1+15)=10),OctSun1+15, "")</f>
        <v>43024</v>
      </c>
      <c r="D7" s="5">
        <f>IF(AND(YEAR(OctSun1+16)=CalendarYear,MONTH(OctSun1+16)=10),OctSun1+16, "")</f>
        <v>43025</v>
      </c>
      <c r="E7" s="5">
        <f>IF(AND(YEAR(OctSun1+17)=CalendarYear,MONTH(OctSun1+17)=10),OctSun1+17, "")</f>
        <v>43026</v>
      </c>
      <c r="F7" s="5">
        <f>IF(AND(YEAR(OctSun1+18)=CalendarYear,MONTH(OctSun1+18)=10),OctSun1+18, "")</f>
        <v>43027</v>
      </c>
      <c r="G7" s="5">
        <f>IF(AND(YEAR(OctSun1+19)=CalendarYear,MONTH(OctSun1+19)=10),OctSun1+19, "")</f>
        <v>43028</v>
      </c>
      <c r="H7" s="10">
        <f>IF(AND(YEAR(OctSun1+20)=CalendarYear,MONTH(OctSun1+20)=10),OctSun1+20, "")</f>
        <v>43029</v>
      </c>
    </row>
    <row r="8" spans="1:8" ht="58" customHeight="1">
      <c r="B8" s="29"/>
      <c r="C8" s="25"/>
      <c r="D8" s="26"/>
      <c r="E8" s="26"/>
      <c r="F8" s="26"/>
      <c r="G8" s="26"/>
      <c r="H8" s="30"/>
    </row>
    <row r="9" spans="1:8" ht="14" customHeight="1">
      <c r="B9" s="12">
        <f>IF(AND(YEAR(OctSun1+21)=CalendarYear,MONTH(OctSun1+21)=10),OctSun1+21, "")</f>
        <v>43030</v>
      </c>
      <c r="C9" s="6">
        <f>IF(AND(YEAR(OctSun1+22)=CalendarYear,MONTH(OctSun1+22)=10),OctSun1+22, "")</f>
        <v>43031</v>
      </c>
      <c r="D9" s="6">
        <f>IF(AND(YEAR(OctSun1+23)=CalendarYear,MONTH(OctSun1+23)=10),OctSun1+23, "")</f>
        <v>43032</v>
      </c>
      <c r="E9" s="6">
        <f>IF(AND(YEAR(OctSun1+24)=CalendarYear,MONTH(OctSun1+24)=10),OctSun1+24, "")</f>
        <v>43033</v>
      </c>
      <c r="F9" s="6">
        <f>IF(AND(YEAR(OctSun1+25)=CalendarYear,MONTH(OctSun1+25)=10),OctSun1+25, "")</f>
        <v>43034</v>
      </c>
      <c r="G9" s="6">
        <f>IF(AND(YEAR(OctSun1+26)=CalendarYear,MONTH(OctSun1+26)=10),OctSun1+26, "")</f>
        <v>43035</v>
      </c>
      <c r="H9" s="13">
        <f>IF(AND(YEAR(OctSun1+27)=CalendarYear,MONTH(OctSun1+27)=10),OctSun1+27, "")</f>
        <v>43036</v>
      </c>
    </row>
    <row r="10" spans="1:8" ht="58" customHeight="1">
      <c r="B10" s="29"/>
      <c r="C10" s="25"/>
      <c r="D10" s="26"/>
      <c r="E10" s="26"/>
      <c r="F10" s="26"/>
      <c r="G10" s="26"/>
      <c r="H10" s="30"/>
    </row>
    <row r="11" spans="1:8" ht="14" customHeight="1">
      <c r="B11" s="12">
        <f>IF(AND(YEAR(OctSun1+28)=CalendarYear,MONTH(OctSun1+28)=10),OctSun1+28, "")</f>
        <v>43037</v>
      </c>
      <c r="C11" s="6">
        <f>IF(AND(YEAR(OctSun1+29)=CalendarYear,MONTH(OctSun1+29)=10),OctSun1+29, "")</f>
        <v>43038</v>
      </c>
      <c r="D11" s="6">
        <f>IF(AND(YEAR(OctSun1+30)=CalendarYear,MONTH(OctSun1+30)=10),OctSun1+30, "")</f>
        <v>43039</v>
      </c>
      <c r="E11" s="6" t="str">
        <f>IF(AND(YEAR(OctSun1+31)=CalendarYear,MONTH(OctSun1+31)=10),OctSun1+31, "")</f>
        <v/>
      </c>
      <c r="F11" s="6" t="str">
        <f>IF(AND(YEAR(OctSun1+32)=CalendarYear,MONTH(OctSun1+32)=10),OctSun1+32, "")</f>
        <v/>
      </c>
      <c r="G11" s="6" t="str">
        <f>IF(AND(YEAR(OctSun1+33)=CalendarYear,MONTH(OctSun1+33)=10),OctSun1+33, "")</f>
        <v/>
      </c>
      <c r="H11" s="13" t="str">
        <f>IF(AND(YEAR(OctSun1+34)=CalendarYear,MONTH(OctSun1+34)=10),OctSun1+34, "")</f>
        <v/>
      </c>
    </row>
    <row r="12" spans="1:8" ht="58" customHeight="1">
      <c r="B12" s="29"/>
      <c r="C12" s="25"/>
      <c r="D12" s="26"/>
      <c r="E12" s="26"/>
      <c r="F12" s="25"/>
      <c r="G12" s="25"/>
      <c r="H12" s="30"/>
    </row>
    <row r="13" spans="1:8" ht="14" customHeight="1">
      <c r="B13" s="28" t="str">
        <f>IF(AND(YEAR(OctSun1+35)=CalendarYear,MONTH(OctSun1+35)=10),OctSun1+35, "")</f>
        <v/>
      </c>
      <c r="C13" s="24" t="str">
        <f>IF(AND(YEAR(OctSun1+36)=CalendarYear,MONTH(OctSun1+36)=10),OctSun1+36, "")</f>
        <v/>
      </c>
      <c r="D13" s="38" t="s">
        <v>8</v>
      </c>
      <c r="E13" s="38"/>
      <c r="F13" s="38"/>
      <c r="G13" s="38"/>
      <c r="H13" s="39"/>
    </row>
    <row r="14" spans="1:8" ht="58" customHeight="1" thickBot="1">
      <c r="B14" s="31"/>
      <c r="C14" s="27"/>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heetViews>
  <sheetFormatPr baseColWidth="10" defaultColWidth="8.7109375" defaultRowHeight="13" x14ac:dyDescent="0"/>
  <cols>
    <col min="1" max="1" width="2.42578125" style="1" customWidth="1"/>
    <col min="2" max="8" width="17.5703125" style="4" customWidth="1"/>
    <col min="9" max="16384" width="8.7109375" style="4"/>
  </cols>
  <sheetData>
    <row r="1" spans="1:8" s="1" customFormat="1" ht="59.25" customHeight="1" thickBot="1">
      <c r="B1" s="34">
        <f>DATE(CalendarYear,11,1)</f>
        <v>43040</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 customHeight="1">
      <c r="B3" s="9" t="str">
        <f>IF(AND(YEAR(NovSun1)=CalendarYear,MONTH(NovSun1)=11),NovSun1, "")</f>
        <v/>
      </c>
      <c r="C3" s="5" t="str">
        <f>IF(AND(YEAR(NovSun1+1)=CalendarYear,MONTH(NovSun1+1)=11),NovSun1+1, "")</f>
        <v/>
      </c>
      <c r="D3" s="5" t="str">
        <f>IF(AND(YEAR(NovSun1+2)=CalendarYear,MONTH(NovSun1+2)=11),NovSun1+2, "")</f>
        <v/>
      </c>
      <c r="E3" s="5">
        <f>IF(AND(YEAR(NovSun1+3)=CalendarYear,MONTH(NovSun1+3)=11),NovSun1+3, "")</f>
        <v>43040</v>
      </c>
      <c r="F3" s="5">
        <f>IF(AND(YEAR(NovSun1+4)=CalendarYear,MONTH(NovSun1+4)=11),NovSun1+4, "")</f>
        <v>43041</v>
      </c>
      <c r="G3" s="5">
        <f>IF(AND(YEAR(NovSun1+5)=CalendarYear,MONTH(NovSun1+5)=11),NovSun1+5, "")</f>
        <v>43042</v>
      </c>
      <c r="H3" s="10">
        <f>IF(AND(YEAR(NovSun1+6)=CalendarYear,MONTH(NovSun1+6)=11),NovSun1+6, "")</f>
        <v>43043</v>
      </c>
    </row>
    <row r="4" spans="1:8" ht="58" customHeight="1">
      <c r="B4" s="29"/>
      <c r="C4" s="25"/>
      <c r="D4" s="26"/>
      <c r="E4" s="26"/>
      <c r="F4" s="26"/>
      <c r="G4" s="26"/>
      <c r="H4" s="30"/>
    </row>
    <row r="5" spans="1:8" ht="14" customHeight="1">
      <c r="B5" s="11">
        <f>IF(AND(YEAR(NovSun1+7)=CalendarYear,MONTH(NovSun1+7)=11),NovSun1+7, "")</f>
        <v>43044</v>
      </c>
      <c r="C5" s="5">
        <f>IF(AND(YEAR(NovSun1+8)=CalendarYear,MONTH(NovSun1+8)=11),NovSun1+8, "")</f>
        <v>43045</v>
      </c>
      <c r="D5" s="5">
        <f>IF(AND(YEAR(NovSun1+9)=CalendarYear,MONTH(NovSun1+9)=11),NovSun1+9, "")</f>
        <v>43046</v>
      </c>
      <c r="E5" s="5">
        <f>IF(AND(YEAR(NovSun1+10)=CalendarYear,MONTH(NovSun1+10)=11),NovSun1+10, "")</f>
        <v>43047</v>
      </c>
      <c r="F5" s="5">
        <f>IF(AND(YEAR(NovSun1+11)=CalendarYear,MONTH(NovSun1+11)=11),NovSun1+11, "")</f>
        <v>43048</v>
      </c>
      <c r="G5" s="5">
        <f>IF(AND(YEAR(NovSun1+12)=CalendarYear,MONTH(NovSun1+12)=11),NovSun1+12,"")</f>
        <v>43049</v>
      </c>
      <c r="H5" s="10">
        <f>IF(AND(YEAR(NovSun1+13)=CalendarYear,MONTH(NovSun1+13)=11),NovSun1+13, "")</f>
        <v>43050</v>
      </c>
    </row>
    <row r="6" spans="1:8" ht="58" customHeight="1">
      <c r="B6" s="29"/>
      <c r="C6" s="25"/>
      <c r="D6" s="26"/>
      <c r="E6" s="26"/>
      <c r="F6" s="26"/>
      <c r="G6" s="26"/>
      <c r="H6" s="30"/>
    </row>
    <row r="7" spans="1:8" ht="14" customHeight="1">
      <c r="B7" s="11">
        <f>IF(AND(YEAR(NovSun1+14)=CalendarYear,MONTH(NovSun1+14)=11),NovSun1+14, "")</f>
        <v>43051</v>
      </c>
      <c r="C7" s="5">
        <f>IF(AND(YEAR(NovSun1+15)=CalendarYear,MONTH(NovSun1+15)=11),NovSun1+15, "")</f>
        <v>43052</v>
      </c>
      <c r="D7" s="5">
        <f>IF(AND(YEAR(NovSun1+16)=CalendarYear,MONTH(NovSun1+16)=11),NovSun1+16, "")</f>
        <v>43053</v>
      </c>
      <c r="E7" s="5">
        <f>IF(AND(YEAR(NovSun1+17)=CalendarYear,MONTH(NovSun1+17)=11),NovSun1+17, "")</f>
        <v>43054</v>
      </c>
      <c r="F7" s="5">
        <f>IF(AND(YEAR(NovSun1+18)=CalendarYear,MONTH(NovSun1+18)=11),NovSun1+18, "")</f>
        <v>43055</v>
      </c>
      <c r="G7" s="5">
        <f>IF(AND(YEAR(NovSun1+19)=CalendarYear,MONTH(NovSun1+19)=11),NovSun1+19, "")</f>
        <v>43056</v>
      </c>
      <c r="H7" s="10">
        <f>IF(AND(YEAR(NovSun1+20)=CalendarYear,MONTH(NovSun1+20)=11),NovSun1+20, "")</f>
        <v>43057</v>
      </c>
    </row>
    <row r="8" spans="1:8" ht="58" customHeight="1">
      <c r="B8" s="29"/>
      <c r="C8" s="25"/>
      <c r="D8" s="26"/>
      <c r="E8" s="26"/>
      <c r="F8" s="26"/>
      <c r="G8" s="26"/>
      <c r="H8" s="30"/>
    </row>
    <row r="9" spans="1:8" ht="14" customHeight="1">
      <c r="B9" s="12">
        <f>IF(AND(YEAR(NovSun1+21)=CalendarYear,MONTH(NovSun1+21)=11),NovSun1+21, "")</f>
        <v>43058</v>
      </c>
      <c r="C9" s="6">
        <f>IF(AND(YEAR(NovSun1+22)=CalendarYear,MONTH(NovSun1+22)=11),NovSun1+22, "")</f>
        <v>43059</v>
      </c>
      <c r="D9" s="6">
        <f>IF(AND(YEAR(NovSun1+23)=CalendarYear,MONTH(NovSun1+23)=11),NovSun1+23, "")</f>
        <v>43060</v>
      </c>
      <c r="E9" s="6">
        <f>IF(AND(YEAR(NovSun1+24)=CalendarYear,MONTH(NovSun1+24)=11),NovSun1+24, "")</f>
        <v>43061</v>
      </c>
      <c r="F9" s="6">
        <f>IF(AND(YEAR(NovSun1+25)=CalendarYear,MONTH(NovSun1+25)=11),NovSun1+25, "")</f>
        <v>43062</v>
      </c>
      <c r="G9" s="6">
        <f>IF(AND(YEAR(NovSun1+26)=CalendarYear,MONTH(NovSun1+26)=11),NovSun1+26, "")</f>
        <v>43063</v>
      </c>
      <c r="H9" s="13">
        <f>IF(AND(YEAR(NovSun1+27)=CalendarYear,MONTH(NovSun1+27)=11),NovSun1+27, "")</f>
        <v>43064</v>
      </c>
    </row>
    <row r="10" spans="1:8" ht="58" customHeight="1">
      <c r="B10" s="29"/>
      <c r="C10" s="25"/>
      <c r="D10" s="26"/>
      <c r="E10" s="26"/>
      <c r="F10" s="26"/>
      <c r="G10" s="26"/>
      <c r="H10" s="30"/>
    </row>
    <row r="11" spans="1:8" ht="14" customHeight="1">
      <c r="B11" s="12">
        <f>IF(AND(YEAR(NovSun1+28)=CalendarYear,MONTH(NovSun1+28)=11),NovSun1+28, "")</f>
        <v>43065</v>
      </c>
      <c r="C11" s="6">
        <f>IF(AND(YEAR(NovSun1+29)=CalendarYear,MONTH(NovSun1+29)=11),NovSun1+29, "")</f>
        <v>43066</v>
      </c>
      <c r="D11" s="6">
        <f>IF(AND(YEAR(NovSun1+30)=CalendarYear,MONTH(NovSun1+30)=11),NovSun1+30, "")</f>
        <v>43067</v>
      </c>
      <c r="E11" s="6">
        <f>IF(AND(YEAR(NovSun1+31)=CalendarYear,MONTH(NovSun1+31)=11),NovSun1+31, "")</f>
        <v>43068</v>
      </c>
      <c r="F11" s="6">
        <f>IF(AND(YEAR(NovSun1+32)=CalendarYear,MONTH(NovSun1+32)=11),NovSun1+32, "")</f>
        <v>43069</v>
      </c>
      <c r="G11" s="6" t="str">
        <f>IF(AND(YEAR(NovSun1+33)=CalendarYear,MONTH(NovSun1+33)=11),NovSun1+33, "")</f>
        <v/>
      </c>
      <c r="H11" s="13" t="str">
        <f>IF(AND(YEAR(NovSun1+34)=CalendarYear,MONTH(NovSun1+34)=11),NovSun1+34, "")</f>
        <v/>
      </c>
    </row>
    <row r="12" spans="1:8" ht="58" customHeight="1">
      <c r="B12" s="29"/>
      <c r="C12" s="25"/>
      <c r="D12" s="26"/>
      <c r="E12" s="26"/>
      <c r="F12" s="25"/>
      <c r="G12" s="25"/>
      <c r="H12" s="30"/>
    </row>
    <row r="13" spans="1:8" ht="14" customHeight="1">
      <c r="B13" s="28" t="str">
        <f>IF(AND(YEAR(NovSun1+35)=CalendarYear,MONTH(NovSun1+35)=11),NovSun1+35, "")</f>
        <v/>
      </c>
      <c r="C13" s="44" t="s">
        <v>8</v>
      </c>
      <c r="D13" s="44"/>
      <c r="E13" s="44"/>
      <c r="F13" s="44"/>
      <c r="G13" s="44"/>
      <c r="H13" s="45"/>
    </row>
    <row r="14" spans="1:8" ht="58" customHeight="1" thickBot="1">
      <c r="B14" s="31"/>
      <c r="C14" s="35"/>
      <c r="D14" s="36"/>
      <c r="E14" s="36"/>
      <c r="F14" s="36"/>
      <c r="G14" s="36"/>
      <c r="H14" s="37"/>
    </row>
  </sheetData>
  <mergeCells count="3">
    <mergeCell ref="B1:H1"/>
    <mergeCell ref="C13:H13"/>
    <mergeCell ref="C14:H14"/>
  </mergeCells>
  <phoneticPr fontId="1" type="noConversion"/>
  <printOptions horizont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election activeCell="J6" sqref="J6"/>
    </sheetView>
  </sheetViews>
  <sheetFormatPr baseColWidth="10" defaultColWidth="8.7109375" defaultRowHeight="13" x14ac:dyDescent="0"/>
  <cols>
    <col min="1" max="1" width="2.42578125" style="1" customWidth="1"/>
    <col min="2" max="8" width="17.5703125" style="4" customWidth="1"/>
    <col min="9" max="16384" width="8.7109375" style="4"/>
  </cols>
  <sheetData>
    <row r="1" spans="1:8" s="1" customFormat="1" ht="59.25" customHeight="1" thickBot="1">
      <c r="B1" s="34">
        <f>DATE(CalendarYear,12,1)</f>
        <v>43070</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 customHeight="1">
      <c r="B3" s="9" t="str">
        <f>IF(AND(YEAR(DecSun1)=CalendarYear,MONTH(DecSun1)=12),DecSun1, "")</f>
        <v/>
      </c>
      <c r="C3" s="5" t="str">
        <f>IF(AND(YEAR(DecSun1+1)=CalendarYear,MONTH(DecSun1+1)=12),DecSun1+1, "")</f>
        <v/>
      </c>
      <c r="D3" s="5" t="str">
        <f>IF(AND(YEAR(DecSun1+2)=CalendarYear,MONTH(DecSun1+2)=12),DecSun1+2, "")</f>
        <v/>
      </c>
      <c r="E3" s="5" t="str">
        <f>IF(AND(YEAR(DecSun1+3)=CalendarYear,MONTH(DecSun1+3)=12),DecSun1+3, "")</f>
        <v/>
      </c>
      <c r="F3" s="5" t="str">
        <f>IF(AND(YEAR(DecSun1+4)=CalendarYear,MONTH(DecSun1+4)=12),DecSun1+4, "")</f>
        <v/>
      </c>
      <c r="G3" s="5">
        <f>IF(AND(YEAR(DecSun1+5)=CalendarYear,MONTH(DecSun1+5)=12),DecSun1+5, "")</f>
        <v>43070</v>
      </c>
      <c r="H3" s="10">
        <f>IF(AND(YEAR(DecSun1+6)=CalendarYear,MONTH(DecSun1+6)=12),DecSun1+6, "")</f>
        <v>43071</v>
      </c>
    </row>
    <row r="4" spans="1:8" ht="58" customHeight="1">
      <c r="B4" s="29"/>
      <c r="C4" s="25"/>
      <c r="D4" s="26"/>
      <c r="E4" s="26"/>
      <c r="F4" s="26"/>
      <c r="G4" s="26"/>
      <c r="H4" s="30"/>
    </row>
    <row r="5" spans="1:8" ht="14" customHeight="1">
      <c r="B5" s="11">
        <f>IF(AND(YEAR(DecSun1+7)=CalendarYear,MONTH(DecSun1+7)=12),DecSun1+7, "")</f>
        <v>43072</v>
      </c>
      <c r="C5" s="5">
        <f>IF(AND(YEAR(DecSun1+8)=CalendarYear,MONTH(DecSun1+8)=12),DecSun1+8, "")</f>
        <v>43073</v>
      </c>
      <c r="D5" s="5">
        <f>IF(AND(YEAR(DecSun1+9)=CalendarYear,MONTH(DecSun1+9)=12),DecSun1+9, "")</f>
        <v>43074</v>
      </c>
      <c r="E5" s="5">
        <f>IF(AND(YEAR(DecSun1+10)=CalendarYear,MONTH(DecSun1+10)=12),DecSun1+10, "")</f>
        <v>43075</v>
      </c>
      <c r="F5" s="5">
        <f>IF(AND(YEAR(DecSun1+11)=CalendarYear,MONTH(DecSun1+11)=12),DecSun1+11, "")</f>
        <v>43076</v>
      </c>
      <c r="G5" s="5">
        <f>IF(AND(YEAR(DecSun1+12)=CalendarYear,MONTH(DecSun1+12)=12),DecSun1+12,"")</f>
        <v>43077</v>
      </c>
      <c r="H5" s="10">
        <f>IF(AND(YEAR(DecSun1+13)=CalendarYear,MONTH(DecSun1+13)=12),DecSun1+13, "")</f>
        <v>43078</v>
      </c>
    </row>
    <row r="6" spans="1:8" ht="58" customHeight="1">
      <c r="B6" s="29"/>
      <c r="C6" s="25"/>
      <c r="D6" s="26"/>
      <c r="E6" s="26"/>
      <c r="F6" s="26"/>
      <c r="G6" s="26"/>
      <c r="H6" s="30"/>
    </row>
    <row r="7" spans="1:8" ht="14" customHeight="1">
      <c r="B7" s="11">
        <f>IF(AND(YEAR(DecSun1+14)=CalendarYear,MONTH(DecSun1+14)=12),DecSun1+14, "")</f>
        <v>43079</v>
      </c>
      <c r="C7" s="5">
        <f>IF(AND(YEAR(DecSun1+15)=CalendarYear,MONTH(DecSun1+15)=12),DecSun1+15, "")</f>
        <v>43080</v>
      </c>
      <c r="D7" s="5">
        <f>IF(AND(YEAR(DecSun1+16)=CalendarYear,MONTH(DecSun1+16)=12),DecSun1+16, "")</f>
        <v>43081</v>
      </c>
      <c r="E7" s="5">
        <f>IF(AND(YEAR(DecSun1+17)=CalendarYear,MONTH(DecSun1+17)=12),DecSun1+17, "")</f>
        <v>43082</v>
      </c>
      <c r="F7" s="5">
        <f>IF(AND(YEAR(DecSun1+18)=CalendarYear,MONTH(DecSun1+18)=12),DecSun1+18, "")</f>
        <v>43083</v>
      </c>
      <c r="G7" s="5">
        <f>IF(AND(YEAR(DecSun1+19)=CalendarYear,MONTH(DecSun1+19)=12),DecSun1+19, "")</f>
        <v>43084</v>
      </c>
      <c r="H7" s="10">
        <f>IF(AND(YEAR(DecSun1+20)=CalendarYear,MONTH(DecSun1+20)=12),DecSun1+20, "")</f>
        <v>43085</v>
      </c>
    </row>
    <row r="8" spans="1:8" ht="58" customHeight="1">
      <c r="B8" s="29"/>
      <c r="C8" s="25"/>
      <c r="D8" s="26"/>
      <c r="E8" s="26"/>
      <c r="F8" s="26"/>
      <c r="G8" s="26"/>
      <c r="H8" s="30"/>
    </row>
    <row r="9" spans="1:8" ht="14" customHeight="1">
      <c r="B9" s="12">
        <f>IF(AND(YEAR(DecSun1+21)=CalendarYear,MONTH(DecSun1+21)=12),DecSun1+21, "")</f>
        <v>43086</v>
      </c>
      <c r="C9" s="6">
        <f>IF(AND(YEAR(DecSun1+22)=CalendarYear,MONTH(DecSun1+22)=12),DecSun1+22, "")</f>
        <v>43087</v>
      </c>
      <c r="D9" s="6">
        <f>IF(AND(YEAR(DecSun1+23)=CalendarYear,MONTH(DecSun1+23)=12),DecSun1+23, "")</f>
        <v>43088</v>
      </c>
      <c r="E9" s="6">
        <f>IF(AND(YEAR(DecSun1+24)=CalendarYear,MONTH(DecSun1+24)=12),DecSun1+24, "")</f>
        <v>43089</v>
      </c>
      <c r="F9" s="6">
        <f>IF(AND(YEAR(DecSun1+25)=CalendarYear,MONTH(DecSun1+25)=12),DecSun1+25, "")</f>
        <v>43090</v>
      </c>
      <c r="G9" s="6">
        <f>IF(AND(YEAR(DecSun1+26)=CalendarYear,MONTH(DecSun1+26)=12),DecSun1+26, "")</f>
        <v>43091</v>
      </c>
      <c r="H9" s="13">
        <f>IF(AND(YEAR(DecSun1+27)=CalendarYear,MONTH(DecSun1+27)=12),DecSun1+27, "")</f>
        <v>43092</v>
      </c>
    </row>
    <row r="10" spans="1:8" ht="58" customHeight="1">
      <c r="B10" s="29"/>
      <c r="C10" s="25"/>
      <c r="D10" s="26"/>
      <c r="E10" s="26"/>
      <c r="F10" s="26"/>
      <c r="G10" s="26"/>
      <c r="H10" s="30"/>
    </row>
    <row r="11" spans="1:8" ht="14" customHeight="1">
      <c r="B11" s="12">
        <f>IF(AND(YEAR(DecSun1+28)=CalendarYear,MONTH(DecSun1+28)=12),DecSun1+28, "")</f>
        <v>43093</v>
      </c>
      <c r="C11" s="6">
        <f>IF(AND(YEAR(DecSun1+29)=CalendarYear,MONTH(DecSun1+29)=12),DecSun1+29, "")</f>
        <v>43094</v>
      </c>
      <c r="D11" s="6">
        <f>IF(AND(YEAR(DecSun1+30)=CalendarYear,MONTH(DecSun1+30)=12),DecSun1+30, "")</f>
        <v>43095</v>
      </c>
      <c r="E11" s="6">
        <f>IF(AND(YEAR(DecSun1+31)=CalendarYear,MONTH(DecSun1+31)=12),DecSun1+31, "")</f>
        <v>43096</v>
      </c>
      <c r="F11" s="6">
        <f>IF(AND(YEAR(DecSun1+32)=CalendarYear,MONTH(DecSun1+32)=12),DecSun1+32, "")</f>
        <v>43097</v>
      </c>
      <c r="G11" s="6">
        <f>IF(AND(YEAR(DecSun1+33)=CalendarYear,MONTH(DecSun1+33)=12),DecSun1+33, "")</f>
        <v>43098</v>
      </c>
      <c r="H11" s="13">
        <f>IF(AND(YEAR(DecSun1+34)=CalendarYear,MONTH(DecSun1+34)=12),DecSun1+34, "")</f>
        <v>43099</v>
      </c>
    </row>
    <row r="12" spans="1:8" ht="58" customHeight="1">
      <c r="B12" s="29"/>
      <c r="C12" s="25"/>
      <c r="D12" s="26"/>
      <c r="E12" s="26"/>
      <c r="F12" s="25"/>
      <c r="G12" s="25"/>
      <c r="H12" s="30"/>
    </row>
    <row r="13" spans="1:8" ht="14" customHeight="1">
      <c r="B13" s="28">
        <f>IF(AND(YEAR(DecSun1+35)=CalendarYear,MONTH(DecSun1+35)=12),DecSun1+35, "")</f>
        <v>43100</v>
      </c>
      <c r="C13" s="24" t="str">
        <f>IF(AND(YEAR(DecSun1+36)=CalendarYear,MONTH(DecSun1+36)=12),DecSun1+36, "")</f>
        <v/>
      </c>
      <c r="D13" s="38" t="s">
        <v>8</v>
      </c>
      <c r="E13" s="38"/>
      <c r="F13" s="38"/>
      <c r="G13" s="38"/>
      <c r="H13" s="39"/>
    </row>
    <row r="14" spans="1:8" ht="58" customHeight="1" thickBot="1">
      <c r="B14" s="31"/>
      <c r="C14" s="27"/>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2"/>
  <sheetViews>
    <sheetView workbookViewId="0">
      <selection sqref="A1:A12"/>
    </sheetView>
  </sheetViews>
  <sheetFormatPr baseColWidth="10" defaultColWidth="8.7109375" defaultRowHeight="13" x14ac:dyDescent="0"/>
  <cols>
    <col min="1" max="1" width="10.42578125" style="4" customWidth="1"/>
    <col min="2" max="2" width="9.5703125" style="4" customWidth="1"/>
    <col min="3" max="3" width="9.7109375" style="4" customWidth="1"/>
    <col min="4" max="16384" width="8.7109375" style="4"/>
  </cols>
  <sheetData>
    <row r="1" spans="1:3" ht="14">
      <c r="A1" s="21" t="s">
        <v>7</v>
      </c>
      <c r="B1" s="22"/>
    </row>
    <row r="2" spans="1:3" ht="14">
      <c r="A2" s="22">
        <v>2010</v>
      </c>
      <c r="B2" s="22"/>
    </row>
    <row r="3" spans="1:3" ht="14">
      <c r="A3" s="22">
        <v>2011</v>
      </c>
      <c r="B3" s="22"/>
    </row>
    <row r="4" spans="1:3" ht="14">
      <c r="A4" s="22">
        <v>2012</v>
      </c>
      <c r="B4" s="22"/>
    </row>
    <row r="5" spans="1:3" ht="14">
      <c r="A5" s="22">
        <v>2013</v>
      </c>
      <c r="B5" s="22"/>
    </row>
    <row r="6" spans="1:3" ht="14">
      <c r="A6" s="22">
        <v>2014</v>
      </c>
      <c r="B6" s="22"/>
    </row>
    <row r="7" spans="1:3" ht="14">
      <c r="A7" s="22">
        <v>2015</v>
      </c>
      <c r="B7" s="22"/>
    </row>
    <row r="8" spans="1:3" ht="14">
      <c r="A8" s="23">
        <v>2016</v>
      </c>
      <c r="B8" s="22"/>
    </row>
    <row r="9" spans="1:3" ht="14">
      <c r="A9" s="23">
        <v>2017</v>
      </c>
      <c r="B9" s="22"/>
    </row>
    <row r="10" spans="1:3" ht="14">
      <c r="A10" s="22">
        <v>2018</v>
      </c>
      <c r="B10" s="22"/>
    </row>
    <row r="11" spans="1:3" ht="14">
      <c r="A11" s="23">
        <v>2019</v>
      </c>
      <c r="B11" s="22"/>
    </row>
    <row r="12" spans="1:3" ht="14">
      <c r="A12" s="23">
        <v>2020</v>
      </c>
      <c r="B12" s="22"/>
    </row>
  </sheetData>
  <phoneticPr fontId="1" type="noConversion"/>
  <pageMargins left="0.7" right="0.7" top="0.75" bottom="0.75" header="0.3" footer="0.3"/>
  <legacyDrawing r:id="rId1"/>
  <tableParts count="1">
    <tablePart r:id="rId2"/>
  </tablePart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A2" sqref="A2 B2 D2 G2 H2 I2 A3 B3 D3 I3 A4 B4 D4 I4 A5 B5 D5 I5 A6 B6 D6 I6 A7 B7 D7 E7 G7 I7 A8 D8 I8 A9 B9 D9 G9 I9 A10 B10 D10 G10 I10 A11 B11 D11 G11 H11 I11 A12 B12 G12 I12 A13 B13 D13 G13 H13 I13 A14 B14 D14 G14 I14 B15 D15 G15 I15"/>
    </sheetView>
  </sheetViews>
  <sheetFormatPr baseColWidth="10" defaultRowHeight="14" x14ac:dyDescent="0"/>
  <sheetData>
    <row r="1" spans="1:9">
      <c r="A1" s="46" t="s">
        <v>12</v>
      </c>
      <c r="B1" s="46" t="s">
        <v>13</v>
      </c>
      <c r="C1" s="46" t="s">
        <v>14</v>
      </c>
      <c r="D1" s="46" t="s">
        <v>15</v>
      </c>
      <c r="E1" s="46" t="s">
        <v>16</v>
      </c>
      <c r="F1" s="46" t="s">
        <v>17</v>
      </c>
      <c r="G1" s="46" t="s">
        <v>18</v>
      </c>
      <c r="H1" s="46" t="s">
        <v>19</v>
      </c>
      <c r="I1" s="47" t="s">
        <v>20</v>
      </c>
    </row>
    <row r="2" spans="1:9">
      <c r="A2" s="48" t="s">
        <v>21</v>
      </c>
      <c r="B2" s="48" t="s">
        <v>22</v>
      </c>
      <c r="C2" s="46" t="s">
        <v>23</v>
      </c>
      <c r="D2" s="48" t="s">
        <v>24</v>
      </c>
      <c r="E2" s="48"/>
      <c r="F2" s="48"/>
      <c r="G2" s="49" t="s">
        <v>25</v>
      </c>
      <c r="H2" s="49" t="s">
        <v>26</v>
      </c>
      <c r="I2" s="50">
        <v>92129</v>
      </c>
    </row>
    <row r="3" spans="1:9">
      <c r="A3" s="48" t="s">
        <v>27</v>
      </c>
      <c r="B3" s="48" t="s">
        <v>28</v>
      </c>
      <c r="C3" s="46" t="s">
        <v>23</v>
      </c>
      <c r="D3" s="49" t="s">
        <v>29</v>
      </c>
      <c r="E3" s="49"/>
      <c r="F3" s="49"/>
      <c r="G3" s="51" t="s">
        <v>30</v>
      </c>
      <c r="H3" s="51" t="s">
        <v>31</v>
      </c>
      <c r="I3" s="52">
        <v>94133</v>
      </c>
    </row>
    <row r="4" spans="1:9">
      <c r="A4" s="49" t="s">
        <v>32</v>
      </c>
      <c r="B4" s="48" t="s">
        <v>33</v>
      </c>
      <c r="C4" s="48"/>
      <c r="D4" s="48" t="s">
        <v>34</v>
      </c>
      <c r="E4" s="48"/>
      <c r="F4" s="48"/>
      <c r="G4" s="51" t="s">
        <v>35</v>
      </c>
      <c r="H4" s="46" t="s">
        <v>36</v>
      </c>
      <c r="I4" s="50" t="s">
        <v>37</v>
      </c>
    </row>
    <row r="5" spans="1:9">
      <c r="A5" s="48" t="s">
        <v>38</v>
      </c>
      <c r="B5" s="48" t="s">
        <v>39</v>
      </c>
      <c r="C5" s="48"/>
      <c r="D5" s="49" t="s">
        <v>40</v>
      </c>
      <c r="E5" s="49"/>
      <c r="F5" s="49"/>
      <c r="G5" s="46" t="s">
        <v>41</v>
      </c>
      <c r="H5" s="51" t="s">
        <v>42</v>
      </c>
      <c r="I5" s="52">
        <v>94111</v>
      </c>
    </row>
    <row r="6" spans="1:9">
      <c r="A6" s="49" t="s">
        <v>43</v>
      </c>
      <c r="B6" s="49" t="s">
        <v>44</v>
      </c>
      <c r="C6" s="49"/>
      <c r="D6" s="49" t="s">
        <v>45</v>
      </c>
      <c r="E6" s="49"/>
      <c r="F6" s="49"/>
      <c r="G6" s="46" t="s">
        <v>46</v>
      </c>
      <c r="H6" s="51" t="s">
        <v>47</v>
      </c>
      <c r="I6" s="52">
        <v>93401</v>
      </c>
    </row>
    <row r="7" spans="1:9">
      <c r="A7" s="48" t="s">
        <v>48</v>
      </c>
      <c r="B7" s="48" t="s">
        <v>49</v>
      </c>
      <c r="C7" s="48"/>
      <c r="D7" s="48" t="s">
        <v>50</v>
      </c>
      <c r="E7" s="48" t="s">
        <v>51</v>
      </c>
      <c r="F7" s="48"/>
      <c r="G7" s="48" t="s">
        <v>52</v>
      </c>
      <c r="H7" s="46" t="s">
        <v>53</v>
      </c>
      <c r="I7" s="50">
        <v>94538</v>
      </c>
    </row>
    <row r="8" spans="1:9">
      <c r="A8" s="48" t="s">
        <v>54</v>
      </c>
      <c r="B8" s="53" t="s">
        <v>55</v>
      </c>
      <c r="C8" s="53"/>
      <c r="D8" s="48" t="s">
        <v>56</v>
      </c>
      <c r="E8" s="48"/>
      <c r="F8" s="48"/>
      <c r="G8" s="51" t="s">
        <v>57</v>
      </c>
      <c r="H8" s="46" t="s">
        <v>53</v>
      </c>
      <c r="I8" s="50" t="s">
        <v>58</v>
      </c>
    </row>
    <row r="9" spans="1:9">
      <c r="A9" s="48" t="s">
        <v>59</v>
      </c>
      <c r="B9" s="48" t="s">
        <v>60</v>
      </c>
      <c r="C9" s="48"/>
      <c r="D9" s="48" t="s">
        <v>61</v>
      </c>
      <c r="E9" s="48"/>
      <c r="F9" s="48"/>
      <c r="G9" s="48" t="s">
        <v>62</v>
      </c>
      <c r="H9" s="46" t="s">
        <v>63</v>
      </c>
      <c r="I9" s="50">
        <v>1810</v>
      </c>
    </row>
    <row r="10" spans="1:9">
      <c r="A10" s="49" t="s">
        <v>64</v>
      </c>
      <c r="B10" s="49" t="s">
        <v>65</v>
      </c>
      <c r="C10" s="49"/>
      <c r="D10" s="48" t="s">
        <v>66</v>
      </c>
      <c r="E10" s="48"/>
      <c r="F10" s="48"/>
      <c r="G10" s="49" t="s">
        <v>67</v>
      </c>
      <c r="H10" s="46" t="s">
        <v>42</v>
      </c>
      <c r="I10" s="50">
        <v>61822</v>
      </c>
    </row>
    <row r="11" spans="1:9">
      <c r="A11" s="48" t="s">
        <v>68</v>
      </c>
      <c r="B11" s="48" t="s">
        <v>69</v>
      </c>
      <c r="C11" s="48"/>
      <c r="D11" s="48" t="s">
        <v>70</v>
      </c>
      <c r="E11" s="48"/>
      <c r="F11" s="48"/>
      <c r="G11" s="48" t="s">
        <v>71</v>
      </c>
      <c r="H11" s="48" t="s">
        <v>72</v>
      </c>
      <c r="I11" s="50">
        <v>98105</v>
      </c>
    </row>
    <row r="12" spans="1:9">
      <c r="A12" s="48" t="s">
        <v>73</v>
      </c>
      <c r="B12" s="49" t="s">
        <v>74</v>
      </c>
      <c r="C12" s="49"/>
      <c r="D12" s="53" t="s">
        <v>75</v>
      </c>
      <c r="E12" s="53"/>
      <c r="F12" s="53"/>
      <c r="G12" s="48" t="s">
        <v>71</v>
      </c>
      <c r="H12" s="53" t="s">
        <v>76</v>
      </c>
      <c r="I12" s="50">
        <v>99832</v>
      </c>
    </row>
    <row r="13" spans="1:9">
      <c r="A13" s="48" t="s">
        <v>77</v>
      </c>
      <c r="B13" s="48" t="s">
        <v>78</v>
      </c>
      <c r="C13" s="48"/>
      <c r="D13" s="48" t="s">
        <v>79</v>
      </c>
      <c r="E13" s="48"/>
      <c r="F13" s="48"/>
      <c r="G13" s="48" t="s">
        <v>80</v>
      </c>
      <c r="H13" s="48" t="s">
        <v>81</v>
      </c>
      <c r="I13" s="50">
        <v>87015</v>
      </c>
    </row>
    <row r="14" spans="1:9">
      <c r="A14" s="48" t="s">
        <v>82</v>
      </c>
      <c r="B14" s="48" t="s">
        <v>83</v>
      </c>
      <c r="C14" s="48"/>
      <c r="D14" s="48" t="s">
        <v>84</v>
      </c>
      <c r="E14" s="48"/>
      <c r="F14" s="48"/>
      <c r="G14" s="48" t="s">
        <v>80</v>
      </c>
      <c r="H14" s="46" t="s">
        <v>85</v>
      </c>
      <c r="I14" s="50">
        <v>48076</v>
      </c>
    </row>
    <row r="15" spans="1:9">
      <c r="A15" s="46" t="s">
        <v>86</v>
      </c>
      <c r="B15" s="48" t="s">
        <v>87</v>
      </c>
      <c r="C15" s="48"/>
      <c r="D15" s="48" t="s">
        <v>75</v>
      </c>
      <c r="E15" s="48"/>
      <c r="F15" s="48"/>
      <c r="G15" s="49" t="s">
        <v>88</v>
      </c>
      <c r="H15" s="46" t="s">
        <v>85</v>
      </c>
      <c r="I15" s="50">
        <v>31132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heetViews>
  <sheetFormatPr baseColWidth="10" defaultColWidth="8.7109375" defaultRowHeight="13" x14ac:dyDescent="0"/>
  <cols>
    <col min="1" max="1" width="2.42578125" style="1" customWidth="1"/>
    <col min="2" max="8" width="17.5703125" style="4" customWidth="1"/>
    <col min="9" max="16384" width="8.7109375" style="4"/>
  </cols>
  <sheetData>
    <row r="1" spans="1:8" s="1" customFormat="1" ht="59.25" customHeight="1" thickBot="1">
      <c r="B1" s="34">
        <f>DATE(CalendarYear,2,1)</f>
        <v>42767</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 customHeight="1">
      <c r="B3" s="9" t="str">
        <f>IF(AND(YEAR(FebSun1)=CalendarYear,MONTH(FebSun1)=2),FebSun1, "")</f>
        <v/>
      </c>
      <c r="C3" s="5" t="str">
        <f>IF(AND(YEAR(FebSun1+1)=CalendarYear,MONTH(FebSun1+1)=2),FebSun1+1, "")</f>
        <v/>
      </c>
      <c r="D3" s="5" t="str">
        <f>IF(AND(YEAR(FebSun1+2)=CalendarYear,MONTH(FebSun1+2)=2),FebSun1+2, "")</f>
        <v/>
      </c>
      <c r="E3" s="5">
        <f>IF(AND(YEAR(FebSun1+3)=CalendarYear,MONTH(FebSun1+3)=2),FebSun1+3, "")</f>
        <v>42767</v>
      </c>
      <c r="F3" s="5">
        <f>IF(AND(YEAR(FebSun1+4)=CalendarYear,MONTH(FebSun1+4)=2),FebSun1+4, "")</f>
        <v>42768</v>
      </c>
      <c r="G3" s="5">
        <f>IF(AND(YEAR(FebSun1+5)=CalendarYear,MONTH(FebSun1+5)=2),FebSun1+5, "")</f>
        <v>42769</v>
      </c>
      <c r="H3" s="10">
        <f>IF(AND(YEAR(FebSun1+6)=CalendarYear,MONTH(FebSun1+6)=2),FebSun1+6, "")</f>
        <v>42770</v>
      </c>
    </row>
    <row r="4" spans="1:8" ht="58" customHeight="1">
      <c r="B4" s="29"/>
      <c r="C4" s="25"/>
      <c r="D4" s="26"/>
      <c r="E4" s="26"/>
      <c r="F4" s="26"/>
      <c r="G4" s="26"/>
      <c r="H4" s="30"/>
    </row>
    <row r="5" spans="1:8" ht="14" customHeight="1">
      <c r="B5" s="11">
        <f>IF(AND(YEAR(FebSun1+7)=CalendarYear,MONTH(FebSun1+7)=2),FebSun1+7, "")</f>
        <v>42771</v>
      </c>
      <c r="C5" s="5">
        <f>IF(AND(YEAR(FebSun1+8)=CalendarYear,MONTH(FebSun1+8)=2),FebSun1+8, "")</f>
        <v>42772</v>
      </c>
      <c r="D5" s="5">
        <f>IF(AND(YEAR(FebSun1+9)=CalendarYear,MONTH(FebSun1+9)=2),FebSun1+9, "")</f>
        <v>42773</v>
      </c>
      <c r="E5" s="5">
        <f>IF(AND(YEAR(FebSun1+10)=CalendarYear,MONTH(FebSun1+10)=2),FebSun1+10, "")</f>
        <v>42774</v>
      </c>
      <c r="F5" s="5">
        <f>IF(AND(YEAR(FebSun1+11)=CalendarYear,MONTH(FebSun1+11)=2),FebSun1+11, "")</f>
        <v>42775</v>
      </c>
      <c r="G5" s="5">
        <f>IF(AND(YEAR(FebSun1+12)=CalendarYear,MONTH(FebSun1+12)=2),FebSun1+12,"")</f>
        <v>42776</v>
      </c>
      <c r="H5" s="10">
        <f>IF(AND(YEAR(FebSun1+13)=CalendarYear,MONTH(FebSun1+13)=2),FebSun1+13, "")</f>
        <v>42777</v>
      </c>
    </row>
    <row r="6" spans="1:8" ht="58" customHeight="1">
      <c r="B6" s="29"/>
      <c r="C6" s="25"/>
      <c r="D6" s="26"/>
      <c r="E6" s="26"/>
      <c r="F6" s="26"/>
      <c r="G6" s="26"/>
      <c r="H6" s="30"/>
    </row>
    <row r="7" spans="1:8" ht="14" customHeight="1">
      <c r="B7" s="11">
        <f>IF(AND(YEAR(FebSun1+14)=CalendarYear,MONTH(FebSun1+14)=2),FebSun1+14, "")</f>
        <v>42778</v>
      </c>
      <c r="C7" s="5">
        <f>IF(AND(YEAR(FebSun1+15)=CalendarYear,MONTH(FebSun1+15)=2),FebSun1+15, "")</f>
        <v>42779</v>
      </c>
      <c r="D7" s="5">
        <f>IF(AND(YEAR(FebSun1+16)=CalendarYear,MONTH(FebSun1+16)=2),FebSun1+16, "")</f>
        <v>42780</v>
      </c>
      <c r="E7" s="5">
        <f>IF(AND(YEAR(FebSun1+17)=CalendarYear,MONTH(FebSun1+17)=2),FebSun1+17, "")</f>
        <v>42781</v>
      </c>
      <c r="F7" s="5">
        <f>IF(AND(YEAR(FebSun1+18)=CalendarYear,MONTH(FebSun1+18)=2),FebSun1+18, "")</f>
        <v>42782</v>
      </c>
      <c r="G7" s="5">
        <f>IF(AND(YEAR(FebSun1+19)=CalendarYear,MONTH(FebSun1+19)=2),FebSun1+19, "")</f>
        <v>42783</v>
      </c>
      <c r="H7" s="10">
        <f>IF(AND(YEAR(FebSun1+20)=CalendarYear,MONTH(FebSun1+20)=2),FebSun1+20, "")</f>
        <v>42784</v>
      </c>
    </row>
    <row r="8" spans="1:8" ht="58" customHeight="1">
      <c r="B8" s="29"/>
      <c r="C8" s="25"/>
      <c r="D8" s="26"/>
      <c r="E8" s="26"/>
      <c r="F8" s="26"/>
      <c r="G8" s="26"/>
      <c r="H8" s="30"/>
    </row>
    <row r="9" spans="1:8" ht="14" customHeight="1">
      <c r="B9" s="12">
        <f>IF(AND(YEAR(FebSun1+21)=CalendarYear,MONTH(FebSun1+21)=2),FebSun1+21, "")</f>
        <v>42785</v>
      </c>
      <c r="C9" s="6">
        <f>IF(AND(YEAR(FebSun1+22)=CalendarYear,MONTH(FebSun1+22)=2),FebSun1+22, "")</f>
        <v>42786</v>
      </c>
      <c r="D9" s="6">
        <f>IF(AND(YEAR(FebSun1+23)=CalendarYear,MONTH(FebSun1+23)=2),FebSun1+23, "")</f>
        <v>42787</v>
      </c>
      <c r="E9" s="6">
        <f>IF(AND(YEAR(FebSun1+24)=CalendarYear,MONTH(FebSun1+24)=2),FebSun1+24, "")</f>
        <v>42788</v>
      </c>
      <c r="F9" s="6">
        <f>IF(AND(YEAR(FebSun1+25)=CalendarYear,MONTH(FebSun1+25)=2),FebSun1+25, "")</f>
        <v>42789</v>
      </c>
      <c r="G9" s="6">
        <f>IF(AND(YEAR(FebSun1+26)=CalendarYear,MONTH(FebSun1+26)=2),FebSun1+26, "")</f>
        <v>42790</v>
      </c>
      <c r="H9" s="13">
        <f>IF(AND(YEAR(FebSun1+27)=CalendarYear,MONTH(FebSun1+27)=2),FebSun1+27, "")</f>
        <v>42791</v>
      </c>
    </row>
    <row r="10" spans="1:8" ht="58" customHeight="1">
      <c r="B10" s="29"/>
      <c r="C10" s="25"/>
      <c r="D10" s="26"/>
      <c r="E10" s="26"/>
      <c r="F10" s="26"/>
      <c r="G10" s="26"/>
      <c r="H10" s="30"/>
    </row>
    <row r="11" spans="1:8" ht="14" customHeight="1">
      <c r="B11" s="12">
        <f>IF(AND(YEAR(FebSun1+28)=CalendarYear,MONTH(FebSun1+28)=2),FebSun1+28, "")</f>
        <v>42792</v>
      </c>
      <c r="C11" s="6">
        <f>IF(AND(YEAR(FebSun1+29)=CalendarYear,MONTH(FebSun1+29)=2),FebSun1+29, "")</f>
        <v>42793</v>
      </c>
      <c r="D11" s="6">
        <f>IF(AND(YEAR(FebSun1+30)=CalendarYear,MONTH(FebSun1+30)=2),FebSun1+30, "")</f>
        <v>42794</v>
      </c>
      <c r="E11" s="6" t="str">
        <f>IF(AND(YEAR(FebSun1+31)=CalendarYear,MONTH(FebSun1+31)=2),FebSun1+31, "")</f>
        <v/>
      </c>
      <c r="F11" s="6" t="str">
        <f>IF(AND(YEAR(FebSun1+32)=CalendarYear,MONTH(FebSun1+32)=2),FebSun1+32, "")</f>
        <v/>
      </c>
      <c r="G11" s="6" t="str">
        <f>IF(AND(YEAR(FebSun1+33)=CalendarYear,MONTH(FebSun1+33)=2),FebSun1+33, "")</f>
        <v/>
      </c>
      <c r="H11" s="13" t="str">
        <f>IF(AND(YEAR(FebSun1+34)=CalendarYear,MONTH(FebSun1+34)=2),FebSun1+34, "")</f>
        <v/>
      </c>
    </row>
    <row r="12" spans="1:8" ht="58" customHeight="1">
      <c r="B12" s="29"/>
      <c r="C12" s="25"/>
      <c r="D12" s="26"/>
      <c r="E12" s="26"/>
      <c r="F12" s="25"/>
      <c r="G12" s="25"/>
      <c r="H12" s="30"/>
    </row>
    <row r="13" spans="1:8" ht="14" customHeight="1">
      <c r="B13" s="41" t="s">
        <v>8</v>
      </c>
      <c r="C13" s="42"/>
      <c r="D13" s="42"/>
      <c r="E13" s="42"/>
      <c r="F13" s="42"/>
      <c r="G13" s="42"/>
      <c r="H13" s="43"/>
    </row>
    <row r="14" spans="1:8" ht="58" customHeight="1" thickBot="1">
      <c r="B14" s="40"/>
      <c r="C14" s="36"/>
      <c r="D14" s="36"/>
      <c r="E14" s="36"/>
      <c r="F14" s="36"/>
      <c r="G14" s="36"/>
      <c r="H14" s="37"/>
    </row>
  </sheetData>
  <mergeCells count="3">
    <mergeCell ref="B1:H1"/>
    <mergeCell ref="B14:H14"/>
    <mergeCell ref="B13:H13"/>
  </mergeCells>
  <phoneticPr fontId="1" type="noConversion"/>
  <printOptions horizont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heetViews>
  <sheetFormatPr baseColWidth="10" defaultColWidth="8.7109375" defaultRowHeight="13" x14ac:dyDescent="0"/>
  <cols>
    <col min="1" max="1" width="2.42578125" style="1" customWidth="1"/>
    <col min="2" max="8" width="17.5703125" style="4" customWidth="1"/>
    <col min="9" max="16384" width="8.7109375" style="4"/>
  </cols>
  <sheetData>
    <row r="1" spans="1:8" s="1" customFormat="1" ht="59.25" customHeight="1" thickBot="1">
      <c r="B1" s="34">
        <f>DATE(CalendarYear,3,1)</f>
        <v>42795</v>
      </c>
      <c r="C1" s="34"/>
      <c r="D1" s="34"/>
      <c r="E1" s="34"/>
      <c r="F1" s="34"/>
      <c r="G1" s="34"/>
      <c r="H1" s="34"/>
    </row>
    <row r="2" spans="1:8" s="3" customFormat="1" ht="21.75" customHeight="1">
      <c r="A2" s="2"/>
      <c r="B2" s="15" t="s">
        <v>0</v>
      </c>
      <c r="C2" s="16" t="s">
        <v>1</v>
      </c>
      <c r="D2" s="16" t="s">
        <v>2</v>
      </c>
      <c r="E2" s="16" t="s">
        <v>3</v>
      </c>
      <c r="F2" s="16" t="s">
        <v>4</v>
      </c>
      <c r="G2" s="16" t="s">
        <v>5</v>
      </c>
      <c r="H2" s="17" t="s">
        <v>6</v>
      </c>
    </row>
    <row r="3" spans="1:8" ht="14" customHeight="1">
      <c r="B3" s="9" t="str">
        <f>IF(AND(YEAR(MarSun1)=CalendarYear,MONTH(MarSun1)=3),MarSun1, "")</f>
        <v/>
      </c>
      <c r="C3" s="5" t="str">
        <f>IF(AND(YEAR(MarSun1+1)=CalendarYear,MONTH(MarSun1+1)=3),MarSun1+1, "")</f>
        <v/>
      </c>
      <c r="D3" s="5" t="str">
        <f>IF(AND(YEAR(MarSun1+2)=CalendarYear,MONTH(MarSun1+2)=3),MarSun1+2, "")</f>
        <v/>
      </c>
      <c r="E3" s="5">
        <f>IF(AND(YEAR(MarSun1+3)=CalendarYear,MONTH(MarSun1+3)=3),MarSun1+3, "")</f>
        <v>42795</v>
      </c>
      <c r="F3" s="5">
        <f>IF(AND(YEAR(MarSun1+4)=CalendarYear,MONTH(MarSun1+4)=3),MarSun1+4, "")</f>
        <v>42796</v>
      </c>
      <c r="G3" s="5">
        <f>IF(AND(YEAR(MarSun1+5)=CalendarYear,MONTH(MarSun1+5)=3),MarSun1+5, "")</f>
        <v>42797</v>
      </c>
      <c r="H3" s="10">
        <f>IF(AND(YEAR(MarSun1+6)=CalendarYear,MONTH(MarSun1+6)=3),MarSun1+6, "")</f>
        <v>42798</v>
      </c>
    </row>
    <row r="4" spans="1:8" ht="58" customHeight="1">
      <c r="B4" s="29"/>
      <c r="C4" s="25"/>
      <c r="D4" s="26"/>
      <c r="E4" s="26"/>
      <c r="F4" s="26"/>
      <c r="G4" s="26"/>
      <c r="H4" s="30"/>
    </row>
    <row r="5" spans="1:8" ht="14" customHeight="1">
      <c r="B5" s="11">
        <f>IF(AND(YEAR(MarSun1+7)=CalendarYear,MONTH(MarSun1+7)=3),MarSun1+7, "")</f>
        <v>42799</v>
      </c>
      <c r="C5" s="5">
        <f>IF(AND(YEAR(MarSun1+8)=CalendarYear,MONTH(MarSun1+8)=3),MarSun1+8, "")</f>
        <v>42800</v>
      </c>
      <c r="D5" s="5">
        <f>IF(AND(YEAR(MarSun1+9)=CalendarYear,MONTH(MarSun1+9)=3),MarSun1+9, "")</f>
        <v>42801</v>
      </c>
      <c r="E5" s="5">
        <f>IF(AND(YEAR(MarSun1+10)=CalendarYear,MONTH(MarSun1+10)=3),MarSun1+10, "")</f>
        <v>42802</v>
      </c>
      <c r="F5" s="5">
        <f>IF(AND(YEAR(MarSun1+11)=CalendarYear,MONTH(MarSun1+11)=3),MarSun1+11, "")</f>
        <v>42803</v>
      </c>
      <c r="G5" s="5">
        <f>IF(AND(YEAR(MarSun1+12)=CalendarYear,MONTH(MarSun1+12)=3),MarSun1+12,"")</f>
        <v>42804</v>
      </c>
      <c r="H5" s="10">
        <f>IF(AND(YEAR(MarSun1+13)=CalendarYear,MONTH(MarSun1+13)=3),MarSun1+13, "")</f>
        <v>42805</v>
      </c>
    </row>
    <row r="6" spans="1:8" ht="58" customHeight="1">
      <c r="B6" s="29"/>
      <c r="C6" s="25"/>
      <c r="D6" s="26"/>
      <c r="E6" s="26"/>
      <c r="F6" s="26"/>
      <c r="G6" s="26"/>
      <c r="H6" s="30"/>
    </row>
    <row r="7" spans="1:8" ht="14" customHeight="1">
      <c r="B7" s="11">
        <f>IF(AND(YEAR(MarSun1+14)=CalendarYear,MONTH(MarSun1+14)=3),MarSun1+14, "")</f>
        <v>42806</v>
      </c>
      <c r="C7" s="5">
        <f>IF(AND(YEAR(MarSun1+15)=CalendarYear,MONTH(MarSun1+15)=3),MarSun1+15, "")</f>
        <v>42807</v>
      </c>
      <c r="D7" s="5">
        <f>IF(AND(YEAR(MarSun1+16)=CalendarYear,MONTH(MarSun1+16)=3),MarSun1+16, "")</f>
        <v>42808</v>
      </c>
      <c r="E7" s="5">
        <f>IF(AND(YEAR(MarSun1+17)=CalendarYear,MONTH(MarSun1+17)=3),MarSun1+17, "")</f>
        <v>42809</v>
      </c>
      <c r="F7" s="5">
        <f>IF(AND(YEAR(MarSun1+18)=CalendarYear,MONTH(MarSun1+18)=3),MarSun1+18, "")</f>
        <v>42810</v>
      </c>
      <c r="G7" s="5">
        <f>IF(AND(YEAR(MarSun1+19)=CalendarYear,MONTH(MarSun1+19)=3),MarSun1+19, "")</f>
        <v>42811</v>
      </c>
      <c r="H7" s="10">
        <f>IF(AND(YEAR(MarSun1+20)=CalendarYear,MONTH(MarSun1+20)=3),MarSun1+20, "")</f>
        <v>42812</v>
      </c>
    </row>
    <row r="8" spans="1:8" ht="58" customHeight="1">
      <c r="B8" s="29"/>
      <c r="C8" s="25"/>
      <c r="D8" s="26"/>
      <c r="E8" s="26"/>
      <c r="F8" s="26"/>
      <c r="G8" s="26"/>
      <c r="H8" s="30"/>
    </row>
    <row r="9" spans="1:8" ht="14" customHeight="1">
      <c r="B9" s="12">
        <f>IF(AND(YEAR(MarSun1+21)=CalendarYear,MONTH(MarSun1+21)=3),MarSun1+21, "")</f>
        <v>42813</v>
      </c>
      <c r="C9" s="6">
        <f>IF(AND(YEAR(MarSun1+22)=CalendarYear,MONTH(MarSun1+22)=3),MarSun1+22, "")</f>
        <v>42814</v>
      </c>
      <c r="D9" s="6">
        <f>IF(AND(YEAR(MarSun1+23)=CalendarYear,MONTH(MarSun1+23)=3),MarSun1+23, "")</f>
        <v>42815</v>
      </c>
      <c r="E9" s="6">
        <f>IF(AND(YEAR(MarSun1+24)=CalendarYear,MONTH(MarSun1+24)=3),MarSun1+24, "")</f>
        <v>42816</v>
      </c>
      <c r="F9" s="6">
        <f>IF(AND(YEAR(MarSun1+25)=CalendarYear,MONTH(MarSun1+25)=3),MarSun1+25, "")</f>
        <v>42817</v>
      </c>
      <c r="G9" s="6">
        <f>IF(AND(YEAR(MarSun1+26)=CalendarYear,MONTH(MarSun1+26)=3),MarSun1+26, "")</f>
        <v>42818</v>
      </c>
      <c r="H9" s="13">
        <f>IF(AND(YEAR(MarSun1+27)=CalendarYear,MONTH(MarSun1+27)=3),MarSun1+27, "")</f>
        <v>42819</v>
      </c>
    </row>
    <row r="10" spans="1:8" ht="58" customHeight="1">
      <c r="B10" s="29"/>
      <c r="C10" s="25"/>
      <c r="D10" s="26"/>
      <c r="E10" s="26"/>
      <c r="F10" s="26"/>
      <c r="G10" s="26"/>
      <c r="H10" s="30"/>
    </row>
    <row r="11" spans="1:8" ht="14" customHeight="1">
      <c r="B11" s="12">
        <f>IF(AND(YEAR(MarSun1+28)=CalendarYear,MONTH(MarSun1+28)=3),MarSun1+28, "")</f>
        <v>42820</v>
      </c>
      <c r="C11" s="6">
        <f>IF(AND(YEAR(MarSun1+29)=CalendarYear,MONTH(MarSun1+29)=3),MarSun1+29, "")</f>
        <v>42821</v>
      </c>
      <c r="D11" s="6">
        <f>IF(AND(YEAR(MarSun1+30)=CalendarYear,MONTH(MarSun1+30)=3),MarSun1+30, "")</f>
        <v>42822</v>
      </c>
      <c r="E11" s="6">
        <f>IF(AND(YEAR(MarSun1+31)=CalendarYear,MONTH(MarSun1+31)=3),MarSun1+31, "")</f>
        <v>42823</v>
      </c>
      <c r="F11" s="6">
        <f>IF(AND(YEAR(MarSun1+32)=CalendarYear,MONTH(MarSun1+32)=3),MarSun1+32, "")</f>
        <v>42824</v>
      </c>
      <c r="G11" s="6">
        <f>IF(AND(YEAR(MarSun1+33)=CalendarYear,MONTH(MarSun1+33)=3),MarSun1+33, "")</f>
        <v>42825</v>
      </c>
      <c r="H11" s="13" t="str">
        <f>IF(AND(YEAR(MarSun1+34)=CalendarYear,MONTH(MarSun1+34)=3),MarSun1+34, "")</f>
        <v/>
      </c>
    </row>
    <row r="12" spans="1:8" ht="58" customHeight="1">
      <c r="B12" s="29"/>
      <c r="C12" s="25"/>
      <c r="D12" s="26"/>
      <c r="E12" s="26"/>
      <c r="F12" s="25"/>
      <c r="G12" s="25"/>
      <c r="H12" s="30"/>
    </row>
    <row r="13" spans="1:8" ht="14" customHeight="1">
      <c r="B13" s="12" t="str">
        <f>IF(AND(YEAR(MarSun1+35)=CalendarYear,MONTH(MarSun1+35)=3),MarSun1+35, "")</f>
        <v/>
      </c>
      <c r="C13" s="6" t="str">
        <f>IF(AND(YEAR(MarSun1+36)=CalendarYear,MONTH(MarSun1+36)=3),MarSun1+36, "")</f>
        <v/>
      </c>
      <c r="D13" s="38" t="s">
        <v>8</v>
      </c>
      <c r="E13" s="38"/>
      <c r="F13" s="38"/>
      <c r="G13" s="38"/>
      <c r="H13" s="39"/>
    </row>
    <row r="14" spans="1:8" ht="58" customHeight="1" thickBot="1">
      <c r="B14" s="32"/>
      <c r="C14" s="14"/>
      <c r="D14" s="35"/>
      <c r="E14" s="36"/>
      <c r="F14" s="36"/>
      <c r="G14" s="36"/>
      <c r="H14" s="37"/>
    </row>
  </sheetData>
  <mergeCells count="3">
    <mergeCell ref="B1:H1"/>
    <mergeCell ref="D14:H14"/>
    <mergeCell ref="D13:H13"/>
  </mergeCells>
  <phoneticPr fontId="1" type="noConversion"/>
  <printOptions horizont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heetViews>
  <sheetFormatPr baseColWidth="10" defaultColWidth="8.7109375" defaultRowHeight="13" x14ac:dyDescent="0"/>
  <cols>
    <col min="1" max="1" width="2.42578125" style="1" customWidth="1"/>
    <col min="2" max="8" width="17.5703125" style="4" customWidth="1"/>
    <col min="9" max="16384" width="8.7109375" style="4"/>
  </cols>
  <sheetData>
    <row r="1" spans="1:8" s="1" customFormat="1" ht="59.25" customHeight="1" thickBot="1">
      <c r="B1" s="34">
        <f>DATE(CalendarYear,4,1)</f>
        <v>42826</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 customHeight="1">
      <c r="B3" s="9" t="str">
        <f>IF(AND(YEAR(AprSun1)=CalendarYear,MONTH(AprSun1)=4),AprSun1, "")</f>
        <v/>
      </c>
      <c r="C3" s="5" t="str">
        <f>IF(AND(YEAR(AprSun1+1)=CalendarYear,MONTH(AprSun1+1)=4),AprSun1+1, "")</f>
        <v/>
      </c>
      <c r="D3" s="5" t="str">
        <f>IF(AND(YEAR(AprSun1+2)=CalendarYear,MONTH(AprSun1+2)=4),AprSun1+2, "")</f>
        <v/>
      </c>
      <c r="E3" s="5" t="str">
        <f>IF(AND(YEAR(AprSun1+3)=CalendarYear,MONTH(AprSun1+3)=4),AprSun1+3, "")</f>
        <v/>
      </c>
      <c r="F3" s="5" t="str">
        <f>IF(AND(YEAR(AprSun1+4)=CalendarYear,MONTH(AprSun1+4)=4),AprSun1+4, "")</f>
        <v/>
      </c>
      <c r="G3" s="5" t="str">
        <f>IF(AND(YEAR(AprSun1+5)=CalendarYear,MONTH(AprSun1+5)=4),AprSun1+5, "")</f>
        <v/>
      </c>
      <c r="H3" s="10">
        <f>IF(AND(YEAR(AprSun1+6)=CalendarYear,MONTH(AprSun1+6)=4),AprSun1+6, "")</f>
        <v>42826</v>
      </c>
    </row>
    <row r="4" spans="1:8" ht="58" customHeight="1">
      <c r="B4" s="29"/>
      <c r="C4" s="25"/>
      <c r="D4" s="26"/>
      <c r="E4" s="26"/>
      <c r="F4" s="26"/>
      <c r="G4" s="26"/>
      <c r="H4" s="30"/>
    </row>
    <row r="5" spans="1:8" ht="14" customHeight="1">
      <c r="B5" s="11">
        <f>IF(AND(YEAR(AprSun1+7)=CalendarYear,MONTH(AprSun1+7)=4),AprSun1+7, "")</f>
        <v>42827</v>
      </c>
      <c r="C5" s="5">
        <f>IF(AND(YEAR(AprSun1+8)=CalendarYear,MONTH(AprSun1+8)=4),AprSun1+8, "")</f>
        <v>42828</v>
      </c>
      <c r="D5" s="5">
        <f>IF(AND(YEAR(AprSun1+9)=CalendarYear,MONTH(AprSun1+9)=4),AprSun1+9, "")</f>
        <v>42829</v>
      </c>
      <c r="E5" s="5">
        <f>IF(AND(YEAR(AprSun1+10)=CalendarYear,MONTH(AprSun1+10)=4),AprSun1+10, "")</f>
        <v>42830</v>
      </c>
      <c r="F5" s="5">
        <f>IF(AND(YEAR(AprSun1+11)=CalendarYear,MONTH(AprSun1+11)=4),AprSun1+11, "")</f>
        <v>42831</v>
      </c>
      <c r="G5" s="5">
        <f>IF(AND(YEAR(AprSun1+12)=CalendarYear,MONTH(AprSun1+12)=4),AprSun1+12,"")</f>
        <v>42832</v>
      </c>
      <c r="H5" s="10">
        <f>IF(AND(YEAR(AprSun1+13)=CalendarYear,MONTH(AprSun1+13)=4),AprSun1+13, "")</f>
        <v>42833</v>
      </c>
    </row>
    <row r="6" spans="1:8" ht="58" customHeight="1">
      <c r="B6" s="29"/>
      <c r="C6" s="25"/>
      <c r="D6" s="26"/>
      <c r="E6" s="26"/>
      <c r="F6" s="26"/>
      <c r="G6" s="26"/>
      <c r="H6" s="30"/>
    </row>
    <row r="7" spans="1:8" ht="14" customHeight="1">
      <c r="B7" s="11">
        <f>IF(AND(YEAR(AprSun1+14)=CalendarYear,MONTH(AprSun1+14)=4),AprSun1+14, "")</f>
        <v>42834</v>
      </c>
      <c r="C7" s="5">
        <f>IF(AND(YEAR(AprSun1+15)=CalendarYear,MONTH(AprSun1+15)=4),AprSun1+15, "")</f>
        <v>42835</v>
      </c>
      <c r="D7" s="5">
        <f>IF(AND(YEAR(AprSun1+16)=CalendarYear,MONTH(AprSun1+16)=4),AprSun1+16, "")</f>
        <v>42836</v>
      </c>
      <c r="E7" s="5">
        <f>IF(AND(YEAR(AprSun1+17)=CalendarYear,MONTH(AprSun1+17)=4),AprSun1+17, "")</f>
        <v>42837</v>
      </c>
      <c r="F7" s="5">
        <f>IF(AND(YEAR(AprSun1+18)=CalendarYear,MONTH(AprSun1+18)=4),AprSun1+18, "")</f>
        <v>42838</v>
      </c>
      <c r="G7" s="5">
        <f>IF(AND(YEAR(AprSun1+19)=CalendarYear,MONTH(AprSun1+19)=4),AprSun1+19, "")</f>
        <v>42839</v>
      </c>
      <c r="H7" s="10">
        <f>IF(AND(YEAR(AprSun1+20)=CalendarYear,MONTH(AprSun1+20)=4),AprSun1+20, "")</f>
        <v>42840</v>
      </c>
    </row>
    <row r="8" spans="1:8" ht="58" customHeight="1">
      <c r="B8" s="29"/>
      <c r="C8" s="25"/>
      <c r="D8" s="26"/>
      <c r="E8" s="26"/>
      <c r="F8" s="26"/>
      <c r="G8" s="26"/>
      <c r="H8" s="30"/>
    </row>
    <row r="9" spans="1:8" ht="14" customHeight="1">
      <c r="B9" s="12">
        <f>IF(AND(YEAR(AprSun1+21)=CalendarYear,MONTH(AprSun1+21)=4),AprSun1+21, "")</f>
        <v>42841</v>
      </c>
      <c r="C9" s="6">
        <f>IF(AND(YEAR(AprSun1+22)=CalendarYear,MONTH(AprSun1+22)=4),AprSun1+22, "")</f>
        <v>42842</v>
      </c>
      <c r="D9" s="6">
        <f>IF(AND(YEAR(AprSun1+23)=CalendarYear,MONTH(AprSun1+23)=4),AprSun1+23, "")</f>
        <v>42843</v>
      </c>
      <c r="E9" s="6">
        <f>IF(AND(YEAR(AprSun1+24)=CalendarYear,MONTH(AprSun1+24)=4),AprSun1+24, "")</f>
        <v>42844</v>
      </c>
      <c r="F9" s="6">
        <f>IF(AND(YEAR(AprSun1+25)=CalendarYear,MONTH(AprSun1+25)=4),AprSun1+25, "")</f>
        <v>42845</v>
      </c>
      <c r="G9" s="6">
        <f>IF(AND(YEAR(AprSun1+26)=CalendarYear,MONTH(AprSun1+26)=4),AprSun1+26, "")</f>
        <v>42846</v>
      </c>
      <c r="H9" s="13">
        <f>IF(AND(YEAR(AprSun1+27)=CalendarYear,MONTH(AprSun1+27)=4),AprSun1+27, "")</f>
        <v>42847</v>
      </c>
    </row>
    <row r="10" spans="1:8" ht="58" customHeight="1">
      <c r="B10" s="29"/>
      <c r="C10" s="25"/>
      <c r="D10" s="26"/>
      <c r="E10" s="26"/>
      <c r="F10" s="26"/>
      <c r="G10" s="26"/>
      <c r="H10" s="30"/>
    </row>
    <row r="11" spans="1:8" ht="14" customHeight="1">
      <c r="B11" s="12">
        <f>IF(AND(YEAR(AprSun1+28)=CalendarYear,MONTH(AprSun1+28)=4),AprSun1+28, "")</f>
        <v>42848</v>
      </c>
      <c r="C11" s="6">
        <f>IF(AND(YEAR(AprSun1+29)=CalendarYear,MONTH(AprSun1+29)=4),AprSun1+29, "")</f>
        <v>42849</v>
      </c>
      <c r="D11" s="6">
        <f>IF(AND(YEAR(AprSun1+30)=CalendarYear,MONTH(AprSun1+30)=4),AprSun1+30, "")</f>
        <v>42850</v>
      </c>
      <c r="E11" s="6">
        <f>IF(AND(YEAR(AprSun1+31)=CalendarYear,MONTH(AprSun1+31)=4),AprSun1+31, "")</f>
        <v>42851</v>
      </c>
      <c r="F11" s="6">
        <f>IF(AND(YEAR(AprSun1+32)=CalendarYear,MONTH(AprSun1+32)=4),AprSun1+32, "")</f>
        <v>42852</v>
      </c>
      <c r="G11" s="6">
        <f>IF(AND(YEAR(AprSun1+33)=CalendarYear,MONTH(AprSun1+33)=4),AprSun1+33, "")</f>
        <v>42853</v>
      </c>
      <c r="H11" s="13">
        <f>IF(AND(YEAR(AprSun1+34)=CalendarYear,MONTH(AprSun1+34)=4),AprSun1+34, "")</f>
        <v>42854</v>
      </c>
    </row>
    <row r="12" spans="1:8" ht="58" customHeight="1">
      <c r="B12" s="29"/>
      <c r="C12" s="25"/>
      <c r="D12" s="26"/>
      <c r="E12" s="26"/>
      <c r="F12" s="25"/>
      <c r="G12" s="25"/>
      <c r="H12" s="30"/>
    </row>
    <row r="13" spans="1:8" ht="14" customHeight="1">
      <c r="B13" s="12">
        <f>IF(AND(YEAR(AprSun1+35)=CalendarYear,MONTH(AprSun1+35)=4),AprSun1+35, "")</f>
        <v>42855</v>
      </c>
      <c r="C13" s="38" t="s">
        <v>9</v>
      </c>
      <c r="D13" s="38"/>
      <c r="E13" s="38"/>
      <c r="F13" s="38"/>
      <c r="G13" s="38"/>
      <c r="H13" s="39"/>
    </row>
    <row r="14" spans="1:8" ht="58" customHeight="1" thickBot="1">
      <c r="B14" s="31"/>
      <c r="C14" s="35"/>
      <c r="D14" s="36"/>
      <c r="E14" s="36"/>
      <c r="F14" s="36"/>
      <c r="G14" s="36"/>
      <c r="H14" s="37"/>
    </row>
  </sheetData>
  <mergeCells count="3">
    <mergeCell ref="B1:H1"/>
    <mergeCell ref="C13:H13"/>
    <mergeCell ref="C14:H14"/>
  </mergeCells>
  <phoneticPr fontId="1" type="noConversion"/>
  <printOptions horizont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heetViews>
  <sheetFormatPr baseColWidth="10" defaultColWidth="8.7109375" defaultRowHeight="13" x14ac:dyDescent="0"/>
  <cols>
    <col min="1" max="1" width="2.42578125" style="1" customWidth="1"/>
    <col min="2" max="8" width="17.5703125" style="4" customWidth="1"/>
    <col min="9" max="16384" width="8.7109375" style="4"/>
  </cols>
  <sheetData>
    <row r="1" spans="1:8" s="1" customFormat="1" ht="59.25" customHeight="1" thickBot="1">
      <c r="B1" s="34">
        <f>DATE(CalendarYear,5,1)</f>
        <v>42856</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 customHeight="1">
      <c r="B3" s="9" t="str">
        <f>IF(AND(YEAR(MaySun1)=CalendarYear,MONTH(MaySun1)=5),MaySun1, "")</f>
        <v/>
      </c>
      <c r="C3" s="5">
        <f>IF(AND(YEAR(MaySun1+1)=CalendarYear,MONTH(MaySun1+1)=5),MaySun1+1, "")</f>
        <v>42856</v>
      </c>
      <c r="D3" s="5">
        <f>IF(AND(YEAR(MaySun1+2)=CalendarYear,MONTH(MaySun1+2)=5),MaySun1+2, "")</f>
        <v>42857</v>
      </c>
      <c r="E3" s="5">
        <f>IF(AND(YEAR(MaySun1+3)=CalendarYear,MONTH(MaySun1+3)=5),MaySun1+3, "")</f>
        <v>42858</v>
      </c>
      <c r="F3" s="5">
        <f>IF(AND(YEAR(MaySun1+4)=CalendarYear,MONTH(MaySun1+4)=5),MaySun1+4, "")</f>
        <v>42859</v>
      </c>
      <c r="G3" s="5">
        <f>IF(AND(YEAR(MaySun1+5)=CalendarYear,MONTH(MaySun1+5)=5),MaySun1+5, "")</f>
        <v>42860</v>
      </c>
      <c r="H3" s="10">
        <f>IF(AND(YEAR(MaySun1+6)=CalendarYear,MONTH(MaySun1+6)=5),MaySun1+6, "")</f>
        <v>42861</v>
      </c>
    </row>
    <row r="4" spans="1:8" ht="58" customHeight="1">
      <c r="B4" s="29"/>
      <c r="C4" s="25"/>
      <c r="D4" s="26"/>
      <c r="E4" s="26"/>
      <c r="F4" s="26"/>
      <c r="G4" s="26"/>
      <c r="H4" s="30"/>
    </row>
    <row r="5" spans="1:8" ht="14" customHeight="1">
      <c r="B5" s="11">
        <f>IF(AND(YEAR(MaySun1+7)=CalendarYear,MONTH(MaySun1+7)=5),MaySun1+7, "")</f>
        <v>42862</v>
      </c>
      <c r="C5" s="5">
        <f>IF(AND(YEAR(MaySun1+8)=CalendarYear,MONTH(MaySun1+8)=5),MaySun1+8, "")</f>
        <v>42863</v>
      </c>
      <c r="D5" s="5">
        <f>IF(AND(YEAR(MaySun1+9)=CalendarYear,MONTH(MaySun1+9)=5),MaySun1+9, "")</f>
        <v>42864</v>
      </c>
      <c r="E5" s="5">
        <f>IF(AND(YEAR(MaySun1+10)=CalendarYear,MONTH(MaySun1+10)=5),MaySun1+10, "")</f>
        <v>42865</v>
      </c>
      <c r="F5" s="5">
        <f>IF(AND(YEAR(MaySun1+11)=CalendarYear,MONTH(MaySun1+11)=5),MaySun1+11, "")</f>
        <v>42866</v>
      </c>
      <c r="G5" s="5">
        <f>IF(AND(YEAR(MaySun1+12)=CalendarYear,MONTH(MaySun1+12)=5),MaySun1+12,"")</f>
        <v>42867</v>
      </c>
      <c r="H5" s="10">
        <f>IF(AND(YEAR(MaySun1+13)=CalendarYear,MONTH(MaySun1+13)=5),MaySun1+13, "")</f>
        <v>42868</v>
      </c>
    </row>
    <row r="6" spans="1:8" ht="58" customHeight="1">
      <c r="B6" s="29"/>
      <c r="C6" s="25"/>
      <c r="D6" s="26"/>
      <c r="E6" s="26"/>
      <c r="F6" s="26"/>
      <c r="G6" s="26"/>
      <c r="H6" s="30"/>
    </row>
    <row r="7" spans="1:8" ht="14" customHeight="1">
      <c r="B7" s="11">
        <f>IF(AND(YEAR(MaySun1+14)=CalendarYear,MONTH(MaySun1+14)=5),MaySun1+14, "")</f>
        <v>42869</v>
      </c>
      <c r="C7" s="5">
        <f>IF(AND(YEAR(MaySun1+15)=CalendarYear,MONTH(MaySun1+15)=5),MaySun1+15, "")</f>
        <v>42870</v>
      </c>
      <c r="D7" s="5">
        <f>IF(AND(YEAR(MaySun1+16)=CalendarYear,MONTH(MaySun1+16)=5),MaySun1+16, "")</f>
        <v>42871</v>
      </c>
      <c r="E7" s="5">
        <f>IF(AND(YEAR(MaySun1+17)=CalendarYear,MONTH(MaySun1+17)=5),MaySun1+17, "")</f>
        <v>42872</v>
      </c>
      <c r="F7" s="5">
        <f>IF(AND(YEAR(MaySun1+18)=CalendarYear,MONTH(MaySun1+18)=5),MaySun1+18, "")</f>
        <v>42873</v>
      </c>
      <c r="G7" s="5">
        <f>IF(AND(YEAR(MaySun1+19)=CalendarYear,MONTH(MaySun1+19)=5),MaySun1+19, "")</f>
        <v>42874</v>
      </c>
      <c r="H7" s="10">
        <f>IF(AND(YEAR(MaySun1+20)=CalendarYear,MONTH(MaySun1+20)=5),MaySun1+20, "")</f>
        <v>42875</v>
      </c>
    </row>
    <row r="8" spans="1:8" ht="58" customHeight="1">
      <c r="B8" s="29"/>
      <c r="C8" s="25"/>
      <c r="D8" s="26"/>
      <c r="E8" s="26"/>
      <c r="F8" s="26"/>
      <c r="G8" s="26"/>
      <c r="H8" s="30"/>
    </row>
    <row r="9" spans="1:8" ht="14" customHeight="1">
      <c r="B9" s="12">
        <f>IF(AND(YEAR(MaySun1+21)=CalendarYear,MONTH(MaySun1+21)=5),MaySun1+21, "")</f>
        <v>42876</v>
      </c>
      <c r="C9" s="6">
        <f>IF(AND(YEAR(MaySun1+22)=CalendarYear,MONTH(MaySun1+22)=5),MaySun1+22, "")</f>
        <v>42877</v>
      </c>
      <c r="D9" s="6">
        <f>IF(AND(YEAR(MaySun1+23)=CalendarYear,MONTH(MaySun1+23)=5),MaySun1+23, "")</f>
        <v>42878</v>
      </c>
      <c r="E9" s="6">
        <f>IF(AND(YEAR(MaySun1+24)=CalendarYear,MONTH(MaySun1+24)=5),MaySun1+24, "")</f>
        <v>42879</v>
      </c>
      <c r="F9" s="6">
        <f>IF(AND(YEAR(MaySun1+25)=CalendarYear,MONTH(MaySun1+25)=5),MaySun1+25, "")</f>
        <v>42880</v>
      </c>
      <c r="G9" s="6">
        <f>IF(AND(YEAR(MaySun1+26)=CalendarYear,MONTH(MaySun1+26)=5),MaySun1+26, "")</f>
        <v>42881</v>
      </c>
      <c r="H9" s="13">
        <f>IF(AND(YEAR(MaySun1+27)=CalendarYear,MONTH(MaySun1+27)=5),MaySun1+27, "")</f>
        <v>42882</v>
      </c>
    </row>
    <row r="10" spans="1:8" ht="58" customHeight="1">
      <c r="B10" s="33"/>
      <c r="C10" s="25"/>
      <c r="D10" s="26"/>
      <c r="E10" s="26"/>
      <c r="F10" s="26"/>
      <c r="G10" s="26"/>
      <c r="H10" s="30"/>
    </row>
    <row r="11" spans="1:8" ht="14" customHeight="1">
      <c r="B11" s="12">
        <f>IF(AND(YEAR(MaySun1+28)=CalendarYear,MONTH(MaySun1+28)=5),MaySun1+28, "")</f>
        <v>42883</v>
      </c>
      <c r="C11" s="6">
        <f>IF(AND(YEAR(MaySun1+29)=CalendarYear,MONTH(MaySun1+29)=5),MaySun1+29, "")</f>
        <v>42884</v>
      </c>
      <c r="D11" s="6">
        <f>IF(AND(YEAR(MaySun1+30)=CalendarYear,MONTH(MaySun1+30)=5),MaySun1+30, "")</f>
        <v>42885</v>
      </c>
      <c r="E11" s="6">
        <f>IF(AND(YEAR(MaySun1+31)=CalendarYear,MONTH(MaySun1+31)=5),MaySun1+31, "")</f>
        <v>42886</v>
      </c>
      <c r="F11" s="6" t="str">
        <f>IF(AND(YEAR(MaySun1+32)=CalendarYear,MONTH(MaySun1+32)=5),MaySun1+32, "")</f>
        <v/>
      </c>
      <c r="G11" s="6" t="str">
        <f>IF(AND(YEAR(MaySun1+33)=CalendarYear,MONTH(MaySun1+33)=5),MaySun1+33, "")</f>
        <v/>
      </c>
      <c r="H11" s="13" t="str">
        <f>IF(AND(YEAR(MaySun1+34)=CalendarYear,MONTH(MaySun1+34)=5),MaySun1+34, "")</f>
        <v/>
      </c>
    </row>
    <row r="12" spans="1:8" ht="58" customHeight="1">
      <c r="B12" s="29"/>
      <c r="C12" s="25"/>
      <c r="D12" s="26"/>
      <c r="E12" s="26"/>
      <c r="F12" s="25"/>
      <c r="G12" s="25"/>
      <c r="H12" s="30"/>
    </row>
    <row r="13" spans="1:8" ht="14" customHeight="1">
      <c r="B13" s="28" t="str">
        <f>IF(AND(YEAR(MaySun1+35)=CalendarYear,MONTH(MaySun1+35)=5),MaySun1+35, "")</f>
        <v/>
      </c>
      <c r="C13" s="24" t="str">
        <f>IF(AND(YEAR(MaySun1+36)=CalendarYear,MONTH(MaySun1+36)=5),MaySun1+36, "")</f>
        <v/>
      </c>
      <c r="D13" s="38" t="s">
        <v>8</v>
      </c>
      <c r="E13" s="38"/>
      <c r="F13" s="38"/>
      <c r="G13" s="38"/>
      <c r="H13" s="39"/>
    </row>
    <row r="14" spans="1:8" ht="58" customHeight="1" thickBot="1">
      <c r="B14" s="31"/>
      <c r="C14" s="27"/>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34"/>
  <sheetViews>
    <sheetView showGridLines="0" tabSelected="1" workbookViewId="0">
      <selection activeCell="E17" sqref="E17"/>
    </sheetView>
  </sheetViews>
  <sheetFormatPr baseColWidth="10" defaultColWidth="8.7109375" defaultRowHeight="13" x14ac:dyDescent="0"/>
  <cols>
    <col min="1" max="1" width="19" style="1" customWidth="1"/>
    <col min="2" max="8" width="17.5703125" style="4" customWidth="1"/>
    <col min="9" max="16384" width="8.7109375" style="4"/>
  </cols>
  <sheetData>
    <row r="1" spans="1:8" s="1" customFormat="1" ht="59.25" customHeight="1" thickBot="1">
      <c r="B1" s="34">
        <f>DATE(CalendarYear,6,1)</f>
        <v>42887</v>
      </c>
      <c r="C1" s="34"/>
      <c r="D1" s="34"/>
      <c r="E1" s="34"/>
      <c r="F1" s="34"/>
      <c r="G1" s="34"/>
      <c r="H1" s="34"/>
    </row>
    <row r="2" spans="1:8" s="3" customFormat="1" ht="21.75" customHeight="1">
      <c r="A2" s="2"/>
      <c r="B2" s="15" t="s">
        <v>0</v>
      </c>
      <c r="C2" s="16" t="s">
        <v>1</v>
      </c>
      <c r="D2" s="16" t="s">
        <v>2</v>
      </c>
      <c r="E2" s="16" t="s">
        <v>3</v>
      </c>
      <c r="F2" s="16" t="s">
        <v>4</v>
      </c>
      <c r="G2" s="16" t="s">
        <v>5</v>
      </c>
      <c r="H2" s="17" t="s">
        <v>6</v>
      </c>
    </row>
    <row r="3" spans="1:8" ht="14">
      <c r="B3" s="9" t="str">
        <f>IF(AND(YEAR(JunSun1)=CalendarYear,MONTH(JunSun1)=6),JunSun1, "")</f>
        <v/>
      </c>
      <c r="C3" s="5" t="str">
        <f>IF(AND(YEAR(JunSun1+1)=CalendarYear,MONTH(JunSun1+1)=6),JunSun1+1, "")</f>
        <v/>
      </c>
      <c r="D3" s="5" t="str">
        <f>IF(AND(YEAR(JunSun1+2)=CalendarYear,MONTH(JunSun1+2)=6),JunSun1+2, "")</f>
        <v/>
      </c>
      <c r="E3" s="5" t="str">
        <f>IF(AND(YEAR(JunSun1+3)=CalendarYear,MONTH(JunSun1+3)=6),JunSun1+3, "")</f>
        <v/>
      </c>
      <c r="F3" s="5">
        <f>IF(AND(YEAR(JunSun1+4)=CalendarYear,MONTH(JunSun1+4)=6),JunSun1+4, "")</f>
        <v>42887</v>
      </c>
      <c r="G3" s="5">
        <f>IF(AND(YEAR(JunSun1+5)=CalendarYear,MONTH(JunSun1+5)=6),JunSun1+5, "")</f>
        <v>42888</v>
      </c>
      <c r="H3" s="10">
        <f>IF(AND(YEAR(JunSun1+6)=CalendarYear,MONTH(JunSun1+6)=6),JunSun1+6, "")</f>
        <v>42889</v>
      </c>
    </row>
    <row r="4" spans="1:8" s="21" customFormat="1">
      <c r="A4" s="1"/>
      <c r="B4" s="66"/>
      <c r="C4" s="55"/>
      <c r="D4" s="55"/>
      <c r="E4" s="55"/>
      <c r="F4" s="55"/>
      <c r="G4" s="58"/>
      <c r="H4" s="62"/>
    </row>
    <row r="5" spans="1:8" s="21" customFormat="1">
      <c r="A5" s="1"/>
      <c r="B5" s="67"/>
      <c r="C5" s="56"/>
      <c r="D5" s="56"/>
      <c r="E5" s="56"/>
      <c r="F5" s="56"/>
      <c r="G5" s="59"/>
      <c r="H5" s="63"/>
    </row>
    <row r="6" spans="1:8" s="21" customFormat="1">
      <c r="A6" s="1"/>
      <c r="B6" s="67"/>
      <c r="C6" s="56"/>
      <c r="D6" s="56"/>
      <c r="E6" s="56"/>
      <c r="F6" s="56"/>
      <c r="G6" s="59"/>
      <c r="H6" s="63"/>
    </row>
    <row r="7" spans="1:8" s="21" customFormat="1">
      <c r="A7" s="1"/>
      <c r="B7" s="67"/>
      <c r="C7" s="56"/>
      <c r="D7" s="56"/>
      <c r="E7" s="56"/>
      <c r="F7" s="56"/>
      <c r="G7" s="59"/>
      <c r="H7" s="63"/>
    </row>
    <row r="8" spans="1:8">
      <c r="B8" s="67"/>
      <c r="C8" s="56"/>
      <c r="D8" s="56"/>
      <c r="E8" s="56"/>
      <c r="F8" s="56" t="str">
        <f>Sheet1!B2</f>
        <v>Womack</v>
      </c>
      <c r="G8" s="59"/>
      <c r="H8" s="63"/>
    </row>
    <row r="9" spans="1:8" ht="14">
      <c r="B9" s="11">
        <f>IF(AND(YEAR(JunSun1+7)=CalendarYear,MONTH(JunSun1+7)=6),JunSun1+7, "")</f>
        <v>42890</v>
      </c>
      <c r="C9" s="5">
        <f>IF(AND(YEAR(JunSun1+8)=CalendarYear,MONTH(JunSun1+8)=6),JunSun1+8, "")</f>
        <v>42891</v>
      </c>
      <c r="D9" s="5">
        <f>IF(AND(YEAR(JunSun1+9)=CalendarYear,MONTH(JunSun1+9)=6),JunSun1+9, "")</f>
        <v>42892</v>
      </c>
      <c r="E9" s="5">
        <f>IF(AND(YEAR(JunSun1+10)=CalendarYear,MONTH(JunSun1+10)=6),JunSun1+10, "")</f>
        <v>42893</v>
      </c>
      <c r="F9" s="5">
        <f>IF(AND(YEAR(JunSun1+11)=CalendarYear,MONTH(JunSun1+11)=6),JunSun1+11, "")</f>
        <v>42894</v>
      </c>
      <c r="G9" s="5">
        <f>IF(AND(YEAR(JunSun1+12)=CalendarYear,MONTH(JunSun1+12)=6),JunSun1+12,"")</f>
        <v>42895</v>
      </c>
      <c r="H9" s="10">
        <f>IF(AND(YEAR(JunSun1+13)=CalendarYear,MONTH(JunSun1+13)=6),JunSun1+13, "")</f>
        <v>42896</v>
      </c>
    </row>
    <row r="10" spans="1:8" s="21" customFormat="1">
      <c r="A10" s="1"/>
      <c r="B10" s="66"/>
      <c r="C10" s="55"/>
      <c r="D10" s="55"/>
      <c r="E10" s="55"/>
      <c r="F10" s="55"/>
      <c r="G10" s="58"/>
      <c r="H10" s="62"/>
    </row>
    <row r="11" spans="1:8" s="21" customFormat="1">
      <c r="A11" s="1"/>
      <c r="B11" s="67"/>
      <c r="C11" s="56"/>
      <c r="D11" s="56"/>
      <c r="E11" s="56"/>
      <c r="F11" s="56"/>
      <c r="G11" s="59"/>
      <c r="H11" s="63"/>
    </row>
    <row r="12" spans="1:8" s="21" customFormat="1">
      <c r="A12" s="1"/>
      <c r="B12" s="67"/>
      <c r="C12" s="56"/>
      <c r="D12" s="56"/>
      <c r="E12" s="56"/>
      <c r="F12" s="56"/>
      <c r="G12" s="59" t="str">
        <f>Sheet1!D12</f>
        <v>321 Garden Ave</v>
      </c>
      <c r="H12" s="63"/>
    </row>
    <row r="13" spans="1:8" s="21" customFormat="1">
      <c r="A13" s="1"/>
      <c r="B13" s="67"/>
      <c r="C13" s="56"/>
      <c r="D13" s="56"/>
      <c r="E13" s="56"/>
      <c r="F13" s="56"/>
      <c r="G13" s="59"/>
      <c r="H13" s="63"/>
    </row>
    <row r="14" spans="1:8">
      <c r="B14" s="67"/>
      <c r="C14" s="56"/>
      <c r="D14" s="56"/>
      <c r="E14" s="56"/>
      <c r="F14" s="56"/>
      <c r="G14" s="59"/>
      <c r="H14" s="63"/>
    </row>
    <row r="15" spans="1:8" ht="14">
      <c r="B15" s="11">
        <f>IF(AND(YEAR(JunSun1+14)=CalendarYear,MONTH(JunSun1+14)=6),JunSun1+14, "")</f>
        <v>42897</v>
      </c>
      <c r="C15" s="5">
        <f>IF(AND(YEAR(JunSun1+15)=CalendarYear,MONTH(JunSun1+15)=6),JunSun1+15, "")</f>
        <v>42898</v>
      </c>
      <c r="D15" s="5">
        <f>IF(AND(YEAR(JunSun1+16)=CalendarYear,MONTH(JunSun1+16)=6),JunSun1+16, "")</f>
        <v>42899</v>
      </c>
      <c r="E15" s="5">
        <f>IF(AND(YEAR(JunSun1+17)=CalendarYear,MONTH(JunSun1+17)=6),JunSun1+17, "")</f>
        <v>42900</v>
      </c>
      <c r="F15" s="5">
        <f>IF(AND(YEAR(JunSun1+18)=CalendarYear,MONTH(JunSun1+18)=6),JunSun1+18, "")</f>
        <v>42901</v>
      </c>
      <c r="G15" s="5">
        <f>IF(AND(YEAR(JunSun1+19)=CalendarYear,MONTH(JunSun1+19)=6),JunSun1+19, "")</f>
        <v>42902</v>
      </c>
      <c r="H15" s="10">
        <f>IF(AND(YEAR(JunSun1+20)=CalendarYear,MONTH(JunSun1+20)=6),JunSun1+20, "")</f>
        <v>42903</v>
      </c>
    </row>
    <row r="16" spans="1:8" s="21" customFormat="1">
      <c r="A16" s="1"/>
      <c r="B16" s="66"/>
      <c r="C16" s="55"/>
      <c r="D16" s="55"/>
      <c r="E16" s="55"/>
      <c r="F16" s="55"/>
      <c r="G16" s="58"/>
      <c r="H16" s="62"/>
    </row>
    <row r="17" spans="1:8" s="21" customFormat="1">
      <c r="A17" s="1"/>
      <c r="B17" s="67"/>
      <c r="C17" s="56"/>
      <c r="D17" s="56"/>
      <c r="E17" s="56"/>
      <c r="F17" s="56"/>
      <c r="G17" s="59"/>
      <c r="H17" s="63"/>
    </row>
    <row r="18" spans="1:8" s="21" customFormat="1">
      <c r="A18" s="1"/>
      <c r="B18" s="67"/>
      <c r="C18" s="56"/>
      <c r="D18" s="56"/>
      <c r="E18" s="56"/>
      <c r="F18" s="56" t="str">
        <f>Sheet1!D14</f>
        <v>19785 W. PMB 632</v>
      </c>
      <c r="G18" s="59"/>
      <c r="H18" s="63"/>
    </row>
    <row r="19" spans="1:8" s="21" customFormat="1">
      <c r="A19" s="1"/>
      <c r="B19" s="67"/>
      <c r="C19" s="56"/>
      <c r="D19" s="56"/>
      <c r="E19" s="56"/>
      <c r="F19" s="56"/>
      <c r="G19" s="59" t="str">
        <f>Sheet1!D11</f>
        <v>5007 NE 52nd Street</v>
      </c>
      <c r="H19" s="63"/>
    </row>
    <row r="20" spans="1:8">
      <c r="B20" s="67"/>
      <c r="C20" s="56"/>
      <c r="D20" s="56"/>
      <c r="E20" s="56"/>
      <c r="F20" s="56"/>
      <c r="G20" s="59"/>
      <c r="H20" s="63"/>
    </row>
    <row r="21" spans="1:8" ht="14">
      <c r="B21" s="12">
        <f>IF(AND(YEAR(JunSun1+21)=CalendarYear,MONTH(JunSun1+21)=6),JunSun1+21, "")</f>
        <v>42904</v>
      </c>
      <c r="C21" s="6">
        <f>IF(AND(YEAR(JunSun1+22)=CalendarYear,MONTH(JunSun1+22)=6),JunSun1+22, "")</f>
        <v>42905</v>
      </c>
      <c r="D21" s="6">
        <f>IF(AND(YEAR(JunSun1+23)=CalendarYear,MONTH(JunSun1+23)=6),JunSun1+23, "")</f>
        <v>42906</v>
      </c>
      <c r="E21" s="6">
        <f>IF(AND(YEAR(JunSun1+24)=CalendarYear,MONTH(JunSun1+24)=6),JunSun1+24, "")</f>
        <v>42907</v>
      </c>
      <c r="F21" s="6">
        <f>IF(AND(YEAR(JunSun1+25)=CalendarYear,MONTH(JunSun1+25)=6),JunSun1+25, "")</f>
        <v>42908</v>
      </c>
      <c r="G21" s="6">
        <f>IF(AND(YEAR(JunSun1+26)=CalendarYear,MONTH(JunSun1+26)=6),JunSun1+26, "")</f>
        <v>42909</v>
      </c>
      <c r="H21" s="13">
        <f>IF(AND(YEAR(JunSun1+27)=CalendarYear,MONTH(JunSun1+27)=6),JunSun1+27, "")</f>
        <v>42910</v>
      </c>
    </row>
    <row r="22" spans="1:8" s="21" customFormat="1">
      <c r="A22" s="1"/>
      <c r="B22" s="66"/>
      <c r="C22" s="55"/>
      <c r="D22" s="55"/>
      <c r="E22" s="55"/>
      <c r="F22" s="55"/>
      <c r="G22" s="58"/>
      <c r="H22" s="62"/>
    </row>
    <row r="23" spans="1:8" s="21" customFormat="1">
      <c r="A23" s="1"/>
      <c r="B23" s="67"/>
      <c r="C23" s="56"/>
      <c r="D23" s="56"/>
      <c r="E23" s="56"/>
      <c r="F23" s="56"/>
      <c r="G23" s="59" t="str">
        <f>Sheet1!G8</f>
        <v>Boston</v>
      </c>
      <c r="H23" s="63"/>
    </row>
    <row r="24" spans="1:8" s="21" customFormat="1">
      <c r="A24" s="1"/>
      <c r="B24" s="67"/>
      <c r="C24" s="56"/>
      <c r="D24" s="56"/>
      <c r="E24" s="56" t="str">
        <f>Sheet1!D3</f>
        <v xml:space="preserve">400 Pacific Ave Ground Floor </v>
      </c>
      <c r="F24" s="56"/>
      <c r="G24" s="59"/>
      <c r="H24" s="63"/>
    </row>
    <row r="25" spans="1:8" s="21" customFormat="1">
      <c r="A25" s="1"/>
      <c r="B25" s="67"/>
      <c r="C25" s="56"/>
      <c r="D25" s="56"/>
      <c r="E25" s="56"/>
      <c r="F25" s="56"/>
      <c r="G25" s="59"/>
      <c r="H25" s="63"/>
    </row>
    <row r="26" spans="1:8" s="21" customFormat="1">
      <c r="A26" s="1"/>
      <c r="B26" s="67"/>
      <c r="C26" s="56"/>
      <c r="D26" s="56"/>
      <c r="E26" s="56"/>
      <c r="F26" s="56" t="str">
        <f>Sheet1!G12</f>
        <v>Cedarhurst</v>
      </c>
      <c r="G26" s="59"/>
      <c r="H26" s="63"/>
    </row>
    <row r="27" spans="1:8" ht="14">
      <c r="B27" s="65">
        <f>IF(AND(YEAR(JunSun1+28)=CalendarYear,MONTH(JunSun1+28)=6),JunSun1+28, "")</f>
        <v>42911</v>
      </c>
      <c r="C27" s="54">
        <f>IF(AND(YEAR(JunSun1+29)=CalendarYear,MONTH(JunSun1+29)=6),JunSun1+29, "")</f>
        <v>42912</v>
      </c>
      <c r="D27" s="6">
        <f>IF(AND(YEAR(JunSun1+30)=CalendarYear,MONTH(JunSun1+30)=6),JunSun1+30, "")</f>
        <v>42913</v>
      </c>
      <c r="E27" s="6">
        <f>IF(AND(YEAR(JunSun1+31)=CalendarYear,MONTH(JunSun1+31)=6),JunSun1+31, "")</f>
        <v>42914</v>
      </c>
      <c r="F27" s="6">
        <f>IF(AND(YEAR(JunSun1+32)=CalendarYear,MONTH(JunSun1+32)=6),JunSun1+32, "")</f>
        <v>42915</v>
      </c>
      <c r="G27" s="6">
        <f>IF(AND(YEAR(JunSun1+33)=CalendarYear,MONTH(JunSun1+33)=6),JunSun1+33, "")</f>
        <v>42916</v>
      </c>
      <c r="H27" s="61" t="str">
        <f>IF(AND(YEAR(JunSun1+34)=CalendarYear,MONTH(JunSun1+34)=6),JunSun1+34, "")</f>
        <v/>
      </c>
    </row>
    <row r="28" spans="1:8" s="21" customFormat="1">
      <c r="A28" s="1"/>
      <c r="B28" s="66"/>
      <c r="C28" s="55"/>
      <c r="D28" s="55"/>
      <c r="E28" s="55"/>
      <c r="F28" s="55" t="str">
        <f>Sheet1!D4</f>
        <v>1800 Grant St.</v>
      </c>
      <c r="G28" s="58" t="str">
        <f>Sheet1!D13</f>
        <v>10 Gipson Lane</v>
      </c>
      <c r="H28" s="62"/>
    </row>
    <row r="29" spans="1:8" s="21" customFormat="1">
      <c r="A29" s="1"/>
      <c r="B29" s="67"/>
      <c r="C29" s="56"/>
      <c r="D29" s="56"/>
      <c r="E29" s="56"/>
      <c r="F29" s="56" t="str">
        <f>Sheet1!G12</f>
        <v>Cedarhurst</v>
      </c>
      <c r="G29" s="59"/>
      <c r="H29" s="63"/>
    </row>
    <row r="30" spans="1:8" s="21" customFormat="1">
      <c r="A30" s="1"/>
      <c r="B30" s="67"/>
      <c r="C30" s="56"/>
      <c r="D30" s="56"/>
      <c r="E30" s="56"/>
      <c r="F30" s="56"/>
      <c r="G30" s="59"/>
      <c r="H30" s="63"/>
    </row>
    <row r="31" spans="1:8" s="21" customFormat="1">
      <c r="A31" s="1"/>
      <c r="B31" s="67"/>
      <c r="C31" s="56"/>
      <c r="D31" s="56"/>
      <c r="E31" s="56" t="str">
        <f>Sheet1!G14</f>
        <v>Champaign</v>
      </c>
      <c r="F31" s="56"/>
      <c r="G31" s="59" t="str">
        <f>Sheet1!B11</f>
        <v>Upton</v>
      </c>
      <c r="H31" s="63"/>
    </row>
    <row r="32" spans="1:8" s="21" customFormat="1">
      <c r="A32" s="1"/>
      <c r="B32" s="68"/>
      <c r="C32" s="57"/>
      <c r="D32" s="57"/>
      <c r="E32" s="57"/>
      <c r="F32" s="57"/>
      <c r="G32" s="60"/>
      <c r="H32" s="64"/>
    </row>
    <row r="33" spans="2:8" ht="14">
      <c r="B33" s="28" t="str">
        <f>IF(AND(YEAR(JunSun1+35)=CalendarYear,MONTH(JunSun1+35)=6),JunSun1+35, "")</f>
        <v/>
      </c>
      <c r="C33" s="38" t="s">
        <v>8</v>
      </c>
      <c r="D33" s="38"/>
      <c r="E33" s="38"/>
      <c r="F33" s="38"/>
      <c r="G33" s="38"/>
      <c r="H33" s="39"/>
    </row>
    <row r="34" spans="2:8" ht="58" customHeight="1" thickBot="1">
      <c r="B34" s="31"/>
      <c r="C34" s="35"/>
      <c r="D34" s="36"/>
      <c r="E34" s="36"/>
      <c r="F34" s="36"/>
      <c r="G34" s="36"/>
      <c r="H34" s="37"/>
    </row>
  </sheetData>
  <mergeCells count="3">
    <mergeCell ref="B1:H1"/>
    <mergeCell ref="C33:H33"/>
    <mergeCell ref="C34:H34"/>
  </mergeCells>
  <phoneticPr fontId="1" type="noConversion"/>
  <printOptions horizontalCentered="1" gridLines="1"/>
  <pageMargins left="0.5" right="0.5" top="0.75" bottom="0.75" header="0.5" footer="0.5"/>
  <pageSetup paperSize="9" scale="52" orientation="portrait" horizontalDpi="4294967292" verticalDpi="4294967292"/>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33"/>
  <sheetViews>
    <sheetView showGridLines="0" topLeftCell="A2" workbookViewId="0">
      <selection activeCell="D30" sqref="D30"/>
    </sheetView>
  </sheetViews>
  <sheetFormatPr baseColWidth="10" defaultColWidth="8.7109375" defaultRowHeight="13" x14ac:dyDescent="0"/>
  <cols>
    <col min="1" max="1" width="2.42578125" style="1" customWidth="1"/>
    <col min="2" max="8" width="17.5703125" style="4" customWidth="1"/>
    <col min="9" max="16384" width="8.7109375" style="4"/>
  </cols>
  <sheetData>
    <row r="1" spans="1:8" s="1" customFormat="1" ht="59.25" customHeight="1" thickBot="1">
      <c r="B1" s="34">
        <f>DATE(CalendarYear,7,1)</f>
        <v>42917</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 customHeight="1">
      <c r="B3" s="66" t="str">
        <f>IF(AND(YEAR(JulSun1)=CalendarYear,MONTH(JulSun1)=7),JulSun1, "")</f>
        <v/>
      </c>
      <c r="C3" s="55" t="str">
        <f>IF(AND(YEAR(JulSun1+1)=CalendarYear,MONTH(JulSun1+1)=7),JulSun1+1, "")</f>
        <v/>
      </c>
      <c r="D3" s="55" t="str">
        <f>IF(AND(YEAR(JulSun1+2)=CalendarYear,MONTH(JulSun1+2)=7),JulSun1+2, "")</f>
        <v/>
      </c>
      <c r="E3" s="55" t="str">
        <f>IF(AND(YEAR(JulSun1+3)=CalendarYear,MONTH(JulSun1+3)=7),JulSun1+3, "")</f>
        <v/>
      </c>
      <c r="F3" s="55" t="str">
        <f>IF(AND(YEAR(JulSun1+4)=CalendarYear,MONTH(JulSun1+4)=7),JulSun1+4, "")</f>
        <v/>
      </c>
      <c r="G3" s="58" t="str">
        <f>IF(AND(YEAR(JulSun1+5)=CalendarYear,MONTH(JulSun1+5)=7),JulSun1+5, "")</f>
        <v/>
      </c>
      <c r="H3" s="62">
        <f>IF(AND(YEAR(JulSun1+6)=CalendarYear,MONTH(JulSun1+6)=7),JulSun1+6, "")</f>
        <v>42917</v>
      </c>
    </row>
    <row r="4" spans="1:8" s="21" customFormat="1" ht="14" customHeight="1">
      <c r="A4" s="1"/>
      <c r="B4" s="67"/>
      <c r="C4" s="56"/>
      <c r="D4" s="56"/>
      <c r="E4" s="56"/>
      <c r="F4" s="56"/>
      <c r="G4" s="59"/>
      <c r="H4" s="63"/>
    </row>
    <row r="5" spans="1:8" s="21" customFormat="1" ht="14" customHeight="1">
      <c r="A5" s="1"/>
      <c r="B5" s="67"/>
      <c r="C5" s="56"/>
      <c r="D5" s="56"/>
      <c r="E5" s="56"/>
      <c r="F5" s="56"/>
      <c r="G5" s="59"/>
      <c r="H5" s="63"/>
    </row>
    <row r="6" spans="1:8" s="21" customFormat="1" ht="14" customHeight="1">
      <c r="A6" s="1"/>
      <c r="B6" s="67"/>
      <c r="C6" s="56"/>
      <c r="D6" s="56"/>
      <c r="E6" s="56"/>
      <c r="F6" s="56"/>
      <c r="G6" s="59"/>
      <c r="H6" s="63"/>
    </row>
    <row r="7" spans="1:8" s="21" customFormat="1" ht="14" customHeight="1">
      <c r="A7" s="1"/>
      <c r="B7" s="67"/>
      <c r="C7" s="56"/>
      <c r="D7" s="56"/>
      <c r="E7" s="56"/>
      <c r="F7" s="56"/>
      <c r="G7" s="59"/>
      <c r="H7" s="63"/>
    </row>
    <row r="8" spans="1:8" ht="14" customHeight="1">
      <c r="B8" s="11">
        <f>IF(AND(YEAR(JulSun1+7)=CalendarYear,MONTH(JulSun1+7)=7),JulSun1+7, "")</f>
        <v>42918</v>
      </c>
      <c r="C8" s="5">
        <f>IF(AND(YEAR(JulSun1+8)=CalendarYear,MONTH(JulSun1+8)=7),JulSun1+8, "")</f>
        <v>42919</v>
      </c>
      <c r="D8" s="5">
        <f>IF(AND(YEAR(JulSun1+9)=CalendarYear,MONTH(JulSun1+9)=7),JulSun1+9, "")</f>
        <v>42920</v>
      </c>
      <c r="E8" s="5">
        <f>IF(AND(YEAR(JulSun1+10)=CalendarYear,MONTH(JulSun1+10)=7),JulSun1+10, "")</f>
        <v>42921</v>
      </c>
      <c r="F8" s="5">
        <f>IF(AND(YEAR(JulSun1+11)=CalendarYear,MONTH(JulSun1+11)=7),JulSun1+11, "")</f>
        <v>42922</v>
      </c>
      <c r="G8" s="5">
        <f>IF(AND(YEAR(JulSun1+12)=CalendarYear,MONTH(JulSun1+12)=7),JulSun1+12,"")</f>
        <v>42923</v>
      </c>
      <c r="H8" s="10">
        <f>IF(AND(YEAR(JulSun1+13)=CalendarYear,MONTH(JulSun1+13)=7),JulSun1+13, "")</f>
        <v>42924</v>
      </c>
    </row>
    <row r="9" spans="1:8" s="21" customFormat="1" ht="14" customHeight="1">
      <c r="A9" s="1"/>
      <c r="B9" s="66"/>
      <c r="C9" s="55"/>
      <c r="D9" s="55"/>
      <c r="E9" s="55"/>
      <c r="F9" s="55"/>
      <c r="G9" s="58"/>
      <c r="H9" s="62"/>
    </row>
    <row r="10" spans="1:8" s="21" customFormat="1" ht="14" customHeight="1">
      <c r="A10" s="1"/>
      <c r="B10" s="67"/>
      <c r="C10" s="56"/>
      <c r="D10" s="56"/>
      <c r="E10" s="56"/>
      <c r="F10" s="56"/>
      <c r="G10" s="59"/>
      <c r="H10" s="63"/>
    </row>
    <row r="11" spans="1:8" s="21" customFormat="1" ht="14" customHeight="1">
      <c r="A11" s="1"/>
      <c r="B11" s="67"/>
      <c r="C11" s="56"/>
      <c r="D11" s="56"/>
      <c r="E11" s="56"/>
      <c r="F11" s="56"/>
      <c r="G11" s="59"/>
      <c r="H11" s="63"/>
    </row>
    <row r="12" spans="1:8" s="21" customFormat="1" ht="14" customHeight="1">
      <c r="A12" s="1"/>
      <c r="B12" s="67"/>
      <c r="C12" s="56"/>
      <c r="D12" s="56"/>
      <c r="E12" s="56"/>
      <c r="F12" s="56"/>
      <c r="G12" s="59"/>
      <c r="H12" s="63"/>
    </row>
    <row r="13" spans="1:8" ht="14" customHeight="1">
      <c r="B13" s="67"/>
      <c r="C13" s="56"/>
      <c r="D13" s="56"/>
      <c r="E13" s="56"/>
      <c r="F13" s="56"/>
      <c r="G13" s="59"/>
      <c r="H13" s="63"/>
    </row>
    <row r="14" spans="1:8" ht="14" customHeight="1">
      <c r="B14" s="11">
        <f>IF(AND(YEAR(JulSun1+14)=CalendarYear,MONTH(JulSun1+14)=7),JulSun1+14, "")</f>
        <v>42925</v>
      </c>
      <c r="C14" s="5">
        <f>IF(AND(YEAR(JulSun1+15)=CalendarYear,MONTH(JulSun1+15)=7),JulSun1+15, "")</f>
        <v>42926</v>
      </c>
      <c r="D14" s="5">
        <f>IF(AND(YEAR(JulSun1+16)=CalendarYear,MONTH(JulSun1+16)=7),JulSun1+16, "")</f>
        <v>42927</v>
      </c>
      <c r="E14" s="5">
        <f>IF(AND(YEAR(JulSun1+17)=CalendarYear,MONTH(JulSun1+17)=7),JulSun1+17, "")</f>
        <v>42928</v>
      </c>
      <c r="F14" s="5">
        <f>IF(AND(YEAR(JulSun1+18)=CalendarYear,MONTH(JulSun1+18)=7),JulSun1+18, "")</f>
        <v>42929</v>
      </c>
      <c r="G14" s="5">
        <f>IF(AND(YEAR(JulSun1+19)=CalendarYear,MONTH(JulSun1+19)=7),JulSun1+19, "")</f>
        <v>42930</v>
      </c>
      <c r="H14" s="10">
        <f>IF(AND(YEAR(JulSun1+20)=CalendarYear,MONTH(JulSun1+20)=7),JulSun1+20, "")</f>
        <v>42931</v>
      </c>
    </row>
    <row r="15" spans="1:8" s="21" customFormat="1" ht="14" customHeight="1">
      <c r="A15" s="1"/>
      <c r="B15" s="66"/>
      <c r="C15" s="55"/>
      <c r="D15" s="55"/>
      <c r="E15" s="55"/>
      <c r="F15" s="55"/>
      <c r="G15" s="58"/>
      <c r="H15" s="62"/>
    </row>
    <row r="16" spans="1:8" s="21" customFormat="1" ht="14" customHeight="1">
      <c r="A16" s="1"/>
      <c r="B16" s="67"/>
      <c r="C16" s="56"/>
      <c r="D16" s="56"/>
      <c r="E16" s="56"/>
      <c r="F16" s="56"/>
      <c r="G16" s="59"/>
      <c r="H16" s="63"/>
    </row>
    <row r="17" spans="1:8" s="21" customFormat="1" ht="14" customHeight="1">
      <c r="A17" s="1"/>
      <c r="B17" s="67"/>
      <c r="C17" s="56"/>
      <c r="D17" s="56"/>
      <c r="E17" s="56"/>
      <c r="F17" s="56"/>
      <c r="G17" s="59"/>
      <c r="H17" s="63"/>
    </row>
    <row r="18" spans="1:8" s="21" customFormat="1" ht="14" customHeight="1">
      <c r="A18" s="1"/>
      <c r="B18" s="67"/>
      <c r="C18" s="56"/>
      <c r="D18" s="56"/>
      <c r="E18" s="56"/>
      <c r="F18" s="56"/>
      <c r="G18" s="59"/>
      <c r="H18" s="63"/>
    </row>
    <row r="19" spans="1:8" ht="19" customHeight="1">
      <c r="B19" s="67"/>
      <c r="C19" s="56"/>
      <c r="D19" s="56"/>
      <c r="E19" s="56"/>
      <c r="F19" s="56"/>
      <c r="G19" s="59"/>
      <c r="H19" s="63"/>
    </row>
    <row r="20" spans="1:8" ht="14" customHeight="1">
      <c r="B20" s="12">
        <f>IF(AND(YEAR(JulSun1+21)=CalendarYear,MONTH(JulSun1+21)=7),JulSun1+21, "")</f>
        <v>42932</v>
      </c>
      <c r="C20" s="6">
        <f>IF(AND(YEAR(JulSun1+22)=CalendarYear,MONTH(JulSun1+22)=7),JulSun1+22, "")</f>
        <v>42933</v>
      </c>
      <c r="D20" s="6">
        <f>IF(AND(YEAR(JulSun1+23)=CalendarYear,MONTH(JulSun1+23)=7),JulSun1+23, "")</f>
        <v>42934</v>
      </c>
      <c r="E20" s="6">
        <f>IF(AND(YEAR(JulSun1+24)=CalendarYear,MONTH(JulSun1+24)=7),JulSun1+24, "")</f>
        <v>42935</v>
      </c>
      <c r="F20" s="6">
        <f>IF(AND(YEAR(JulSun1+25)=CalendarYear,MONTH(JulSun1+25)=7),JulSun1+25, "")</f>
        <v>42936</v>
      </c>
      <c r="G20" s="6">
        <f>IF(AND(YEAR(JulSun1+26)=CalendarYear,MONTH(JulSun1+26)=7),JulSun1+26, "")</f>
        <v>42937</v>
      </c>
      <c r="H20" s="13">
        <f>IF(AND(YEAR(JulSun1+27)=CalendarYear,MONTH(JulSun1+27)=7),JulSun1+27, "")</f>
        <v>42938</v>
      </c>
    </row>
    <row r="21" spans="1:8" s="21" customFormat="1" ht="14" customHeight="1">
      <c r="A21" s="1"/>
      <c r="B21" s="66"/>
      <c r="C21" s="55"/>
      <c r="D21" s="55"/>
      <c r="E21" s="55"/>
      <c r="F21" s="55"/>
      <c r="G21" s="58"/>
      <c r="H21" s="62"/>
    </row>
    <row r="22" spans="1:8" s="21" customFormat="1" ht="14" customHeight="1">
      <c r="A22" s="1"/>
      <c r="B22" s="67"/>
      <c r="C22" s="56"/>
      <c r="D22" s="56"/>
      <c r="E22" s="56"/>
      <c r="F22" s="56"/>
      <c r="G22" s="59"/>
      <c r="H22" s="63"/>
    </row>
    <row r="23" spans="1:8" s="21" customFormat="1" ht="14" customHeight="1">
      <c r="A23" s="1"/>
      <c r="B23" s="67"/>
      <c r="C23" s="56"/>
      <c r="D23" s="56"/>
      <c r="E23" s="56"/>
      <c r="F23" s="56"/>
      <c r="G23" s="59"/>
      <c r="H23" s="63"/>
    </row>
    <row r="24" spans="1:8" s="21" customFormat="1" ht="14" customHeight="1">
      <c r="A24" s="1"/>
      <c r="B24" s="67"/>
      <c r="C24" s="56"/>
      <c r="D24" s="56"/>
      <c r="E24" s="56"/>
      <c r="F24" s="56"/>
      <c r="G24" s="59"/>
      <c r="H24" s="63"/>
    </row>
    <row r="25" spans="1:8" ht="16" customHeight="1">
      <c r="B25" s="67"/>
      <c r="C25" s="56"/>
      <c r="D25" s="56"/>
      <c r="E25" s="56"/>
      <c r="F25" s="56"/>
      <c r="G25" s="59"/>
      <c r="H25" s="63"/>
    </row>
    <row r="26" spans="1:8" ht="14" customHeight="1">
      <c r="B26" s="12">
        <f>IF(AND(YEAR(JulSun1+28)=CalendarYear,MONTH(JulSun1+28)=7),JulSun1+28, "")</f>
        <v>42939</v>
      </c>
      <c r="C26" s="6">
        <f>IF(AND(YEAR(JulSun1+29)=CalendarYear,MONTH(JulSun1+29)=7),JulSun1+29, "")</f>
        <v>42940</v>
      </c>
      <c r="D26" s="6">
        <f>IF(AND(YEAR(JulSun1+30)=CalendarYear,MONTH(JulSun1+30)=7),JulSun1+30, "")</f>
        <v>42941</v>
      </c>
      <c r="E26" s="6">
        <f>IF(AND(YEAR(JulSun1+31)=CalendarYear,MONTH(JulSun1+31)=7),JulSun1+31, "")</f>
        <v>42942</v>
      </c>
      <c r="F26" s="6">
        <f>IF(AND(YEAR(JulSun1+32)=CalendarYear,MONTH(JulSun1+32)=7),JulSun1+32, "")</f>
        <v>42943</v>
      </c>
      <c r="G26" s="6">
        <f>IF(AND(YEAR(JulSun1+33)=CalendarYear,MONTH(JulSun1+33)=7),JulSun1+33, "")</f>
        <v>42944</v>
      </c>
      <c r="H26" s="13">
        <f>IF(AND(YEAR(JulSun1+34)=CalendarYear,MONTH(JulSun1+34)=7),JulSun1+34, "")</f>
        <v>42945</v>
      </c>
    </row>
    <row r="27" spans="1:8" s="21" customFormat="1" ht="14" customHeight="1">
      <c r="A27" s="1"/>
      <c r="B27" s="66"/>
      <c r="C27" s="55"/>
      <c r="D27" s="55"/>
      <c r="E27" s="55"/>
      <c r="F27" s="55"/>
      <c r="G27" s="58"/>
      <c r="H27" s="62"/>
    </row>
    <row r="28" spans="1:8" s="21" customFormat="1" ht="14" customHeight="1">
      <c r="A28" s="1"/>
      <c r="B28" s="67"/>
      <c r="C28" s="56"/>
      <c r="D28" s="56"/>
      <c r="E28" s="56"/>
      <c r="F28" s="56"/>
      <c r="G28" s="59"/>
      <c r="H28" s="63"/>
    </row>
    <row r="29" spans="1:8" s="21" customFormat="1" ht="14" customHeight="1">
      <c r="A29" s="1"/>
      <c r="B29" s="67"/>
      <c r="C29" s="56"/>
      <c r="D29" s="56"/>
      <c r="E29" s="56"/>
      <c r="F29" s="56"/>
      <c r="G29" s="59"/>
      <c r="H29" s="63"/>
    </row>
    <row r="30" spans="1:8" s="21" customFormat="1" ht="14" customHeight="1">
      <c r="A30" s="1"/>
      <c r="B30" s="67"/>
      <c r="C30" s="56"/>
      <c r="D30" s="56"/>
      <c r="E30" s="56"/>
      <c r="F30" s="56"/>
      <c r="G30" s="59"/>
      <c r="H30" s="63"/>
    </row>
    <row r="31" spans="1:8" ht="18" customHeight="1">
      <c r="B31" s="67"/>
      <c r="C31" s="56"/>
      <c r="D31" s="56"/>
      <c r="E31" s="56"/>
      <c r="F31" s="56"/>
      <c r="G31" s="59"/>
      <c r="H31" s="63"/>
    </row>
    <row r="32" spans="1:8" ht="14" customHeight="1">
      <c r="B32" s="28">
        <f>IF(AND(YEAR(JulSun1+35)=CalendarYear,MONTH(JulSun1+35)=7),JulSun1+35, "")</f>
        <v>42946</v>
      </c>
      <c r="C32" s="6">
        <f>IF(AND(YEAR(JulSun1+36)=CalendarYear,MONTH(JulSun1+36)=7),JulSun1+36, "")</f>
        <v>42947</v>
      </c>
      <c r="D32" s="38" t="s">
        <v>8</v>
      </c>
      <c r="E32" s="38"/>
      <c r="F32" s="38"/>
      <c r="G32" s="38"/>
      <c r="H32" s="39"/>
    </row>
    <row r="33" spans="2:8" ht="58" customHeight="1" thickBot="1">
      <c r="B33" s="31"/>
      <c r="C33" s="27"/>
      <c r="D33" s="35"/>
      <c r="E33" s="36"/>
      <c r="F33" s="36"/>
      <c r="G33" s="36"/>
      <c r="H33" s="37"/>
    </row>
  </sheetData>
  <mergeCells count="3">
    <mergeCell ref="B1:H1"/>
    <mergeCell ref="D32:H32"/>
    <mergeCell ref="D33:H33"/>
  </mergeCells>
  <phoneticPr fontId="1" type="noConversion"/>
  <printOptions horizont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heetViews>
  <sheetFormatPr baseColWidth="10" defaultColWidth="8.7109375" defaultRowHeight="13" x14ac:dyDescent="0"/>
  <cols>
    <col min="1" max="1" width="2.42578125" style="1" customWidth="1"/>
    <col min="2" max="8" width="17.5703125" style="4" customWidth="1"/>
    <col min="9" max="16384" width="8.7109375" style="4"/>
  </cols>
  <sheetData>
    <row r="1" spans="1:8" s="1" customFormat="1" ht="59.25" customHeight="1" thickBot="1">
      <c r="B1" s="34">
        <f>DATE(CalendarYear,8,1)</f>
        <v>42948</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 customHeight="1">
      <c r="B3" s="9" t="str">
        <f>IF(AND(YEAR(AugSun1)=CalendarYear,MONTH(AugSun1)=8),AugSun1, "")</f>
        <v/>
      </c>
      <c r="C3" s="5" t="str">
        <f>IF(AND(YEAR(AugSun1+1)=CalendarYear,MONTH(AugSun1+1)=8),AugSun1+1, "")</f>
        <v/>
      </c>
      <c r="D3" s="5">
        <f>IF(AND(YEAR(AugSun1+2)=CalendarYear,MONTH(AugSun1+2)=8),AugSun1+2, "")</f>
        <v>42948</v>
      </c>
      <c r="E3" s="5">
        <f>IF(AND(YEAR(AugSun1+3)=CalendarYear,MONTH(AugSun1+3)=8),AugSun1+3, "")</f>
        <v>42949</v>
      </c>
      <c r="F3" s="5">
        <f>IF(AND(YEAR(AugSun1+4)=CalendarYear,MONTH(AugSun1+4)=8),AugSun1+4, "")</f>
        <v>42950</v>
      </c>
      <c r="G3" s="5">
        <f>IF(AND(YEAR(AugSun1+5)=CalendarYear,MONTH(AugSun1+5)=8),AugSun1+5, "")</f>
        <v>42951</v>
      </c>
      <c r="H3" s="10">
        <f>IF(AND(YEAR(AugSun1+6)=CalendarYear,MONTH(AugSun1+6)=8),AugSun1+6, "")</f>
        <v>42952</v>
      </c>
    </row>
    <row r="4" spans="1:8" ht="58" customHeight="1">
      <c r="B4" s="29"/>
      <c r="C4" s="25"/>
      <c r="D4" s="26"/>
      <c r="E4" s="26"/>
      <c r="F4" s="26"/>
      <c r="G4" s="26"/>
      <c r="H4" s="30"/>
    </row>
    <row r="5" spans="1:8" ht="14" customHeight="1">
      <c r="B5" s="11">
        <f>IF(AND(YEAR(AugSun1+7)=CalendarYear,MONTH(AugSun1+7)=8),AugSun1+7, "")</f>
        <v>42953</v>
      </c>
      <c r="C5" s="5">
        <f>IF(AND(YEAR(AugSun1+8)=CalendarYear,MONTH(AugSun1+8)=8),AugSun1+8, "")</f>
        <v>42954</v>
      </c>
      <c r="D5" s="5">
        <f>IF(AND(YEAR(AugSun1+9)=CalendarYear,MONTH(AugSun1+9)=8),AugSun1+9, "")</f>
        <v>42955</v>
      </c>
      <c r="E5" s="5">
        <f>IF(AND(YEAR(AugSun1+10)=CalendarYear,MONTH(AugSun1+10)=8),AugSun1+10, "")</f>
        <v>42956</v>
      </c>
      <c r="F5" s="5">
        <f>IF(AND(YEAR(AugSun1+11)=CalendarYear,MONTH(AugSun1+11)=8),AugSun1+11, "")</f>
        <v>42957</v>
      </c>
      <c r="G5" s="5">
        <f>IF(AND(YEAR(AugSun1+12)=CalendarYear,MONTH(AugSun1+12)=8),AugSun1+12,"")</f>
        <v>42958</v>
      </c>
      <c r="H5" s="10">
        <f>IF(AND(YEAR(AugSun1+13)=CalendarYear,MONTH(AugSun1+13)=8),AugSun1+13, "")</f>
        <v>42959</v>
      </c>
    </row>
    <row r="6" spans="1:8" ht="58" customHeight="1">
      <c r="B6" s="29"/>
      <c r="C6" s="25"/>
      <c r="D6" s="26"/>
      <c r="E6" s="26"/>
      <c r="F6" s="26"/>
      <c r="G6" s="26"/>
      <c r="H6" s="30"/>
    </row>
    <row r="7" spans="1:8" ht="14" customHeight="1">
      <c r="B7" s="11">
        <f>IF(AND(YEAR(AugSun1+14)=CalendarYear,MONTH(AugSun1+14)=8),AugSun1+14, "")</f>
        <v>42960</v>
      </c>
      <c r="C7" s="5">
        <f>IF(AND(YEAR(AugSun1+15)=CalendarYear,MONTH(AugSun1+15)=8),AugSun1+15, "")</f>
        <v>42961</v>
      </c>
      <c r="D7" s="5">
        <f>IF(AND(YEAR(AugSun1+16)=CalendarYear,MONTH(AugSun1+16)=8),AugSun1+16, "")</f>
        <v>42962</v>
      </c>
      <c r="E7" s="5">
        <f>IF(AND(YEAR(AugSun1+17)=CalendarYear,MONTH(AugSun1+17)=8),AugSun1+17, "")</f>
        <v>42963</v>
      </c>
      <c r="F7" s="5">
        <f>IF(AND(YEAR(AugSun1+18)=CalendarYear,MONTH(AugSun1+18)=8),AugSun1+18, "")</f>
        <v>42964</v>
      </c>
      <c r="G7" s="5">
        <f>IF(AND(YEAR(AugSun1+19)=CalendarYear,MONTH(AugSun1+19)=8),AugSun1+19, "")</f>
        <v>42965</v>
      </c>
      <c r="H7" s="10">
        <f>IF(AND(YEAR(AugSun1+20)=CalendarYear,MONTH(AugSun1+20)=8),AugSun1+20, "")</f>
        <v>42966</v>
      </c>
    </row>
    <row r="8" spans="1:8" ht="58" customHeight="1">
      <c r="B8" s="29"/>
      <c r="C8" s="25"/>
      <c r="D8" s="26"/>
      <c r="E8" s="26"/>
      <c r="F8" s="26"/>
      <c r="G8" s="26"/>
      <c r="H8" s="30"/>
    </row>
    <row r="9" spans="1:8" ht="14" customHeight="1">
      <c r="B9" s="12">
        <f>IF(AND(YEAR(AugSun1+21)=CalendarYear,MONTH(AugSun1+21)=8),AugSun1+21, "")</f>
        <v>42967</v>
      </c>
      <c r="C9" s="6">
        <f>IF(AND(YEAR(AugSun1+22)=CalendarYear,MONTH(AugSun1+22)=8),AugSun1+22, "")</f>
        <v>42968</v>
      </c>
      <c r="D9" s="6">
        <f>IF(AND(YEAR(AugSun1+23)=CalendarYear,MONTH(AugSun1+23)=8),AugSun1+23, "")</f>
        <v>42969</v>
      </c>
      <c r="E9" s="6">
        <f>IF(AND(YEAR(AugSun1+24)=CalendarYear,MONTH(AugSun1+24)=8),AugSun1+24, "")</f>
        <v>42970</v>
      </c>
      <c r="F9" s="6">
        <f>IF(AND(YEAR(AugSun1+25)=CalendarYear,MONTH(AugSun1+25)=8),AugSun1+25, "")</f>
        <v>42971</v>
      </c>
      <c r="G9" s="6">
        <f>IF(AND(YEAR(AugSun1+26)=CalendarYear,MONTH(AugSun1+26)=8),AugSun1+26, "")</f>
        <v>42972</v>
      </c>
      <c r="H9" s="13">
        <f>IF(AND(YEAR(AugSun1+27)=CalendarYear,MONTH(AugSun1+27)=8),AugSun1+27, "")</f>
        <v>42973</v>
      </c>
    </row>
    <row r="10" spans="1:8" ht="58" customHeight="1">
      <c r="B10" s="29"/>
      <c r="C10" s="25"/>
      <c r="D10" s="26"/>
      <c r="E10" s="26"/>
      <c r="F10" s="26"/>
      <c r="G10" s="26"/>
      <c r="H10" s="30"/>
    </row>
    <row r="11" spans="1:8" ht="14" customHeight="1">
      <c r="B11" s="12">
        <f>IF(AND(YEAR(AugSun1+28)=CalendarYear,MONTH(AugSun1+28)=8),AugSun1+28, "")</f>
        <v>42974</v>
      </c>
      <c r="C11" s="6">
        <f>IF(AND(YEAR(AugSun1+29)=CalendarYear,MONTH(AugSun1+29)=8),AugSun1+29, "")</f>
        <v>42975</v>
      </c>
      <c r="D11" s="6">
        <f>IF(AND(YEAR(AugSun1+30)=CalendarYear,MONTH(AugSun1+30)=8),AugSun1+30, "")</f>
        <v>42976</v>
      </c>
      <c r="E11" s="6">
        <f>IF(AND(YEAR(AugSun1+31)=CalendarYear,MONTH(AugSun1+31)=8),AugSun1+31, "")</f>
        <v>42977</v>
      </c>
      <c r="F11" s="6">
        <f>IF(AND(YEAR(AugSun1+32)=CalendarYear,MONTH(AugSun1+32)=8),AugSun1+32, "")</f>
        <v>42978</v>
      </c>
      <c r="G11" s="6" t="str">
        <f>IF(AND(YEAR(AugSun1+33)=CalendarYear,MONTH(AugSun1+33)=8),AugSun1+33, "")</f>
        <v/>
      </c>
      <c r="H11" s="13" t="str">
        <f>IF(AND(YEAR(AugSun1+34)=CalendarYear,MONTH(AugSun1+34)=8),AugSun1+34, "")</f>
        <v/>
      </c>
    </row>
    <row r="12" spans="1:8" ht="58" customHeight="1">
      <c r="B12" s="29"/>
      <c r="C12" s="25"/>
      <c r="D12" s="26"/>
      <c r="E12" s="26"/>
      <c r="F12" s="25"/>
      <c r="G12" s="25"/>
      <c r="H12" s="30"/>
    </row>
    <row r="13" spans="1:8" ht="14" customHeight="1">
      <c r="B13" s="28" t="str">
        <f>IF(AND(YEAR(AugSun1+35)=CalendarYear,MONTH(AugSun1+35)=8),AugSun1+35, "")</f>
        <v/>
      </c>
      <c r="C13" s="24" t="str">
        <f>IF(AND(YEAR(AugSun1+36)=CalendarYear,MONTH(AugSun1+36)=8),AugSun1+36, "")</f>
        <v/>
      </c>
      <c r="D13" s="38" t="s">
        <v>8</v>
      </c>
      <c r="E13" s="38"/>
      <c r="F13" s="38"/>
      <c r="G13" s="38"/>
      <c r="H13" s="39"/>
    </row>
    <row r="14" spans="1:8" ht="58" customHeight="1" thickBot="1">
      <c r="B14" s="31"/>
      <c r="C14" s="27"/>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heetViews>
  <sheetFormatPr baseColWidth="10" defaultColWidth="8.7109375" defaultRowHeight="13" x14ac:dyDescent="0"/>
  <cols>
    <col min="1" max="1" width="2.42578125" style="1" customWidth="1"/>
    <col min="2" max="8" width="17.5703125" style="4" customWidth="1"/>
    <col min="9" max="16384" width="8.7109375" style="4"/>
  </cols>
  <sheetData>
    <row r="1" spans="1:8" s="1" customFormat="1" ht="59.25" customHeight="1" thickBot="1">
      <c r="B1" s="34">
        <f>DATE(CalendarYear,9,1)</f>
        <v>42979</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 customHeight="1">
      <c r="B3" s="9" t="str">
        <f>IF(AND(YEAR(SepSun1)=CalendarYear,MONTH(SepSun1)=9),SepSun1, "")</f>
        <v/>
      </c>
      <c r="C3" s="5" t="str">
        <f>IF(AND(YEAR(SepSun1+1)=CalendarYear,MONTH(SepSun1+1)=9),SepSun1+1, "")</f>
        <v/>
      </c>
      <c r="D3" s="5" t="str">
        <f>IF(AND(YEAR(SepSun1+2)=CalendarYear,MONTH(SepSun1+2)=9),SepSun1+2, "")</f>
        <v/>
      </c>
      <c r="E3" s="5" t="str">
        <f>IF(AND(YEAR(SepSun1+3)=CalendarYear,MONTH(SepSun1+3)=9),SepSun1+3, "")</f>
        <v/>
      </c>
      <c r="F3" s="5" t="str">
        <f>IF(AND(YEAR(SepSun1+4)=CalendarYear,MONTH(SepSun1+4)=9),SepSun1+4, "")</f>
        <v/>
      </c>
      <c r="G3" s="5">
        <f>IF(AND(YEAR(SepSun1+5)=CalendarYear,MONTH(SepSun1+5)=9),SepSun1+5, "")</f>
        <v>42979</v>
      </c>
      <c r="H3" s="10">
        <f>IF(AND(YEAR(SepSun1+6)=CalendarYear,MONTH(SepSun1+6)=9),SepSun1+6, "")</f>
        <v>42980</v>
      </c>
    </row>
    <row r="4" spans="1:8" ht="58" customHeight="1">
      <c r="B4" s="29"/>
      <c r="C4" s="25"/>
      <c r="D4" s="26"/>
      <c r="E4" s="26"/>
      <c r="F4" s="26"/>
      <c r="G4" s="26"/>
      <c r="H4" s="30"/>
    </row>
    <row r="5" spans="1:8" ht="14" customHeight="1">
      <c r="B5" s="11">
        <f>IF(AND(YEAR(SepSun1+7)=CalendarYear,MONTH(SepSun1+7)=9),SepSun1+7, "")</f>
        <v>42981</v>
      </c>
      <c r="C5" s="5">
        <f>IF(AND(YEAR(SepSun1+8)=CalendarYear,MONTH(SepSun1+8)=9),SepSun1+8, "")</f>
        <v>42982</v>
      </c>
      <c r="D5" s="5">
        <f>IF(AND(YEAR(SepSun1+9)=CalendarYear,MONTH(SepSun1+9)=9),SepSun1+9, "")</f>
        <v>42983</v>
      </c>
      <c r="E5" s="5">
        <f>IF(AND(YEAR(SepSun1+10)=CalendarYear,MONTH(SepSun1+10)=9),SepSun1+10, "")</f>
        <v>42984</v>
      </c>
      <c r="F5" s="5">
        <f>IF(AND(YEAR(SepSun1+11)=CalendarYear,MONTH(SepSun1+11)=9),SepSun1+11, "")</f>
        <v>42985</v>
      </c>
      <c r="G5" s="5">
        <f>IF(AND(YEAR(SepSun1+12)=CalendarYear,MONTH(SepSun1+12)=9),SepSun1+12,"")</f>
        <v>42986</v>
      </c>
      <c r="H5" s="10">
        <f>IF(AND(YEAR(SepSun1+13)=CalendarYear,MONTH(SepSun1+13)=9),SepSun1+13, "")</f>
        <v>42987</v>
      </c>
    </row>
    <row r="6" spans="1:8" ht="58" customHeight="1">
      <c r="B6" s="29"/>
      <c r="C6" s="25"/>
      <c r="D6" s="26"/>
      <c r="E6" s="26"/>
      <c r="F6" s="26"/>
      <c r="G6" s="26"/>
      <c r="H6" s="30"/>
    </row>
    <row r="7" spans="1:8" ht="14" customHeight="1">
      <c r="B7" s="11">
        <f>IF(AND(YEAR(SepSun1+14)=CalendarYear,MONTH(SepSun1+14)=9),SepSun1+14, "")</f>
        <v>42988</v>
      </c>
      <c r="C7" s="5">
        <f>IF(AND(YEAR(SepSun1+15)=CalendarYear,MONTH(SepSun1+15)=9),SepSun1+15, "")</f>
        <v>42989</v>
      </c>
      <c r="D7" s="5">
        <f>IF(AND(YEAR(SepSun1+16)=CalendarYear,MONTH(SepSun1+16)=9),SepSun1+16, "")</f>
        <v>42990</v>
      </c>
      <c r="E7" s="5">
        <f>IF(AND(YEAR(SepSun1+17)=CalendarYear,MONTH(SepSun1+17)=9),SepSun1+17, "")</f>
        <v>42991</v>
      </c>
      <c r="F7" s="5">
        <f>IF(AND(YEAR(SepSun1+18)=CalendarYear,MONTH(SepSun1+18)=9),SepSun1+18, "")</f>
        <v>42992</v>
      </c>
      <c r="G7" s="5">
        <f>IF(AND(YEAR(SepSun1+19)=CalendarYear,MONTH(SepSun1+19)=9),SepSun1+19, "")</f>
        <v>42993</v>
      </c>
      <c r="H7" s="10">
        <f>IF(AND(YEAR(SepSun1+20)=CalendarYear,MONTH(SepSun1+20)=9),SepSun1+20, "")</f>
        <v>42994</v>
      </c>
    </row>
    <row r="8" spans="1:8" ht="58" customHeight="1">
      <c r="B8" s="29"/>
      <c r="C8" s="25"/>
      <c r="D8" s="26"/>
      <c r="E8" s="26"/>
      <c r="F8" s="26"/>
      <c r="G8" s="26"/>
      <c r="H8" s="30"/>
    </row>
    <row r="9" spans="1:8" ht="14" customHeight="1">
      <c r="B9" s="12">
        <f>IF(AND(YEAR(SepSun1+21)=CalendarYear,MONTH(SepSun1+21)=9),SepSun1+21, "")</f>
        <v>42995</v>
      </c>
      <c r="C9" s="6">
        <f>IF(AND(YEAR(SepSun1+22)=CalendarYear,MONTH(SepSun1+22)=9),SepSun1+22, "")</f>
        <v>42996</v>
      </c>
      <c r="D9" s="6">
        <f>IF(AND(YEAR(SepSun1+23)=CalendarYear,MONTH(SepSun1+23)=9),SepSun1+23, "")</f>
        <v>42997</v>
      </c>
      <c r="E9" s="6">
        <f>IF(AND(YEAR(SepSun1+24)=CalendarYear,MONTH(SepSun1+24)=9),SepSun1+24, "")</f>
        <v>42998</v>
      </c>
      <c r="F9" s="6">
        <f>IF(AND(YEAR(SepSun1+25)=CalendarYear,MONTH(SepSun1+25)=9),SepSun1+25, "")</f>
        <v>42999</v>
      </c>
      <c r="G9" s="6">
        <f>IF(AND(YEAR(SepSun1+26)=CalendarYear,MONTH(SepSun1+26)=9),SepSun1+26, "")</f>
        <v>43000</v>
      </c>
      <c r="H9" s="13">
        <f>IF(AND(YEAR(SepSun1+27)=CalendarYear,MONTH(SepSun1+27)=9),SepSun1+27, "")</f>
        <v>43001</v>
      </c>
    </row>
    <row r="10" spans="1:8" ht="58" customHeight="1">
      <c r="B10" s="29"/>
      <c r="C10" s="25"/>
      <c r="D10" s="26"/>
      <c r="E10" s="26"/>
      <c r="F10" s="26"/>
      <c r="G10" s="26"/>
      <c r="H10" s="30"/>
    </row>
    <row r="11" spans="1:8" ht="14" customHeight="1">
      <c r="B11" s="12">
        <f>IF(AND(YEAR(SepSun1+28)=CalendarYear,MONTH(SepSun1+28)=9),SepSun1+28, "")</f>
        <v>43002</v>
      </c>
      <c r="C11" s="6">
        <f>IF(AND(YEAR(SepSun1+29)=CalendarYear,MONTH(SepSun1+29)=9),SepSun1+29, "")</f>
        <v>43003</v>
      </c>
      <c r="D11" s="6">
        <f>IF(AND(YEAR(SepSun1+30)=CalendarYear,MONTH(SepSun1+30)=9),SepSun1+30, "")</f>
        <v>43004</v>
      </c>
      <c r="E11" s="6">
        <f>IF(AND(YEAR(SepSun1+31)=CalendarYear,MONTH(SepSun1+31)=9),SepSun1+31, "")</f>
        <v>43005</v>
      </c>
      <c r="F11" s="6">
        <f>IF(AND(YEAR(SepSun1+32)=CalendarYear,MONTH(SepSun1+32)=9),SepSun1+32, "")</f>
        <v>43006</v>
      </c>
      <c r="G11" s="6">
        <f>IF(AND(YEAR(SepSun1+33)=CalendarYear,MONTH(SepSun1+33)=9),SepSun1+33, "")</f>
        <v>43007</v>
      </c>
      <c r="H11" s="13">
        <f>IF(AND(YEAR(SepSun1+34)=CalendarYear,MONTH(SepSun1+34)=9),SepSun1+34, "")</f>
        <v>43008</v>
      </c>
    </row>
    <row r="12" spans="1:8" ht="58" customHeight="1">
      <c r="B12" s="29"/>
      <c r="C12" s="25"/>
      <c r="D12" s="26"/>
      <c r="E12" s="26"/>
      <c r="F12" s="25"/>
      <c r="G12" s="25"/>
      <c r="H12" s="30"/>
    </row>
    <row r="13" spans="1:8" ht="14" customHeight="1">
      <c r="B13" s="28" t="str">
        <f>IF(AND(YEAR(SepSun1+35)=CalendarYear,MONTH(SepSun1+35)=9),SepSun1+35, "")</f>
        <v/>
      </c>
      <c r="C13" s="38" t="s">
        <v>8</v>
      </c>
      <c r="D13" s="38"/>
      <c r="E13" s="38"/>
      <c r="F13" s="38"/>
      <c r="G13" s="38"/>
      <c r="H13" s="39"/>
    </row>
    <row r="14" spans="1:8" ht="58" customHeight="1" thickBot="1">
      <c r="B14" s="31"/>
      <c r="C14" s="35"/>
      <c r="D14" s="36"/>
      <c r="E14" s="36"/>
      <c r="F14" s="36"/>
      <c r="G14" s="36"/>
      <c r="H14" s="37"/>
    </row>
  </sheetData>
  <mergeCells count="3">
    <mergeCell ref="B1:H1"/>
    <mergeCell ref="C13:H13"/>
    <mergeCell ref="C14:H14"/>
  </mergeCells>
  <phoneticPr fontId="1" type="noConversion"/>
  <printOptions horizontalCentered="1"/>
  <pageMargins left="0.5" right="0.5" top="0.75" bottom="0.75"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Jan</vt:lpstr>
      <vt:lpstr>Feb</vt:lpstr>
      <vt:lpstr>Mar</vt:lpstr>
      <vt:lpstr>Apr</vt:lpstr>
      <vt:lpstr>May</vt:lpstr>
      <vt:lpstr>Jun</vt:lpstr>
      <vt:lpstr>Jul</vt:lpstr>
      <vt:lpstr>Aug</vt:lpstr>
      <vt:lpstr>Sep</vt:lpstr>
      <vt:lpstr>Oct</vt:lpstr>
      <vt:lpstr>Nov</vt:lpstr>
      <vt:lpstr>Dec</vt:lpstr>
      <vt:lpstr>Lookup List</vt:lpstr>
      <vt:lpstr>Sheet1</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FILPublishingCalendar</dc:title>
  <dc:subject/>
  <dc:creator/>
  <cp:keywords>FIL Publishing Production Calendar</cp:keywords>
  <dc:description/>
  <cp:lastModifiedBy>Alison Fox</cp:lastModifiedBy>
  <cp:lastPrinted>2010-04-09T00:59:34Z</cp:lastPrinted>
  <dcterms:created xsi:type="dcterms:W3CDTF">2001-05-02T15:52:45Z</dcterms:created>
  <dcterms:modified xsi:type="dcterms:W3CDTF">2017-06-28T23:33:12Z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TC102851621033</vt:lpwstr>
  </property>
</Properties>
</file>