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ersonale\lavoro\skillFactory2025\rogo\lezione12-22_05_2025\"/>
    </mc:Choice>
  </mc:AlternateContent>
  <xr:revisionPtr revIDLastSave="0" documentId="8_{31283304-0BB8-4DD1-BE59-72DF808F57B9}" xr6:coauthVersionLast="47" xr6:coauthVersionMax="47" xr10:uidLastSave="{00000000-0000-0000-0000-000000000000}"/>
  <bookViews>
    <workbookView xWindow="-108" yWindow="-108" windowWidth="23256" windowHeight="13176" activeTab="3" xr2:uid="{348D8CD5-7E3A-4BB6-B509-FF01EF770696}"/>
  </bookViews>
  <sheets>
    <sheet name="Clienti" sheetId="1" r:id="rId1"/>
    <sheet name="Fornitori" sheetId="2" r:id="rId2"/>
    <sheet name="Prodotti" sheetId="3" r:id="rId3"/>
    <sheet name="Movimenti" sheetId="4" r:id="rId4"/>
  </sheets>
  <calcPr calcId="191029"/>
  <pivotCaches>
    <pivotCache cacheId="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4" l="1"/>
  <c r="Z8" i="4" s="1"/>
  <c r="Y5" i="4"/>
  <c r="Z5" i="4" s="1"/>
  <c r="Z2" i="4"/>
  <c r="Y2" i="4"/>
  <c r="C4" i="4"/>
  <c r="C5" i="4"/>
  <c r="C6" i="4"/>
  <c r="C7" i="4"/>
  <c r="C8" i="4"/>
  <c r="C9" i="4"/>
  <c r="C10" i="4"/>
  <c r="C11" i="4"/>
  <c r="E11" i="4" s="1"/>
  <c r="C12" i="4"/>
  <c r="C13" i="4"/>
  <c r="C14" i="4"/>
  <c r="C15" i="4"/>
  <c r="E15" i="4" s="1"/>
  <c r="C16" i="4"/>
  <c r="C17" i="4"/>
  <c r="C18" i="4"/>
  <c r="C19" i="4"/>
  <c r="E19" i="4" s="1"/>
  <c r="C20" i="4"/>
  <c r="C21" i="4"/>
  <c r="C22" i="4"/>
  <c r="C23" i="4"/>
  <c r="E23" i="4" s="1"/>
  <c r="C24" i="4"/>
  <c r="C2" i="4"/>
  <c r="E2" i="4" s="1"/>
  <c r="C3" i="4"/>
  <c r="E3" i="4" s="1"/>
  <c r="K24" i="4"/>
  <c r="G24" i="4"/>
  <c r="H24" i="4"/>
  <c r="E24" i="4"/>
  <c r="K23" i="4"/>
  <c r="G23" i="4"/>
  <c r="H23" i="4"/>
  <c r="E5" i="4"/>
  <c r="G5" i="4"/>
  <c r="H5" i="4"/>
  <c r="K5" i="4"/>
  <c r="E6" i="4"/>
  <c r="G6" i="4"/>
  <c r="H6" i="4"/>
  <c r="K6" i="4"/>
  <c r="E7" i="4"/>
  <c r="G7" i="4"/>
  <c r="H7" i="4"/>
  <c r="K7" i="4"/>
  <c r="E8" i="4"/>
  <c r="G8" i="4"/>
  <c r="H8" i="4"/>
  <c r="K8" i="4"/>
  <c r="E9" i="4"/>
  <c r="G9" i="4"/>
  <c r="H9" i="4"/>
  <c r="K9" i="4"/>
  <c r="G3" i="4"/>
  <c r="H3" i="4"/>
  <c r="K3" i="4"/>
  <c r="E4" i="4"/>
  <c r="G4" i="4"/>
  <c r="H4" i="4"/>
  <c r="K4" i="4"/>
  <c r="E10" i="4"/>
  <c r="G10" i="4"/>
  <c r="H10" i="4"/>
  <c r="K10" i="4"/>
  <c r="G11" i="4"/>
  <c r="H11" i="4"/>
  <c r="K11" i="4"/>
  <c r="E12" i="4"/>
  <c r="G12" i="4"/>
  <c r="H12" i="4"/>
  <c r="K12" i="4"/>
  <c r="E13" i="4"/>
  <c r="G13" i="4"/>
  <c r="H13" i="4"/>
  <c r="K13" i="4"/>
  <c r="E14" i="4"/>
  <c r="G14" i="4"/>
  <c r="H14" i="4"/>
  <c r="K14" i="4"/>
  <c r="G15" i="4"/>
  <c r="H15" i="4"/>
  <c r="K15" i="4"/>
  <c r="E16" i="4"/>
  <c r="G16" i="4"/>
  <c r="H16" i="4"/>
  <c r="K16" i="4"/>
  <c r="E17" i="4"/>
  <c r="G17" i="4"/>
  <c r="H17" i="4"/>
  <c r="K17" i="4"/>
  <c r="E18" i="4"/>
  <c r="G18" i="4"/>
  <c r="H18" i="4"/>
  <c r="K18" i="4"/>
  <c r="G19" i="4"/>
  <c r="H19" i="4"/>
  <c r="K19" i="4"/>
  <c r="E20" i="4"/>
  <c r="G20" i="4"/>
  <c r="H20" i="4"/>
  <c r="K20" i="4"/>
  <c r="E21" i="4"/>
  <c r="G21" i="4"/>
  <c r="H21" i="4"/>
  <c r="K21" i="4"/>
  <c r="E22" i="4"/>
  <c r="G22" i="4"/>
  <c r="H22" i="4"/>
  <c r="K22" i="4"/>
  <c r="K2" i="4"/>
  <c r="H2" i="4"/>
  <c r="G2" i="4"/>
  <c r="I24" i="4" l="1"/>
  <c r="L24" i="4" s="1"/>
  <c r="E31" i="4" s="1"/>
  <c r="I23" i="4"/>
  <c r="L23" i="4" s="1"/>
  <c r="I22" i="4"/>
  <c r="L22" i="4" s="1"/>
  <c r="I20" i="4"/>
  <c r="L20" i="4" s="1"/>
  <c r="I16" i="4"/>
  <c r="L16" i="4" s="1"/>
  <c r="I14" i="4"/>
  <c r="L14" i="4" s="1"/>
  <c r="I10" i="4"/>
  <c r="L10" i="4" s="1"/>
  <c r="I21" i="4"/>
  <c r="L21" i="4" s="1"/>
  <c r="I19" i="4"/>
  <c r="L19" i="4" s="1"/>
  <c r="I15" i="4"/>
  <c r="L15" i="4" s="1"/>
  <c r="I13" i="4"/>
  <c r="L13" i="4" s="1"/>
  <c r="I11" i="4"/>
  <c r="L11" i="4" s="1"/>
  <c r="I18" i="4"/>
  <c r="L18" i="4" s="1"/>
  <c r="I17" i="4"/>
  <c r="L17" i="4" s="1"/>
  <c r="I12" i="4"/>
  <c r="L12" i="4" s="1"/>
  <c r="I9" i="4"/>
  <c r="L9" i="4" s="1"/>
  <c r="I8" i="4"/>
  <c r="L8" i="4" s="1"/>
  <c r="I7" i="4"/>
  <c r="L7" i="4" s="1"/>
  <c r="I6" i="4"/>
  <c r="L6" i="4" s="1"/>
  <c r="I5" i="4"/>
  <c r="L5" i="4" s="1"/>
  <c r="I4" i="4"/>
  <c r="L4" i="4" s="1"/>
  <c r="I3" i="4"/>
  <c r="L3" i="4" s="1"/>
  <c r="I2" i="4"/>
  <c r="L2" i="4" s="1"/>
</calcChain>
</file>

<file path=xl/sharedStrings.xml><?xml version="1.0" encoding="utf-8"?>
<sst xmlns="http://schemas.openxmlformats.org/spreadsheetml/2006/main" count="213" uniqueCount="71">
  <si>
    <t>Codice Cliente</t>
  </si>
  <si>
    <t>Cliente</t>
  </si>
  <si>
    <t>Referente</t>
  </si>
  <si>
    <t>Sede Legale</t>
  </si>
  <si>
    <t>Sede Operativa</t>
  </si>
  <si>
    <t>C01</t>
  </si>
  <si>
    <t>Rossi</t>
  </si>
  <si>
    <t>Napoli</t>
  </si>
  <si>
    <t>Alberto Rossi</t>
  </si>
  <si>
    <t>C02</t>
  </si>
  <si>
    <t>Verdi</t>
  </si>
  <si>
    <t>Torino</t>
  </si>
  <si>
    <t>Giuseppe Verdi</t>
  </si>
  <si>
    <t>C03</t>
  </si>
  <si>
    <t>Gialli</t>
  </si>
  <si>
    <t>Michele Gialli</t>
  </si>
  <si>
    <t>Codice Fornitore</t>
  </si>
  <si>
    <t>Fornitore</t>
  </si>
  <si>
    <t>F01</t>
  </si>
  <si>
    <t>F02</t>
  </si>
  <si>
    <t>F03</t>
  </si>
  <si>
    <t>Pippo</t>
  </si>
  <si>
    <t>Pluto</t>
  </si>
  <si>
    <t>Paperino</t>
  </si>
  <si>
    <t>Roma</t>
  </si>
  <si>
    <t>Baudo Pippo</t>
  </si>
  <si>
    <t>Simba Pluto</t>
  </si>
  <si>
    <t>Qui Paperino</t>
  </si>
  <si>
    <t>Codice Prodotto</t>
  </si>
  <si>
    <t>Prodotto</t>
  </si>
  <si>
    <t>Prezzo</t>
  </si>
  <si>
    <t>P01</t>
  </si>
  <si>
    <t>P02</t>
  </si>
  <si>
    <t>P03</t>
  </si>
  <si>
    <t>Ferrari</t>
  </si>
  <si>
    <t>Lamborghini</t>
  </si>
  <si>
    <t>Maserati</t>
  </si>
  <si>
    <t>Data</t>
  </si>
  <si>
    <t>Prezzo Unitario</t>
  </si>
  <si>
    <t>Quantità</t>
  </si>
  <si>
    <t>Totale</t>
  </si>
  <si>
    <t>Maggiorazione</t>
  </si>
  <si>
    <t>Entrata</t>
  </si>
  <si>
    <t>Guadagno</t>
  </si>
  <si>
    <t>Percentuale</t>
  </si>
  <si>
    <t xml:space="preserve">testa </t>
  </si>
  <si>
    <t>cambia le tabelle di ricerca</t>
  </si>
  <si>
    <t>tabella pivot che mi fa veder per ogni prodotto, i clienti e il guadagno</t>
  </si>
  <si>
    <t>Premio</t>
  </si>
  <si>
    <t>per tutt iquelli che superano il milione di guadagno ricevono un premio</t>
  </si>
  <si>
    <t>Etichette di riga</t>
  </si>
  <si>
    <t>Totale complessivo</t>
  </si>
  <si>
    <t>Somma di Guadagno</t>
  </si>
  <si>
    <t>Somma di Quantità</t>
  </si>
  <si>
    <t>Referente Cliente</t>
  </si>
  <si>
    <t>Referente Fornitore</t>
  </si>
  <si>
    <t>Porsche</t>
  </si>
  <si>
    <t>C04</t>
  </si>
  <si>
    <t>Marroni</t>
  </si>
  <si>
    <t>Bari</t>
  </si>
  <si>
    <t>Caserta</t>
  </si>
  <si>
    <t>Mosbo Marroni</t>
  </si>
  <si>
    <t>F04</t>
  </si>
  <si>
    <t>Spada</t>
  </si>
  <si>
    <t>Principe Spada</t>
  </si>
  <si>
    <t>Budapest</t>
  </si>
  <si>
    <t>P04</t>
  </si>
  <si>
    <t>Somma di Totale</t>
  </si>
  <si>
    <t>Somma di premio</t>
  </si>
  <si>
    <t>GIalli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</si>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</sst>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[$€-2]\ * #,##0.00_ ;_ [$€-2]\ * \-#,##0.00_ ;_ [$€-2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44" fontId="0" fillId="2" borderId="0" xfId="1" applyFont="1" applyFill="1"/>
    <xf numFmtId="44" fontId="0" fillId="2" borderId="0" xfId="0" applyNumberFormat="1" applyFill="1"/>
    <xf numFmtId="9" fontId="0" fillId="0" borderId="0" xfId="0" applyNumberFormat="1"/>
    <xf numFmtId="9" fontId="0" fillId="2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Border="1"/>
    <xf numFmtId="44" fontId="0" fillId="3" borderId="0" xfId="0" applyNumberFormat="1" applyFill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ogo" refreshedDate="45799.521063078704" createdVersion="8" refreshedVersion="8" minRefreshableVersion="3" recordCount="22" xr:uid="{E501EBCD-E7A0-48BA-9BEC-4716D22569FB}">
  <cacheSource type="worksheet">
    <worksheetSource ref="A1:O23" sheet="Movimenti"/>
  </cacheSource>
  <cacheFields count="13">
    <cacheField name="Data" numFmtId="14">
      <sharedItems containsSemiMixedTypes="0" containsNonDate="0" containsDate="1" containsString="0" minDate="2025-02-01T00:00:00" maxDate="2025-05-22T00:00:00"/>
    </cacheField>
    <cacheField name="Prodotto" numFmtId="0">
      <sharedItems count="4">
        <s v="Lamborghini"/>
        <s v="Ferrari"/>
        <s v="Maserati"/>
        <s v="Porsche"/>
      </sharedItems>
    </cacheField>
    <cacheField name="Prezzo Unitario" numFmtId="44">
      <sharedItems containsSemiMixedTypes="0" containsString="0" containsNumber="1" containsInteger="1" minValue="70000" maxValue="130000"/>
    </cacheField>
    <cacheField name="Quantità" numFmtId="0">
      <sharedItems containsSemiMixedTypes="0" containsString="0" containsNumber="1" containsInteger="1" minValue="-2" maxValue="18" count="21"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Totale" numFmtId="44">
      <sharedItems containsSemiMixedTypes="0" containsString="0" containsNumber="1" containsInteger="1" minValue="-260000" maxValue="2080000" count="22">
        <n v="-260000"/>
        <n v="-100000"/>
        <n v="0"/>
        <n v="130000"/>
        <n v="200000"/>
        <n v="240000"/>
        <n v="520000"/>
        <n v="500000"/>
        <n v="480000"/>
        <n v="910000"/>
        <n v="800000"/>
        <n v="720000"/>
        <n v="1300000"/>
        <n v="1100000"/>
        <n v="960000"/>
        <n v="1690000"/>
        <n v="1400000"/>
        <n v="1200000"/>
        <n v="2080000"/>
        <n v="1700000"/>
        <n v="1440000"/>
        <n v="140000"/>
      </sharedItems>
    </cacheField>
    <cacheField name="Cliente" numFmtId="0">
      <sharedItems/>
    </cacheField>
    <cacheField name="Referente Cliente" numFmtId="0">
      <sharedItems count="4">
        <s v="Alberto Rossi"/>
        <s v="Giuseppe Verdi"/>
        <s v="Michele Gialli"/>
        <s v="Mosbo Marroni"/>
      </sharedItems>
    </cacheField>
    <cacheField name="Percentuale" numFmtId="9">
      <sharedItems containsSemiMixedTypes="0" containsString="0" containsNumber="1" minValue="0.25" maxValue="0.4"/>
    </cacheField>
    <cacheField name="Entrata" numFmtId="44">
      <sharedItems containsSemiMixedTypes="0" containsString="0" containsNumber="1" containsInteger="1" minValue="-338000" maxValue="2704000"/>
    </cacheField>
    <cacheField name="Fornitore" numFmtId="0">
      <sharedItems/>
    </cacheField>
    <cacheField name="Referente Fornitore" numFmtId="0">
      <sharedItems count="4">
        <s v="Simba Pluto"/>
        <s v="Baudo Pippo"/>
        <s v="Qui Paperino"/>
        <s v="Principe Spada"/>
      </sharedItems>
    </cacheField>
    <cacheField name="Guadagno" numFmtId="44">
      <sharedItems containsSemiMixedTypes="0" containsString="0" containsNumber="1" containsInteger="1" minValue="-78000" maxValue="624000"/>
    </cacheField>
    <cacheField name="premi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5-02-01T00:00:00"/>
    <x v="0"/>
    <n v="130000"/>
    <x v="0"/>
    <x v="0"/>
    <s v="Rossi"/>
    <x v="0"/>
    <n v="0.3"/>
    <n v="-338000"/>
    <s v="Pluto"/>
    <x v="0"/>
    <n v="-78000"/>
    <x v="0"/>
  </r>
  <r>
    <d v="2025-02-02T00:00:00"/>
    <x v="1"/>
    <n v="100000"/>
    <x v="1"/>
    <x v="1"/>
    <s v="Verdi"/>
    <x v="1"/>
    <n v="0.3"/>
    <n v="-130000"/>
    <s v="Pippo"/>
    <x v="1"/>
    <n v="-30000"/>
    <x v="0"/>
  </r>
  <r>
    <d v="2025-02-03T00:00:00"/>
    <x v="2"/>
    <n v="80000"/>
    <x v="2"/>
    <x v="2"/>
    <s v="Gialli"/>
    <x v="2"/>
    <n v="0.25"/>
    <n v="0"/>
    <s v="Paperino"/>
    <x v="2"/>
    <n v="0"/>
    <x v="0"/>
  </r>
  <r>
    <d v="2025-02-04T00:00:00"/>
    <x v="0"/>
    <n v="130000"/>
    <x v="3"/>
    <x v="3"/>
    <s v="Verdi"/>
    <x v="1"/>
    <n v="0.3"/>
    <n v="169000"/>
    <s v="Pluto"/>
    <x v="0"/>
    <n v="39000"/>
    <x v="0"/>
  </r>
  <r>
    <d v="2025-02-05T00:00:00"/>
    <x v="1"/>
    <n v="100000"/>
    <x v="4"/>
    <x v="4"/>
    <s v="Verdi"/>
    <x v="1"/>
    <n v="0.3"/>
    <n v="260000"/>
    <s v="Pippo"/>
    <x v="1"/>
    <n v="60000"/>
    <x v="0"/>
  </r>
  <r>
    <d v="2025-02-06T00:00:00"/>
    <x v="2"/>
    <n v="80000"/>
    <x v="5"/>
    <x v="5"/>
    <s v="Gialli"/>
    <x v="2"/>
    <n v="0.25"/>
    <n v="300000"/>
    <s v="Paperino"/>
    <x v="2"/>
    <n v="60000"/>
    <x v="0"/>
  </r>
  <r>
    <d v="2025-02-07T00:00:00"/>
    <x v="0"/>
    <n v="130000"/>
    <x v="6"/>
    <x v="6"/>
    <s v="Gialli"/>
    <x v="2"/>
    <n v="0.25"/>
    <n v="650000"/>
    <s v="Pluto"/>
    <x v="0"/>
    <n v="130000"/>
    <x v="0"/>
  </r>
  <r>
    <d v="2025-02-08T00:00:00"/>
    <x v="1"/>
    <n v="100000"/>
    <x v="7"/>
    <x v="7"/>
    <s v="Rossi"/>
    <x v="0"/>
    <n v="0.3"/>
    <n v="650000"/>
    <s v="Pippo"/>
    <x v="1"/>
    <n v="150000"/>
    <x v="0"/>
  </r>
  <r>
    <d v="2025-02-09T00:00:00"/>
    <x v="2"/>
    <n v="80000"/>
    <x v="8"/>
    <x v="8"/>
    <s v="Gialli"/>
    <x v="2"/>
    <n v="0.25"/>
    <n v="600000"/>
    <s v="Paperino"/>
    <x v="2"/>
    <n v="120000"/>
    <x v="0"/>
  </r>
  <r>
    <d v="2025-02-10T00:00:00"/>
    <x v="0"/>
    <n v="130000"/>
    <x v="9"/>
    <x v="9"/>
    <s v="Rossi"/>
    <x v="0"/>
    <n v="0.3"/>
    <n v="1183000"/>
    <s v="Pluto"/>
    <x v="0"/>
    <n v="273000"/>
    <x v="0"/>
  </r>
  <r>
    <d v="2025-02-11T00:00:00"/>
    <x v="1"/>
    <n v="100000"/>
    <x v="10"/>
    <x v="10"/>
    <s v="Rossi"/>
    <x v="0"/>
    <n v="0.3"/>
    <n v="1040000"/>
    <s v="Pippo"/>
    <x v="1"/>
    <n v="240000"/>
    <x v="0"/>
  </r>
  <r>
    <d v="2025-02-12T00:00:00"/>
    <x v="2"/>
    <n v="80000"/>
    <x v="11"/>
    <x v="11"/>
    <s v="Gialli"/>
    <x v="2"/>
    <n v="0.25"/>
    <n v="900000"/>
    <s v="Paperino"/>
    <x v="2"/>
    <n v="180000"/>
    <x v="0"/>
  </r>
  <r>
    <d v="2025-02-13T00:00:00"/>
    <x v="0"/>
    <n v="130000"/>
    <x v="12"/>
    <x v="12"/>
    <s v="Rossi"/>
    <x v="0"/>
    <n v="0.3"/>
    <n v="1690000"/>
    <s v="Pluto"/>
    <x v="0"/>
    <n v="390000"/>
    <x v="0"/>
  </r>
  <r>
    <d v="2025-02-14T00:00:00"/>
    <x v="1"/>
    <n v="100000"/>
    <x v="13"/>
    <x v="13"/>
    <s v="Verdi"/>
    <x v="1"/>
    <n v="0.3"/>
    <n v="1430000"/>
    <s v="Paperino"/>
    <x v="2"/>
    <n v="330000"/>
    <x v="0"/>
  </r>
  <r>
    <d v="2025-02-15T00:00:00"/>
    <x v="2"/>
    <n v="80000"/>
    <x v="14"/>
    <x v="14"/>
    <s v="Gialli"/>
    <x v="2"/>
    <n v="0.25"/>
    <n v="1200000"/>
    <s v="Paperino"/>
    <x v="2"/>
    <n v="240000"/>
    <x v="0"/>
  </r>
  <r>
    <d v="2025-02-16T00:00:00"/>
    <x v="0"/>
    <n v="130000"/>
    <x v="15"/>
    <x v="15"/>
    <s v="Verdi"/>
    <x v="1"/>
    <n v="0.3"/>
    <n v="2197000"/>
    <s v="Pluto"/>
    <x v="0"/>
    <n v="507000"/>
    <x v="1"/>
  </r>
  <r>
    <d v="2025-02-17T00:00:00"/>
    <x v="1"/>
    <n v="100000"/>
    <x v="16"/>
    <x v="16"/>
    <s v="Rossi"/>
    <x v="0"/>
    <n v="0.3"/>
    <n v="1820000"/>
    <s v="Pippo"/>
    <x v="1"/>
    <n v="420000"/>
    <x v="0"/>
  </r>
  <r>
    <d v="2025-02-18T00:00:00"/>
    <x v="2"/>
    <n v="80000"/>
    <x v="17"/>
    <x v="17"/>
    <s v="Gialli"/>
    <x v="2"/>
    <n v="0.25"/>
    <n v="1500000"/>
    <s v="Paperino"/>
    <x v="2"/>
    <n v="300000"/>
    <x v="0"/>
  </r>
  <r>
    <d v="2025-02-19T00:00:00"/>
    <x v="0"/>
    <n v="130000"/>
    <x v="18"/>
    <x v="18"/>
    <s v="Rossi"/>
    <x v="0"/>
    <n v="0.3"/>
    <n v="2704000"/>
    <s v="Pluto"/>
    <x v="0"/>
    <n v="624000"/>
    <x v="1"/>
  </r>
  <r>
    <d v="2025-02-20T00:00:00"/>
    <x v="1"/>
    <n v="100000"/>
    <x v="19"/>
    <x v="19"/>
    <s v="Verdi"/>
    <x v="1"/>
    <n v="0.3"/>
    <n v="2210000"/>
    <s v="Pippo"/>
    <x v="1"/>
    <n v="510000"/>
    <x v="1"/>
  </r>
  <r>
    <d v="2025-02-21T00:00:00"/>
    <x v="2"/>
    <n v="80000"/>
    <x v="20"/>
    <x v="20"/>
    <s v="Gialli"/>
    <x v="2"/>
    <n v="0.25"/>
    <n v="1800000"/>
    <s v="Paperino"/>
    <x v="2"/>
    <n v="360000"/>
    <x v="0"/>
  </r>
  <r>
    <d v="2025-05-21T00:00:00"/>
    <x v="3"/>
    <n v="70000"/>
    <x v="4"/>
    <x v="21"/>
    <s v="Marroni"/>
    <x v="3"/>
    <n v="0.4"/>
    <n v="196000"/>
    <s v="Spada"/>
    <x v="3"/>
    <n v="56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CBAA4-B74C-4AFF-8FDA-5B6F3C4488A1}" name="Tabella pivot3" cacheId="7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D8:AH29" firstHeaderRow="0" firstDataRow="1" firstDataCol="1"/>
  <pivotFields count="13">
    <pivotField numFmtId="14" showAll="0"/>
    <pivotField axis="axisRow" showAll="0">
      <items count="5">
        <item x="1"/>
        <item x="0"/>
        <item x="2"/>
        <item x="3"/>
        <item t="default"/>
      </items>
    </pivotField>
    <pivotField numFmtId="44" showAll="0"/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44" showAll="0">
      <items count="23">
        <item x="0"/>
        <item x="1"/>
        <item x="2"/>
        <item x="3"/>
        <item x="21"/>
        <item x="4"/>
        <item x="5"/>
        <item x="8"/>
        <item x="7"/>
        <item x="6"/>
        <item x="11"/>
        <item x="10"/>
        <item x="9"/>
        <item x="14"/>
        <item x="13"/>
        <item x="17"/>
        <item x="12"/>
        <item x="16"/>
        <item x="20"/>
        <item x="15"/>
        <item x="19"/>
        <item x="18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numFmtId="9" showAll="0"/>
    <pivotField numFmtId="44"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numFmtId="44" showAll="0"/>
    <pivotField dataField="1" showAll="0">
      <items count="3">
        <item x="0"/>
        <item x="1"/>
        <item t="default"/>
      </items>
    </pivotField>
  </pivotFields>
  <rowFields count="3">
    <field x="10"/>
    <field x="6"/>
    <field x="1"/>
  </rowFields>
  <rowItems count="21">
    <i>
      <x/>
    </i>
    <i r="1">
      <x/>
    </i>
    <i r="2">
      <x/>
    </i>
    <i r="1">
      <x v="1"/>
    </i>
    <i r="2">
      <x/>
    </i>
    <i>
      <x v="1"/>
    </i>
    <i r="1">
      <x v="3"/>
    </i>
    <i r="2">
      <x v="3"/>
    </i>
    <i>
      <x v="2"/>
    </i>
    <i r="1">
      <x v="1"/>
    </i>
    <i r="2">
      <x/>
    </i>
    <i r="1">
      <x v="2"/>
    </i>
    <i r="2">
      <x v="2"/>
    </i>
    <i>
      <x v="3"/>
    </i>
    <i r="1">
      <x/>
    </i>
    <i r="2">
      <x v="1"/>
    </i>
    <i r="1">
      <x v="1"/>
    </i>
    <i r="2">
      <x v="1"/>
    </i>
    <i r="1">
      <x v="2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Quantità" fld="3" baseField="0" baseItem="0"/>
    <dataField name="Somma di Totale" fld="4" baseField="0" baseItem="0" numFmtId="44"/>
    <dataField name="Somma di Guadagno" fld="11" baseField="0" baseItem="0" numFmtId="44"/>
    <dataField name="Somma di premi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8574-D23F-4793-8F39-F2EFB320B375}">
  <sheetPr codeName="Foglio1"/>
  <dimension ref="A1:F5"/>
  <sheetViews>
    <sheetView workbookViewId="0">
      <selection activeCell="C6" sqref="C6"/>
    </sheetView>
  </sheetViews>
  <sheetFormatPr defaultRowHeight="14.4" x14ac:dyDescent="0.3"/>
  <cols>
    <col min="1" max="1" width="13.33203125" bestFit="1" customWidth="1"/>
    <col min="2" max="2" width="7.21875" bestFit="1" customWidth="1"/>
    <col min="3" max="3" width="10.88671875" bestFit="1" customWidth="1"/>
    <col min="4" max="4" width="13.88671875" bestFit="1" customWidth="1"/>
    <col min="5" max="5" width="13.33203125" bestFit="1" customWidth="1"/>
    <col min="6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41</v>
      </c>
    </row>
    <row r="2" spans="1:6" x14ac:dyDescent="0.3">
      <c r="A2" t="s">
        <v>5</v>
      </c>
      <c r="B2" t="s">
        <v>6</v>
      </c>
      <c r="C2" t="s">
        <v>7</v>
      </c>
      <c r="D2" t="s">
        <v>7</v>
      </c>
      <c r="E2" t="s">
        <v>8</v>
      </c>
      <c r="F2" s="7">
        <v>0.3</v>
      </c>
    </row>
    <row r="3" spans="1:6" x14ac:dyDescent="0.3">
      <c r="A3" t="s">
        <v>9</v>
      </c>
      <c r="B3" t="s">
        <v>10</v>
      </c>
      <c r="C3" t="s">
        <v>11</v>
      </c>
      <c r="D3" t="s">
        <v>7</v>
      </c>
      <c r="E3" t="s">
        <v>12</v>
      </c>
      <c r="F3" s="7">
        <v>0.3</v>
      </c>
    </row>
    <row r="4" spans="1:6" x14ac:dyDescent="0.3">
      <c r="A4" t="s">
        <v>13</v>
      </c>
      <c r="B4" t="s">
        <v>14</v>
      </c>
      <c r="C4" t="s">
        <v>11</v>
      </c>
      <c r="D4" t="s">
        <v>11</v>
      </c>
      <c r="E4" t="s">
        <v>15</v>
      </c>
      <c r="F4" s="7">
        <v>0.25</v>
      </c>
    </row>
    <row r="5" spans="1:6" x14ac:dyDescent="0.3">
      <c r="A5" t="s">
        <v>57</v>
      </c>
      <c r="B5" t="s">
        <v>58</v>
      </c>
      <c r="C5" t="s">
        <v>59</v>
      </c>
      <c r="D5" t="s">
        <v>60</v>
      </c>
      <c r="E5" t="s">
        <v>61</v>
      </c>
      <c r="F5" s="7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C435-7D25-41EA-8616-2A4FE9928826}">
  <sheetPr codeName="Foglio2"/>
  <dimension ref="A1:E5"/>
  <sheetViews>
    <sheetView workbookViewId="0">
      <selection activeCell="C6" sqref="C6"/>
    </sheetView>
  </sheetViews>
  <sheetFormatPr defaultRowHeight="14.4" x14ac:dyDescent="0.3"/>
  <cols>
    <col min="1" max="1" width="14.88671875" customWidth="1"/>
    <col min="3" max="3" width="10.88671875" customWidth="1"/>
    <col min="4" max="4" width="11.6640625" customWidth="1"/>
  </cols>
  <sheetData>
    <row r="1" spans="1:5" x14ac:dyDescent="0.3">
      <c r="A1" s="1" t="s">
        <v>16</v>
      </c>
      <c r="B1" s="1" t="s">
        <v>17</v>
      </c>
      <c r="C1" s="1" t="s">
        <v>3</v>
      </c>
      <c r="D1" s="1" t="s">
        <v>2</v>
      </c>
      <c r="E1" s="1"/>
    </row>
    <row r="2" spans="1:5" x14ac:dyDescent="0.3">
      <c r="A2" t="s">
        <v>18</v>
      </c>
      <c r="B2" t="s">
        <v>21</v>
      </c>
      <c r="C2" t="s">
        <v>7</v>
      </c>
      <c r="D2" t="s">
        <v>25</v>
      </c>
    </row>
    <row r="3" spans="1:5" x14ac:dyDescent="0.3">
      <c r="A3" t="s">
        <v>19</v>
      </c>
      <c r="B3" t="s">
        <v>22</v>
      </c>
      <c r="C3" t="s">
        <v>11</v>
      </c>
      <c r="D3" t="s">
        <v>26</v>
      </c>
    </row>
    <row r="4" spans="1:5" x14ac:dyDescent="0.3">
      <c r="A4" t="s">
        <v>20</v>
      </c>
      <c r="B4" t="s">
        <v>23</v>
      </c>
      <c r="C4" t="s">
        <v>24</v>
      </c>
      <c r="D4" t="s">
        <v>27</v>
      </c>
    </row>
    <row r="5" spans="1:5" x14ac:dyDescent="0.3">
      <c r="A5" t="s">
        <v>62</v>
      </c>
      <c r="B5" t="s">
        <v>63</v>
      </c>
      <c r="C5" t="s">
        <v>65</v>
      </c>
      <c r="D5" t="s">
        <v>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D6F8-EB62-4DCD-B335-2874FBE7E53C}">
  <sheetPr codeName="Foglio3"/>
  <dimension ref="A1:C5"/>
  <sheetViews>
    <sheetView workbookViewId="0">
      <selection activeCell="A5" sqref="A5"/>
    </sheetView>
  </sheetViews>
  <sheetFormatPr defaultRowHeight="14.4" x14ac:dyDescent="0.3"/>
  <cols>
    <col min="1" max="1" width="13.77734375" customWidth="1"/>
    <col min="2" max="2" width="10.77734375" customWidth="1"/>
    <col min="3" max="3" width="12.6640625" customWidth="1"/>
  </cols>
  <sheetData>
    <row r="1" spans="1:3" x14ac:dyDescent="0.3">
      <c r="A1" s="1" t="s">
        <v>28</v>
      </c>
      <c r="B1" s="1" t="s">
        <v>29</v>
      </c>
      <c r="C1" s="1" t="s">
        <v>30</v>
      </c>
    </row>
    <row r="2" spans="1:3" x14ac:dyDescent="0.3">
      <c r="A2" t="s">
        <v>31</v>
      </c>
      <c r="B2" t="s">
        <v>34</v>
      </c>
      <c r="C2" s="2">
        <v>100000</v>
      </c>
    </row>
    <row r="3" spans="1:3" x14ac:dyDescent="0.3">
      <c r="A3" t="s">
        <v>32</v>
      </c>
      <c r="B3" t="s">
        <v>35</v>
      </c>
      <c r="C3" s="2">
        <v>130000</v>
      </c>
    </row>
    <row r="4" spans="1:3" x14ac:dyDescent="0.3">
      <c r="A4" t="s">
        <v>33</v>
      </c>
      <c r="B4" t="s">
        <v>36</v>
      </c>
      <c r="C4" s="2">
        <v>80000</v>
      </c>
    </row>
    <row r="5" spans="1:3" x14ac:dyDescent="0.3">
      <c r="A5" t="s">
        <v>66</v>
      </c>
      <c r="B5" t="s">
        <v>56</v>
      </c>
      <c r="C5" s="2">
        <v>70000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D9F2-67B6-4577-BB4B-5DB912AC2CE6}">
  <sheetPr codeName="Foglio4"/>
  <dimension ref="A1:AH31"/>
  <sheetViews>
    <sheetView tabSelected="1" topLeftCell="L1" zoomScaleNormal="100" workbookViewId="0">
      <selection activeCell="U10" sqref="U10"/>
    </sheetView>
  </sheetViews>
  <sheetFormatPr defaultRowHeight="14.4" x14ac:dyDescent="0.3"/>
  <cols>
    <col min="1" max="1" width="10.33203125" bestFit="1" customWidth="1"/>
    <col min="2" max="2" width="10.88671875" bestFit="1" customWidth="1"/>
    <col min="3" max="3" width="13.109375" bestFit="1" customWidth="1"/>
    <col min="4" max="4" width="7.88671875" bestFit="1" customWidth="1"/>
    <col min="5" max="5" width="14.44140625" bestFit="1" customWidth="1"/>
    <col min="6" max="6" width="7.21875" bestFit="1" customWidth="1"/>
    <col min="7" max="7" width="15" bestFit="1" customWidth="1"/>
    <col min="8" max="8" width="10.77734375" bestFit="1" customWidth="1"/>
    <col min="9" max="9" width="14.44140625" bestFit="1" customWidth="1"/>
    <col min="10" max="10" width="8.33203125" bestFit="1" customWidth="1"/>
    <col min="11" max="11" width="16.6640625" bestFit="1" customWidth="1"/>
    <col min="12" max="12" width="12.77734375" bestFit="1" customWidth="1"/>
    <col min="13" max="13" width="4.77734375" style="16" bestFit="1" customWidth="1"/>
    <col min="14" max="14" width="7.88671875" style="16" bestFit="1" customWidth="1"/>
    <col min="15" max="15" width="13.109375" bestFit="1" customWidth="1"/>
    <col min="16" max="16" width="7.88671875" bestFit="1" customWidth="1"/>
    <col min="17" max="17" width="5.88671875" bestFit="1" customWidth="1"/>
    <col min="18" max="18" width="7.21875" bestFit="1" customWidth="1"/>
    <col min="19" max="19" width="15" bestFit="1" customWidth="1"/>
    <col min="20" max="20" width="10.77734375" bestFit="1" customWidth="1"/>
    <col min="21" max="21" width="6.77734375" bestFit="1" customWidth="1"/>
    <col min="22" max="22" width="8.33203125" bestFit="1" customWidth="1"/>
    <col min="23" max="23" width="16.6640625" bestFit="1" customWidth="1"/>
    <col min="24" max="24" width="9.21875" bestFit="1" customWidth="1"/>
    <col min="25" max="25" width="7.109375" bestFit="1" customWidth="1"/>
    <col min="26" max="26" width="8.44140625" bestFit="1" customWidth="1"/>
    <col min="27" max="27" width="6.77734375" customWidth="1"/>
    <col min="28" max="28" width="57.109375" bestFit="1" customWidth="1"/>
    <col min="29" max="29" width="17.88671875" bestFit="1" customWidth="1"/>
    <col min="30" max="31" width="17.21875" bestFit="1" customWidth="1"/>
    <col min="32" max="32" width="15.44140625" bestFit="1" customWidth="1"/>
    <col min="33" max="33" width="18.33203125" bestFit="1" customWidth="1"/>
    <col min="34" max="34" width="15.88671875" bestFit="1" customWidth="1"/>
    <col min="35" max="35" width="15.33203125" bestFit="1" customWidth="1"/>
    <col min="36" max="36" width="13.77734375" bestFit="1" customWidth="1"/>
    <col min="37" max="38" width="15.33203125" bestFit="1" customWidth="1"/>
    <col min="39" max="39" width="18.33203125" bestFit="1" customWidth="1"/>
    <col min="40" max="40" width="13.77734375" bestFit="1" customWidth="1"/>
    <col min="41" max="42" width="15.33203125" bestFit="1" customWidth="1"/>
    <col min="43" max="43" width="15.88671875" bestFit="1" customWidth="1"/>
    <col min="44" max="44" width="13.77734375" bestFit="1" customWidth="1"/>
    <col min="45" max="45" width="12" bestFit="1" customWidth="1"/>
    <col min="46" max="46" width="11.21875" bestFit="1" customWidth="1"/>
    <col min="47" max="47" width="22.6640625" bestFit="1" customWidth="1"/>
    <col min="48" max="48" width="20.77734375" bestFit="1" customWidth="1"/>
    <col min="49" max="49" width="24.109375" bestFit="1" customWidth="1"/>
    <col min="50" max="50" width="21.33203125" bestFit="1" customWidth="1"/>
    <col min="51" max="51" width="13.5546875" bestFit="1" customWidth="1"/>
    <col min="52" max="52" width="20.21875" bestFit="1" customWidth="1"/>
    <col min="53" max="53" width="13.5546875" bestFit="1" customWidth="1"/>
    <col min="54" max="54" width="20.21875" bestFit="1" customWidth="1"/>
    <col min="55" max="55" width="13.5546875" bestFit="1" customWidth="1"/>
    <col min="56" max="56" width="20.21875" bestFit="1" customWidth="1"/>
    <col min="57" max="57" width="13.5546875" bestFit="1" customWidth="1"/>
    <col min="58" max="58" width="20.21875" bestFit="1" customWidth="1"/>
    <col min="59" max="59" width="15.33203125" bestFit="1" customWidth="1"/>
    <col min="60" max="60" width="21.88671875" bestFit="1" customWidth="1"/>
    <col min="61" max="61" width="15.33203125" bestFit="1" customWidth="1"/>
    <col min="62" max="62" width="21.88671875" bestFit="1" customWidth="1"/>
    <col min="63" max="63" width="15.33203125" bestFit="1" customWidth="1"/>
    <col min="64" max="64" width="21.88671875" bestFit="1" customWidth="1"/>
    <col min="65" max="65" width="15.33203125" bestFit="1" customWidth="1"/>
    <col min="66" max="66" width="21.88671875" bestFit="1" customWidth="1"/>
    <col min="67" max="67" width="15.33203125" bestFit="1" customWidth="1"/>
    <col min="68" max="68" width="21.88671875" bestFit="1" customWidth="1"/>
    <col min="69" max="69" width="15.33203125" bestFit="1" customWidth="1"/>
    <col min="70" max="70" width="21.88671875" bestFit="1" customWidth="1"/>
    <col min="71" max="71" width="15.33203125" bestFit="1" customWidth="1"/>
    <col min="72" max="72" width="21.88671875" bestFit="1" customWidth="1"/>
    <col min="73" max="73" width="15.33203125" bestFit="1" customWidth="1"/>
    <col min="74" max="74" width="21.88671875" bestFit="1" customWidth="1"/>
    <col min="75" max="75" width="18.33203125" bestFit="1" customWidth="1"/>
    <col min="76" max="76" width="20.5546875" bestFit="1" customWidth="1"/>
    <col min="77" max="77" width="13.5546875" bestFit="1" customWidth="1"/>
    <col min="78" max="78" width="20.5546875" bestFit="1" customWidth="1"/>
    <col min="79" max="79" width="6.6640625" bestFit="1" customWidth="1"/>
    <col min="80" max="80" width="11.33203125" bestFit="1" customWidth="1"/>
    <col min="81" max="81" width="13.5546875" bestFit="1" customWidth="1"/>
    <col min="82" max="82" width="20.21875" bestFit="1" customWidth="1"/>
    <col min="83" max="83" width="13.5546875" bestFit="1" customWidth="1"/>
    <col min="84" max="84" width="20.21875" bestFit="1" customWidth="1"/>
    <col min="85" max="85" width="13.5546875" bestFit="1" customWidth="1"/>
    <col min="86" max="86" width="20.21875" bestFit="1" customWidth="1"/>
    <col min="87" max="87" width="13.5546875" bestFit="1" customWidth="1"/>
    <col min="88" max="88" width="20.21875" bestFit="1" customWidth="1"/>
    <col min="89" max="89" width="13.5546875" bestFit="1" customWidth="1"/>
    <col min="90" max="90" width="20.21875" bestFit="1" customWidth="1"/>
    <col min="91" max="91" width="13.5546875" bestFit="1" customWidth="1"/>
    <col min="92" max="92" width="20.21875" bestFit="1" customWidth="1"/>
    <col min="93" max="93" width="13.5546875" bestFit="1" customWidth="1"/>
    <col min="94" max="94" width="20.21875" bestFit="1" customWidth="1"/>
    <col min="95" max="95" width="13.5546875" bestFit="1" customWidth="1"/>
    <col min="96" max="96" width="20.21875" bestFit="1" customWidth="1"/>
    <col min="97" max="97" width="13.5546875" bestFit="1" customWidth="1"/>
    <col min="98" max="98" width="20.21875" bestFit="1" customWidth="1"/>
    <col min="99" max="99" width="13.5546875" bestFit="1" customWidth="1"/>
    <col min="100" max="100" width="20.21875" bestFit="1" customWidth="1"/>
    <col min="101" max="101" width="13.5546875" bestFit="1" customWidth="1"/>
    <col min="102" max="102" width="20.21875" bestFit="1" customWidth="1"/>
    <col min="103" max="103" width="15.33203125" bestFit="1" customWidth="1"/>
    <col min="104" max="104" width="21.88671875" bestFit="1" customWidth="1"/>
    <col min="105" max="105" width="15.33203125" bestFit="1" customWidth="1"/>
    <col min="106" max="106" width="21.88671875" bestFit="1" customWidth="1"/>
    <col min="107" max="107" width="15.33203125" bestFit="1" customWidth="1"/>
    <col min="108" max="108" width="21.88671875" bestFit="1" customWidth="1"/>
    <col min="109" max="109" width="15.33203125" bestFit="1" customWidth="1"/>
    <col min="110" max="110" width="21.88671875" bestFit="1" customWidth="1"/>
    <col min="111" max="111" width="15.33203125" bestFit="1" customWidth="1"/>
    <col min="112" max="112" width="21.88671875" bestFit="1" customWidth="1"/>
    <col min="113" max="113" width="15.33203125" bestFit="1" customWidth="1"/>
    <col min="114" max="114" width="21.88671875" bestFit="1" customWidth="1"/>
    <col min="115" max="115" width="15.33203125" bestFit="1" customWidth="1"/>
    <col min="116" max="116" width="21.88671875" bestFit="1" customWidth="1"/>
    <col min="117" max="117" width="15.33203125" bestFit="1" customWidth="1"/>
    <col min="118" max="118" width="21.88671875" bestFit="1" customWidth="1"/>
    <col min="119" max="119" width="22.6640625" bestFit="1" customWidth="1"/>
    <col min="120" max="120" width="24.109375" bestFit="1" customWidth="1"/>
  </cols>
  <sheetData>
    <row r="1" spans="1:34" x14ac:dyDescent="0.3">
      <c r="A1" t="s">
        <v>37</v>
      </c>
      <c r="B1" t="s">
        <v>29</v>
      </c>
      <c r="C1" t="s">
        <v>38</v>
      </c>
      <c r="D1" t="s">
        <v>39</v>
      </c>
      <c r="E1" t="s">
        <v>40</v>
      </c>
      <c r="F1" t="s">
        <v>1</v>
      </c>
      <c r="G1" t="s">
        <v>54</v>
      </c>
      <c r="H1" t="s">
        <v>44</v>
      </c>
      <c r="I1" t="s">
        <v>42</v>
      </c>
      <c r="J1" t="s">
        <v>17</v>
      </c>
      <c r="K1" t="s">
        <v>55</v>
      </c>
      <c r="L1" t="s">
        <v>43</v>
      </c>
      <c r="M1" t="s">
        <v>37</v>
      </c>
      <c r="N1" t="s">
        <v>29</v>
      </c>
      <c r="O1" t="s">
        <v>38</v>
      </c>
      <c r="P1" t="s">
        <v>39</v>
      </c>
      <c r="Q1" t="s">
        <v>40</v>
      </c>
      <c r="R1" t="s">
        <v>1</v>
      </c>
      <c r="S1" t="s">
        <v>54</v>
      </c>
      <c r="T1" t="s">
        <v>44</v>
      </c>
      <c r="U1" t="s">
        <v>42</v>
      </c>
      <c r="V1" t="s">
        <v>17</v>
      </c>
      <c r="W1" t="s">
        <v>55</v>
      </c>
      <c r="X1" t="s">
        <v>43</v>
      </c>
      <c r="Y1" t="s">
        <v>70</v>
      </c>
      <c r="Z1" t="s">
        <v>48</v>
      </c>
    </row>
    <row r="2" spans="1:34" x14ac:dyDescent="0.3">
      <c r="A2" s="4">
        <v>45689</v>
      </c>
      <c r="B2" t="s">
        <v>35</v>
      </c>
      <c r="C2" s="5">
        <f>IF(VLOOKUP(B2,Prodotti!B$1:AA$99,2,FALSE)=0,0,VLOOKUP(B2,Prodotti!B$1:AA$99,2,FALSE))</f>
        <v>130000</v>
      </c>
      <c r="D2">
        <v>-2</v>
      </c>
      <c r="E2" s="6">
        <f>C2*D2</f>
        <v>-260000</v>
      </c>
      <c r="F2" t="s">
        <v>6</v>
      </c>
      <c r="G2" s="3" t="str">
        <f>VLOOKUP(F2,Clienti!B$1:AA$99,4,FALSE)</f>
        <v>Alberto Rossi</v>
      </c>
      <c r="H2" s="8">
        <f>VLOOKUP(Movimenti!F2,Clienti!B$1:AA$99,5,FALSE)</f>
        <v>0.3</v>
      </c>
      <c r="I2" s="6">
        <f>E2*(1+H2)</f>
        <v>-338000</v>
      </c>
      <c r="J2" t="s">
        <v>22</v>
      </c>
      <c r="K2" s="3" t="str">
        <f>VLOOKUP(J2,Fornitori!B$1:AA$99,3,FALSE)</f>
        <v>Simba Pluto</v>
      </c>
      <c r="L2" s="6">
        <f>I2-E2</f>
        <v>-78000</v>
      </c>
      <c r="M2" s="17"/>
      <c r="N2" s="17"/>
      <c r="R2" t="s">
        <v>10</v>
      </c>
      <c r="S2" s="15"/>
      <c r="T2" s="15"/>
      <c r="U2" s="15"/>
      <c r="Y2">
        <f>DSUM($A$1:$L99,"Guadagno",M1:X2)</f>
        <v>198000</v>
      </c>
      <c r="Z2" t="str">
        <f>IF($Y2&gt;500000,"Premio si","")</f>
        <v/>
      </c>
    </row>
    <row r="3" spans="1:34" x14ac:dyDescent="0.3">
      <c r="A3" s="4">
        <v>45690</v>
      </c>
      <c r="B3" t="s">
        <v>34</v>
      </c>
      <c r="C3" s="5">
        <f>IF(VLOOKUP(B3,Prodotti!B$1:AA$99,2,FALSE)=0,0,VLOOKUP(B3,Prodotti!B$1:AA$99,2,FALSE))</f>
        <v>100000</v>
      </c>
      <c r="D3">
        <v>-1</v>
      </c>
      <c r="E3" s="6">
        <f t="shared" ref="E3:E24" si="0">C3*D3</f>
        <v>-100000</v>
      </c>
      <c r="F3" t="s">
        <v>10</v>
      </c>
      <c r="G3" s="3" t="str">
        <f>VLOOKUP(F3,Clienti!B$1:AA$99,4,FALSE)</f>
        <v>Giuseppe Verdi</v>
      </c>
      <c r="H3" s="8">
        <f>VLOOKUP(Movimenti!F3,Clienti!B$1:AA$99,5,FALSE)</f>
        <v>0.3</v>
      </c>
      <c r="I3" s="6">
        <f t="shared" ref="I3:I22" si="1">E3*(1+H3)</f>
        <v>-130000</v>
      </c>
      <c r="J3" t="s">
        <v>21</v>
      </c>
      <c r="K3" s="3" t="str">
        <f>VLOOKUP(J3,Fornitori!B$1:AA$99,3,FALSE)</f>
        <v>Baudo Pippo</v>
      </c>
      <c r="L3" s="6">
        <f t="shared" ref="L3:L22" si="2">I3-E3</f>
        <v>-30000</v>
      </c>
      <c r="M3" s="17"/>
      <c r="N3" s="17"/>
      <c r="S3" s="15"/>
      <c r="T3" s="15"/>
      <c r="U3" s="15"/>
    </row>
    <row r="4" spans="1:34" x14ac:dyDescent="0.3">
      <c r="A4" s="4">
        <v>45691</v>
      </c>
      <c r="B4" t="s">
        <v>36</v>
      </c>
      <c r="C4" s="5">
        <f>IF(VLOOKUP(B4,Prodotti!B$1:AA$99,2,FALSE)=0,0,VLOOKUP(B4,Prodotti!B$1:AA$99,2,FALSE))</f>
        <v>80000</v>
      </c>
      <c r="D4">
        <v>0</v>
      </c>
      <c r="E4" s="6">
        <f t="shared" si="0"/>
        <v>0</v>
      </c>
      <c r="F4" t="s">
        <v>14</v>
      </c>
      <c r="G4" s="3" t="str">
        <f>VLOOKUP(F4,Clienti!B$1:AA$99,4,FALSE)</f>
        <v>Michele Gialli</v>
      </c>
      <c r="H4" s="8">
        <f>VLOOKUP(Movimenti!F4,Clienti!B$1:AA$99,5,FALSE)</f>
        <v>0.25</v>
      </c>
      <c r="I4" s="6">
        <f t="shared" si="1"/>
        <v>0</v>
      </c>
      <c r="J4" t="s">
        <v>23</v>
      </c>
      <c r="K4" s="3" t="str">
        <f>VLOOKUP(J4,Fornitori!B$1:AA$99,3,FALSE)</f>
        <v>Qui Paperino</v>
      </c>
      <c r="L4" s="6">
        <f t="shared" si="2"/>
        <v>0</v>
      </c>
      <c r="M4" t="s">
        <v>37</v>
      </c>
      <c r="N4" t="s">
        <v>29</v>
      </c>
      <c r="O4" t="s">
        <v>38</v>
      </c>
      <c r="P4" t="s">
        <v>39</v>
      </c>
      <c r="Q4" t="s">
        <v>40</v>
      </c>
      <c r="R4" t="s">
        <v>1</v>
      </c>
      <c r="S4" t="s">
        <v>54</v>
      </c>
      <c r="T4" t="s">
        <v>44</v>
      </c>
      <c r="U4" t="s">
        <v>42</v>
      </c>
      <c r="V4" t="s">
        <v>17</v>
      </c>
      <c r="W4" t="s">
        <v>55</v>
      </c>
      <c r="X4" t="s">
        <v>43</v>
      </c>
      <c r="Y4" t="s">
        <v>70</v>
      </c>
      <c r="Z4" t="s">
        <v>48</v>
      </c>
      <c r="AB4" t="s">
        <v>45</v>
      </c>
    </row>
    <row r="5" spans="1:34" x14ac:dyDescent="0.3">
      <c r="A5" s="4">
        <v>45692</v>
      </c>
      <c r="B5" t="s">
        <v>35</v>
      </c>
      <c r="C5" s="5">
        <f>IF(VLOOKUP(B5,Prodotti!B$1:AA$99,2,FALSE)=0,0,VLOOKUP(B5,Prodotti!B$1:AA$99,2,FALSE))</f>
        <v>130000</v>
      </c>
      <c r="D5">
        <v>1</v>
      </c>
      <c r="E5" s="6">
        <f t="shared" si="0"/>
        <v>130000</v>
      </c>
      <c r="F5" t="s">
        <v>10</v>
      </c>
      <c r="G5" s="3" t="str">
        <f>VLOOKUP(F5,Clienti!B$1:AA$99,4,FALSE)</f>
        <v>Giuseppe Verdi</v>
      </c>
      <c r="H5" s="8">
        <f>VLOOKUP(Movimenti!F5,Clienti!B$1:AA$99,5,FALSE)</f>
        <v>0.3</v>
      </c>
      <c r="I5" s="6">
        <f t="shared" si="1"/>
        <v>169000</v>
      </c>
      <c r="J5" t="s">
        <v>22</v>
      </c>
      <c r="K5" s="3" t="str">
        <f>VLOOKUP(J5,Fornitori!B$1:AA$99,3,FALSE)</f>
        <v>Simba Pluto</v>
      </c>
      <c r="L5" s="6">
        <f t="shared" si="2"/>
        <v>39000</v>
      </c>
      <c r="M5" s="17"/>
      <c r="N5" s="17"/>
      <c r="R5" t="s">
        <v>6</v>
      </c>
      <c r="S5" s="15"/>
      <c r="T5" s="15"/>
      <c r="U5" s="15"/>
      <c r="Y5">
        <f>DSUM($A$1:$L102,"Guadagno",M4:X5)</f>
        <v>297000</v>
      </c>
      <c r="Z5" t="str">
        <f>IF($Y5&gt;500000,"Premio si","")</f>
        <v/>
      </c>
      <c r="AB5" t="s">
        <v>46</v>
      </c>
    </row>
    <row r="6" spans="1:34" x14ac:dyDescent="0.3">
      <c r="A6" s="4">
        <v>45693</v>
      </c>
      <c r="B6" t="s">
        <v>34</v>
      </c>
      <c r="C6" s="5">
        <f>IF(VLOOKUP(B6,Prodotti!B$1:AA$99,2,FALSE)=0,0,VLOOKUP(B6,Prodotti!B$1:AA$99,2,FALSE))</f>
        <v>100000</v>
      </c>
      <c r="D6">
        <v>1</v>
      </c>
      <c r="E6" s="6">
        <f t="shared" ref="E6:E9" si="3">C6*D6</f>
        <v>100000</v>
      </c>
      <c r="F6" t="s">
        <v>10</v>
      </c>
      <c r="G6" s="3" t="str">
        <f>VLOOKUP(F6,Clienti!B$1:AA$99,4,FALSE)</f>
        <v>Giuseppe Verdi</v>
      </c>
      <c r="H6" s="8">
        <f>VLOOKUP(Movimenti!F6,Clienti!B$1:AA$99,5,FALSE)</f>
        <v>0.3</v>
      </c>
      <c r="I6" s="6">
        <f t="shared" ref="I6:I9" si="4">E6*(1+H6)</f>
        <v>130000</v>
      </c>
      <c r="J6" t="s">
        <v>21</v>
      </c>
      <c r="K6" s="3" t="str">
        <f>VLOOKUP(J6,Fornitori!B$1:AA$99,3,FALSE)</f>
        <v>Baudo Pippo</v>
      </c>
      <c r="L6" s="6">
        <f t="shared" ref="L6:L9" si="5">I6-E6</f>
        <v>30000</v>
      </c>
      <c r="M6" s="17"/>
      <c r="N6" s="17"/>
      <c r="S6" s="15"/>
      <c r="T6" s="15"/>
      <c r="U6" s="15"/>
      <c r="AB6" t="s">
        <v>49</v>
      </c>
    </row>
    <row r="7" spans="1:34" x14ac:dyDescent="0.3">
      <c r="A7" s="4">
        <v>45694</v>
      </c>
      <c r="B7" t="s">
        <v>36</v>
      </c>
      <c r="C7" s="5">
        <f>IF(VLOOKUP(B7,Prodotti!B$1:AA$99,2,FALSE)=0,0,VLOOKUP(B7,Prodotti!B$1:AA$99,2,FALSE))</f>
        <v>80000</v>
      </c>
      <c r="D7">
        <v>30</v>
      </c>
      <c r="E7" s="6">
        <f t="shared" si="3"/>
        <v>2400000</v>
      </c>
      <c r="F7" t="s">
        <v>14</v>
      </c>
      <c r="G7" s="3" t="str">
        <f>VLOOKUP(F7,Clienti!B$1:AA$99,4,FALSE)</f>
        <v>Michele Gialli</v>
      </c>
      <c r="H7" s="8">
        <f>VLOOKUP(Movimenti!F7,Clienti!B$1:AA$99,5,FALSE)</f>
        <v>0.25</v>
      </c>
      <c r="I7" s="6">
        <f t="shared" si="4"/>
        <v>3000000</v>
      </c>
      <c r="J7" t="s">
        <v>23</v>
      </c>
      <c r="K7" s="3" t="str">
        <f>VLOOKUP(J7,Fornitori!B$1:AA$99,3,FALSE)</f>
        <v>Qui Paperino</v>
      </c>
      <c r="L7" s="6">
        <f t="shared" si="5"/>
        <v>600000</v>
      </c>
      <c r="M7" t="s">
        <v>37</v>
      </c>
      <c r="N7" t="s">
        <v>29</v>
      </c>
      <c r="O7" t="s">
        <v>38</v>
      </c>
      <c r="P7" t="s">
        <v>39</v>
      </c>
      <c r="Q7" t="s">
        <v>40</v>
      </c>
      <c r="R7" t="s">
        <v>1</v>
      </c>
      <c r="S7" t="s">
        <v>54</v>
      </c>
      <c r="T7" t="s">
        <v>44</v>
      </c>
      <c r="U7" t="s">
        <v>42</v>
      </c>
      <c r="V7" t="s">
        <v>17</v>
      </c>
      <c r="W7" t="s">
        <v>55</v>
      </c>
      <c r="X7" t="s">
        <v>43</v>
      </c>
      <c r="Y7" t="s">
        <v>70</v>
      </c>
      <c r="Z7" t="s">
        <v>48</v>
      </c>
      <c r="AB7" t="s">
        <v>47</v>
      </c>
    </row>
    <row r="8" spans="1:34" x14ac:dyDescent="0.3">
      <c r="A8" s="4">
        <v>45695</v>
      </c>
      <c r="B8" t="s">
        <v>35</v>
      </c>
      <c r="C8" s="5">
        <f>IF(VLOOKUP(B8,Prodotti!B$1:AA$99,2,FALSE)=0,0,VLOOKUP(B8,Prodotti!B$1:AA$99,2,FALSE))</f>
        <v>130000</v>
      </c>
      <c r="D8">
        <v>2</v>
      </c>
      <c r="E8" s="6">
        <f t="shared" si="3"/>
        <v>260000</v>
      </c>
      <c r="F8" t="s">
        <v>14</v>
      </c>
      <c r="G8" s="3" t="str">
        <f>VLOOKUP(F8,Clienti!B$1:AA$99,4,FALSE)</f>
        <v>Michele Gialli</v>
      </c>
      <c r="H8" s="8">
        <f>VLOOKUP(Movimenti!F8,Clienti!B$1:AA$99,5,FALSE)</f>
        <v>0.25</v>
      </c>
      <c r="I8" s="6">
        <f t="shared" si="4"/>
        <v>325000</v>
      </c>
      <c r="J8" t="s">
        <v>22</v>
      </c>
      <c r="K8" s="3" t="str">
        <f>VLOOKUP(J8,Fornitori!B$1:AA$99,3,FALSE)</f>
        <v>Simba Pluto</v>
      </c>
      <c r="L8" s="6">
        <f t="shared" si="5"/>
        <v>65000</v>
      </c>
      <c r="M8" s="17"/>
      <c r="N8" s="17"/>
      <c r="R8" t="s">
        <v>58</v>
      </c>
      <c r="S8" s="15"/>
      <c r="T8" s="15"/>
      <c r="U8" s="15"/>
      <c r="Y8">
        <f>DSUM($A$1:$L105,"Guadagno",M7:X8)</f>
        <v>608000</v>
      </c>
      <c r="Z8" t="str">
        <f>IF($Y8&gt;500000,"Premio si","")</f>
        <v>Premio si</v>
      </c>
      <c r="AD8" s="9" t="s">
        <v>50</v>
      </c>
      <c r="AE8" t="s">
        <v>53</v>
      </c>
      <c r="AF8" t="s">
        <v>67</v>
      </c>
      <c r="AG8" t="s">
        <v>52</v>
      </c>
      <c r="AH8" t="s">
        <v>68</v>
      </c>
    </row>
    <row r="9" spans="1:34" x14ac:dyDescent="0.3">
      <c r="A9" s="4">
        <v>45696</v>
      </c>
      <c r="B9" t="s">
        <v>34</v>
      </c>
      <c r="C9" s="5">
        <f>IF(VLOOKUP(B9,Prodotti!B$1:AA$99,2,FALSE)=0,0,VLOOKUP(B9,Prodotti!B$1:AA$99,2,FALSE))</f>
        <v>100000</v>
      </c>
      <c r="D9">
        <v>3</v>
      </c>
      <c r="E9" s="6">
        <f t="shared" si="3"/>
        <v>300000</v>
      </c>
      <c r="F9" t="s">
        <v>6</v>
      </c>
      <c r="G9" s="3" t="str">
        <f>VLOOKUP(F9,Clienti!B$1:AA$99,4,FALSE)</f>
        <v>Alberto Rossi</v>
      </c>
      <c r="H9" s="8">
        <f>VLOOKUP(Movimenti!F9,Clienti!B$1:AA$99,5,FALSE)</f>
        <v>0.3</v>
      </c>
      <c r="I9" s="6">
        <f t="shared" si="4"/>
        <v>390000</v>
      </c>
      <c r="J9" t="s">
        <v>21</v>
      </c>
      <c r="K9" s="3" t="str">
        <f>VLOOKUP(J9,Fornitori!B$1:AA$99,3,FALSE)</f>
        <v>Baudo Pippo</v>
      </c>
      <c r="L9" s="6">
        <f t="shared" si="5"/>
        <v>90000</v>
      </c>
      <c r="M9" s="17"/>
      <c r="N9" s="17"/>
      <c r="S9" s="15"/>
      <c r="T9" s="15"/>
      <c r="U9" s="15"/>
      <c r="AD9" s="10" t="s">
        <v>25</v>
      </c>
      <c r="AE9" s="14">
        <v>45</v>
      </c>
      <c r="AF9" s="12">
        <v>4500000</v>
      </c>
      <c r="AG9" s="12">
        <v>1350000</v>
      </c>
      <c r="AH9" s="14">
        <v>1</v>
      </c>
    </row>
    <row r="10" spans="1:34" x14ac:dyDescent="0.3">
      <c r="A10" s="4">
        <v>45697</v>
      </c>
      <c r="B10" t="s">
        <v>36</v>
      </c>
      <c r="C10" s="5">
        <f>IF(VLOOKUP(B10,Prodotti!B$1:AA$99,2,FALSE)=0,0,VLOOKUP(B10,Prodotti!B$1:AA$99,2,FALSE))</f>
        <v>80000</v>
      </c>
      <c r="D10">
        <v>1</v>
      </c>
      <c r="E10" s="6">
        <f t="shared" si="0"/>
        <v>80000</v>
      </c>
      <c r="F10" t="s">
        <v>14</v>
      </c>
      <c r="G10" s="3" t="str">
        <f>VLOOKUP(F10,Clienti!B$1:AA$99,4,FALSE)</f>
        <v>Michele Gialli</v>
      </c>
      <c r="H10" s="8">
        <f>VLOOKUP(Movimenti!F10,Clienti!B$1:AA$99,5,FALSE)</f>
        <v>0.25</v>
      </c>
      <c r="I10" s="6">
        <f t="shared" si="1"/>
        <v>100000</v>
      </c>
      <c r="J10" t="s">
        <v>23</v>
      </c>
      <c r="K10" s="3" t="str">
        <f>VLOOKUP(J10,Fornitori!B$1:AA$99,3,FALSE)</f>
        <v>Qui Paperino</v>
      </c>
      <c r="L10" s="6">
        <f t="shared" si="2"/>
        <v>20000</v>
      </c>
      <c r="M10" s="17"/>
      <c r="N10" s="17"/>
      <c r="S10" s="15"/>
      <c r="T10" s="15"/>
      <c r="U10" s="15"/>
      <c r="AD10" s="11" t="s">
        <v>8</v>
      </c>
      <c r="AE10" s="14">
        <v>27</v>
      </c>
      <c r="AF10" s="12">
        <v>2700000</v>
      </c>
      <c r="AG10" s="12">
        <v>810000</v>
      </c>
      <c r="AH10" s="14">
        <v>0</v>
      </c>
    </row>
    <row r="11" spans="1:34" x14ac:dyDescent="0.3">
      <c r="A11" s="4">
        <v>45698</v>
      </c>
      <c r="B11" t="s">
        <v>35</v>
      </c>
      <c r="C11" s="5">
        <f>IF(VLOOKUP(B11,Prodotti!B$1:AA$99,2,FALSE)=0,0,VLOOKUP(B11,Prodotti!B$1:AA$99,2,FALSE))</f>
        <v>130000</v>
      </c>
      <c r="D11">
        <v>1</v>
      </c>
      <c r="E11" s="6">
        <f t="shared" si="0"/>
        <v>130000</v>
      </c>
      <c r="F11" t="s">
        <v>6</v>
      </c>
      <c r="G11" s="3" t="str">
        <f>VLOOKUP(F11,Clienti!B$1:AA$99,4,FALSE)</f>
        <v>Alberto Rossi</v>
      </c>
      <c r="H11" s="8">
        <f>VLOOKUP(Movimenti!F11,Clienti!B$1:AA$99,5,FALSE)</f>
        <v>0.3</v>
      </c>
      <c r="I11" s="6">
        <f t="shared" si="1"/>
        <v>169000</v>
      </c>
      <c r="J11" t="s">
        <v>22</v>
      </c>
      <c r="K11" s="3" t="str">
        <f>VLOOKUP(J11,Fornitori!B$1:AA$99,3,FALSE)</f>
        <v>Simba Pluto</v>
      </c>
      <c r="L11" s="6">
        <f t="shared" si="2"/>
        <v>39000</v>
      </c>
      <c r="M11" s="17"/>
      <c r="N11" s="17"/>
      <c r="S11" s="15"/>
      <c r="T11" s="15"/>
      <c r="U11" s="15"/>
      <c r="AD11" s="13" t="s">
        <v>34</v>
      </c>
      <c r="AE11" s="14">
        <v>27</v>
      </c>
      <c r="AF11" s="12">
        <v>2700000</v>
      </c>
      <c r="AG11" s="12">
        <v>810000</v>
      </c>
      <c r="AH11" s="14">
        <v>0</v>
      </c>
    </row>
    <row r="12" spans="1:34" x14ac:dyDescent="0.3">
      <c r="A12" s="4">
        <v>45699</v>
      </c>
      <c r="B12" t="s">
        <v>34</v>
      </c>
      <c r="C12" s="5">
        <f>IF(VLOOKUP(B12,Prodotti!B$1:AA$99,2,FALSE)=0,0,VLOOKUP(B12,Prodotti!B$1:AA$99,2,FALSE))</f>
        <v>100000</v>
      </c>
      <c r="D12">
        <v>1</v>
      </c>
      <c r="E12" s="6">
        <f t="shared" si="0"/>
        <v>100000</v>
      </c>
      <c r="F12" t="s">
        <v>6</v>
      </c>
      <c r="G12" s="3" t="str">
        <f>VLOOKUP(F12,Clienti!B$1:AA$99,4,FALSE)</f>
        <v>Alberto Rossi</v>
      </c>
      <c r="H12" s="8">
        <f>VLOOKUP(Movimenti!F12,Clienti!B$1:AA$99,5,FALSE)</f>
        <v>0.3</v>
      </c>
      <c r="I12" s="6">
        <f t="shared" si="1"/>
        <v>130000</v>
      </c>
      <c r="J12" t="s">
        <v>21</v>
      </c>
      <c r="K12" s="3" t="str">
        <f>VLOOKUP(J12,Fornitori!B$1:AA$99,3,FALSE)</f>
        <v>Baudo Pippo</v>
      </c>
      <c r="L12" s="6">
        <f t="shared" si="2"/>
        <v>30000</v>
      </c>
      <c r="M12" s="17"/>
      <c r="N12" s="17"/>
      <c r="S12" s="15"/>
      <c r="T12" s="15"/>
      <c r="U12" s="15"/>
      <c r="AD12" s="11" t="s">
        <v>12</v>
      </c>
      <c r="AE12" s="14">
        <v>18</v>
      </c>
      <c r="AF12" s="12">
        <v>1800000</v>
      </c>
      <c r="AG12" s="12">
        <v>540000</v>
      </c>
      <c r="AH12" s="14">
        <v>1</v>
      </c>
    </row>
    <row r="13" spans="1:34" x14ac:dyDescent="0.3">
      <c r="A13" s="4">
        <v>45700</v>
      </c>
      <c r="B13" t="s">
        <v>36</v>
      </c>
      <c r="C13" s="5">
        <f>IF(VLOOKUP(B13,Prodotti!B$1:AA$99,2,FALSE)=0,0,VLOOKUP(B13,Prodotti!B$1:AA$99,2,FALSE))</f>
        <v>80000</v>
      </c>
      <c r="D13">
        <v>1</v>
      </c>
      <c r="E13" s="6">
        <f t="shared" si="0"/>
        <v>80000</v>
      </c>
      <c r="F13" t="s">
        <v>14</v>
      </c>
      <c r="G13" s="3" t="str">
        <f>VLOOKUP(F13,Clienti!B$1:AA$99,4,FALSE)</f>
        <v>Michele Gialli</v>
      </c>
      <c r="H13" s="8">
        <f>VLOOKUP(Movimenti!F13,Clienti!B$1:AA$99,5,FALSE)</f>
        <v>0.25</v>
      </c>
      <c r="I13" s="6">
        <f t="shared" si="1"/>
        <v>100000</v>
      </c>
      <c r="J13" t="s">
        <v>23</v>
      </c>
      <c r="K13" s="3" t="str">
        <f>VLOOKUP(J13,Fornitori!B$1:AA$99,3,FALSE)</f>
        <v>Qui Paperino</v>
      </c>
      <c r="L13" s="6">
        <f t="shared" si="2"/>
        <v>20000</v>
      </c>
      <c r="M13" s="17"/>
      <c r="N13" s="17"/>
      <c r="S13" s="15"/>
      <c r="T13" s="15"/>
      <c r="U13" s="15"/>
      <c r="AD13" s="13" t="s">
        <v>34</v>
      </c>
      <c r="AE13" s="14">
        <v>18</v>
      </c>
      <c r="AF13" s="12">
        <v>1800000</v>
      </c>
      <c r="AG13" s="12">
        <v>540000</v>
      </c>
      <c r="AH13" s="14">
        <v>1</v>
      </c>
    </row>
    <row r="14" spans="1:34" x14ac:dyDescent="0.3">
      <c r="A14" s="4">
        <v>45701</v>
      </c>
      <c r="B14" t="s">
        <v>35</v>
      </c>
      <c r="C14" s="5">
        <f>IF(VLOOKUP(B14,Prodotti!B$1:AA$99,2,FALSE)=0,0,VLOOKUP(B14,Prodotti!B$1:AA$99,2,FALSE))</f>
        <v>130000</v>
      </c>
      <c r="D14">
        <v>1</v>
      </c>
      <c r="E14" s="6">
        <f t="shared" si="0"/>
        <v>130000</v>
      </c>
      <c r="F14" t="s">
        <v>6</v>
      </c>
      <c r="G14" s="3" t="str">
        <f>VLOOKUP(F14,Clienti!B$1:AA$99,4,FALSE)</f>
        <v>Alberto Rossi</v>
      </c>
      <c r="H14" s="8">
        <f>VLOOKUP(Movimenti!F14,Clienti!B$1:AA$99,5,FALSE)</f>
        <v>0.3</v>
      </c>
      <c r="I14" s="6">
        <f t="shared" si="1"/>
        <v>169000</v>
      </c>
      <c r="J14" t="s">
        <v>22</v>
      </c>
      <c r="K14" s="3" t="str">
        <f>VLOOKUP(J14,Fornitori!B$1:AA$99,3,FALSE)</f>
        <v>Simba Pluto</v>
      </c>
      <c r="L14" s="6">
        <f t="shared" si="2"/>
        <v>39000</v>
      </c>
      <c r="M14" s="17"/>
      <c r="N14" s="17"/>
      <c r="S14" s="15"/>
      <c r="T14" s="15"/>
      <c r="U14" s="15"/>
      <c r="AD14" s="10" t="s">
        <v>64</v>
      </c>
      <c r="AE14" s="14">
        <v>2</v>
      </c>
      <c r="AF14" s="12">
        <v>140000</v>
      </c>
      <c r="AG14" s="12">
        <v>56000</v>
      </c>
      <c r="AH14" s="14">
        <v>0</v>
      </c>
    </row>
    <row r="15" spans="1:34" x14ac:dyDescent="0.3">
      <c r="A15" s="4">
        <v>45702</v>
      </c>
      <c r="B15" t="s">
        <v>34</v>
      </c>
      <c r="C15" s="5">
        <f>IF(VLOOKUP(B15,Prodotti!B$1:AA$99,2,FALSE)=0,0,VLOOKUP(B15,Prodotti!B$1:AA$99,2,FALSE))</f>
        <v>100000</v>
      </c>
      <c r="D15">
        <v>1</v>
      </c>
      <c r="E15" s="6">
        <f t="shared" si="0"/>
        <v>100000</v>
      </c>
      <c r="F15" t="s">
        <v>10</v>
      </c>
      <c r="G15" s="3" t="str">
        <f>VLOOKUP(F15,Clienti!B$1:AA$99,4,FALSE)</f>
        <v>Giuseppe Verdi</v>
      </c>
      <c r="H15" s="8">
        <f>VLOOKUP(Movimenti!F15,Clienti!B$1:AA$99,5,FALSE)</f>
        <v>0.3</v>
      </c>
      <c r="I15" s="6">
        <f t="shared" si="1"/>
        <v>130000</v>
      </c>
      <c r="J15" t="s">
        <v>23</v>
      </c>
      <c r="K15" s="3" t="str">
        <f>VLOOKUP(J15,Fornitori!B$1:AA$99,3,FALSE)</f>
        <v>Qui Paperino</v>
      </c>
      <c r="L15" s="6">
        <f t="shared" si="2"/>
        <v>30000</v>
      </c>
      <c r="M15" s="17"/>
      <c r="N15" s="17"/>
      <c r="S15" s="15"/>
      <c r="T15" s="15"/>
      <c r="U15" s="15"/>
      <c r="AD15" s="11" t="s">
        <v>61</v>
      </c>
      <c r="AE15" s="14">
        <v>2</v>
      </c>
      <c r="AF15" s="12">
        <v>140000</v>
      </c>
      <c r="AG15" s="12">
        <v>56000</v>
      </c>
      <c r="AH15" s="14">
        <v>0</v>
      </c>
    </row>
    <row r="16" spans="1:34" x14ac:dyDescent="0.3">
      <c r="A16" s="4">
        <v>45703</v>
      </c>
      <c r="B16" t="s">
        <v>36</v>
      </c>
      <c r="C16" s="5">
        <f>IF(VLOOKUP(B16,Prodotti!B$1:AA$99,2,FALSE)=0,0,VLOOKUP(B16,Prodotti!B$1:AA$99,2,FALSE))</f>
        <v>80000</v>
      </c>
      <c r="D16">
        <v>1</v>
      </c>
      <c r="E16" s="6">
        <f t="shared" si="0"/>
        <v>80000</v>
      </c>
      <c r="F16" t="s">
        <v>14</v>
      </c>
      <c r="G16" s="3" t="str">
        <f>VLOOKUP(F16,Clienti!B$1:AA$99,4,FALSE)</f>
        <v>Michele Gialli</v>
      </c>
      <c r="H16" s="8">
        <f>VLOOKUP(Movimenti!F16,Clienti!B$1:AA$99,5,FALSE)</f>
        <v>0.25</v>
      </c>
      <c r="I16" s="6">
        <f t="shared" si="1"/>
        <v>100000</v>
      </c>
      <c r="J16" t="s">
        <v>23</v>
      </c>
      <c r="K16" s="3" t="str">
        <f>VLOOKUP(J16,Fornitori!B$1:AA$99,3,FALSE)</f>
        <v>Qui Paperino</v>
      </c>
      <c r="L16" s="6">
        <f t="shared" si="2"/>
        <v>20000</v>
      </c>
      <c r="M16" s="17"/>
      <c r="N16" s="17"/>
      <c r="S16" s="15"/>
      <c r="T16" s="15"/>
      <c r="U16" s="15"/>
      <c r="AD16" s="13" t="s">
        <v>56</v>
      </c>
      <c r="AE16" s="14">
        <v>2</v>
      </c>
      <c r="AF16" s="12">
        <v>140000</v>
      </c>
      <c r="AG16" s="12">
        <v>56000</v>
      </c>
      <c r="AH16" s="14">
        <v>0</v>
      </c>
    </row>
    <row r="17" spans="1:34" x14ac:dyDescent="0.3">
      <c r="A17" s="4">
        <v>45704</v>
      </c>
      <c r="B17" t="s">
        <v>35</v>
      </c>
      <c r="C17" s="5">
        <f>IF(VLOOKUP(B17,Prodotti!B$1:AA$99,2,FALSE)=0,0,VLOOKUP(B17,Prodotti!B$1:AA$99,2,FALSE))</f>
        <v>130000</v>
      </c>
      <c r="D17">
        <v>1</v>
      </c>
      <c r="E17" s="6">
        <f t="shared" si="0"/>
        <v>130000</v>
      </c>
      <c r="F17" t="s">
        <v>10</v>
      </c>
      <c r="G17" s="3" t="str">
        <f>VLOOKUP(F17,Clienti!B$1:AA$99,4,FALSE)</f>
        <v>Giuseppe Verdi</v>
      </c>
      <c r="H17" s="8">
        <f>VLOOKUP(Movimenti!F17,Clienti!B$1:AA$99,5,FALSE)</f>
        <v>0.3</v>
      </c>
      <c r="I17" s="6">
        <f t="shared" si="1"/>
        <v>169000</v>
      </c>
      <c r="J17" t="s">
        <v>22</v>
      </c>
      <c r="K17" s="3" t="str">
        <f>VLOOKUP(J17,Fornitori!B$1:AA$99,3,FALSE)</f>
        <v>Simba Pluto</v>
      </c>
      <c r="L17" s="6">
        <f t="shared" si="2"/>
        <v>39000</v>
      </c>
      <c r="M17" s="17"/>
      <c r="N17" s="17"/>
      <c r="S17" s="15"/>
      <c r="T17" s="15"/>
      <c r="U17" s="15"/>
      <c r="AD17" s="10" t="s">
        <v>27</v>
      </c>
      <c r="AE17" s="14">
        <v>74</v>
      </c>
      <c r="AF17" s="12">
        <v>6140000</v>
      </c>
      <c r="AG17" s="12">
        <v>1590000</v>
      </c>
      <c r="AH17" s="14">
        <v>0</v>
      </c>
    </row>
    <row r="18" spans="1:34" x14ac:dyDescent="0.3">
      <c r="A18" s="4">
        <v>45705</v>
      </c>
      <c r="B18" t="s">
        <v>34</v>
      </c>
      <c r="C18" s="5">
        <f>IF(VLOOKUP(B18,Prodotti!B$1:AA$99,2,FALSE)=0,0,VLOOKUP(B18,Prodotti!B$1:AA$99,2,FALSE))</f>
        <v>100000</v>
      </c>
      <c r="D18">
        <v>2</v>
      </c>
      <c r="E18" s="6">
        <f t="shared" si="0"/>
        <v>200000</v>
      </c>
      <c r="F18" t="s">
        <v>6</v>
      </c>
      <c r="G18" s="3" t="str">
        <f>VLOOKUP(F18,Clienti!B$1:AA$99,4,FALSE)</f>
        <v>Alberto Rossi</v>
      </c>
      <c r="H18" s="8">
        <f>VLOOKUP(Movimenti!F18,Clienti!B$1:AA$99,5,FALSE)</f>
        <v>0.3</v>
      </c>
      <c r="I18" s="6">
        <f t="shared" si="1"/>
        <v>260000</v>
      </c>
      <c r="J18" t="s">
        <v>21</v>
      </c>
      <c r="K18" s="3" t="str">
        <f>VLOOKUP(J18,Fornitori!B$1:AA$99,3,FALSE)</f>
        <v>Baudo Pippo</v>
      </c>
      <c r="L18" s="6">
        <f t="shared" si="2"/>
        <v>60000</v>
      </c>
      <c r="M18" s="17"/>
      <c r="N18" s="17"/>
      <c r="S18" s="15"/>
      <c r="T18" s="15"/>
      <c r="U18" s="15"/>
      <c r="AD18" s="11" t="s">
        <v>12</v>
      </c>
      <c r="AE18" s="14">
        <v>11</v>
      </c>
      <c r="AF18" s="12">
        <v>1100000</v>
      </c>
      <c r="AG18" s="12">
        <v>330000</v>
      </c>
      <c r="AH18" s="14">
        <v>0</v>
      </c>
    </row>
    <row r="19" spans="1:34" x14ac:dyDescent="0.3">
      <c r="A19" s="4">
        <v>45706</v>
      </c>
      <c r="B19" t="s">
        <v>36</v>
      </c>
      <c r="C19" s="5">
        <f>IF(VLOOKUP(B19,Prodotti!B$1:AA$99,2,FALSE)=0,0,VLOOKUP(B19,Prodotti!B$1:AA$99,2,FALSE))</f>
        <v>80000</v>
      </c>
      <c r="D19">
        <v>3</v>
      </c>
      <c r="E19" s="6">
        <f t="shared" si="0"/>
        <v>240000</v>
      </c>
      <c r="F19" t="s">
        <v>14</v>
      </c>
      <c r="G19" s="3" t="str">
        <f>VLOOKUP(F19,Clienti!B$1:AA$99,4,FALSE)</f>
        <v>Michele Gialli</v>
      </c>
      <c r="H19" s="8">
        <f>VLOOKUP(Movimenti!F19,Clienti!B$1:AA$99,5,FALSE)</f>
        <v>0.25</v>
      </c>
      <c r="I19" s="6">
        <f t="shared" si="1"/>
        <v>300000</v>
      </c>
      <c r="J19" t="s">
        <v>23</v>
      </c>
      <c r="K19" s="3" t="str">
        <f>VLOOKUP(J19,Fornitori!B$1:AA$99,3,FALSE)</f>
        <v>Qui Paperino</v>
      </c>
      <c r="L19" s="6">
        <f t="shared" si="2"/>
        <v>60000</v>
      </c>
      <c r="M19" s="17"/>
      <c r="N19" s="17"/>
      <c r="S19" s="15"/>
      <c r="T19" s="15"/>
      <c r="U19" s="15"/>
      <c r="AD19" s="13" t="s">
        <v>34</v>
      </c>
      <c r="AE19" s="14">
        <v>11</v>
      </c>
      <c r="AF19" s="12">
        <v>1100000</v>
      </c>
      <c r="AG19" s="12">
        <v>330000</v>
      </c>
      <c r="AH19" s="14">
        <v>0</v>
      </c>
    </row>
    <row r="20" spans="1:34" x14ac:dyDescent="0.3">
      <c r="A20" s="4">
        <v>45707</v>
      </c>
      <c r="B20" t="s">
        <v>35</v>
      </c>
      <c r="C20" s="5">
        <f>IF(VLOOKUP(B20,Prodotti!B$1:AA$99,2,FALSE)=0,0,VLOOKUP(B20,Prodotti!B$1:AA$99,2,FALSE))</f>
        <v>130000</v>
      </c>
      <c r="D20">
        <v>3</v>
      </c>
      <c r="E20" s="6">
        <f t="shared" si="0"/>
        <v>390000</v>
      </c>
      <c r="F20" t="s">
        <v>6</v>
      </c>
      <c r="G20" s="3" t="str">
        <f>VLOOKUP(F20,Clienti!B$1:AA$99,4,FALSE)</f>
        <v>Alberto Rossi</v>
      </c>
      <c r="H20" s="8">
        <f>VLOOKUP(Movimenti!F20,Clienti!B$1:AA$99,5,FALSE)</f>
        <v>0.3</v>
      </c>
      <c r="I20" s="6">
        <f t="shared" si="1"/>
        <v>507000</v>
      </c>
      <c r="J20" t="s">
        <v>22</v>
      </c>
      <c r="K20" s="3" t="str">
        <f>VLOOKUP(J20,Fornitori!B$1:AA$99,3,FALSE)</f>
        <v>Simba Pluto</v>
      </c>
      <c r="L20" s="6">
        <f t="shared" si="2"/>
        <v>117000</v>
      </c>
      <c r="M20" s="17"/>
      <c r="N20" s="17"/>
      <c r="S20" s="15"/>
      <c r="T20" s="15"/>
      <c r="U20" s="15"/>
      <c r="AD20" s="11" t="s">
        <v>15</v>
      </c>
      <c r="AE20" s="14">
        <v>63</v>
      </c>
      <c r="AF20" s="12">
        <v>5040000</v>
      </c>
      <c r="AG20" s="12">
        <v>1260000</v>
      </c>
      <c r="AH20" s="14">
        <v>0</v>
      </c>
    </row>
    <row r="21" spans="1:34" x14ac:dyDescent="0.3">
      <c r="A21" s="4">
        <v>45708</v>
      </c>
      <c r="B21" t="s">
        <v>34</v>
      </c>
      <c r="C21" s="5">
        <f>IF(VLOOKUP(B21,Prodotti!B$1:AA$99,2,FALSE)=0,0,VLOOKUP(B21,Prodotti!B$1:AA$99,2,FALSE))</f>
        <v>100000</v>
      </c>
      <c r="D21">
        <v>3</v>
      </c>
      <c r="E21" s="6">
        <f t="shared" si="0"/>
        <v>300000</v>
      </c>
      <c r="F21" t="s">
        <v>10</v>
      </c>
      <c r="G21" s="3" t="str">
        <f>VLOOKUP(F21,Clienti!B$1:AA$99,4,FALSE)</f>
        <v>Giuseppe Verdi</v>
      </c>
      <c r="H21" s="8">
        <f>VLOOKUP(Movimenti!F21,Clienti!B$1:AA$99,5,FALSE)</f>
        <v>0.3</v>
      </c>
      <c r="I21" s="6">
        <f t="shared" si="1"/>
        <v>390000</v>
      </c>
      <c r="J21" t="s">
        <v>21</v>
      </c>
      <c r="K21" s="3" t="str">
        <f>VLOOKUP(J21,Fornitori!B$1:AA$99,3,FALSE)</f>
        <v>Baudo Pippo</v>
      </c>
      <c r="L21" s="6">
        <f t="shared" si="2"/>
        <v>90000</v>
      </c>
      <c r="M21" s="17"/>
      <c r="N21" s="17"/>
      <c r="S21" s="15"/>
      <c r="T21" s="15"/>
      <c r="U21" s="15"/>
      <c r="AD21" s="13" t="s">
        <v>36</v>
      </c>
      <c r="AE21" s="14">
        <v>63</v>
      </c>
      <c r="AF21" s="12">
        <v>5040000</v>
      </c>
      <c r="AG21" s="12">
        <v>1260000</v>
      </c>
      <c r="AH21" s="14">
        <v>0</v>
      </c>
    </row>
    <row r="22" spans="1:34" x14ac:dyDescent="0.3">
      <c r="A22" s="4">
        <v>45709</v>
      </c>
      <c r="B22" t="s">
        <v>36</v>
      </c>
      <c r="C22" s="5">
        <f>IF(VLOOKUP(B22,Prodotti!B$1:AA$99,2,FALSE)=0,0,VLOOKUP(B22,Prodotti!B$1:AA$99,2,FALSE))</f>
        <v>80000</v>
      </c>
      <c r="D22">
        <v>2</v>
      </c>
      <c r="E22" s="6">
        <f t="shared" si="0"/>
        <v>160000</v>
      </c>
      <c r="F22" t="s">
        <v>69</v>
      </c>
      <c r="G22" s="3" t="str">
        <f>VLOOKUP(F22,Clienti!B$1:AA$99,4,FALSE)</f>
        <v>Michele Gialli</v>
      </c>
      <c r="H22" s="8">
        <f>VLOOKUP(Movimenti!F22,Clienti!B$1:AA$99,5,FALSE)</f>
        <v>0.25</v>
      </c>
      <c r="I22" s="6">
        <f t="shared" si="1"/>
        <v>200000</v>
      </c>
      <c r="J22" t="s">
        <v>23</v>
      </c>
      <c r="K22" s="3" t="str">
        <f>VLOOKUP(J22,Fornitori!B$1:AA$99,3,FALSE)</f>
        <v>Qui Paperino</v>
      </c>
      <c r="L22" s="6">
        <f t="shared" si="2"/>
        <v>40000</v>
      </c>
      <c r="M22" s="17"/>
      <c r="N22" s="17"/>
      <c r="S22" s="15"/>
      <c r="T22" s="15"/>
      <c r="U22" s="15"/>
      <c r="AD22" s="10" t="s">
        <v>26</v>
      </c>
      <c r="AE22" s="14">
        <v>49</v>
      </c>
      <c r="AF22" s="12">
        <v>6370000</v>
      </c>
      <c r="AG22" s="12">
        <v>1885000</v>
      </c>
      <c r="AH22" s="14">
        <v>2</v>
      </c>
    </row>
    <row r="23" spans="1:34" x14ac:dyDescent="0.3">
      <c r="A23" s="4">
        <v>45798</v>
      </c>
      <c r="B23" t="s">
        <v>56</v>
      </c>
      <c r="C23" s="5">
        <f>IF(VLOOKUP(B23,Prodotti!B$1:AA$99,2,FALSE)=0,0,VLOOKUP(B23,Prodotti!B$1:AA$99,2,FALSE))</f>
        <v>70000</v>
      </c>
      <c r="D23">
        <v>2</v>
      </c>
      <c r="E23" s="6">
        <f t="shared" si="0"/>
        <v>140000</v>
      </c>
      <c r="F23" t="s">
        <v>14</v>
      </c>
      <c r="G23" s="3" t="str">
        <f>VLOOKUP(F23,Clienti!B$1:AA$99,4,FALSE)</f>
        <v>Michele Gialli</v>
      </c>
      <c r="H23" s="8">
        <f>VLOOKUP(Movimenti!F23,Clienti!B$1:AA$99,5,FALSE)</f>
        <v>0.25</v>
      </c>
      <c r="I23" s="6">
        <f t="shared" ref="I23" si="6">E23*(1+H23)</f>
        <v>175000</v>
      </c>
      <c r="J23" t="s">
        <v>63</v>
      </c>
      <c r="K23" s="3" t="str">
        <f>VLOOKUP(J23,Fornitori!B$1:AA$99,3,FALSE)</f>
        <v>Principe Spada</v>
      </c>
      <c r="L23" s="6">
        <f t="shared" ref="L23" si="7">I23-E23</f>
        <v>35000</v>
      </c>
      <c r="M23" s="17"/>
      <c r="N23" s="17"/>
      <c r="S23" s="15"/>
      <c r="T23" s="15"/>
      <c r="U23" s="15"/>
      <c r="AD23" s="11" t="s">
        <v>8</v>
      </c>
      <c r="AE23" s="14">
        <v>31</v>
      </c>
      <c r="AF23" s="12">
        <v>4030000</v>
      </c>
      <c r="AG23" s="12">
        <v>1209000</v>
      </c>
      <c r="AH23" s="14">
        <v>1</v>
      </c>
    </row>
    <row r="24" spans="1:34" x14ac:dyDescent="0.3">
      <c r="A24" s="4">
        <v>45799</v>
      </c>
      <c r="B24" t="s">
        <v>36</v>
      </c>
      <c r="C24" s="5">
        <f>IF(VLOOKUP(B24,Prodotti!B$1:AA$99,2,FALSE)=0,0,VLOOKUP(B24,Prodotti!B$1:AA$99,2,FALSE))</f>
        <v>80000</v>
      </c>
      <c r="D24">
        <v>19</v>
      </c>
      <c r="E24" s="6">
        <f t="shared" si="0"/>
        <v>1520000</v>
      </c>
      <c r="F24" t="s">
        <v>58</v>
      </c>
      <c r="G24" s="3" t="str">
        <f>VLOOKUP(F24,Clienti!B$1:AA$99,4,FALSE)</f>
        <v>Mosbo Marroni</v>
      </c>
      <c r="H24" s="8">
        <f>VLOOKUP(Movimenti!F24,Clienti!B$1:AA$99,5,FALSE)</f>
        <v>0.4</v>
      </c>
      <c r="I24" s="6">
        <f t="shared" ref="I24" si="8">E24*(1+H24)</f>
        <v>2128000</v>
      </c>
      <c r="J24" t="s">
        <v>63</v>
      </c>
      <c r="K24" s="3" t="str">
        <f>VLOOKUP(J24,Fornitori!B$1:AA$99,3,FALSE)</f>
        <v>Principe Spada</v>
      </c>
      <c r="L24" s="6">
        <f t="shared" ref="L24" si="9">I24-E24</f>
        <v>608000</v>
      </c>
      <c r="AD24" s="13" t="s">
        <v>35</v>
      </c>
      <c r="AE24" s="14">
        <v>31</v>
      </c>
      <c r="AF24" s="12">
        <v>4030000</v>
      </c>
      <c r="AG24" s="12">
        <v>1209000</v>
      </c>
      <c r="AH24" s="14">
        <v>1</v>
      </c>
    </row>
    <row r="25" spans="1:34" x14ac:dyDescent="0.3">
      <c r="AD25" s="11" t="s">
        <v>12</v>
      </c>
      <c r="AE25" s="14">
        <v>14</v>
      </c>
      <c r="AF25" s="12">
        <v>1820000</v>
      </c>
      <c r="AG25" s="12">
        <v>546000</v>
      </c>
      <c r="AH25" s="14">
        <v>1</v>
      </c>
    </row>
    <row r="26" spans="1:34" x14ac:dyDescent="0.3">
      <c r="AD26" s="13" t="s">
        <v>35</v>
      </c>
      <c r="AE26" s="14">
        <v>14</v>
      </c>
      <c r="AF26" s="12">
        <v>1820000</v>
      </c>
      <c r="AG26" s="12">
        <v>546000</v>
      </c>
      <c r="AH26" s="14">
        <v>1</v>
      </c>
    </row>
    <row r="27" spans="1:34" x14ac:dyDescent="0.3">
      <c r="AD27" s="11" t="s">
        <v>15</v>
      </c>
      <c r="AE27" s="14">
        <v>4</v>
      </c>
      <c r="AF27" s="12">
        <v>520000</v>
      </c>
      <c r="AG27" s="12">
        <v>130000</v>
      </c>
      <c r="AH27" s="14">
        <v>0</v>
      </c>
    </row>
    <row r="28" spans="1:34" x14ac:dyDescent="0.3">
      <c r="AD28" s="13" t="s">
        <v>35</v>
      </c>
      <c r="AE28" s="14">
        <v>4</v>
      </c>
      <c r="AF28" s="12">
        <v>520000</v>
      </c>
      <c r="AG28" s="12">
        <v>130000</v>
      </c>
      <c r="AH28" s="14">
        <v>0</v>
      </c>
    </row>
    <row r="29" spans="1:34" x14ac:dyDescent="0.3">
      <c r="AD29" s="10" t="s">
        <v>51</v>
      </c>
      <c r="AE29" s="14">
        <v>170</v>
      </c>
      <c r="AF29" s="12">
        <v>17150000</v>
      </c>
      <c r="AG29" s="12">
        <v>4881000</v>
      </c>
      <c r="AH29" s="14">
        <v>3</v>
      </c>
    </row>
    <row r="31" spans="1:34" x14ac:dyDescent="0.3">
      <c r="E31">
        <f>DSUM(A1:L26,"Guadagno",M$1:S$2)</f>
        <v>198000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Clienti</vt:lpstr>
      <vt:lpstr>Fornitori</vt:lpstr>
      <vt:lpstr>Prodotti</vt:lpstr>
      <vt:lpstr>Movimenti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</dc:creator>
  <cp:lastModifiedBy>Francesco Rogo</cp:lastModifiedBy>
  <dcterms:created xsi:type="dcterms:W3CDTF">2025-05-22T07:54:40Z</dcterms:created>
  <dcterms:modified xsi:type="dcterms:W3CDTF">2025-05-22T13:28:50Z</dcterms:modified>
</cp:coreProperties>
</file>