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tente\Desktop\UNIVERSITA'\2 SEMESTRE\ANALISI E GESTIONE DEL RISCHIO\Progetto\da inviare\"/>
    </mc:Choice>
  </mc:AlternateContent>
  <xr:revisionPtr revIDLastSave="0" documentId="13_ncr:1_{CFE7DFA6-3030-4E3C-8DF8-427BA95506C4}" xr6:coauthVersionLast="47" xr6:coauthVersionMax="47" xr10:uidLastSave="{00000000-0000-0000-0000-000000000000}"/>
  <bookViews>
    <workbookView xWindow="-21720" yWindow="2430" windowWidth="21840" windowHeight="13140" tabRatio="719" firstSheet="1" activeTab="1" xr2:uid="{9BF35D7B-8FC6-4B91-8A85-64C3FBCB3E8C}"/>
  </bookViews>
  <sheets>
    <sheet name="Minacce-Asset-Probabilità" sheetId="2" r:id="rId1"/>
    <sheet name="Minacce" sheetId="1" r:id="rId2"/>
    <sheet name="Rischio intrinseco" sheetId="3" r:id="rId3"/>
    <sheet name="Livello di rischio quantitativo" sheetId="5" r:id="rId4"/>
    <sheet name="Attenuazione del rischio" sheetId="4" r:id="rId5"/>
    <sheet name="Rischio qualitativo" sheetId="6" r:id="rId6"/>
    <sheet name="Normalizzazione" sheetId="9" r:id="rId7"/>
    <sheet name="Binomiale-data breach" sheetId="7" r:id="rId8"/>
    <sheet name="Probabilità composta - D. B." sheetId="11" r:id="rId9"/>
    <sheet name="Poisson - Incendio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P7" i="3"/>
  <c r="F3" i="11" l="1"/>
  <c r="F4" i="11"/>
  <c r="F5" i="11"/>
  <c r="F6" i="11"/>
  <c r="F7" i="11"/>
  <c r="F8" i="11"/>
  <c r="F9" i="11"/>
  <c r="F10" i="11"/>
  <c r="F11" i="11"/>
  <c r="F12" i="11"/>
  <c r="H3" i="11"/>
  <c r="H4" i="11"/>
  <c r="H5" i="11"/>
  <c r="H6" i="11"/>
  <c r="H7" i="11"/>
  <c r="H8" i="11"/>
  <c r="H9" i="11"/>
  <c r="H10" i="11"/>
  <c r="H11" i="11"/>
  <c r="H12" i="11"/>
  <c r="H2" i="11"/>
  <c r="F2" i="11"/>
  <c r="G8" i="11"/>
  <c r="E2" i="11"/>
  <c r="G2" i="11" s="1"/>
  <c r="E3" i="11"/>
  <c r="E4" i="11"/>
  <c r="E5" i="11"/>
  <c r="E6" i="11"/>
  <c r="E7" i="11"/>
  <c r="E8" i="11"/>
  <c r="E9" i="11"/>
  <c r="E10" i="11"/>
  <c r="G10" i="11" s="1"/>
  <c r="E11" i="11"/>
  <c r="E12" i="11"/>
  <c r="D12" i="11"/>
  <c r="C12" i="11"/>
  <c r="B12" i="11"/>
  <c r="D11" i="11"/>
  <c r="G11" i="11" s="1"/>
  <c r="C11" i="11"/>
  <c r="B11" i="11"/>
  <c r="D10" i="11"/>
  <c r="C10" i="11"/>
  <c r="B10" i="11"/>
  <c r="G9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G4" i="11" s="1"/>
  <c r="C4" i="11"/>
  <c r="B4" i="11"/>
  <c r="D3" i="11"/>
  <c r="G3" i="11" s="1"/>
  <c r="C3" i="11"/>
  <c r="B3" i="11"/>
  <c r="D2" i="11"/>
  <c r="C2" i="11"/>
  <c r="B2" i="11"/>
  <c r="G7" i="11" l="1"/>
  <c r="G6" i="11"/>
  <c r="G12" i="11"/>
  <c r="G5" i="11"/>
  <c r="G3" i="8" l="1"/>
  <c r="G4" i="8"/>
  <c r="G5" i="8"/>
  <c r="G6" i="8"/>
  <c r="G7" i="8"/>
  <c r="G8" i="8"/>
  <c r="G9" i="8"/>
  <c r="G10" i="8"/>
  <c r="G11" i="8"/>
  <c r="G12" i="8"/>
  <c r="G2" i="8"/>
  <c r="I2" i="7"/>
  <c r="I5" i="7"/>
  <c r="I3" i="7"/>
  <c r="H3" i="7"/>
  <c r="I4" i="7"/>
  <c r="I6" i="7"/>
  <c r="I7" i="7"/>
  <c r="I8" i="7"/>
  <c r="I9" i="7"/>
  <c r="I10" i="7"/>
  <c r="I11" i="7"/>
  <c r="I12" i="7"/>
  <c r="H2" i="8" l="1"/>
  <c r="H3" i="8"/>
  <c r="H4" i="8" l="1"/>
  <c r="H5" i="8" l="1"/>
  <c r="H6" i="8" l="1"/>
  <c r="H7" i="8" l="1"/>
  <c r="H8" i="8" l="1"/>
  <c r="N4" i="9"/>
  <c r="N5" i="9"/>
  <c r="N6" i="9"/>
  <c r="N7" i="9"/>
  <c r="N3" i="9"/>
  <c r="O3" i="9"/>
  <c r="P7" i="9"/>
  <c r="O7" i="9"/>
  <c r="P6" i="9"/>
  <c r="O6" i="9"/>
  <c r="P5" i="9"/>
  <c r="O5" i="9"/>
  <c r="P4" i="9"/>
  <c r="O4" i="9"/>
  <c r="P3" i="9"/>
  <c r="D2" i="8"/>
  <c r="D3" i="8"/>
  <c r="D4" i="8"/>
  <c r="D5" i="8"/>
  <c r="D6" i="8"/>
  <c r="D7" i="8"/>
  <c r="D8" i="8"/>
  <c r="D9" i="8"/>
  <c r="D10" i="8"/>
  <c r="D11" i="8"/>
  <c r="D12" i="8"/>
  <c r="C2" i="8"/>
  <c r="C3" i="8"/>
  <c r="C4" i="8"/>
  <c r="C5" i="8"/>
  <c r="C6" i="8"/>
  <c r="F6" i="8" s="1"/>
  <c r="C7" i="8"/>
  <c r="F7" i="8" s="1"/>
  <c r="C8" i="8"/>
  <c r="C9" i="8"/>
  <c r="C10" i="8"/>
  <c r="C11" i="8"/>
  <c r="C12" i="8"/>
  <c r="E2" i="8"/>
  <c r="E3" i="8"/>
  <c r="E4" i="8"/>
  <c r="E5" i="8"/>
  <c r="E6" i="8"/>
  <c r="E7" i="8"/>
  <c r="E8" i="8"/>
  <c r="E9" i="8"/>
  <c r="E10" i="8"/>
  <c r="E11" i="8"/>
  <c r="E12" i="8"/>
  <c r="G2" i="7"/>
  <c r="G3" i="7"/>
  <c r="G4" i="7"/>
  <c r="G5" i="7"/>
  <c r="G6" i="7"/>
  <c r="G7" i="7"/>
  <c r="G8" i="7"/>
  <c r="G9" i="7"/>
  <c r="G10" i="7"/>
  <c r="G11" i="7"/>
  <c r="G12" i="7"/>
  <c r="F2" i="7"/>
  <c r="F3" i="7"/>
  <c r="F4" i="7"/>
  <c r="F5" i="7"/>
  <c r="F6" i="7"/>
  <c r="F7" i="7"/>
  <c r="F8" i="7"/>
  <c r="F9" i="7"/>
  <c r="F10" i="7"/>
  <c r="F11" i="7"/>
  <c r="F12" i="7"/>
  <c r="C3" i="7"/>
  <c r="C4" i="7"/>
  <c r="C5" i="7"/>
  <c r="C6" i="7"/>
  <c r="C7" i="7"/>
  <c r="C8" i="7"/>
  <c r="C9" i="7"/>
  <c r="C10" i="7"/>
  <c r="C11" i="7"/>
  <c r="C12" i="7"/>
  <c r="C2" i="7"/>
  <c r="E2" i="7"/>
  <c r="E3" i="7"/>
  <c r="E4" i="7"/>
  <c r="E5" i="7"/>
  <c r="E6" i="7"/>
  <c r="E7" i="7"/>
  <c r="E8" i="7"/>
  <c r="E9" i="7"/>
  <c r="E10" i="7"/>
  <c r="E11" i="7"/>
  <c r="E12" i="7"/>
  <c r="D2" i="7"/>
  <c r="D3" i="7"/>
  <c r="D4" i="7"/>
  <c r="D5" i="7"/>
  <c r="D6" i="7"/>
  <c r="D7" i="7"/>
  <c r="D8" i="7"/>
  <c r="D9" i="7"/>
  <c r="D10" i="7"/>
  <c r="D11" i="7"/>
  <c r="D12" i="7"/>
  <c r="Q2" i="5"/>
  <c r="Q3" i="5"/>
  <c r="Q4" i="5"/>
  <c r="Q5" i="5"/>
  <c r="Q6" i="5"/>
  <c r="P2" i="5"/>
  <c r="P3" i="5"/>
  <c r="P4" i="5"/>
  <c r="P5" i="5"/>
  <c r="P6" i="5"/>
  <c r="Q2" i="3"/>
  <c r="J2" i="6" s="1"/>
  <c r="K4" i="6" s="1"/>
  <c r="L4" i="6" s="1"/>
  <c r="Q3" i="3"/>
  <c r="J3" i="6" s="1"/>
  <c r="K5" i="6" s="1"/>
  <c r="L5" i="6" s="1"/>
  <c r="Q4" i="3"/>
  <c r="J4" i="6" s="1"/>
  <c r="K6" i="6" s="1"/>
  <c r="L6" i="6" s="1"/>
  <c r="Q5" i="3"/>
  <c r="J5" i="6" s="1"/>
  <c r="Q6" i="3"/>
  <c r="J6" i="6" s="1"/>
  <c r="P2" i="3"/>
  <c r="P3" i="3"/>
  <c r="P4" i="3"/>
  <c r="P5" i="3"/>
  <c r="D5" i="4" s="1"/>
  <c r="P6" i="3"/>
  <c r="O2" i="3"/>
  <c r="H2" i="6" s="1"/>
  <c r="K2" i="6" s="1"/>
  <c r="O3" i="3"/>
  <c r="H3" i="6" s="1"/>
  <c r="O4" i="3"/>
  <c r="H4" i="6" s="1"/>
  <c r="O5" i="3"/>
  <c r="H5" i="6" s="1"/>
  <c r="O6" i="3"/>
  <c r="O2" i="5"/>
  <c r="O3" i="5"/>
  <c r="O4" i="5"/>
  <c r="O5" i="5"/>
  <c r="O6" i="5"/>
  <c r="D4" i="4" l="1"/>
  <c r="H11" i="7"/>
  <c r="H10" i="7"/>
  <c r="H2" i="7"/>
  <c r="H5" i="7"/>
  <c r="H12" i="7"/>
  <c r="H4" i="7"/>
  <c r="H7" i="7"/>
  <c r="H9" i="7"/>
  <c r="H6" i="7"/>
  <c r="H8" i="7"/>
  <c r="H9" i="8"/>
  <c r="F10" i="8"/>
  <c r="F2" i="8"/>
  <c r="F5" i="8"/>
  <c r="F4" i="8"/>
  <c r="F12" i="8"/>
  <c r="F3" i="8"/>
  <c r="F11" i="8"/>
  <c r="F9" i="8"/>
  <c r="F8" i="8"/>
  <c r="R4" i="5"/>
  <c r="D6" i="4"/>
  <c r="C6" i="4"/>
  <c r="D2" i="4"/>
  <c r="R5" i="5"/>
  <c r="P7" i="5"/>
  <c r="D3" i="4"/>
  <c r="E4" i="4"/>
  <c r="C2" i="4"/>
  <c r="E5" i="4"/>
  <c r="E3" i="4"/>
  <c r="I5" i="6"/>
  <c r="C5" i="4"/>
  <c r="E6" i="4"/>
  <c r="L2" i="6"/>
  <c r="C4" i="4"/>
  <c r="I3" i="6"/>
  <c r="I4" i="6"/>
  <c r="E2" i="4"/>
  <c r="I6" i="6"/>
  <c r="I2" i="6"/>
  <c r="K3" i="6" s="1"/>
  <c r="L3" i="6" s="1"/>
  <c r="H6" i="6"/>
  <c r="Q5" i="9"/>
  <c r="Q6" i="9"/>
  <c r="Q4" i="9"/>
  <c r="Q3" i="9"/>
  <c r="Q7" i="9"/>
  <c r="R6" i="5"/>
  <c r="Q7" i="5"/>
  <c r="O7" i="5"/>
  <c r="R3" i="5"/>
  <c r="R2" i="5"/>
  <c r="H10" i="8" l="1"/>
  <c r="L7" i="6"/>
  <c r="K7" i="6"/>
  <c r="R7" i="5"/>
  <c r="H12" i="8" l="1"/>
  <c r="H11" i="8"/>
  <c r="R3" i="3"/>
  <c r="F3" i="4" s="1"/>
  <c r="R2" i="3" l="1"/>
  <c r="F2" i="4" s="1"/>
  <c r="R6" i="3"/>
  <c r="F6" i="4" s="1"/>
  <c r="R5" i="3"/>
  <c r="F5" i="4" s="1"/>
  <c r="R4" i="3"/>
  <c r="F4" i="4" s="1"/>
  <c r="D7" i="4"/>
  <c r="O7" i="3"/>
  <c r="C7" i="4" s="1"/>
  <c r="Q7" i="3"/>
  <c r="E7" i="4" s="1"/>
  <c r="R7" i="3" l="1"/>
  <c r="F7" i="4" s="1"/>
</calcChain>
</file>

<file path=xl/sharedStrings.xml><?xml version="1.0" encoding="utf-8"?>
<sst xmlns="http://schemas.openxmlformats.org/spreadsheetml/2006/main" count="294" uniqueCount="130">
  <si>
    <t>m</t>
  </si>
  <si>
    <t>Minaccia</t>
  </si>
  <si>
    <t>R</t>
  </si>
  <si>
    <t>I</t>
  </si>
  <si>
    <t>D</t>
  </si>
  <si>
    <t>Malware</t>
  </si>
  <si>
    <t>DDOS</t>
  </si>
  <si>
    <t>Problemi tecnici</t>
  </si>
  <si>
    <t>Data Breach</t>
  </si>
  <si>
    <t>Incendio</t>
  </si>
  <si>
    <t>x</t>
  </si>
  <si>
    <t>Asset</t>
  </si>
  <si>
    <t>Probabilità</t>
  </si>
  <si>
    <t>Problemi Tecnici</t>
  </si>
  <si>
    <t>Computer aziendali, server e sito web</t>
  </si>
  <si>
    <t>Erogazione dei servizi online</t>
  </si>
  <si>
    <t>Manutenzione hardware e software di base</t>
  </si>
  <si>
    <t>Dati personali di utenti, personale e fornitori</t>
  </si>
  <si>
    <t>Hardware dell'organizzazione</t>
  </si>
  <si>
    <t>Alta</t>
  </si>
  <si>
    <t>Media</t>
  </si>
  <si>
    <t>Bassa</t>
  </si>
  <si>
    <t xml:space="preserve">Minaccia descr. </t>
  </si>
  <si>
    <t>p(m)</t>
  </si>
  <si>
    <t>Ris(m)</t>
  </si>
  <si>
    <t>Int(m)</t>
  </si>
  <si>
    <t>Dis(m)</t>
  </si>
  <si>
    <t>Ris(a)</t>
  </si>
  <si>
    <t>Int(a)</t>
  </si>
  <si>
    <t>Dis(a)</t>
  </si>
  <si>
    <t>RI-ris(m,a)</t>
  </si>
  <si>
    <t>RI-int(m,a)</t>
  </si>
  <si>
    <t>RI-dis(m,a)</t>
  </si>
  <si>
    <t>RI(m,a)</t>
  </si>
  <si>
    <t xml:space="preserve">Vulnerabilità riscontrate </t>
  </si>
  <si>
    <t>Assenza di antivirus, scarsa formazione del personale</t>
  </si>
  <si>
    <t>Mancanza di firewall che filtrano le richieste</t>
  </si>
  <si>
    <t>Assenza di sistemi e dispositivi antincendio, alte quantità di materiale infiammanile</t>
  </si>
  <si>
    <t xml:space="preserve">Assenza di sistemi di rilevaemnto delle intrusioni nei sistemi informatici </t>
  </si>
  <si>
    <t>Mancanza di controlli e aggiornamenti periodici, scarsa formazione del personale</t>
  </si>
  <si>
    <t>R-Ris(m,a,c)</t>
  </si>
  <si>
    <t>R-Int(m,a,c)</t>
  </si>
  <si>
    <t>R-Dis(m,a,c)</t>
  </si>
  <si>
    <t>R(m,a,c)</t>
  </si>
  <si>
    <t>Rischio totale</t>
  </si>
  <si>
    <t xml:space="preserve">Descrizione </t>
  </si>
  <si>
    <t>p(m,c)</t>
  </si>
  <si>
    <t>Dis(a,c)</t>
  </si>
  <si>
    <t>Int(a,c)</t>
  </si>
  <si>
    <t>Ris(a,c)</t>
  </si>
  <si>
    <t>g(v)</t>
  </si>
  <si>
    <t>MAX</t>
  </si>
  <si>
    <t>Ris(m,a,v)</t>
  </si>
  <si>
    <t>n!</t>
  </si>
  <si>
    <t>k!(n-k)!</t>
  </si>
  <si>
    <t>n su k</t>
  </si>
  <si>
    <t>(1-π)^(n-k)</t>
  </si>
  <si>
    <t>P(X)</t>
  </si>
  <si>
    <t>X (k)</t>
  </si>
  <si>
    <t>π^k</t>
  </si>
  <si>
    <t xml:space="preserve">n = 10 </t>
  </si>
  <si>
    <t xml:space="preserve">Numero di prove ripetute </t>
  </si>
  <si>
    <t>Eventi favorevoli</t>
  </si>
  <si>
    <t>k = 1…10</t>
  </si>
  <si>
    <t>π = 0,5</t>
  </si>
  <si>
    <t>Probabilità evento favorevole</t>
  </si>
  <si>
    <t>1-π = 0,5</t>
  </si>
  <si>
    <t>Probabilità complementare</t>
  </si>
  <si>
    <t xml:space="preserve">X </t>
  </si>
  <si>
    <t>e^(-λ)</t>
  </si>
  <si>
    <t>λ^x</t>
  </si>
  <si>
    <t>x!</t>
  </si>
  <si>
    <t>P(X)=e^(-λ)*(λ^X/X!)</t>
  </si>
  <si>
    <t>Cum P(X)</t>
  </si>
  <si>
    <t>P value</t>
  </si>
  <si>
    <t>Numero di giorni</t>
  </si>
  <si>
    <t>π = 0,07</t>
  </si>
  <si>
    <t>1-π = 0,93</t>
  </si>
  <si>
    <t>µ= 𝜎2 = λ= n π = 0,7</t>
  </si>
  <si>
    <t>bassa</t>
  </si>
  <si>
    <t>alta</t>
  </si>
  <si>
    <t>media</t>
  </si>
  <si>
    <t>Classificazione</t>
  </si>
  <si>
    <t>RID</t>
  </si>
  <si>
    <t>Totale</t>
  </si>
  <si>
    <t>probabilità p(m)</t>
  </si>
  <si>
    <t>0,66-1,00</t>
  </si>
  <si>
    <t>0,34-0,65</t>
  </si>
  <si>
    <t>prevenzione</t>
  </si>
  <si>
    <t>prev. e recup</t>
  </si>
  <si>
    <t>0,00-0,33</t>
  </si>
  <si>
    <t>accettabile</t>
  </si>
  <si>
    <t>recupero</t>
  </si>
  <si>
    <t>0-3</t>
  </si>
  <si>
    <t>4-7</t>
  </si>
  <si>
    <t>8-10</t>
  </si>
  <si>
    <t>conseguenza impatto i(a)</t>
  </si>
  <si>
    <t>Controlli</t>
  </si>
  <si>
    <t>R-ris(m,a,c)</t>
  </si>
  <si>
    <t>R-int(m,a,c)</t>
  </si>
  <si>
    <t>R-dis(m,a,c)</t>
  </si>
  <si>
    <t>e = numero di Neplero = 2,718</t>
  </si>
  <si>
    <t>Data Breach  problmei tecnici</t>
  </si>
  <si>
    <t>Incendio R</t>
  </si>
  <si>
    <t>Incendio D</t>
  </si>
  <si>
    <t xml:space="preserve"> Incendio I</t>
  </si>
  <si>
    <t>Data Breach R  Problemi tecnici D</t>
  </si>
  <si>
    <t>DDOS RI</t>
  </si>
  <si>
    <t xml:space="preserve"> DDOS D</t>
  </si>
  <si>
    <t>Malware RID</t>
  </si>
  <si>
    <t xml:space="preserve">DDOS  </t>
  </si>
  <si>
    <t>X</t>
  </si>
  <si>
    <t>&lt;50%</t>
  </si>
  <si>
    <t>&lt;5%</t>
  </si>
  <si>
    <t>&lt;1%</t>
  </si>
  <si>
    <t>&lt;0,1%</t>
  </si>
  <si>
    <t>&lt;0,01%</t>
  </si>
  <si>
    <t>&lt;0,001%</t>
  </si>
  <si>
    <t xml:space="preserve"> </t>
  </si>
  <si>
    <t>Installazione di antivirus, formazione del personale, eseguire il backup giornaliero dei file</t>
  </si>
  <si>
    <t>Manutenzione periodica dei sistemi, formazione del personale</t>
  </si>
  <si>
    <t>Installazione di sistemi per il rilevamento degli accessi e dei dispositivi connessi</t>
  </si>
  <si>
    <t>Estintori, sistemi di rilevamento fumo</t>
  </si>
  <si>
    <t>Attivazione del Firewall sulla rete dell'organizzazione</t>
  </si>
  <si>
    <t>&gt;50%</t>
  </si>
  <si>
    <t>π = 0,025</t>
  </si>
  <si>
    <t>1-π = 0,975</t>
  </si>
  <si>
    <t>Data Breach ID  Problemi tecbnici R</t>
  </si>
  <si>
    <t>Problemi tecnici I</t>
  </si>
  <si>
    <t>Probabilità evento favorevole (minacce)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</si>
</sst>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0"/>
    <numFmt numFmtId="165" formatCode="0.000000"/>
    <numFmt numFmtId="166" formatCode="_-* #,##0.000000000_-;\-* #,##0.000000000_-;_-* &quot;-&quot;??_-;_-@_-"/>
    <numFmt numFmtId="167" formatCode="0.0000000"/>
    <numFmt numFmtId="168" formatCode="0.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8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57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60"/>
      </patternFill>
    </fill>
    <fill>
      <patternFill patternType="solid">
        <fgColor rgb="FFFF0000"/>
        <bgColor indexed="57"/>
      </patternFill>
    </fill>
    <fill>
      <patternFill patternType="solid">
        <fgColor rgb="FFFFFF00"/>
        <bgColor indexed="60"/>
      </patternFill>
    </fill>
    <fill>
      <patternFill patternType="solid">
        <fgColor rgb="FF92D050"/>
        <bgColor indexed="34"/>
      </patternFill>
    </fill>
    <fill>
      <patternFill patternType="solid">
        <fgColor rgb="FFFFFF00"/>
        <bgColor indexed="57"/>
      </patternFill>
    </fill>
    <fill>
      <patternFill patternType="solid">
        <fgColor rgb="FF92D050"/>
        <bgColor indexed="57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0"/>
      </patternFill>
    </fill>
    <fill>
      <patternFill patternType="solid">
        <fgColor rgb="FFFFFF00"/>
        <bgColor indexed="3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54"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2" fillId="0" borderId="0" xfId="0" applyFont="1"/>
    <xf numFmtId="0" fontId="0" fillId="0" borderId="22" xfId="0" applyBorder="1" applyAlignment="1">
      <alignment textRotation="90"/>
    </xf>
    <xf numFmtId="0" fontId="2" fillId="0" borderId="22" xfId="0" applyFont="1" applyBorder="1" applyAlignment="1">
      <alignment horizontal="center"/>
    </xf>
    <xf numFmtId="0" fontId="8" fillId="9" borderId="23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8" fillId="9" borderId="28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20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3" borderId="20" xfId="0" applyFont="1" applyFill="1" applyBorder="1" applyAlignment="1">
      <alignment horizontal="center"/>
    </xf>
    <xf numFmtId="0" fontId="12" fillId="0" borderId="20" xfId="0" applyFont="1" applyBorder="1" applyAlignment="1">
      <alignment horizontal="left"/>
    </xf>
    <xf numFmtId="0" fontId="12" fillId="5" borderId="20" xfId="0" applyFont="1" applyFill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2" fillId="7" borderId="12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0" xfId="0" applyBorder="1"/>
    <xf numFmtId="0" fontId="4" fillId="0" borderId="20" xfId="0" applyFont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15" borderId="20" xfId="0" applyFill="1" applyBorder="1" applyAlignment="1">
      <alignment horizontal="center"/>
    </xf>
    <xf numFmtId="0" fontId="0" fillId="13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2" borderId="20" xfId="0" applyFill="1" applyBorder="1" applyAlignment="1">
      <alignment horizontal="center"/>
    </xf>
    <xf numFmtId="0" fontId="0" fillId="14" borderId="20" xfId="0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6" borderId="20" xfId="0" applyFont="1" applyFill="1" applyBorder="1" applyAlignment="1">
      <alignment horizontal="center"/>
    </xf>
    <xf numFmtId="0" fontId="7" fillId="0" borderId="20" xfId="0" applyNumberFormat="1" applyFont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8" borderId="20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33" xfId="0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0" fontId="0" fillId="0" borderId="8" xfId="0" applyBorder="1"/>
    <xf numFmtId="0" fontId="7" fillId="16" borderId="2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19" fillId="0" borderId="8" xfId="0" applyFon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8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9" borderId="3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36" xfId="0" applyFill="1" applyBorder="1" applyAlignment="1">
      <alignment horizontal="center"/>
    </xf>
    <xf numFmtId="0" fontId="0" fillId="10" borderId="36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0" fillId="15" borderId="35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7" borderId="36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0" borderId="21" xfId="0" applyBorder="1" applyAlignment="1">
      <alignment textRotation="90"/>
    </xf>
    <xf numFmtId="0" fontId="0" fillId="0" borderId="21" xfId="0" applyBorder="1"/>
    <xf numFmtId="0" fontId="0" fillId="0" borderId="29" xfId="0" applyBorder="1"/>
  </cellXfs>
  <cellStyles count="2">
    <cellStyle name="Migliaia" xfId="1" builtinId="3"/>
    <cellStyle name="Normale" xfId="0" builtinId="0"/>
  </cellStyles>
  <dxfs count="128">
    <dxf>
      <numFmt numFmtId="168" formatCode="0.000000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8" formatCode="0.000000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_-* #,##0.000000000_-;\-* #,##0.000000000_-;_-* &quot;-&quot;??_-;_-@_-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0.0000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0.000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7" formatCode="0.0000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0.0000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0.00000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67" formatCode="0.0000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7" formatCode="0.0000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64" formatCode="0.000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</border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auto="1"/>
        </bottom>
      </border>
    </dxf>
    <dxf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59999389629810485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59999389629810485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9" tint="0.59999389629810485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/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left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/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>
        <top style="medium">
          <color indexed="8"/>
        </top>
      </border>
    </dxf>
    <dxf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ont>
        <strike val="0"/>
        <outline val="0"/>
        <shadow val="0"/>
        <vertAlign val="baseline"/>
        <sz val="12"/>
        <family val="2"/>
      </font>
      <alignment horizontal="center" vertical="bottom" textRotation="0" wrapText="0" indent="0" justifyLastLine="0" shrinkToFit="0" readingOrder="0"/>
    </dxf>
    <dxf>
      <border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solidFill>
                  <a:sysClr val="windowText" lastClr="000000"/>
                </a:solidFill>
                <a:effectLst/>
              </a:rPr>
              <a:t>Rischio integrità</a:t>
            </a:r>
            <a:endParaRPr lang="it-IT" sz="1400" b="1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baseline="0">
                <a:solidFill>
                  <a:sysClr val="windowText" lastClr="000000"/>
                </a:solidFill>
                <a:effectLst/>
              </a:rPr>
              <a:t>RI-int(m,a)</a:t>
            </a:r>
            <a:endParaRPr lang="it-IT" sz="1200" b="1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23532407407407407"/>
          <c:w val="0.8902939632545932"/>
          <c:h val="0.65727653834937305"/>
        </c:manualLayout>
      </c:layout>
      <c:scatterChart>
        <c:scatterStyle val="lineMarker"/>
        <c:varyColors val="0"/>
        <c:ser>
          <c:idx val="1"/>
          <c:order val="1"/>
          <c:tx>
            <c:strRef>
              <c:f>'Rischio intrinseco'!$P$2:$P$6</c:f>
              <c:strCache>
                <c:ptCount val="5"/>
                <c:pt idx="0">
                  <c:v>6,3</c:v>
                </c:pt>
                <c:pt idx="1">
                  <c:v>0</c:v>
                </c:pt>
                <c:pt idx="2">
                  <c:v>2,4</c:v>
                </c:pt>
                <c:pt idx="3">
                  <c:v>0</c:v>
                </c:pt>
                <c:pt idx="4">
                  <c:v>0,56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5D6-4E5E-97D4-CBF4332CDDF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DDOS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5D6-4E5E-97D4-CBF4332CDDF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</a:t>
                    </a:r>
                    <a:r>
                      <a:rPr lang="en-US" baseline="0"/>
                      <a:t> Tecnici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5D6-4E5E-97D4-CBF4332CDDF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5D6-4E5E-97D4-CBF4332CDDF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12B-4EF2-8F94-FF4C4D5DA8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'Rischio intrinseco'!$P$2:$P$6</c:f>
              <c:numCache>
                <c:formatCode>General</c:formatCode>
                <c:ptCount val="5"/>
                <c:pt idx="0">
                  <c:v>6.3</c:v>
                </c:pt>
                <c:pt idx="1">
                  <c:v>0</c:v>
                </c:pt>
                <c:pt idx="2">
                  <c:v>2.4</c:v>
                </c:pt>
                <c:pt idx="3">
                  <c:v>0</c:v>
                </c:pt>
                <c:pt idx="4">
                  <c:v>0.56000000000000005</c:v>
                </c:pt>
              </c:numCache>
            </c:numRef>
          </c:xVal>
          <c:yVal>
            <c:numRef>
              <c:f>'Rischio intrinseco'!$H$2:$H$6</c:f>
              <c:numCache>
                <c:formatCode>General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D6-4E5E-97D4-CBF4332CD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72104"/>
        <c:axId val="809373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Malware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1-D12B-4EF2-8F94-FF4C4D5DA8CE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DDOS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2-D12B-4EF2-8F94-FF4C4D5DA8CE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Problemi tecnici 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D12B-4EF2-8F94-FF4C4D5DA8CE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r>
                            <a:rPr lang="en-US"/>
                            <a:t>Data Breach</a:t>
                          </a:r>
                        </a:p>
                      </c:rich>
                    </c:tx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4-D12B-4EF2-8F94-FF4C4D5DA8C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it-IT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yVal>
                  <c:numRef>
                    <c:extLst>
                      <c:ext uri="{02D57815-91ED-43cb-92C2-25804820EDAC}">
                        <c15:formulaRef>
                          <c15:sqref>'Rischio intrinseco'!$H$2:$H$5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0.9</c:v>
                      </c:pt>
                      <c:pt idx="1">
                        <c:v>0.7</c:v>
                      </c:pt>
                      <c:pt idx="2">
                        <c:v>0.6</c:v>
                      </c:pt>
                      <c:pt idx="3">
                        <c:v>0.4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CF5-481E-B35C-A3077C759144}"/>
                  </c:ext>
                </c:extLst>
              </c15:ser>
            </c15:filteredScatterSeries>
          </c:ext>
        </c:extLst>
      </c:scatterChart>
      <c:valAx>
        <c:axId val="80937210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373416"/>
        <c:crosses val="autoZero"/>
        <c:crossBetween val="midCat"/>
      </c:valAx>
      <c:valAx>
        <c:axId val="8093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37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>
                <a:solidFill>
                  <a:sysClr val="windowText" lastClr="000000"/>
                </a:solidFill>
              </a:rPr>
              <a:t>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'Binomiale-data breach'!$B$2:$B$12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'Binomiale-data breach'!$H$2:$H$12</c:f>
              <c:numCache>
                <c:formatCode>0.0000000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0.20507812499999997</c:v>
                </c:pt>
                <c:pt idx="5">
                  <c:v>0.24609375</c:v>
                </c:pt>
                <c:pt idx="6">
                  <c:v>0.20507812499999997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B-46BC-A557-EB926226B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87472448"/>
        <c:axId val="1187472776"/>
      </c:barChart>
      <c:catAx>
        <c:axId val="11874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7472776"/>
        <c:crosses val="autoZero"/>
        <c:auto val="1"/>
        <c:lblAlgn val="ctr"/>
        <c:lblOffset val="100"/>
        <c:noMultiLvlLbl val="0"/>
      </c:catAx>
      <c:valAx>
        <c:axId val="1187472776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74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ysClr val="windowText" lastClr="000000"/>
                </a:solidFill>
              </a:rPr>
              <a:t>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'Probabilità composta - D. B.'!$A$2:$A$12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'Probabilità composta - D. B.'!$G$2:$G$12</c:f>
              <c:numCache>
                <c:formatCode>0.0000000</c:formatCode>
                <c:ptCount val="11"/>
                <c:pt idx="0">
                  <c:v>0.77632962085643753</c:v>
                </c:pt>
                <c:pt idx="1">
                  <c:v>0.19905887714267631</c:v>
                </c:pt>
                <c:pt idx="2">
                  <c:v>2.2968331978001116E-2</c:v>
                </c:pt>
                <c:pt idx="3">
                  <c:v>1.5704842378120422E-3</c:v>
                </c:pt>
                <c:pt idx="4">
                  <c:v>7.0470446568489091E-5</c:v>
                </c:pt>
                <c:pt idx="5">
                  <c:v>2.1683214328765879E-6</c:v>
                </c:pt>
                <c:pt idx="6">
                  <c:v>4.6331654548645034E-8</c:v>
                </c:pt>
                <c:pt idx="7">
                  <c:v>6.7885208129882861E-10</c:v>
                </c:pt>
                <c:pt idx="8">
                  <c:v>6.5274238586425832E-12</c:v>
                </c:pt>
                <c:pt idx="9">
                  <c:v>3.719329833984378E-14</c:v>
                </c:pt>
                <c:pt idx="10">
                  <c:v>9.5367431640625102E-17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C-43C8-BA69-0AD2308DC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787742504"/>
        <c:axId val="787742176"/>
      </c:barChart>
      <c:catAx>
        <c:axId val="78774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742176"/>
        <c:crosses val="autoZero"/>
        <c:auto val="1"/>
        <c:lblAlgn val="ctr"/>
        <c:lblOffset val="100"/>
        <c:noMultiLvlLbl val="0"/>
      </c:catAx>
      <c:valAx>
        <c:axId val="787742176"/>
        <c:scaling>
          <c:orientation val="minMax"/>
        </c:scaling>
        <c:delete val="0"/>
        <c:axPos val="l"/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74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>
                <a:solidFill>
                  <a:sysClr val="windowText" lastClr="000000"/>
                </a:solidFill>
              </a:rPr>
              <a:t>P(X)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'Poisson - Incendio'!$B$2:$B$12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'Poisson - Incendio'!$F$2:$F$12</c:f>
              <c:numCache>
                <c:formatCode>_-* #,##0.000000000_-;\-* #,##0.000000000_-;_-* "-"??_-;_-@_-</c:formatCode>
                <c:ptCount val="11"/>
                <c:pt idx="0">
                  <c:v>0.49662134675904046</c:v>
                </c:pt>
                <c:pt idx="1">
                  <c:v>0.34763494273132828</c:v>
                </c:pt>
                <c:pt idx="2">
                  <c:v>0.1216722299559649</c:v>
                </c:pt>
                <c:pt idx="3">
                  <c:v>2.839018698972514E-2</c:v>
                </c:pt>
                <c:pt idx="4">
                  <c:v>4.9682827232018986E-3</c:v>
                </c:pt>
                <c:pt idx="5">
                  <c:v>6.9555958124826588E-4</c:v>
                </c:pt>
                <c:pt idx="6">
                  <c:v>8.1148617812297675E-5</c:v>
                </c:pt>
                <c:pt idx="7">
                  <c:v>8.1148617812297655E-6</c:v>
                </c:pt>
                <c:pt idx="8">
                  <c:v>7.1005040585760452E-7</c:v>
                </c:pt>
                <c:pt idx="9">
                  <c:v>5.5226142677813684E-8</c:v>
                </c:pt>
                <c:pt idx="10">
                  <c:v>3.8658299874469577E-9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FA-4F1E-B5E1-B1A20EF0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029814400"/>
        <c:axId val="1029808824"/>
      </c:barChart>
      <c:catAx>
        <c:axId val="10298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9808824"/>
        <c:crosses val="autoZero"/>
        <c:auto val="1"/>
        <c:lblAlgn val="ctr"/>
        <c:lblOffset val="100"/>
        <c:noMultiLvlLbl val="0"/>
      </c:catAx>
      <c:valAx>
        <c:axId val="1029808824"/>
        <c:scaling>
          <c:orientation val="minMax"/>
          <c:max val="0.60000000000000009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981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>
                <a:solidFill>
                  <a:sysClr val="windowText" lastClr="000000"/>
                </a:solidFill>
              </a:rPr>
              <a:t>CUM</a:t>
            </a:r>
            <a:r>
              <a:rPr lang="it-IT" sz="1400" baseline="0">
                <a:solidFill>
                  <a:sysClr val="windowText" lastClr="000000"/>
                </a:solidFill>
              </a:rPr>
              <a:t> P(X)</a:t>
            </a:r>
            <a:endParaRPr lang="it-IT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'Poisson - Incendio'!$B$2:$B$12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'Poisson - Incendio'!$G$2:$G$12</c:f>
              <c:numCache>
                <c:formatCode>0.000000000</c:formatCode>
                <c:ptCount val="11"/>
                <c:pt idx="0">
                  <c:v>0.48398230717929314</c:v>
                </c:pt>
                <c:pt idx="1">
                  <c:v>0.84827006527123427</c:v>
                </c:pt>
                <c:pt idx="2">
                  <c:v>0.9716578543023755</c:v>
                </c:pt>
                <c:pt idx="3">
                  <c:v>0.99642386213658318</c:v>
                </c:pt>
                <c:pt idx="4">
                  <c:v>0.99968605134055144</c:v>
                </c:pt>
                <c:pt idx="5">
                  <c:v>0.9999807006880066</c:v>
                </c:pt>
                <c:pt idx="6">
                  <c:v>0.99999918227790074</c:v>
                </c:pt>
                <c:pt idx="7">
                  <c:v>0.99999997718499301</c:v>
                </c:pt>
                <c:pt idx="8">
                  <c:v>0.99999999962188668</c:v>
                </c:pt>
                <c:pt idx="9">
                  <c:v>0.99999999999717526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6-4309-A8CF-EAB268AB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88645904"/>
        <c:axId val="1188644592"/>
      </c:barChart>
      <c:catAx>
        <c:axId val="118864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8644592"/>
        <c:crosses val="autoZero"/>
        <c:auto val="1"/>
        <c:lblAlgn val="ctr"/>
        <c:lblOffset val="100"/>
        <c:noMultiLvlLbl val="0"/>
      </c:catAx>
      <c:valAx>
        <c:axId val="1188644592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864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Rischio riservatezza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RI-ris(m,a)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65A-466D-94B9-F5FACC2636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DDOS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65A-466D-94B9-F5FACC2636B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 tecnici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65A-466D-94B9-F5FACC2636B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65A-466D-94B9-F5FACC2636B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65A-466D-94B9-F5FACC2636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'Rischio intrinseco'!$O$2:$O$6</c:f>
              <c:numCache>
                <c:formatCode>General</c:formatCode>
                <c:ptCount val="5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3.6</c:v>
                </c:pt>
                <c:pt idx="4">
                  <c:v>0</c:v>
                </c:pt>
              </c:numCache>
            </c:numRef>
          </c:xVal>
          <c:yVal>
            <c:numRef>
              <c:f>'Rischio intrinseco'!$H$2:$H$6</c:f>
              <c:numCache>
                <c:formatCode>General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5A-466D-94B9-F5FACC26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75736"/>
        <c:axId val="482776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'Rischio intrinseco'!$B$2:$B$6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65A-466D-94B9-F5FACC2636B9}"/>
                  </c:ext>
                </c:extLst>
              </c15:ser>
            </c15:filteredScatterSeries>
          </c:ext>
        </c:extLst>
      </c:scatterChart>
      <c:valAx>
        <c:axId val="48277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776392"/>
        <c:crosses val="autoZero"/>
        <c:crossBetween val="midCat"/>
      </c:valAx>
      <c:valAx>
        <c:axId val="482776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2775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Rischio intrinseco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RI(m,a)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294-4D0B-9FA9-619362D63C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DDOS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294-4D0B-9FA9-619362D63C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 tecnici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C294-4D0B-9FA9-619362D63CB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294-4D0B-9FA9-619362D63CB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704-4A89-BE9D-029F4228FB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'Rischio intrinseco'!$R$2:$R$6</c:f>
              <c:numCache>
                <c:formatCode>General</c:formatCode>
                <c:ptCount val="5"/>
                <c:pt idx="0">
                  <c:v>16.200000000000003</c:v>
                </c:pt>
                <c:pt idx="1">
                  <c:v>6.3</c:v>
                </c:pt>
                <c:pt idx="2">
                  <c:v>7.1999999999999993</c:v>
                </c:pt>
                <c:pt idx="3">
                  <c:v>3.6</c:v>
                </c:pt>
                <c:pt idx="4">
                  <c:v>1.05</c:v>
                </c:pt>
              </c:numCache>
            </c:numRef>
          </c:xVal>
          <c:yVal>
            <c:numRef>
              <c:f>'Rischio intrinseco'!$H$2:$H$6</c:f>
              <c:numCache>
                <c:formatCode>General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704-4A89-BE9D-029F4228F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13400"/>
        <c:axId val="5477143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'Rischio intrinseco'!$O$1:$O$5</c15:sqref>
                        </c15:formulaRef>
                      </c:ext>
                    </c:extLst>
                    <c:strCache>
                      <c:ptCount val="5"/>
                      <c:pt idx="0">
                        <c:v>RI-ris(m,a)</c:v>
                      </c:pt>
                      <c:pt idx="1">
                        <c:v>4,5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3,6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04-4A89-BE9D-029F4228FB69}"/>
                  </c:ext>
                </c:extLst>
              </c15:ser>
            </c15:filteredScatterSeries>
          </c:ext>
        </c:extLst>
      </c:scatterChart>
      <c:valAx>
        <c:axId val="547713400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714384"/>
        <c:crosses val="autoZero"/>
        <c:crossBetween val="midCat"/>
      </c:valAx>
      <c:valAx>
        <c:axId val="54771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7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>
                <a:solidFill>
                  <a:sysClr val="windowText" lastClr="000000"/>
                </a:solidFill>
              </a:rPr>
              <a:t>Rischio disponibilità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>
                <a:solidFill>
                  <a:sysClr val="windowText" lastClr="000000"/>
                </a:solidFill>
              </a:rPr>
              <a:t>RI-int(m,a</a:t>
            </a:r>
            <a:r>
              <a:rPr lang="it-IT" sz="1200"/>
              <a:t>)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2817147856517939E-2"/>
          <c:y val="0.23532407407407407"/>
          <c:w val="0.8902939632545932"/>
          <c:h val="0.65727653834937305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AB34-4703-B11D-7FA7A60DE03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  <a:p>
                    <a:r>
                      <a:rPr lang="en-US"/>
                      <a:t>DDOS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B34-4703-B11D-7FA7A60DE03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</a:t>
                    </a:r>
                    <a:r>
                      <a:rPr lang="en-US" baseline="0"/>
                      <a:t> Tecnici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B34-4703-B11D-7FA7A60DE03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B34-4703-B11D-7FA7A60DE03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B34-4703-B11D-7FA7A60DE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'Rischio intrinseco'!$Q$2:$Q$6</c:f>
              <c:numCache>
                <c:formatCode>General</c:formatCode>
                <c:ptCount val="5"/>
                <c:pt idx="0">
                  <c:v>5.4</c:v>
                </c:pt>
                <c:pt idx="1">
                  <c:v>6.3</c:v>
                </c:pt>
                <c:pt idx="2">
                  <c:v>4.8</c:v>
                </c:pt>
                <c:pt idx="3">
                  <c:v>0</c:v>
                </c:pt>
                <c:pt idx="4">
                  <c:v>0.49000000000000005</c:v>
                </c:pt>
              </c:numCache>
            </c:numRef>
          </c:xVal>
          <c:yVal>
            <c:numRef>
              <c:f>'Rischio intrinseco'!$H$2:$H$6</c:f>
              <c:numCache>
                <c:formatCode>General</c:formatCode>
                <c:ptCount val="5"/>
                <c:pt idx="0">
                  <c:v>0.9</c:v>
                </c:pt>
                <c:pt idx="1">
                  <c:v>0.7</c:v>
                </c:pt>
                <c:pt idx="2">
                  <c:v>0.6</c:v>
                </c:pt>
                <c:pt idx="3">
                  <c:v>0.4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B81-41BE-A83E-4A4FC94D7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72104"/>
        <c:axId val="8093734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0C-6B81-41BE-A83E-4A4FC94D7659}"/>
                  </c:ext>
                </c:extLst>
              </c15:ser>
            </c15:filteredScatterSeries>
          </c:ext>
        </c:extLst>
      </c:scatterChart>
      <c:valAx>
        <c:axId val="809372104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373416"/>
        <c:crosses val="autoZero"/>
        <c:crossBetween val="midCat"/>
      </c:valAx>
      <c:valAx>
        <c:axId val="8093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937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solidFill>
                  <a:sysClr val="windowText" lastClr="000000"/>
                </a:solidFill>
                <a:effectLst/>
              </a:rPr>
              <a:t>Rischio totale riservatezza</a:t>
            </a:r>
            <a:endParaRPr lang="it-IT" sz="14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baseline="0">
                <a:solidFill>
                  <a:sysClr val="windowText" lastClr="000000"/>
                </a:solidFill>
                <a:effectLst/>
              </a:rPr>
              <a:t>R-Ris(m,a,c)</a:t>
            </a:r>
            <a:endParaRPr lang="it-IT" sz="12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2399537037037037"/>
          <c:w val="0.87762729658792649"/>
          <c:h val="0.6526469087197434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11C-46F6-996C-6061181383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11C-46F6-996C-6061181383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 Tecnici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11C-46F6-996C-6061181383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11C-46F6-996C-6061181383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11C-46F6-996C-606118138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'Livello di rischio quantitativo'!$O$2:$O$6</c:f>
              <c:numCache>
                <c:formatCode>General</c:formatCode>
                <c:ptCount val="5"/>
                <c:pt idx="0">
                  <c:v>1.2</c:v>
                </c:pt>
                <c:pt idx="1">
                  <c:v>0</c:v>
                </c:pt>
                <c:pt idx="2">
                  <c:v>0</c:v>
                </c:pt>
                <c:pt idx="3">
                  <c:v>1.6</c:v>
                </c:pt>
                <c:pt idx="4">
                  <c:v>0</c:v>
                </c:pt>
              </c:numCache>
            </c:numRef>
          </c:xVal>
          <c:yVal>
            <c:numRef>
              <c:f>'Livello di rischio quantitativo'!$H$2:$H$6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1C-46F6-996C-60611813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94104"/>
        <c:axId val="874494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'Livello di rischio quantitativo'!$H$2:$H$6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7.0000000000000007E-2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011C-46F6-996C-606118138329}"/>
                  </c:ext>
                </c:extLst>
              </c15:ser>
            </c15:filteredScatterSeries>
          </c:ext>
        </c:extLst>
      </c:scatterChart>
      <c:valAx>
        <c:axId val="87449410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494432"/>
        <c:crosses val="autoZero"/>
        <c:crossBetween val="midCat"/>
      </c:valAx>
      <c:valAx>
        <c:axId val="8744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449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solidFill>
                  <a:sysClr val="windowText" lastClr="000000"/>
                </a:solidFill>
                <a:effectLst/>
              </a:rPr>
              <a:t>Rischio totale integrità</a:t>
            </a:r>
            <a:endParaRPr lang="it-IT" sz="14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baseline="0">
                <a:solidFill>
                  <a:sysClr val="windowText" lastClr="000000"/>
                </a:solidFill>
                <a:effectLst/>
              </a:rPr>
              <a:t>R-Int(m,a,c)</a:t>
            </a:r>
            <a:endParaRPr lang="it-IT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1912568306010931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D83-4FA0-B38C-753201FB87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D83-4FA0-B38C-753201FB87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 Tecnici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D83-4FA0-B38C-753201FB87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Data Breach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D83-4FA0-B38C-753201FB87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D83-4FA0-B38C-753201FB87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'Livello di rischio quantitativo'!$P$2:$P$6</c:f>
              <c:numCache>
                <c:formatCode>General</c:formatCode>
                <c:ptCount val="5"/>
                <c:pt idx="0">
                  <c:v>1.7999999999999998</c:v>
                </c:pt>
                <c:pt idx="1">
                  <c:v>0</c:v>
                </c:pt>
                <c:pt idx="2">
                  <c:v>0.30000000000000004</c:v>
                </c:pt>
                <c:pt idx="3">
                  <c:v>0</c:v>
                </c:pt>
                <c:pt idx="4">
                  <c:v>0.49000000000000005</c:v>
                </c:pt>
              </c:numCache>
            </c:numRef>
          </c:xVal>
          <c:yVal>
            <c:numRef>
              <c:f>'Livello di rischio quantitativo'!$H$2:$H$6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83-4FA0-B38C-753201FB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021216"/>
        <c:axId val="10160215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'Livello di rischio quantitativo'!$H$2:$H$6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7.0000000000000007E-2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D83-4FA0-B38C-753201FB87BF}"/>
                  </c:ext>
                </c:extLst>
              </c15:ser>
            </c15:filteredScatterSeries>
          </c:ext>
        </c:extLst>
      </c:scatterChart>
      <c:valAx>
        <c:axId val="10160212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021544"/>
        <c:crosses val="autoZero"/>
        <c:crossBetween val="midCat"/>
        <c:majorUnit val="0.5"/>
      </c:valAx>
      <c:valAx>
        <c:axId val="10160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02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solidFill>
                  <a:sysClr val="windowText" lastClr="000000"/>
                </a:solidFill>
                <a:effectLst/>
              </a:rPr>
              <a:t>Rischio totale disponibilità</a:t>
            </a:r>
            <a:endParaRPr lang="it-IT" sz="14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baseline="0">
                <a:solidFill>
                  <a:sysClr val="windowText" lastClr="000000"/>
                </a:solidFill>
                <a:effectLst/>
              </a:rPr>
              <a:t>R-Dis(m,a,c)</a:t>
            </a:r>
            <a:endParaRPr lang="it-IT" sz="12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23053230219935616"/>
          <c:w val="0.86817585301837275"/>
          <c:h val="0.66206835676082698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0FC-4DB2-9D70-AABCD20424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DDOS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0FC-4DB2-9D70-AABCD20424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 Tecnici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0FC-4DB2-9D70-AABCD20424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0FC-4DB2-9D70-AABCD20424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0FC-4DB2-9D70-AABCD20424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'Livello di rischio quantitativo'!$Q$2:$Q$6</c:f>
              <c:numCache>
                <c:formatCode>General</c:formatCode>
                <c:ptCount val="5"/>
                <c:pt idx="0">
                  <c:v>1.5</c:v>
                </c:pt>
                <c:pt idx="1">
                  <c:v>2.1</c:v>
                </c:pt>
                <c:pt idx="2">
                  <c:v>0.70000000000000007</c:v>
                </c:pt>
                <c:pt idx="3">
                  <c:v>0</c:v>
                </c:pt>
                <c:pt idx="4">
                  <c:v>0.42000000000000004</c:v>
                </c:pt>
              </c:numCache>
            </c:numRef>
          </c:xVal>
          <c:yVal>
            <c:numRef>
              <c:f>'Livello di rischio quantitativo'!$H$2:$H$6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FC-4DB2-9D70-AABCD204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80040"/>
        <c:axId val="1015581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'Livello di rischio quantitativo'!$H$2:$H$6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7.0000000000000007E-2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90FC-4DB2-9D70-AABCD204244B}"/>
                  </c:ext>
                </c:extLst>
              </c15:ser>
            </c15:filteredScatterSeries>
          </c:ext>
        </c:extLst>
      </c:scatterChart>
      <c:valAx>
        <c:axId val="1015580040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581352"/>
        <c:crosses val="autoZero"/>
        <c:crossBetween val="midCat"/>
      </c:valAx>
      <c:valAx>
        <c:axId val="101558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558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1" i="0" baseline="0">
                <a:solidFill>
                  <a:sysClr val="windowText" lastClr="000000"/>
                </a:solidFill>
                <a:effectLst/>
              </a:rPr>
              <a:t>Rischio totale </a:t>
            </a:r>
            <a:endParaRPr lang="it-IT" sz="14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 b="1" i="0" baseline="0">
                <a:solidFill>
                  <a:sysClr val="windowText" lastClr="000000"/>
                </a:solidFill>
                <a:effectLst/>
              </a:rPr>
              <a:t>R(m,a,c)</a:t>
            </a:r>
            <a:endParaRPr lang="it-IT" sz="12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8.3128506829677082E-2"/>
          <c:y val="0.23257835735529628"/>
          <c:w val="0.87180796079582434"/>
          <c:h val="0.66127537077769194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Malware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280-4C39-B725-B28325D7A8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DDOS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280-4C39-B725-B28325D7A8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Problemi Tecnici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280-4C39-B725-B28325D7A8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Data Breach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280-4C39-B725-B28325D7A8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Incendio</a:t>
                    </a:r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280-4C39-B725-B28325D7A8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'Livello di rischio quantitativo'!$R$2:$R$6</c:f>
              <c:numCache>
                <c:formatCode>General</c:formatCode>
                <c:ptCount val="5"/>
                <c:pt idx="0">
                  <c:v>4.5</c:v>
                </c:pt>
                <c:pt idx="1">
                  <c:v>2.1</c:v>
                </c:pt>
                <c:pt idx="2">
                  <c:v>1</c:v>
                </c:pt>
                <c:pt idx="3">
                  <c:v>1.6</c:v>
                </c:pt>
                <c:pt idx="4">
                  <c:v>0.91000000000000014</c:v>
                </c:pt>
              </c:numCache>
            </c:numRef>
          </c:xVal>
          <c:yVal>
            <c:numRef>
              <c:f>'Livello di rischio quantitativo'!$H$2:$H$6</c:f>
              <c:numCache>
                <c:formatCode>General</c:formatCode>
                <c:ptCount val="5"/>
                <c:pt idx="0">
                  <c:v>0.3</c:v>
                </c:pt>
                <c:pt idx="1">
                  <c:v>0.3</c:v>
                </c:pt>
                <c:pt idx="2">
                  <c:v>0.1</c:v>
                </c:pt>
                <c:pt idx="3">
                  <c:v>0.2</c:v>
                </c:pt>
                <c:pt idx="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80-4C39-B725-B28325D7A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553472"/>
        <c:axId val="959552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'Livello di rischio quantitativo'!$H$2:$H$6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7.0000000000000007E-2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280-4C39-B725-B28325D7A8BE}"/>
                  </c:ext>
                </c:extLst>
              </c15:ser>
            </c15:filteredScatterSeries>
          </c:ext>
        </c:extLst>
      </c:scatterChart>
      <c:valAx>
        <c:axId val="959553472"/>
        <c:scaling>
          <c:orientation val="minMax"/>
          <c:max val="4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9552488"/>
        <c:crosses val="autoZero"/>
        <c:crossBetween val="midCat"/>
        <c:majorUnit val="0.5"/>
      </c:valAx>
      <c:valAx>
        <c:axId val="95955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95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>
                <a:solidFill>
                  <a:sysClr val="windowText" lastClr="000000"/>
                </a:solidFill>
              </a:rPr>
              <a:t>CUm</a:t>
            </a:r>
            <a:r>
              <a:rPr lang="it-IT" sz="1400" baseline="0">
                <a:solidFill>
                  <a:sysClr val="windowText" lastClr="000000"/>
                </a:solidFill>
              </a:rPr>
              <a:t> p(x)</a:t>
            </a:r>
            <a:endParaRPr lang="it-IT" sz="1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'Binomiale-data breach'!$B$2:$B$12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'Binomiale-data breach'!$I$2:$I$12</c:f>
              <c:numCache>
                <c:formatCode>0.0000000</c:formatCode>
                <c:ptCount val="11"/>
                <c:pt idx="0">
                  <c:v>9.765625E-4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9.765625E-4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C-4A19-9374-553D6FF5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90005736"/>
        <c:axId val="690006392"/>
      </c:barChart>
      <c:catAx>
        <c:axId val="69000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006392"/>
        <c:crosses val="autoZero"/>
        <c:auto val="1"/>
        <c:lblAlgn val="ctr"/>
        <c:lblOffset val="100"/>
        <c:noMultiLvlLbl val="0"/>
      </c:catAx>
      <c:valAx>
        <c:axId val="690006392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000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2109439</xdr:colOff>
      <xdr:row>10</xdr:row>
      <xdr:rowOff>9291</xdr:rowOff>
    </xdr:from>
    <xdr:to>
      <xdr:col>11</xdr:col>
      <xdr:colOff>390293</xdr:colOff>
      <xdr:row>24</xdr:row>
      <xdr:rowOff>185853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483219</xdr:colOff>
      <xdr:row>10</xdr:row>
      <xdr:rowOff>3717</xdr:rowOff>
    </xdr:from>
    <xdr:to>
      <xdr:col>6</xdr:col>
      <xdr:colOff>1319561</xdr:colOff>
      <xdr:row>24</xdr:row>
      <xdr:rowOff>144966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5A4218A-00E0-BA60-7141-5D22C5A14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2007219</xdr:colOff>
      <xdr:row>29</xdr:row>
      <xdr:rowOff>37171</xdr:rowOff>
    </xdr:from>
    <xdr:to>
      <xdr:col>12</xdr:col>
      <xdr:colOff>343271</xdr:colOff>
      <xdr:row>44</xdr:row>
      <xdr:rowOff>44636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3EC5466-F005-4D84-85F0-DF1C7F368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10</xdr:row>
      <xdr:rowOff>0</xdr:rowOff>
    </xdr:from>
    <xdr:to>
      <xdr:col>18</xdr:col>
      <xdr:colOff>306659</xdr:colOff>
      <xdr:row>24</xdr:row>
      <xdr:rowOff>176562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057281E-E39C-4E98-9C2B-936F1534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1150620</xdr:colOff>
      <xdr:row>25</xdr:row>
      <xdr:rowOff>154305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14</xdr:col>
      <xdr:colOff>495300</xdr:colOff>
      <xdr:row>25</xdr:row>
      <xdr:rowOff>154305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0</xdr:rowOff>
    </xdr:from>
    <xdr:to>
      <xdr:col>21</xdr:col>
      <xdr:colOff>350520</xdr:colOff>
      <xdr:row>26</xdr:row>
      <xdr:rowOff>32385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</xdr:row>
      <xdr:rowOff>0</xdr:rowOff>
    </xdr:from>
    <xdr:to>
      <xdr:col>30</xdr:col>
      <xdr:colOff>434340</xdr:colOff>
      <xdr:row>26</xdr:row>
      <xdr:rowOff>32385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13</xdr:col>
      <xdr:colOff>259080</xdr:colOff>
      <xdr:row>30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240030</xdr:colOff>
      <xdr:row>14</xdr:row>
      <xdr:rowOff>175260</xdr:rowOff>
    </xdr:from>
    <xdr:to>
      <xdr:col>7</xdr:col>
      <xdr:colOff>110490</xdr:colOff>
      <xdr:row>29</xdr:row>
      <xdr:rowOff>175260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15</xdr:row>
      <xdr:rowOff>22860</xdr:rowOff>
    </xdr:from>
    <xdr:to>
      <xdr:col>6</xdr:col>
      <xdr:colOff>495300</xdr:colOff>
      <xdr:row>30</xdr:row>
      <xdr:rowOff>22860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386267F-CFC1-0D9F-A36F-307B13D8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15</xdr:row>
      <xdr:rowOff>15240</xdr:rowOff>
    </xdr:from>
    <xdr:to>
      <xdr:col>7</xdr:col>
      <xdr:colOff>91440</xdr:colOff>
      <xdr:row>30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15</xdr:row>
      <xdr:rowOff>20955</xdr:rowOff>
    </xdr:from>
    <xdr:to>
      <xdr:col>16</xdr:col>
      <xdr:colOff>369570</xdr:colOff>
      <xdr:row>30</xdr:row>
      <xdr:rowOff>20955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5AE19C-566A-49CE-84A6-745B97848056}" name="Tabella2" displayName="Tabella2" ref="A1:C6" totalsRowShown="0" headerRowDxfId="127" headerRowBorderDxfId="126" tableBorderDxfId="125" totalsRowBorderDxfId="124">
  <autoFilter ref="A1:C6" xr:uid="{C15AE19C-566A-49CE-84A6-745B97848056}"/>
  <tableColumns count="3">
    <tableColumn id="1" xr3:uid="{628622B9-1CF3-40D4-865F-EF86FCB507C9}" name="Minaccia" dataDxfId="123"/>
    <tableColumn id="2" xr3:uid="{A677211A-CE2C-4E86-B352-859F736280AE}" name="Asset" dataDxfId="122"/>
    <tableColumn id="3" xr3:uid="{A69DED1A-C933-4E0F-BDBB-C6779671590D}" name="Probabilità" dataDxfId="12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28D08-1587-4E1E-8E0F-DFDBA13B3D25}" name="Tabella1" displayName="Tabella1" ref="A1:E6" headerRowDxfId="120" totalsRowDxfId="117" headerRowBorderDxfId="119" tableBorderDxfId="118">
  <autoFilter ref="A1:E6" xr:uid="{B8428D08-1587-4E1E-8E0F-DFDBA13B3D25}"/>
  <tableColumns count="5">
    <tableColumn id="1" xr3:uid="{0D46F285-5024-4658-8EAA-B6EF42E584F4}" name="m" totalsRowLabel="Totale" dataDxfId="116" totalsRowDxfId="115"/>
    <tableColumn id="2" xr3:uid="{02111E0B-B67C-4C96-9F49-320A2DF4F82C}" name="Minaccia" dataDxfId="114" totalsRowDxfId="113"/>
    <tableColumn id="3" xr3:uid="{1AA9ECCB-1BC0-4054-B29D-460F04162092}" name="R" dataDxfId="112" totalsRowDxfId="111"/>
    <tableColumn id="4" xr3:uid="{9334F540-8D22-45F9-8CC1-A2C3C50B8E9B}" name="I" dataDxfId="110" totalsRowDxfId="109"/>
    <tableColumn id="5" xr3:uid="{996311A2-5FD1-46FF-B68E-F0941F12BE66}" name="D" totalsRowFunction="count" dataDxfId="108" totalsRowDxfId="107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2A52BB-A72E-4E0B-896B-3A4832485F09}" name="Tabella3" displayName="Tabella3" ref="B1:R6" totalsRowShown="0" headerRowDxfId="106" dataDxfId="104" headerRowBorderDxfId="105" tableBorderDxfId="103" totalsRowBorderDxfId="102">
  <autoFilter ref="B1:R6" xr:uid="{4F2A52BB-A72E-4E0B-896B-3A4832485F09}"/>
  <tableColumns count="17">
    <tableColumn id="1" xr3:uid="{8E73EF44-112A-4433-BC76-C58D38D5AF15}" name="Minaccia" dataDxfId="101"/>
    <tableColumn id="2" xr3:uid="{F2E560DE-9374-4A94-A51F-F6CCDB1F4805}" name="Minaccia descr. " dataDxfId="100"/>
    <tableColumn id="3" xr3:uid="{B60DB3DB-C4B6-4B24-AD6E-0BAAC41CDAC2}" name="R" dataDxfId="99"/>
    <tableColumn id="4" xr3:uid="{CAE1AF70-4A53-4636-A80F-45714F060F1B}" name="I" dataDxfId="98"/>
    <tableColumn id="5" xr3:uid="{0B7FE4E6-A3FC-418D-B203-AE7A94D9402C}" name="D" dataDxfId="97"/>
    <tableColumn id="6" xr3:uid="{26E59A07-F4C4-43FA-A073-13B40CD0DB1B}" name="Vulnerabilità riscontrate " dataDxfId="96"/>
    <tableColumn id="7" xr3:uid="{0C174682-6894-4697-AC64-0511B5175856}" name="p(m)" dataDxfId="95"/>
    <tableColumn id="8" xr3:uid="{A4D96054-DC0C-4D3A-B591-E19FA506E019}" name="Ris(m)" dataDxfId="94"/>
    <tableColumn id="9" xr3:uid="{3BE9087D-847F-4FFD-8B43-21BA64EA0276}" name="Int(m)" dataDxfId="93"/>
    <tableColumn id="10" xr3:uid="{98AFD857-977E-415F-8F33-27EF003DA35F}" name="Dis(m)" dataDxfId="92"/>
    <tableColumn id="11" xr3:uid="{9A7C8E85-ED9B-4F0E-9814-6767440FBB8A}" name="Ris(a)" dataDxfId="91"/>
    <tableColumn id="12" xr3:uid="{CBE7E774-77CC-475C-B290-D738B649B97B}" name="Int(a)" dataDxfId="90"/>
    <tableColumn id="13" xr3:uid="{1D62C8DD-CF69-4074-9771-AE35B2A61898}" name="Dis(a)" dataDxfId="89"/>
    <tableColumn id="14" xr3:uid="{ADCA7CC2-4662-4B19-B24C-07743C5B930B}" name="RI-ris(m,a)" dataDxfId="88">
      <calculatedColumnFormula>$H2*I2*L2</calculatedColumnFormula>
    </tableColumn>
    <tableColumn id="15" xr3:uid="{FCFED804-E76B-4825-ADAA-E8188DB9EB3F}" name="RI-int(m,a)" dataDxfId="87">
      <calculatedColumnFormula>$H2*J2*M2</calculatedColumnFormula>
    </tableColumn>
    <tableColumn id="16" xr3:uid="{21C44A46-8422-4438-9691-18B6E9EE55B6}" name="RI-dis(m,a)" dataDxfId="86">
      <calculatedColumnFormula>$H2*K2*N2</calculatedColumnFormula>
    </tableColumn>
    <tableColumn id="17" xr3:uid="{AF837212-17A5-4829-BDE5-515D399016E2}" name="RI(m,a)" dataDxfId="85">
      <calculatedColumnFormula>SUM(O2:Q2)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E448F0-F525-4732-BC45-48D6F406767A}" name="Tabella36" displayName="Tabella36" ref="B1:R6" totalsRowShown="0" headerRowDxfId="84" dataDxfId="82" headerRowBorderDxfId="83" tableBorderDxfId="81">
  <autoFilter ref="B1:R6" xr:uid="{91E448F0-F525-4732-BC45-48D6F406767A}"/>
  <tableColumns count="17">
    <tableColumn id="1" xr3:uid="{45349F25-BEAD-4E8F-B0FA-F2137C45E81E}" name="Minaccia" dataDxfId="80"/>
    <tableColumn id="2" xr3:uid="{E20E314F-9B0E-4A97-8E23-8A09CC683064}" name="Minaccia descr. " dataDxfId="79"/>
    <tableColumn id="3" xr3:uid="{A0CA69EE-15D5-4036-9D63-649A8D5B2335}" name="R" dataDxfId="78"/>
    <tableColumn id="4" xr3:uid="{566C0155-F484-42CB-962E-5222DCF6D451}" name="I" dataDxfId="77"/>
    <tableColumn id="5" xr3:uid="{22D0EAE9-1617-49CB-9AC0-A434CC4F0B35}" name="D" dataDxfId="76"/>
    <tableColumn id="6" xr3:uid="{B92E4891-C9B2-407F-9B93-FC1A6E981CBC}" name="Controlli" dataDxfId="75"/>
    <tableColumn id="7" xr3:uid="{574AD523-3B47-4DFB-8F65-DCF62D580742}" name="p(m,c)" dataDxfId="74"/>
    <tableColumn id="8" xr3:uid="{4CC1F04C-D848-433E-9D37-B3222183BA8F}" name="Ris(m)" dataDxfId="73"/>
    <tableColumn id="9" xr3:uid="{121A135A-75DE-4C03-B05D-B50BCE9D2B4F}" name="Int(m)" dataDxfId="72"/>
    <tableColumn id="10" xr3:uid="{16168A7B-AA57-4771-A377-71DD4E1B47E5}" name="Dis(m)" dataDxfId="71"/>
    <tableColumn id="11" xr3:uid="{A59DBE77-D8AD-40F4-B75D-FA2EEEBA3156}" name="Ris(a,c)" dataDxfId="70"/>
    <tableColumn id="12" xr3:uid="{806C994E-74D3-46C9-91EB-E781AA33972D}" name="Int(a,c)" dataDxfId="69"/>
    <tableColumn id="13" xr3:uid="{07DE588D-5F0F-4351-9626-EE1D5621B4FD}" name="Dis(a,c)" dataDxfId="68"/>
    <tableColumn id="14" xr3:uid="{4E3FCC30-BC85-4CB7-B658-D8D1DEE809B7}" name="R-ris(m,a,c)" dataDxfId="67">
      <calculatedColumnFormula>$H2*I2*L2</calculatedColumnFormula>
    </tableColumn>
    <tableColumn id="15" xr3:uid="{A6ECE458-4098-4844-8B6A-308CEB381ECC}" name="R-int(m,a,c)" dataDxfId="66">
      <calculatedColumnFormula>$H2*J2*M2</calculatedColumnFormula>
    </tableColumn>
    <tableColumn id="16" xr3:uid="{0851168C-531F-4138-B756-CE8ABCB5515D}" name="R-dis(m,a,c)" dataDxfId="65">
      <calculatedColumnFormula>$H2*K2*N2</calculatedColumnFormula>
    </tableColumn>
    <tableColumn id="17" xr3:uid="{EA78559E-774F-4CC0-A275-BBBA3EE0C0DB}" name="R(m,a,c)" dataDxfId="64">
      <calculatedColumnFormula>SUM(O2:Q2)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574A1D-D114-422F-8C77-F71346782BFC}" name="Tabella4" displayName="Tabella4" ref="A1:F7" headerRowDxfId="63" dataDxfId="61" totalsRowDxfId="59" headerRowBorderDxfId="62" tableBorderDxfId="60">
  <autoFilter ref="A1:F7" xr:uid="{7B574A1D-D114-422F-8C77-F71346782BFC}"/>
  <tableColumns count="6">
    <tableColumn id="1" xr3:uid="{850CC16A-0901-450A-94CA-6232AA99EBA6}" name="Minaccia" totalsRowLabel="Totale" dataDxfId="58"/>
    <tableColumn id="2" xr3:uid="{0FA71A5A-4CAC-4C6D-89A5-46AA8CB46FC4}" name="Descrizione " dataDxfId="57"/>
    <tableColumn id="3" xr3:uid="{C799600C-9BFF-4D85-B3C4-717AACFB5FBE}" name="R-Ris(m,a,c)" dataDxfId="56">
      <calculatedColumnFormula>'Rischio intrinseco'!O2 - 'Livello di rischio quantitativo'!O2</calculatedColumnFormula>
    </tableColumn>
    <tableColumn id="4" xr3:uid="{3D4321C8-24EB-462E-8D51-DC2C62D430EB}" name="R-Int(m,a,c)" dataDxfId="55">
      <calculatedColumnFormula>'Rischio intrinseco'!P2 - 'Livello di rischio quantitativo'!P2</calculatedColumnFormula>
    </tableColumn>
    <tableColumn id="5" xr3:uid="{5D579D49-38C3-445A-9E8E-50E93FC523AF}" name="R-Dis(m,a,c)" dataDxfId="54">
      <calculatedColumnFormula>'Rischio intrinseco'!Q2 - 'Livello di rischio quantitativo'!Q2</calculatedColumnFormula>
    </tableColumn>
    <tableColumn id="6" xr3:uid="{82B1DEEF-B658-4730-802B-CE15BDDDE2F3}" name="R(m,a,c)" totalsRowFunction="count" dataDxfId="53">
      <calculatedColumnFormula>'Rischio intrinseco'!R2 - 'Livello di rischio quantitativo'!R2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5E54E9-2A13-40F2-8C34-F7682DCECC70}" name="Tabella367" displayName="Tabella367" ref="B1:L6" totalsRowShown="0" headerRowDxfId="52" dataDxfId="50" headerRowBorderDxfId="51" tableBorderDxfId="49">
  <autoFilter ref="B1:L6" xr:uid="{E75E54E9-2A13-40F2-8C34-F7682DCECC70}"/>
  <tableColumns count="11">
    <tableColumn id="1" xr3:uid="{6165B046-EF5F-4EFE-84DD-991F5DE4BE86}" name="Minaccia" dataDxfId="48"/>
    <tableColumn id="2" xr3:uid="{B0D56AB5-EB3A-483F-919C-67DC2451492A}" name="Minaccia descr. " dataDxfId="47"/>
    <tableColumn id="3" xr3:uid="{744E34B6-0B76-426A-A171-1177317BB3A0}" name="R" dataDxfId="46"/>
    <tableColumn id="4" xr3:uid="{606DABFF-1917-490A-8FFD-2C27664E7757}" name="I" dataDxfId="45"/>
    <tableColumn id="5" xr3:uid="{6AF25647-8B13-4BB5-BC79-5AA3B8594AE0}" name="D" dataDxfId="44"/>
    <tableColumn id="6" xr3:uid="{B22D3E7F-0EDF-4CCE-859E-923C321F7F8D}" name="g(v)" dataDxfId="43"/>
    <tableColumn id="14" xr3:uid="{DE557C25-97C9-4F2A-9F3E-F094E5A0E906}" name="RI-ris(m,a)" dataDxfId="42">
      <calculatedColumnFormula>#REF!*#REF!*#REF!</calculatedColumnFormula>
    </tableColumn>
    <tableColumn id="15" xr3:uid="{9B20B8BD-6FF2-4484-84AF-97C50F3121F0}" name="RI-int(m,a)" dataDxfId="41">
      <calculatedColumnFormula>#REF!*#REF!*#REF!</calculatedColumnFormula>
    </tableColumn>
    <tableColumn id="16" xr3:uid="{D7A8ED91-A205-46DB-B670-27EF24990EAA}" name="RI-dis(m,a)" dataDxfId="40">
      <calculatedColumnFormula>#REF!*#REF!*#REF!</calculatedColumnFormula>
    </tableColumn>
    <tableColumn id="35" xr3:uid="{ABB4C3F4-3C5C-4E32-8F27-23F493CA034F}" name="MAX" dataDxfId="39">
      <calculatedColumnFormula>H2</calculatedColumnFormula>
    </tableColumn>
    <tableColumn id="36" xr3:uid="{7908D24D-1313-4439-BC40-5395C538D4D9}" name="Ris(m,a,v)" dataDxfId="38">
      <calculatedColumnFormula>K2*G2</calculatedColumnFormula>
    </tableColumn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456688-DE47-4D08-B148-919087EFE2A0}" name="Tabella7" displayName="Tabella7" ref="B1:I12" totalsRowShown="0" headerRowDxfId="37" dataDxfId="35" headerRowBorderDxfId="36" tableBorderDxfId="34" totalsRowBorderDxfId="33">
  <autoFilter ref="B1:I12" xr:uid="{E8456688-DE47-4D08-B148-919087EFE2A0}"/>
  <tableColumns count="8">
    <tableColumn id="1" xr3:uid="{1D72B9FD-60A6-4C94-A8A6-61D40AB1D3E3}" name="X (k)" dataDxfId="32"/>
    <tableColumn id="2" xr3:uid="{BCD59693-EEB9-4A35-B5A0-2726C8603A7C}" name="n!" dataDxfId="31">
      <calculatedColumnFormula>FACT(10)</calculatedColumnFormula>
    </tableColumn>
    <tableColumn id="3" xr3:uid="{5D8B88C0-7423-4DDC-81B1-D5CD96E08E81}" name="k!(n-k)!" dataDxfId="30">
      <calculatedColumnFormula>FACT(B2)*FACT(10-B2)</calculatedColumnFormula>
    </tableColumn>
    <tableColumn id="4" xr3:uid="{84BD4870-CCDC-486A-A44B-715856927A63}" name="n su k" dataDxfId="29">
      <calculatedColumnFormula>COMBIN(10,B2)</calculatedColumnFormula>
    </tableColumn>
    <tableColumn id="5" xr3:uid="{0A5CCFD2-5D87-4191-B434-F0AA3C2D32B7}" name="π^k" dataDxfId="28">
      <calculatedColumnFormula>POWER(0.5,B2)</calculatedColumnFormula>
    </tableColumn>
    <tableColumn id="6" xr3:uid="{FDB07C5C-8389-4FB6-9C62-9AD88A8CC1D4}" name="(1-π)^(n-k)" dataDxfId="27">
      <calculatedColumnFormula>POWER(1-0.5,10-B2)</calculatedColumnFormula>
    </tableColumn>
    <tableColumn id="7" xr3:uid="{618E4B78-2B8B-4B4C-9EBE-493A652F9F09}" name="P(X)" dataDxfId="26">
      <calculatedColumnFormula>(E2*F2*G2)</calculatedColumnFormula>
    </tableColumn>
    <tableColumn id="8" xr3:uid="{3F877149-DBE2-498A-A131-761E0CF56C95}" name="Cum P(X)" dataDxfId="25">
      <calculatedColumnFormula>_xlfn.BINOM.DIST(B2,10,0.5,1)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5C3BCBC-9DD7-46AF-8508-23E63A5AD461}" name="Tabella712" displayName="Tabella712" ref="A1:H12" totalsRowShown="0" headerRowDxfId="24" dataDxfId="22" headerRowBorderDxfId="23" tableBorderDxfId="21" totalsRowBorderDxfId="20">
  <autoFilter ref="A1:H12" xr:uid="{35C3BCBC-9DD7-46AF-8508-23E63A5AD461}"/>
  <tableColumns count="8">
    <tableColumn id="1" xr3:uid="{0787F8B9-E8C1-4920-B677-C8433AE5726D}" name="X (k)" dataDxfId="19"/>
    <tableColumn id="2" xr3:uid="{24FAC2C6-6383-4E34-B9AA-2AF80E5C60A3}" name="n!" dataDxfId="18">
      <calculatedColumnFormula>FACT(10)</calculatedColumnFormula>
    </tableColumn>
    <tableColumn id="3" xr3:uid="{5396A713-F106-4EE4-89CA-5BA43ABD6735}" name="k!(n-k)!" dataDxfId="17">
      <calculatedColumnFormula>FACT(A2)*FACT(10-A2)</calculatedColumnFormula>
    </tableColumn>
    <tableColumn id="4" xr3:uid="{877D4FD7-98AE-4AC5-874B-CF646041D040}" name="n su k" dataDxfId="16">
      <calculatedColumnFormula>COMBIN(10,A2)</calculatedColumnFormula>
    </tableColumn>
    <tableColumn id="5" xr3:uid="{5D043843-747C-4EFE-AD26-3FF9DB245F97}" name="π^k" dataDxfId="15">
      <calculatedColumnFormula>POWER(0.025,A2)</calculatedColumnFormula>
    </tableColumn>
    <tableColumn id="6" xr3:uid="{D6770142-39DD-4C1E-A5E8-ECE943492AD3}" name="(1-π)^(n-k)" dataDxfId="14">
      <calculatedColumnFormula>POWER(1-0.025,10-A2)</calculatedColumnFormula>
    </tableColumn>
    <tableColumn id="7" xr3:uid="{05A4F402-6054-468E-B6B0-2E1334BE82F8}" name="P(X)" dataDxfId="13">
      <calculatedColumnFormula>(D2*E2*F2)</calculatedColumnFormula>
    </tableColumn>
    <tableColumn id="8" xr3:uid="{18EC40E6-A83C-444F-972A-F946900044D4}" name="Cum P(X)" dataDxfId="12">
      <calculatedColumnFormula>_xlfn.BINOM.DIST(A2,10,0.025,1)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8986500-642A-482E-BEE0-FA679E9F9C2B}" name="Tabella79" displayName="Tabella79" ref="B1:H12" totalsRowShown="0" headerRowDxfId="11" dataDxfId="9" headerRowBorderDxfId="10" tableBorderDxfId="8" totalsRowBorderDxfId="7">
  <autoFilter ref="B1:H12" xr:uid="{48986500-642A-482E-BEE0-FA679E9F9C2B}"/>
  <tableColumns count="7">
    <tableColumn id="1" xr3:uid="{50A61EF8-9827-42D1-AE9F-670616A25A17}" name="X " dataDxfId="6"/>
    <tableColumn id="2" xr3:uid="{873F2E4C-5848-4359-9DA8-B264714528AF}" name="e^(-λ)" dataDxfId="5">
      <calculatedColumnFormula>POWER(2.718,-0.7)</calculatedColumnFormula>
    </tableColumn>
    <tableColumn id="3" xr3:uid="{D8C9F870-3F95-492E-91CB-BBC9A8237088}" name="λ^x" dataDxfId="4">
      <calculatedColumnFormula>POWER(0.7,B2)</calculatedColumnFormula>
    </tableColumn>
    <tableColumn id="4" xr3:uid="{67B14E3D-CEC2-4DF1-96CC-5A0F13B78A8B}" name="x!" dataDxfId="3">
      <calculatedColumnFormula>FACT(B2)</calculatedColumnFormula>
    </tableColumn>
    <tableColumn id="5" xr3:uid="{DE3696D1-C4AF-41F2-8A58-EDD90A3A17F4}" name="P(X)=e^(-λ)*(λ^X/X!)" dataDxfId="2" dataCellStyle="Migliaia">
      <calculatedColumnFormula>C2*(D2/E2)</calculatedColumnFormula>
    </tableColumn>
    <tableColumn id="6" xr3:uid="{78427FF3-7310-4E48-98D7-5B8813CAAA98}" name="Cum P(X)" dataDxfId="1">
      <calculatedColumnFormula>_xlfn.BINOM.DIST(B2,10,0.07,1)</calculatedColumnFormula>
    </tableColumn>
    <tableColumn id="7" xr3:uid="{74B0AFF8-E2DE-42ED-A49A-D151EDCEB358}" name="P value" dataDxfId="0">
      <calculatedColumnFormula>1-G2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5860-8AE0-4BB0-896E-5466F115FC5F}">
  <dimension ref="A1:C6"/>
  <sheetViews>
    <sheetView workbookViewId="0">
      <selection activeCell="C1" sqref="A1:C1"/>
    </sheetView>
  </sheetViews>
  <sheetFormatPr defaultRowHeight="14.4" x14ac:dyDescent="0.3"/>
  <cols>
    <col min="1" max="1" width="16.5546875" customWidth="1"/>
    <col min="2" max="2" width="40.33203125" customWidth="1"/>
    <col min="3" max="3" width="12.88671875" customWidth="1"/>
  </cols>
  <sheetData>
    <row r="1" spans="1:3" x14ac:dyDescent="0.3">
      <c r="A1" s="5" t="s">
        <v>1</v>
      </c>
      <c r="B1" s="6" t="s">
        <v>11</v>
      </c>
      <c r="C1" s="7" t="s">
        <v>12</v>
      </c>
    </row>
    <row r="2" spans="1:3" x14ac:dyDescent="0.3">
      <c r="A2" s="3" t="s">
        <v>5</v>
      </c>
      <c r="B2" s="1" t="s">
        <v>14</v>
      </c>
      <c r="C2" s="8" t="s">
        <v>19</v>
      </c>
    </row>
    <row r="3" spans="1:3" x14ac:dyDescent="0.3">
      <c r="A3" s="3" t="s">
        <v>6</v>
      </c>
      <c r="B3" s="1" t="s">
        <v>15</v>
      </c>
      <c r="C3" s="8" t="s">
        <v>19</v>
      </c>
    </row>
    <row r="4" spans="1:3" x14ac:dyDescent="0.3">
      <c r="A4" s="3" t="s">
        <v>13</v>
      </c>
      <c r="B4" s="1" t="s">
        <v>16</v>
      </c>
      <c r="C4" s="9" t="s">
        <v>20</v>
      </c>
    </row>
    <row r="5" spans="1:3" x14ac:dyDescent="0.3">
      <c r="A5" s="3" t="s">
        <v>8</v>
      </c>
      <c r="B5" s="1" t="s">
        <v>17</v>
      </c>
      <c r="C5" s="9" t="s">
        <v>20</v>
      </c>
    </row>
    <row r="6" spans="1:3" x14ac:dyDescent="0.3">
      <c r="A6" s="4" t="s">
        <v>9</v>
      </c>
      <c r="B6" s="2" t="s">
        <v>18</v>
      </c>
      <c r="C6" s="10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4A39-B40C-4113-839F-BC66AE95C886}">
  <dimension ref="B1:O12"/>
  <sheetViews>
    <sheetView workbookViewId="0">
      <selection activeCell="H2" sqref="H2"/>
    </sheetView>
  </sheetViews>
  <sheetFormatPr defaultRowHeight="14.4" x14ac:dyDescent="0.3"/>
  <cols>
    <col min="3" max="3" width="10.44140625" bestFit="1" customWidth="1"/>
    <col min="4" max="4" width="9.44140625" bestFit="1" customWidth="1"/>
    <col min="6" max="6" width="21.21875" customWidth="1"/>
    <col min="7" max="7" width="15.44140625" customWidth="1"/>
    <col min="8" max="8" width="13.21875" bestFit="1" customWidth="1"/>
  </cols>
  <sheetData>
    <row r="1" spans="2:15" x14ac:dyDescent="0.3">
      <c r="B1" s="37" t="s">
        <v>68</v>
      </c>
      <c r="C1" s="38" t="s">
        <v>69</v>
      </c>
      <c r="D1" s="123" t="s">
        <v>70</v>
      </c>
      <c r="E1" s="38" t="s">
        <v>71</v>
      </c>
      <c r="F1" s="38" t="s">
        <v>72</v>
      </c>
      <c r="G1" s="38" t="s">
        <v>73</v>
      </c>
      <c r="H1" s="39" t="s">
        <v>74</v>
      </c>
      <c r="I1" s="135"/>
      <c r="J1" s="122" t="s">
        <v>111</v>
      </c>
      <c r="K1" s="122" t="s">
        <v>74</v>
      </c>
      <c r="L1" s="135"/>
    </row>
    <row r="2" spans="2:15" x14ac:dyDescent="0.3">
      <c r="B2" s="3">
        <v>0</v>
      </c>
      <c r="C2" s="92">
        <f t="shared" ref="C2:C12" si="0">POWER(2.718,-0.7)</f>
        <v>0.49662134675904046</v>
      </c>
      <c r="D2" s="93">
        <f t="shared" ref="D2:D12" si="1">POWER(0.7,B2)</f>
        <v>1</v>
      </c>
      <c r="E2" s="1">
        <f t="shared" ref="E2:E12" si="2">FACT(B2)</f>
        <v>1</v>
      </c>
      <c r="F2" s="94">
        <f t="shared" ref="F2:F12" si="3">C2*(D2/E2)</f>
        <v>0.49662134675904046</v>
      </c>
      <c r="G2" s="95">
        <f>_xlfn.BINOM.DIST(B2,10,0.07,1)</f>
        <v>0.48398230717929314</v>
      </c>
      <c r="H2" s="124">
        <f t="shared" ref="H2:H12" si="4">1-G2</f>
        <v>0.51601769282070686</v>
      </c>
      <c r="I2" s="135"/>
      <c r="J2" s="1">
        <v>0</v>
      </c>
      <c r="K2" s="130" t="s">
        <v>124</v>
      </c>
      <c r="L2" s="135"/>
      <c r="N2" t="s">
        <v>60</v>
      </c>
      <c r="O2" t="s">
        <v>75</v>
      </c>
    </row>
    <row r="3" spans="2:15" x14ac:dyDescent="0.3">
      <c r="B3" s="3">
        <v>1</v>
      </c>
      <c r="C3" s="92">
        <f t="shared" si="0"/>
        <v>0.49662134675904046</v>
      </c>
      <c r="D3" s="93">
        <f t="shared" si="1"/>
        <v>0.7</v>
      </c>
      <c r="E3" s="1">
        <f t="shared" si="2"/>
        <v>1</v>
      </c>
      <c r="F3" s="94">
        <f t="shared" si="3"/>
        <v>0.34763494273132828</v>
      </c>
      <c r="G3" s="95">
        <f t="shared" ref="G3:G12" si="5">_xlfn.BINOM.DIST(B3,10,0.07,1)</f>
        <v>0.84827006527123427</v>
      </c>
      <c r="H3" s="124">
        <f t="shared" si="4"/>
        <v>0.15172993472876573</v>
      </c>
      <c r="I3" s="135"/>
      <c r="J3" s="1">
        <v>1</v>
      </c>
      <c r="K3" s="117" t="s">
        <v>112</v>
      </c>
      <c r="L3" s="135"/>
      <c r="N3" t="s">
        <v>63</v>
      </c>
      <c r="O3" t="s">
        <v>62</v>
      </c>
    </row>
    <row r="4" spans="2:15" x14ac:dyDescent="0.3">
      <c r="B4" s="3">
        <v>2</v>
      </c>
      <c r="C4" s="92">
        <f t="shared" si="0"/>
        <v>0.49662134675904046</v>
      </c>
      <c r="D4" s="93">
        <f t="shared" si="1"/>
        <v>0.48999999999999994</v>
      </c>
      <c r="E4" s="1">
        <f t="shared" si="2"/>
        <v>2</v>
      </c>
      <c r="F4" s="94">
        <f t="shared" si="3"/>
        <v>0.1216722299559649</v>
      </c>
      <c r="G4" s="95">
        <f t="shared" si="5"/>
        <v>0.9716578543023755</v>
      </c>
      <c r="H4" s="124">
        <f t="shared" si="4"/>
        <v>2.8342145697624499E-2</v>
      </c>
      <c r="I4" s="135"/>
      <c r="J4" s="1">
        <v>2</v>
      </c>
      <c r="K4" s="131" t="s">
        <v>113</v>
      </c>
      <c r="L4" s="135"/>
      <c r="N4" t="s">
        <v>76</v>
      </c>
      <c r="O4" t="s">
        <v>65</v>
      </c>
    </row>
    <row r="5" spans="2:15" x14ac:dyDescent="0.3">
      <c r="B5" s="3">
        <v>3</v>
      </c>
      <c r="C5" s="92">
        <f t="shared" si="0"/>
        <v>0.49662134675904046</v>
      </c>
      <c r="D5" s="93">
        <f t="shared" si="1"/>
        <v>0.34299999999999992</v>
      </c>
      <c r="E5" s="1">
        <f t="shared" si="2"/>
        <v>6</v>
      </c>
      <c r="F5" s="94">
        <f t="shared" si="3"/>
        <v>2.839018698972514E-2</v>
      </c>
      <c r="G5" s="95">
        <f t="shared" si="5"/>
        <v>0.99642386213658318</v>
      </c>
      <c r="H5" s="124">
        <f t="shared" si="4"/>
        <v>3.5761378634168173E-3</v>
      </c>
      <c r="I5" s="135"/>
      <c r="J5" s="1">
        <v>3</v>
      </c>
      <c r="K5" s="118" t="s">
        <v>114</v>
      </c>
      <c r="L5" s="135"/>
      <c r="N5" t="s">
        <v>77</v>
      </c>
      <c r="O5" t="s">
        <v>67</v>
      </c>
    </row>
    <row r="6" spans="2:15" x14ac:dyDescent="0.3">
      <c r="B6" s="3">
        <v>4</v>
      </c>
      <c r="C6" s="92">
        <f t="shared" si="0"/>
        <v>0.49662134675904046</v>
      </c>
      <c r="D6" s="93">
        <f t="shared" si="1"/>
        <v>0.24009999999999992</v>
      </c>
      <c r="E6" s="1">
        <f t="shared" si="2"/>
        <v>24</v>
      </c>
      <c r="F6" s="94">
        <f t="shared" si="3"/>
        <v>4.9682827232018986E-3</v>
      </c>
      <c r="G6" s="95">
        <f t="shared" si="5"/>
        <v>0.99968605134055144</v>
      </c>
      <c r="H6" s="124">
        <f t="shared" si="4"/>
        <v>3.1394865944855965E-4</v>
      </c>
      <c r="I6" s="135"/>
      <c r="J6" s="1">
        <v>4</v>
      </c>
      <c r="K6" s="119" t="s">
        <v>115</v>
      </c>
      <c r="L6" s="135"/>
    </row>
    <row r="7" spans="2:15" x14ac:dyDescent="0.3">
      <c r="B7" s="3">
        <v>5</v>
      </c>
      <c r="C7" s="92">
        <f t="shared" si="0"/>
        <v>0.49662134675904046</v>
      </c>
      <c r="D7" s="93">
        <f t="shared" si="1"/>
        <v>0.16806999999999994</v>
      </c>
      <c r="E7" s="1">
        <f t="shared" si="2"/>
        <v>120</v>
      </c>
      <c r="F7" s="94">
        <f t="shared" si="3"/>
        <v>6.9555958124826588E-4</v>
      </c>
      <c r="G7" s="95">
        <f t="shared" si="5"/>
        <v>0.9999807006880066</v>
      </c>
      <c r="H7" s="124">
        <f t="shared" si="4"/>
        <v>1.9299311993403734E-5</v>
      </c>
      <c r="I7" s="135"/>
      <c r="J7" s="1">
        <v>5</v>
      </c>
      <c r="K7" s="120" t="s">
        <v>116</v>
      </c>
      <c r="L7" s="135"/>
      <c r="N7" t="s">
        <v>78</v>
      </c>
    </row>
    <row r="8" spans="2:15" x14ac:dyDescent="0.3">
      <c r="B8" s="3">
        <v>6</v>
      </c>
      <c r="C8" s="92">
        <f t="shared" si="0"/>
        <v>0.49662134675904046</v>
      </c>
      <c r="D8" s="93">
        <f t="shared" si="1"/>
        <v>0.11764899999999995</v>
      </c>
      <c r="E8" s="1">
        <f t="shared" si="2"/>
        <v>720</v>
      </c>
      <c r="F8" s="94">
        <f t="shared" si="3"/>
        <v>8.1148617812297675E-5</v>
      </c>
      <c r="G8" s="95">
        <f t="shared" si="5"/>
        <v>0.99999918227790074</v>
      </c>
      <c r="H8" s="124">
        <f t="shared" si="4"/>
        <v>8.1772209925556893E-7</v>
      </c>
      <c r="I8" s="135"/>
      <c r="J8" s="1">
        <v>6</v>
      </c>
      <c r="K8" s="121" t="s">
        <v>117</v>
      </c>
      <c r="L8" s="135"/>
    </row>
    <row r="9" spans="2:15" x14ac:dyDescent="0.3">
      <c r="B9" s="3">
        <v>7</v>
      </c>
      <c r="C9" s="92">
        <f t="shared" si="0"/>
        <v>0.49662134675904046</v>
      </c>
      <c r="D9" s="93">
        <f t="shared" si="1"/>
        <v>8.235429999999995E-2</v>
      </c>
      <c r="E9" s="1">
        <f t="shared" si="2"/>
        <v>5040</v>
      </c>
      <c r="F9" s="94">
        <f t="shared" si="3"/>
        <v>8.1148617812297655E-6</v>
      </c>
      <c r="G9" s="95">
        <f t="shared" si="5"/>
        <v>0.99999997718499301</v>
      </c>
      <c r="H9" s="124">
        <f t="shared" si="4"/>
        <v>2.2815006994747478E-8</v>
      </c>
      <c r="I9" s="135"/>
      <c r="J9" s="1">
        <v>7</v>
      </c>
      <c r="K9" s="121" t="s">
        <v>117</v>
      </c>
      <c r="L9" s="135"/>
      <c r="N9" t="s">
        <v>101</v>
      </c>
    </row>
    <row r="10" spans="2:15" x14ac:dyDescent="0.3">
      <c r="B10" s="3">
        <v>8</v>
      </c>
      <c r="C10" s="92">
        <f t="shared" si="0"/>
        <v>0.49662134675904046</v>
      </c>
      <c r="D10" s="93">
        <f t="shared" si="1"/>
        <v>5.7648009999999965E-2</v>
      </c>
      <c r="E10" s="1">
        <f t="shared" si="2"/>
        <v>40320</v>
      </c>
      <c r="F10" s="94">
        <f t="shared" si="3"/>
        <v>7.1005040585760452E-7</v>
      </c>
      <c r="G10" s="95">
        <f t="shared" si="5"/>
        <v>0.99999999962188668</v>
      </c>
      <c r="H10" s="124">
        <f t="shared" si="4"/>
        <v>3.7811331843329299E-10</v>
      </c>
      <c r="I10" s="135"/>
      <c r="J10" s="1">
        <v>8</v>
      </c>
      <c r="K10" s="121" t="s">
        <v>117</v>
      </c>
      <c r="L10" s="135"/>
    </row>
    <row r="11" spans="2:15" x14ac:dyDescent="0.3">
      <c r="B11" s="3">
        <v>9</v>
      </c>
      <c r="C11" s="92">
        <f t="shared" si="0"/>
        <v>0.49662134675904046</v>
      </c>
      <c r="D11" s="93">
        <f t="shared" si="1"/>
        <v>4.0353606999999972E-2</v>
      </c>
      <c r="E11" s="1">
        <f t="shared" si="2"/>
        <v>362880</v>
      </c>
      <c r="F11" s="94">
        <f t="shared" si="3"/>
        <v>5.5226142677813684E-8</v>
      </c>
      <c r="G11" s="95">
        <f t="shared" si="5"/>
        <v>0.99999999999717526</v>
      </c>
      <c r="H11" s="124">
        <f t="shared" si="4"/>
        <v>2.8247404415537858E-12</v>
      </c>
      <c r="I11" s="135"/>
      <c r="J11" s="1">
        <v>9</v>
      </c>
      <c r="K11" s="121" t="s">
        <v>117</v>
      </c>
      <c r="L11" s="135"/>
    </row>
    <row r="12" spans="2:15" x14ac:dyDescent="0.3">
      <c r="B12" s="4">
        <v>10</v>
      </c>
      <c r="C12" s="125">
        <f t="shared" si="0"/>
        <v>0.49662134675904046</v>
      </c>
      <c r="D12" s="116">
        <f t="shared" si="1"/>
        <v>2.824752489999998E-2</v>
      </c>
      <c r="E12" s="2">
        <f t="shared" si="2"/>
        <v>3628800</v>
      </c>
      <c r="F12" s="126">
        <f t="shared" si="3"/>
        <v>3.8658299874469577E-9</v>
      </c>
      <c r="G12" s="95">
        <f t="shared" si="5"/>
        <v>1</v>
      </c>
      <c r="H12" s="127">
        <f t="shared" si="4"/>
        <v>0</v>
      </c>
      <c r="I12" s="135"/>
      <c r="J12" s="1">
        <v>10</v>
      </c>
      <c r="K12" s="121" t="s">
        <v>117</v>
      </c>
      <c r="L12" s="13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67423-6D78-419D-8D97-D051FC7E1D10}">
  <dimension ref="A1:E6"/>
  <sheetViews>
    <sheetView tabSelected="1" workbookViewId="0">
      <selection activeCell="I15" sqref="I15"/>
    </sheetView>
  </sheetViews>
  <sheetFormatPr defaultRowHeight="14.4" x14ac:dyDescent="0.3"/>
  <cols>
    <col min="1" max="1" width="10.88671875" customWidth="1"/>
    <col min="2" max="2" width="15.5546875" customWidth="1"/>
    <col min="3" max="5" width="10.88671875" customWidth="1"/>
  </cols>
  <sheetData>
    <row r="1" spans="1:5" x14ac:dyDescent="0.3">
      <c r="A1" s="37" t="s">
        <v>0</v>
      </c>
      <c r="B1" s="38" t="s">
        <v>1</v>
      </c>
      <c r="C1" s="38" t="s">
        <v>2</v>
      </c>
      <c r="D1" s="38" t="s">
        <v>3</v>
      </c>
      <c r="E1" s="39" t="s">
        <v>4</v>
      </c>
    </row>
    <row r="2" spans="1:5" x14ac:dyDescent="0.3">
      <c r="A2" s="3">
        <v>1</v>
      </c>
      <c r="B2" s="1" t="s">
        <v>5</v>
      </c>
      <c r="C2" s="1" t="s">
        <v>10</v>
      </c>
      <c r="D2" s="1" t="s">
        <v>10</v>
      </c>
      <c r="E2" s="40" t="s">
        <v>10</v>
      </c>
    </row>
    <row r="3" spans="1:5" x14ac:dyDescent="0.3">
      <c r="A3" s="3">
        <v>2</v>
      </c>
      <c r="B3" s="1" t="s">
        <v>6</v>
      </c>
      <c r="C3" s="1"/>
      <c r="D3" s="1"/>
      <c r="E3" s="40" t="s">
        <v>10</v>
      </c>
    </row>
    <row r="4" spans="1:5" x14ac:dyDescent="0.3">
      <c r="A4" s="3">
        <v>3</v>
      </c>
      <c r="B4" s="1" t="s">
        <v>7</v>
      </c>
      <c r="C4" s="1"/>
      <c r="D4" s="1" t="s">
        <v>10</v>
      </c>
      <c r="E4" s="40" t="s">
        <v>10</v>
      </c>
    </row>
    <row r="5" spans="1:5" x14ac:dyDescent="0.3">
      <c r="A5" s="3">
        <v>4</v>
      </c>
      <c r="B5" s="1" t="s">
        <v>8</v>
      </c>
      <c r="C5" s="1" t="s">
        <v>10</v>
      </c>
      <c r="D5" s="1"/>
      <c r="E5" s="40"/>
    </row>
    <row r="6" spans="1:5" x14ac:dyDescent="0.3">
      <c r="A6" s="4">
        <v>5</v>
      </c>
      <c r="B6" s="2" t="s">
        <v>9</v>
      </c>
      <c r="C6" s="2"/>
      <c r="D6" s="2" t="s">
        <v>10</v>
      </c>
      <c r="E6" s="41" t="s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878C-FF9D-4364-A6D3-601E75995432}">
  <dimension ref="B1:R8"/>
  <sheetViews>
    <sheetView topLeftCell="B1" zoomScale="82" zoomScaleNormal="82" workbookViewId="0">
      <selection activeCell="O2" sqref="O2"/>
    </sheetView>
  </sheetViews>
  <sheetFormatPr defaultRowHeight="14.4" x14ac:dyDescent="0.3"/>
  <cols>
    <col min="1" max="1" width="13.21875" customWidth="1"/>
    <col min="2" max="2" width="13.109375" customWidth="1"/>
    <col min="3" max="3" width="19.77734375" customWidth="1"/>
    <col min="4" max="4" width="7.33203125" customWidth="1"/>
    <col min="5" max="5" width="7" customWidth="1"/>
    <col min="6" max="6" width="7.21875" customWidth="1"/>
    <col min="7" max="7" width="58" customWidth="1"/>
    <col min="8" max="8" width="10.21875" customWidth="1"/>
    <col min="9" max="13" width="8.88671875" customWidth="1"/>
    <col min="14" max="14" width="12" customWidth="1"/>
    <col min="15" max="15" width="14.109375" customWidth="1"/>
    <col min="16" max="16" width="14" customWidth="1"/>
    <col min="17" max="17" width="14.21875" customWidth="1"/>
    <col min="18" max="18" width="11.109375" customWidth="1"/>
  </cols>
  <sheetData>
    <row r="1" spans="2:18" ht="16.2" thickBot="1" x14ac:dyDescent="0.35">
      <c r="B1" s="44" t="s">
        <v>1</v>
      </c>
      <c r="C1" s="45" t="s">
        <v>22</v>
      </c>
      <c r="D1" s="45" t="s">
        <v>2</v>
      </c>
      <c r="E1" s="45" t="s">
        <v>3</v>
      </c>
      <c r="F1" s="45" t="s">
        <v>4</v>
      </c>
      <c r="G1" s="45" t="s">
        <v>34</v>
      </c>
      <c r="H1" s="46" t="s">
        <v>23</v>
      </c>
      <c r="I1" s="47" t="s">
        <v>24</v>
      </c>
      <c r="J1" s="47" t="s">
        <v>25</v>
      </c>
      <c r="K1" s="47" t="s">
        <v>26</v>
      </c>
      <c r="L1" s="48" t="s">
        <v>27</v>
      </c>
      <c r="M1" s="48" t="s">
        <v>28</v>
      </c>
      <c r="N1" s="48" t="s">
        <v>29</v>
      </c>
      <c r="O1" s="46" t="s">
        <v>30</v>
      </c>
      <c r="P1" s="46" t="s">
        <v>31</v>
      </c>
      <c r="Q1" s="46" t="s">
        <v>32</v>
      </c>
      <c r="R1" s="49" t="s">
        <v>33</v>
      </c>
    </row>
    <row r="2" spans="2:18" ht="16.2" thickBot="1" x14ac:dyDescent="0.35">
      <c r="B2" s="50">
        <v>1</v>
      </c>
      <c r="C2" s="51" t="s">
        <v>5</v>
      </c>
      <c r="D2" s="52" t="s">
        <v>10</v>
      </c>
      <c r="E2" s="52" t="s">
        <v>10</v>
      </c>
      <c r="F2" s="52" t="s">
        <v>10</v>
      </c>
      <c r="G2" s="53" t="s">
        <v>35</v>
      </c>
      <c r="H2" s="54">
        <v>0.9</v>
      </c>
      <c r="I2" s="51">
        <v>1</v>
      </c>
      <c r="J2" s="51">
        <v>1</v>
      </c>
      <c r="K2" s="51">
        <v>1</v>
      </c>
      <c r="L2" s="51">
        <v>5</v>
      </c>
      <c r="M2" s="51">
        <v>7</v>
      </c>
      <c r="N2" s="51">
        <v>6</v>
      </c>
      <c r="O2" s="51">
        <f t="shared" ref="O2:Q6" si="0">$H2*I2*L2</f>
        <v>4.5</v>
      </c>
      <c r="P2" s="51">
        <f t="shared" si="0"/>
        <v>6.3</v>
      </c>
      <c r="Q2" s="51">
        <f t="shared" si="0"/>
        <v>5.4</v>
      </c>
      <c r="R2" s="55">
        <f>SUM(O2:Q2)</f>
        <v>16.200000000000003</v>
      </c>
    </row>
    <row r="3" spans="2:18" ht="16.2" thickBot="1" x14ac:dyDescent="0.35">
      <c r="B3" s="50">
        <v>2</v>
      </c>
      <c r="C3" s="51" t="s">
        <v>6</v>
      </c>
      <c r="D3" s="56"/>
      <c r="E3" s="56"/>
      <c r="F3" s="56" t="s">
        <v>10</v>
      </c>
      <c r="G3" s="53" t="s">
        <v>36</v>
      </c>
      <c r="H3" s="54">
        <v>0.7</v>
      </c>
      <c r="I3" s="51">
        <v>0</v>
      </c>
      <c r="J3" s="51">
        <v>0</v>
      </c>
      <c r="K3" s="51">
        <v>1</v>
      </c>
      <c r="L3" s="51">
        <v>0</v>
      </c>
      <c r="M3" s="51">
        <v>0</v>
      </c>
      <c r="N3" s="51">
        <v>9</v>
      </c>
      <c r="O3" s="51">
        <f t="shared" si="0"/>
        <v>0</v>
      </c>
      <c r="P3" s="51">
        <f t="shared" si="0"/>
        <v>0</v>
      </c>
      <c r="Q3" s="51">
        <f t="shared" si="0"/>
        <v>6.3</v>
      </c>
      <c r="R3" s="55">
        <f>SUM(O3:Q3)</f>
        <v>6.3</v>
      </c>
    </row>
    <row r="4" spans="2:18" ht="16.2" thickBot="1" x14ac:dyDescent="0.35">
      <c r="B4" s="50">
        <v>3</v>
      </c>
      <c r="C4" s="51" t="s">
        <v>13</v>
      </c>
      <c r="D4" s="52"/>
      <c r="E4" s="52" t="s">
        <v>10</v>
      </c>
      <c r="F4" s="52" t="s">
        <v>10</v>
      </c>
      <c r="G4" s="53" t="s">
        <v>39</v>
      </c>
      <c r="H4" s="57">
        <v>0.6</v>
      </c>
      <c r="I4" s="51">
        <v>0</v>
      </c>
      <c r="J4" s="51">
        <v>1</v>
      </c>
      <c r="K4" s="51">
        <v>1</v>
      </c>
      <c r="L4" s="51">
        <v>0</v>
      </c>
      <c r="M4" s="51">
        <v>4</v>
      </c>
      <c r="N4" s="51">
        <v>8</v>
      </c>
      <c r="O4" s="51">
        <f t="shared" si="0"/>
        <v>0</v>
      </c>
      <c r="P4" s="51">
        <f t="shared" si="0"/>
        <v>2.4</v>
      </c>
      <c r="Q4" s="51">
        <f t="shared" si="0"/>
        <v>4.8</v>
      </c>
      <c r="R4" s="55">
        <f>SUM(O4:Q4)</f>
        <v>7.1999999999999993</v>
      </c>
    </row>
    <row r="5" spans="2:18" ht="16.2" thickBot="1" x14ac:dyDescent="0.35">
      <c r="B5" s="50">
        <v>4</v>
      </c>
      <c r="C5" s="51" t="s">
        <v>8</v>
      </c>
      <c r="D5" s="56" t="s">
        <v>10</v>
      </c>
      <c r="E5" s="56"/>
      <c r="F5" s="56"/>
      <c r="G5" s="53" t="s">
        <v>38</v>
      </c>
      <c r="H5" s="57">
        <v>0.4</v>
      </c>
      <c r="I5" s="51">
        <v>1</v>
      </c>
      <c r="J5" s="51">
        <v>0</v>
      </c>
      <c r="K5" s="51">
        <v>0</v>
      </c>
      <c r="L5" s="51">
        <v>9</v>
      </c>
      <c r="M5" s="51">
        <v>0</v>
      </c>
      <c r="N5" s="51">
        <v>0</v>
      </c>
      <c r="O5" s="51">
        <f t="shared" si="0"/>
        <v>3.6</v>
      </c>
      <c r="P5" s="51">
        <f t="shared" si="0"/>
        <v>0</v>
      </c>
      <c r="Q5" s="51">
        <f t="shared" si="0"/>
        <v>0</v>
      </c>
      <c r="R5" s="55">
        <f>SUM(O5:Q5)</f>
        <v>3.6</v>
      </c>
    </row>
    <row r="6" spans="2:18" ht="15.6" x14ac:dyDescent="0.3">
      <c r="B6" s="58">
        <v>5</v>
      </c>
      <c r="C6" s="59" t="s">
        <v>9</v>
      </c>
      <c r="D6" s="60"/>
      <c r="E6" s="60" t="s">
        <v>10</v>
      </c>
      <c r="F6" s="60" t="s">
        <v>10</v>
      </c>
      <c r="G6" s="61" t="s">
        <v>37</v>
      </c>
      <c r="H6" s="62">
        <v>7.0000000000000007E-2</v>
      </c>
      <c r="I6" s="59">
        <v>0</v>
      </c>
      <c r="J6" s="59">
        <v>1</v>
      </c>
      <c r="K6" s="59">
        <v>1</v>
      </c>
      <c r="L6" s="59">
        <v>0</v>
      </c>
      <c r="M6" s="59">
        <v>8</v>
      </c>
      <c r="N6" s="59">
        <v>7</v>
      </c>
      <c r="O6" s="59">
        <f t="shared" si="0"/>
        <v>0</v>
      </c>
      <c r="P6" s="59">
        <f t="shared" si="0"/>
        <v>0.56000000000000005</v>
      </c>
      <c r="Q6" s="59">
        <f t="shared" si="0"/>
        <v>0.49000000000000005</v>
      </c>
      <c r="R6" s="63">
        <f>SUM(O6:Q6)</f>
        <v>1.05</v>
      </c>
    </row>
    <row r="7" spans="2:18" ht="15.6" x14ac:dyDescent="0.3">
      <c r="B7" s="64"/>
      <c r="C7" s="64"/>
      <c r="D7" s="64"/>
      <c r="E7" s="64"/>
      <c r="F7" s="64"/>
      <c r="G7" s="65"/>
      <c r="H7" s="64"/>
      <c r="I7" s="64"/>
      <c r="J7" s="64"/>
      <c r="K7" s="64"/>
      <c r="L7" s="64"/>
      <c r="M7" s="64"/>
      <c r="N7" s="64"/>
      <c r="O7" s="66">
        <f>SUM(O2:O6)</f>
        <v>8.1</v>
      </c>
      <c r="P7" s="66">
        <f>SUM(P2:P6)</f>
        <v>9.26</v>
      </c>
      <c r="Q7" s="66">
        <f>SUM(Q2:Q6)</f>
        <v>16.989999999999998</v>
      </c>
      <c r="R7" s="66">
        <f>SUM(R2:R6)</f>
        <v>34.35</v>
      </c>
    </row>
    <row r="8" spans="2:18" x14ac:dyDescent="0.3">
      <c r="F8" s="12"/>
    </row>
  </sheetData>
  <phoneticPr fontId="6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95750-A4F1-4F7E-9510-3FB30AE93ED2}">
  <dimension ref="A1:AW8"/>
  <sheetViews>
    <sheetView workbookViewId="0">
      <selection activeCell="T9" sqref="T9"/>
    </sheetView>
  </sheetViews>
  <sheetFormatPr defaultRowHeight="14.4" x14ac:dyDescent="0.3"/>
  <cols>
    <col min="3" max="3" width="15.88671875" customWidth="1"/>
    <col min="7" max="7" width="17.33203125" customWidth="1"/>
    <col min="8" max="8" width="10" customWidth="1"/>
    <col min="9" max="9" width="11.77734375" customWidth="1"/>
    <col min="12" max="12" width="10" customWidth="1"/>
    <col min="14" max="14" width="12.109375" customWidth="1"/>
    <col min="15" max="15" width="14.44140625" customWidth="1"/>
    <col min="16" max="16" width="14" customWidth="1"/>
    <col min="17" max="17" width="11.44140625" customWidth="1"/>
    <col min="18" max="18" width="10.6640625" customWidth="1"/>
  </cols>
  <sheetData>
    <row r="1" spans="1:49" s="103" customFormat="1" x14ac:dyDescent="0.3">
      <c r="A1" s="68"/>
      <c r="B1" s="37" t="s">
        <v>1</v>
      </c>
      <c r="C1" s="38" t="s">
        <v>22</v>
      </c>
      <c r="D1" s="38" t="s">
        <v>2</v>
      </c>
      <c r="E1" s="38" t="s">
        <v>3</v>
      </c>
      <c r="F1" s="38" t="s">
        <v>4</v>
      </c>
      <c r="G1" s="38" t="s">
        <v>97</v>
      </c>
      <c r="H1" s="100" t="s">
        <v>46</v>
      </c>
      <c r="I1" s="101" t="s">
        <v>24</v>
      </c>
      <c r="J1" s="101" t="s">
        <v>25</v>
      </c>
      <c r="K1" s="101" t="s">
        <v>26</v>
      </c>
      <c r="L1" s="102" t="s">
        <v>49</v>
      </c>
      <c r="M1" s="102" t="s">
        <v>48</v>
      </c>
      <c r="N1" s="102" t="s">
        <v>47</v>
      </c>
      <c r="O1" s="100" t="s">
        <v>98</v>
      </c>
      <c r="P1" s="100" t="s">
        <v>99</v>
      </c>
      <c r="Q1" s="100" t="s">
        <v>100</v>
      </c>
      <c r="R1" s="132" t="s">
        <v>43</v>
      </c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</row>
    <row r="2" spans="1:49" s="107" customFormat="1" x14ac:dyDescent="0.3">
      <c r="A2" s="68"/>
      <c r="B2" s="128">
        <v>1</v>
      </c>
      <c r="C2" s="104" t="s">
        <v>5</v>
      </c>
      <c r="D2" s="105" t="s">
        <v>10</v>
      </c>
      <c r="E2" s="105" t="s">
        <v>10</v>
      </c>
      <c r="F2" s="105" t="s">
        <v>10</v>
      </c>
      <c r="G2" s="106" t="s">
        <v>119</v>
      </c>
      <c r="H2" s="104">
        <v>0.3</v>
      </c>
      <c r="I2" s="104">
        <v>1</v>
      </c>
      <c r="J2" s="104">
        <v>1</v>
      </c>
      <c r="K2" s="104">
        <v>1</v>
      </c>
      <c r="L2" s="104">
        <v>4</v>
      </c>
      <c r="M2" s="104">
        <v>6</v>
      </c>
      <c r="N2" s="104">
        <v>5</v>
      </c>
      <c r="O2" s="104">
        <f t="shared" ref="O2:Q6" si="0">$H2*I2*L2</f>
        <v>1.2</v>
      </c>
      <c r="P2" s="104">
        <f t="shared" si="0"/>
        <v>1.7999999999999998</v>
      </c>
      <c r="Q2" s="104">
        <f t="shared" si="0"/>
        <v>1.5</v>
      </c>
      <c r="R2" s="133">
        <f>SUM(O2:Q2)</f>
        <v>4.5</v>
      </c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</row>
    <row r="3" spans="1:49" s="107" customFormat="1" x14ac:dyDescent="0.3">
      <c r="A3" s="68"/>
      <c r="B3" s="128">
        <v>2</v>
      </c>
      <c r="C3" s="104" t="s">
        <v>6</v>
      </c>
      <c r="D3" s="105"/>
      <c r="E3" s="105"/>
      <c r="F3" s="105" t="s">
        <v>10</v>
      </c>
      <c r="G3" s="106" t="s">
        <v>123</v>
      </c>
      <c r="H3" s="104">
        <v>0.3</v>
      </c>
      <c r="I3" s="104">
        <v>0</v>
      </c>
      <c r="J3" s="104">
        <v>0</v>
      </c>
      <c r="K3" s="104">
        <v>1</v>
      </c>
      <c r="L3" s="104">
        <v>0</v>
      </c>
      <c r="M3" s="104">
        <v>0</v>
      </c>
      <c r="N3" s="104">
        <v>7</v>
      </c>
      <c r="O3" s="104">
        <f t="shared" si="0"/>
        <v>0</v>
      </c>
      <c r="P3" s="104">
        <f t="shared" si="0"/>
        <v>0</v>
      </c>
      <c r="Q3" s="104">
        <f t="shared" si="0"/>
        <v>2.1</v>
      </c>
      <c r="R3" s="133">
        <f>SUM(O3:Q3)</f>
        <v>2.1</v>
      </c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</row>
    <row r="4" spans="1:49" s="107" customFormat="1" x14ac:dyDescent="0.3">
      <c r="A4" s="68"/>
      <c r="B4" s="104">
        <v>3</v>
      </c>
      <c r="C4" s="104" t="s">
        <v>13</v>
      </c>
      <c r="D4" s="105"/>
      <c r="E4" s="105" t="s">
        <v>10</v>
      </c>
      <c r="F4" s="105" t="s">
        <v>10</v>
      </c>
      <c r="G4" s="106" t="s">
        <v>120</v>
      </c>
      <c r="H4" s="104">
        <v>0.1</v>
      </c>
      <c r="I4" s="104">
        <v>0</v>
      </c>
      <c r="J4" s="104">
        <v>1</v>
      </c>
      <c r="K4" s="104">
        <v>1</v>
      </c>
      <c r="L4" s="104">
        <v>0</v>
      </c>
      <c r="M4" s="104">
        <v>3</v>
      </c>
      <c r="N4" s="104">
        <v>7</v>
      </c>
      <c r="O4" s="104">
        <f t="shared" si="0"/>
        <v>0</v>
      </c>
      <c r="P4" s="104">
        <f t="shared" si="0"/>
        <v>0.30000000000000004</v>
      </c>
      <c r="Q4" s="104">
        <f t="shared" si="0"/>
        <v>0.70000000000000007</v>
      </c>
      <c r="R4" s="133">
        <f>SUM(O4:Q4)</f>
        <v>1</v>
      </c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</row>
    <row r="5" spans="1:49" s="107" customFormat="1" x14ac:dyDescent="0.3">
      <c r="A5" s="68"/>
      <c r="B5" s="128">
        <v>4</v>
      </c>
      <c r="C5" s="104" t="s">
        <v>8</v>
      </c>
      <c r="D5" s="105" t="s">
        <v>10</v>
      </c>
      <c r="E5" s="105"/>
      <c r="F5" s="105"/>
      <c r="G5" s="106" t="s">
        <v>121</v>
      </c>
      <c r="H5" s="104">
        <v>0.2</v>
      </c>
      <c r="I5" s="104">
        <v>1</v>
      </c>
      <c r="J5" s="104">
        <v>0</v>
      </c>
      <c r="K5" s="104">
        <v>0</v>
      </c>
      <c r="L5" s="104">
        <v>8</v>
      </c>
      <c r="M5" s="104">
        <v>0</v>
      </c>
      <c r="N5" s="104">
        <v>0</v>
      </c>
      <c r="O5" s="104">
        <f t="shared" si="0"/>
        <v>1.6</v>
      </c>
      <c r="P5" s="104">
        <f t="shared" si="0"/>
        <v>0</v>
      </c>
      <c r="Q5" s="104">
        <f t="shared" si="0"/>
        <v>0</v>
      </c>
      <c r="R5" s="133">
        <f>SUM(O5:Q5)</f>
        <v>1.6</v>
      </c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</row>
    <row r="6" spans="1:49" s="111" customFormat="1" ht="15" thickBot="1" x14ac:dyDescent="0.35">
      <c r="A6" s="68"/>
      <c r="B6" s="129">
        <v>5</v>
      </c>
      <c r="C6" s="108" t="s">
        <v>9</v>
      </c>
      <c r="D6" s="109"/>
      <c r="E6" s="109" t="s">
        <v>10</v>
      </c>
      <c r="F6" s="109" t="s">
        <v>10</v>
      </c>
      <c r="G6" s="110" t="s">
        <v>122</v>
      </c>
      <c r="H6" s="108">
        <v>7.0000000000000007E-2</v>
      </c>
      <c r="I6" s="108">
        <v>0</v>
      </c>
      <c r="J6" s="108">
        <v>1</v>
      </c>
      <c r="K6" s="108">
        <v>1</v>
      </c>
      <c r="L6" s="108">
        <v>0</v>
      </c>
      <c r="M6" s="108">
        <v>7</v>
      </c>
      <c r="N6" s="108">
        <v>6</v>
      </c>
      <c r="O6" s="108">
        <f t="shared" si="0"/>
        <v>0</v>
      </c>
      <c r="P6" s="108">
        <f t="shared" si="0"/>
        <v>0.49000000000000005</v>
      </c>
      <c r="Q6" s="108">
        <f t="shared" si="0"/>
        <v>0.42000000000000004</v>
      </c>
      <c r="R6" s="134">
        <f>SUM(O6:Q6)</f>
        <v>0.91000000000000014</v>
      </c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</row>
    <row r="7" spans="1:49" x14ac:dyDescent="0.3">
      <c r="G7" s="12"/>
      <c r="O7" s="11">
        <f>SUM(O2:O6)</f>
        <v>2.8</v>
      </c>
      <c r="P7" s="11">
        <f>SUM(P2:P6)</f>
        <v>2.59</v>
      </c>
      <c r="Q7" s="11">
        <f>SUM(Q2:Q6)</f>
        <v>4.72</v>
      </c>
      <c r="R7" s="11">
        <f>SUM(R2:R6)</f>
        <v>10.11</v>
      </c>
    </row>
    <row r="8" spans="1:49" x14ac:dyDescent="0.3">
      <c r="F8" s="12"/>
    </row>
  </sheetData>
  <phoneticPr fontId="6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3890-2C12-4F46-BA96-75EE1503E36D}">
  <dimension ref="A1:F7"/>
  <sheetViews>
    <sheetView workbookViewId="0">
      <selection activeCell="E14" sqref="E14"/>
    </sheetView>
  </sheetViews>
  <sheetFormatPr defaultRowHeight="14.4" x14ac:dyDescent="0.3"/>
  <cols>
    <col min="1" max="1" width="10.88671875" customWidth="1"/>
    <col min="2" max="2" width="16.77734375" customWidth="1"/>
    <col min="3" max="3" width="14.6640625" customWidth="1"/>
    <col min="4" max="4" width="13" customWidth="1"/>
    <col min="5" max="5" width="13.109375" customWidth="1"/>
    <col min="6" max="6" width="12" customWidth="1"/>
  </cols>
  <sheetData>
    <row r="1" spans="1:6" x14ac:dyDescent="0.3">
      <c r="A1" s="112" t="s">
        <v>1</v>
      </c>
      <c r="B1" s="113" t="s">
        <v>45</v>
      </c>
      <c r="C1" s="113" t="s">
        <v>40</v>
      </c>
      <c r="D1" s="113" t="s">
        <v>41</v>
      </c>
      <c r="E1" s="113" t="s">
        <v>42</v>
      </c>
      <c r="F1" s="114" t="s">
        <v>43</v>
      </c>
    </row>
    <row r="2" spans="1:6" x14ac:dyDescent="0.3">
      <c r="A2" s="3">
        <v>1</v>
      </c>
      <c r="B2" s="1" t="s">
        <v>5</v>
      </c>
      <c r="C2" s="1">
        <f>'Rischio intrinseco'!O2 - 'Livello di rischio quantitativo'!O2</f>
        <v>3.3</v>
      </c>
      <c r="D2" s="1">
        <f>'Rischio intrinseco'!P2 - 'Livello di rischio quantitativo'!P2</f>
        <v>4.5</v>
      </c>
      <c r="E2" s="1">
        <f>'Rischio intrinseco'!Q2 - 'Livello di rischio quantitativo'!Q2</f>
        <v>3.9000000000000004</v>
      </c>
      <c r="F2" s="40">
        <f>'Rischio intrinseco'!R2 - 'Livello di rischio quantitativo'!R2</f>
        <v>11.700000000000003</v>
      </c>
    </row>
    <row r="3" spans="1:6" x14ac:dyDescent="0.3">
      <c r="A3" s="3">
        <v>2</v>
      </c>
      <c r="B3" s="1" t="s">
        <v>6</v>
      </c>
      <c r="C3" s="1">
        <f>'Rischio intrinseco'!O3 - 'Livello di rischio quantitativo'!O3</f>
        <v>0</v>
      </c>
      <c r="D3" s="1">
        <f>'Rischio intrinseco'!P3 - 'Livello di rischio quantitativo'!P3</f>
        <v>0</v>
      </c>
      <c r="E3" s="1">
        <f>'Rischio intrinseco'!Q3 - 'Livello di rischio quantitativo'!Q3</f>
        <v>4.1999999999999993</v>
      </c>
      <c r="F3" s="40">
        <f>'Rischio intrinseco'!R3 - 'Livello di rischio quantitativo'!R3</f>
        <v>4.1999999999999993</v>
      </c>
    </row>
    <row r="4" spans="1:6" x14ac:dyDescent="0.3">
      <c r="A4" s="3">
        <v>3</v>
      </c>
      <c r="B4" s="1" t="s">
        <v>13</v>
      </c>
      <c r="C4" s="1">
        <f>'Rischio intrinseco'!O4 - 'Livello di rischio quantitativo'!O4</f>
        <v>0</v>
      </c>
      <c r="D4" s="1">
        <f>'Rischio intrinseco'!P4 - 'Livello di rischio quantitativo'!P4</f>
        <v>2.0999999999999996</v>
      </c>
      <c r="E4" s="1">
        <f>'Rischio intrinseco'!Q4 - 'Livello di rischio quantitativo'!Q4</f>
        <v>4.0999999999999996</v>
      </c>
      <c r="F4" s="40">
        <f>'Rischio intrinseco'!R4 - 'Livello di rischio quantitativo'!R4</f>
        <v>6.1999999999999993</v>
      </c>
    </row>
    <row r="5" spans="1:6" x14ac:dyDescent="0.3">
      <c r="A5" s="3">
        <v>4</v>
      </c>
      <c r="B5" s="1" t="s">
        <v>8</v>
      </c>
      <c r="C5" s="1">
        <f>'Rischio intrinseco'!O5 - 'Livello di rischio quantitativo'!O5</f>
        <v>2</v>
      </c>
      <c r="D5" s="1">
        <f>'Rischio intrinseco'!P5 - 'Livello di rischio quantitativo'!P5</f>
        <v>0</v>
      </c>
      <c r="E5" s="1">
        <f>'Rischio intrinseco'!Q5 - 'Livello di rischio quantitativo'!Q5</f>
        <v>0</v>
      </c>
      <c r="F5" s="40">
        <f>'Rischio intrinseco'!R5 - 'Livello di rischio quantitativo'!R5</f>
        <v>2</v>
      </c>
    </row>
    <row r="6" spans="1:6" x14ac:dyDescent="0.3">
      <c r="A6" s="3">
        <v>5</v>
      </c>
      <c r="B6" s="1" t="s">
        <v>9</v>
      </c>
      <c r="C6" s="1">
        <f>'Rischio intrinseco'!O6 - 'Livello di rischio quantitativo'!O6</f>
        <v>0</v>
      </c>
      <c r="D6" s="1">
        <f>'Rischio intrinseco'!P6 - 'Livello di rischio quantitativo'!P6</f>
        <v>7.0000000000000007E-2</v>
      </c>
      <c r="E6" s="1">
        <f>'Rischio intrinseco'!Q6 - 'Livello di rischio quantitativo'!Q6</f>
        <v>7.0000000000000007E-2</v>
      </c>
      <c r="F6" s="40">
        <f>'Rischio intrinseco'!R6 - 'Livello di rischio quantitativo'!R6</f>
        <v>0.1399999999999999</v>
      </c>
    </row>
    <row r="7" spans="1:6" x14ac:dyDescent="0.3">
      <c r="A7" s="4"/>
      <c r="B7" s="115" t="s">
        <v>44</v>
      </c>
      <c r="C7" s="2">
        <f>'Rischio intrinseco'!O7 - 'Livello di rischio quantitativo'!O7</f>
        <v>5.3</v>
      </c>
      <c r="D7" s="2">
        <f>'Rischio intrinseco'!P7 - 'Livello di rischio quantitativo'!P7</f>
        <v>6.67</v>
      </c>
      <c r="E7" s="2">
        <f>'Rischio intrinseco'!Q7 - 'Livello di rischio quantitativo'!Q7</f>
        <v>12.27</v>
      </c>
      <c r="F7" s="41">
        <f>'Rischio intrinseco'!R7 - 'Livello di rischio quantitativo'!R7</f>
        <v>24.240000000000002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8129E-4257-44DF-9209-5D4EB4A69243}">
  <dimension ref="B1:L8"/>
  <sheetViews>
    <sheetView workbookViewId="0">
      <selection activeCell="O16" sqref="O16"/>
    </sheetView>
  </sheetViews>
  <sheetFormatPr defaultRowHeight="14.4" x14ac:dyDescent="0.3"/>
  <cols>
    <col min="3" max="3" width="15.33203125" customWidth="1"/>
    <col min="4" max="4" width="8.88671875" customWidth="1"/>
    <col min="8" max="8" width="17.44140625" customWidth="1"/>
    <col min="9" max="9" width="15.6640625" customWidth="1"/>
    <col min="10" max="10" width="15.109375" customWidth="1"/>
    <col min="12" max="12" width="13.109375" customWidth="1"/>
  </cols>
  <sheetData>
    <row r="1" spans="2:12" ht="15" thickBot="1" x14ac:dyDescent="0.35">
      <c r="B1" s="84" t="s">
        <v>1</v>
      </c>
      <c r="C1" s="85" t="s">
        <v>22</v>
      </c>
      <c r="D1" s="86" t="s">
        <v>2</v>
      </c>
      <c r="E1" s="86" t="s">
        <v>3</v>
      </c>
      <c r="F1" s="86" t="s">
        <v>4</v>
      </c>
      <c r="G1" s="86" t="s">
        <v>50</v>
      </c>
      <c r="H1" s="83" t="s">
        <v>30</v>
      </c>
      <c r="I1" s="83" t="s">
        <v>31</v>
      </c>
      <c r="J1" s="83" t="s">
        <v>32</v>
      </c>
      <c r="K1" s="83" t="s">
        <v>51</v>
      </c>
      <c r="L1" s="83" t="s">
        <v>52</v>
      </c>
    </row>
    <row r="2" spans="2:12" ht="15" thickBot="1" x14ac:dyDescent="0.35">
      <c r="B2" s="72">
        <v>1</v>
      </c>
      <c r="C2" s="72" t="s">
        <v>5</v>
      </c>
      <c r="D2" s="67" t="s">
        <v>10</v>
      </c>
      <c r="E2" s="67" t="s">
        <v>10</v>
      </c>
      <c r="F2" s="67" t="s">
        <v>10</v>
      </c>
      <c r="G2" s="78">
        <v>2</v>
      </c>
      <c r="H2" s="79">
        <f>'Rischio intrinseco'!O2</f>
        <v>4.5</v>
      </c>
      <c r="I2" s="79">
        <f>'Rischio intrinseco'!P2</f>
        <v>6.3</v>
      </c>
      <c r="J2" s="79">
        <f>'Rischio intrinseco'!Q2</f>
        <v>5.4</v>
      </c>
      <c r="K2" s="80">
        <f>H2</f>
        <v>4.5</v>
      </c>
      <c r="L2" s="80">
        <f>K2*G2</f>
        <v>9</v>
      </c>
    </row>
    <row r="3" spans="2:12" ht="15" thickBot="1" x14ac:dyDescent="0.35">
      <c r="B3" s="72">
        <v>2</v>
      </c>
      <c r="C3" s="72" t="s">
        <v>6</v>
      </c>
      <c r="D3" s="67"/>
      <c r="E3" s="67"/>
      <c r="F3" s="67" t="s">
        <v>10</v>
      </c>
      <c r="G3" s="78">
        <v>2</v>
      </c>
      <c r="H3" s="72">
        <f>'Rischio intrinseco'!O3</f>
        <v>0</v>
      </c>
      <c r="I3" s="72">
        <f>'Rischio intrinseco'!P3</f>
        <v>0</v>
      </c>
      <c r="J3" s="79">
        <f>'Rischio intrinseco'!Q3</f>
        <v>6.3</v>
      </c>
      <c r="K3" s="80">
        <f>I2</f>
        <v>6.3</v>
      </c>
      <c r="L3" s="80">
        <f>K3*G3</f>
        <v>12.6</v>
      </c>
    </row>
    <row r="4" spans="2:12" ht="15" thickBot="1" x14ac:dyDescent="0.35">
      <c r="B4" s="72">
        <v>3</v>
      </c>
      <c r="C4" s="72" t="s">
        <v>13</v>
      </c>
      <c r="D4" s="67"/>
      <c r="E4" s="67" t="s">
        <v>10</v>
      </c>
      <c r="F4" s="67" t="s">
        <v>10</v>
      </c>
      <c r="G4" s="78">
        <v>1</v>
      </c>
      <c r="H4" s="72">
        <f>'Rischio intrinseco'!O4</f>
        <v>0</v>
      </c>
      <c r="I4" s="72">
        <f>'Rischio intrinseco'!P4</f>
        <v>2.4</v>
      </c>
      <c r="J4" s="79">
        <f>'Rischio intrinseco'!Q4</f>
        <v>4.8</v>
      </c>
      <c r="K4" s="80">
        <f>J2</f>
        <v>5.4</v>
      </c>
      <c r="L4" s="80">
        <f>K4*G4</f>
        <v>5.4</v>
      </c>
    </row>
    <row r="5" spans="2:12" ht="15" thickBot="1" x14ac:dyDescent="0.35">
      <c r="B5" s="72">
        <v>4</v>
      </c>
      <c r="C5" s="72" t="s">
        <v>8</v>
      </c>
      <c r="D5" s="67" t="s">
        <v>10</v>
      </c>
      <c r="E5" s="67"/>
      <c r="F5" s="67"/>
      <c r="G5" s="78">
        <v>2</v>
      </c>
      <c r="H5" s="72">
        <f>'Rischio intrinseco'!O5</f>
        <v>3.6</v>
      </c>
      <c r="I5" s="72">
        <f>'Rischio intrinseco'!P5</f>
        <v>0</v>
      </c>
      <c r="J5" s="72">
        <f>'Rischio intrinseco'!Q5</f>
        <v>0</v>
      </c>
      <c r="K5" s="80">
        <f>J3</f>
        <v>6.3</v>
      </c>
      <c r="L5" s="80">
        <f>K5*G5</f>
        <v>12.6</v>
      </c>
    </row>
    <row r="6" spans="2:12" ht="15" thickBot="1" x14ac:dyDescent="0.35">
      <c r="B6" s="72">
        <v>5</v>
      </c>
      <c r="C6" s="72" t="s">
        <v>9</v>
      </c>
      <c r="D6" s="67"/>
      <c r="E6" s="67" t="s">
        <v>10</v>
      </c>
      <c r="F6" s="67" t="s">
        <v>10</v>
      </c>
      <c r="G6" s="78">
        <v>3</v>
      </c>
      <c r="H6" s="72">
        <f>'Rischio intrinseco'!O6</f>
        <v>0</v>
      </c>
      <c r="I6" s="72">
        <f>'Rischio intrinseco'!P6</f>
        <v>0.56000000000000005</v>
      </c>
      <c r="J6" s="72">
        <f>'Rischio intrinseco'!Q6</f>
        <v>0.49000000000000005</v>
      </c>
      <c r="K6" s="80">
        <f>J4</f>
        <v>4.8</v>
      </c>
      <c r="L6" s="80">
        <f>K6*G6</f>
        <v>14.399999999999999</v>
      </c>
    </row>
    <row r="7" spans="2:12" ht="15" thickBot="1" x14ac:dyDescent="0.35">
      <c r="G7" s="12"/>
      <c r="H7" s="11"/>
      <c r="I7" s="11"/>
      <c r="J7" s="81" t="s">
        <v>84</v>
      </c>
      <c r="K7" s="82">
        <f>SUM(K2:K6)</f>
        <v>27.300000000000004</v>
      </c>
      <c r="L7" s="82">
        <f>SUM(L2:L6)</f>
        <v>54</v>
      </c>
    </row>
    <row r="8" spans="2:12" x14ac:dyDescent="0.3">
      <c r="F8" s="1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6B7F-9CE8-4E46-B16C-E17D2386662E}">
  <dimension ref="B1:X19"/>
  <sheetViews>
    <sheetView workbookViewId="0">
      <selection activeCell="P18" sqref="P18"/>
    </sheetView>
  </sheetViews>
  <sheetFormatPr defaultRowHeight="14.4" x14ac:dyDescent="0.3"/>
  <cols>
    <col min="3" max="3" width="16.6640625" customWidth="1"/>
    <col min="14" max="14" width="10.44140625" customWidth="1"/>
    <col min="15" max="15" width="10" customWidth="1"/>
    <col min="16" max="16" width="11.33203125" customWidth="1"/>
    <col min="17" max="17" width="8.77734375" customWidth="1"/>
    <col min="18" max="18" width="10.5546875" customWidth="1"/>
    <col min="19" max="19" width="11.5546875" customWidth="1"/>
  </cols>
  <sheetData>
    <row r="1" spans="2:24" ht="15" thickBot="1" x14ac:dyDescent="0.35"/>
    <row r="2" spans="2:24" ht="15" thickBot="1" x14ac:dyDescent="0.35">
      <c r="B2" s="91" t="s">
        <v>1</v>
      </c>
      <c r="C2" s="91" t="s">
        <v>22</v>
      </c>
      <c r="D2" s="91" t="s">
        <v>2</v>
      </c>
      <c r="E2" s="91" t="s">
        <v>3</v>
      </c>
      <c r="F2" s="91" t="s">
        <v>4</v>
      </c>
      <c r="G2" s="14" t="s">
        <v>23</v>
      </c>
      <c r="H2" s="15" t="s">
        <v>24</v>
      </c>
      <c r="I2" s="15" t="s">
        <v>25</v>
      </c>
      <c r="J2" s="15" t="s">
        <v>26</v>
      </c>
      <c r="K2" s="69" t="s">
        <v>27</v>
      </c>
      <c r="L2" s="69" t="s">
        <v>28</v>
      </c>
      <c r="M2" s="69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S2" s="14" t="s">
        <v>23</v>
      </c>
      <c r="T2" s="14" t="s">
        <v>23</v>
      </c>
      <c r="V2" s="136" t="s">
        <v>27</v>
      </c>
      <c r="W2" s="137" t="s">
        <v>28</v>
      </c>
      <c r="X2" s="138" t="s">
        <v>29</v>
      </c>
    </row>
    <row r="3" spans="2:24" ht="15" thickBot="1" x14ac:dyDescent="0.35">
      <c r="B3" s="13">
        <v>1</v>
      </c>
      <c r="C3" s="67" t="s">
        <v>5</v>
      </c>
      <c r="D3" s="42" t="s">
        <v>10</v>
      </c>
      <c r="E3" s="42" t="s">
        <v>10</v>
      </c>
      <c r="F3" s="42" t="s">
        <v>10</v>
      </c>
      <c r="G3" s="70">
        <v>0.9</v>
      </c>
      <c r="H3" s="13">
        <v>0</v>
      </c>
      <c r="I3" s="13">
        <v>1</v>
      </c>
      <c r="J3" s="13">
        <v>1</v>
      </c>
      <c r="K3" s="71">
        <v>5</v>
      </c>
      <c r="L3" s="71">
        <v>7</v>
      </c>
      <c r="M3" s="71">
        <v>6</v>
      </c>
      <c r="N3" s="13">
        <f t="shared" ref="N3:P7" si="0">$G3*H3*K3</f>
        <v>0</v>
      </c>
      <c r="O3" s="13">
        <f t="shared" si="0"/>
        <v>6.3</v>
      </c>
      <c r="P3" s="13">
        <f t="shared" si="0"/>
        <v>5.4</v>
      </c>
      <c r="Q3" s="90">
        <f>SUM(N3:P3)</f>
        <v>11.7</v>
      </c>
      <c r="S3" s="34">
        <v>0.9</v>
      </c>
      <c r="T3" s="34" t="s">
        <v>80</v>
      </c>
      <c r="V3" s="139">
        <v>5</v>
      </c>
      <c r="W3" s="140">
        <v>7</v>
      </c>
      <c r="X3" s="141">
        <v>6</v>
      </c>
    </row>
    <row r="4" spans="2:24" ht="15" thickBot="1" x14ac:dyDescent="0.35">
      <c r="B4" s="13">
        <v>2</v>
      </c>
      <c r="C4" s="67" t="s">
        <v>6</v>
      </c>
      <c r="D4" s="43"/>
      <c r="E4" s="43"/>
      <c r="F4" s="43" t="s">
        <v>10</v>
      </c>
      <c r="G4" s="70">
        <v>0.7</v>
      </c>
      <c r="H4" s="13">
        <v>0</v>
      </c>
      <c r="I4" s="13">
        <v>0</v>
      </c>
      <c r="J4" s="13">
        <v>1</v>
      </c>
      <c r="K4" s="73">
        <v>0</v>
      </c>
      <c r="L4" s="74">
        <v>0</v>
      </c>
      <c r="M4" s="75">
        <v>9</v>
      </c>
      <c r="N4" s="13">
        <f t="shared" si="0"/>
        <v>0</v>
      </c>
      <c r="O4" s="13">
        <f t="shared" si="0"/>
        <v>0</v>
      </c>
      <c r="P4" s="13">
        <f t="shared" si="0"/>
        <v>6.3</v>
      </c>
      <c r="Q4" s="90">
        <f>SUM(N4:P4)</f>
        <v>6.3</v>
      </c>
      <c r="S4" s="34">
        <v>0.7</v>
      </c>
      <c r="T4" s="34" t="s">
        <v>80</v>
      </c>
      <c r="V4" s="144">
        <v>0</v>
      </c>
      <c r="W4" s="146">
        <v>0</v>
      </c>
      <c r="X4" s="142">
        <v>9</v>
      </c>
    </row>
    <row r="5" spans="2:24" ht="15" thickBot="1" x14ac:dyDescent="0.35">
      <c r="B5" s="13">
        <v>3</v>
      </c>
      <c r="C5" s="67" t="s">
        <v>13</v>
      </c>
      <c r="D5" s="42"/>
      <c r="E5" s="42" t="s">
        <v>10</v>
      </c>
      <c r="F5" s="42" t="s">
        <v>10</v>
      </c>
      <c r="G5" s="76">
        <v>0.6</v>
      </c>
      <c r="H5" s="13">
        <v>0</v>
      </c>
      <c r="I5" s="13">
        <v>1</v>
      </c>
      <c r="J5" s="13">
        <v>1</v>
      </c>
      <c r="K5" s="73">
        <v>0</v>
      </c>
      <c r="L5" s="88">
        <v>4</v>
      </c>
      <c r="M5" s="75">
        <v>8</v>
      </c>
      <c r="N5" s="13">
        <f t="shared" si="0"/>
        <v>0</v>
      </c>
      <c r="O5" s="13">
        <f t="shared" si="0"/>
        <v>2.4</v>
      </c>
      <c r="P5" s="13">
        <f t="shared" si="0"/>
        <v>4.8</v>
      </c>
      <c r="Q5" s="90">
        <f>SUM(N5:P5)</f>
        <v>7.1999999999999993</v>
      </c>
      <c r="S5" s="35">
        <v>0.6</v>
      </c>
      <c r="T5" s="35" t="s">
        <v>81</v>
      </c>
      <c r="V5" s="144">
        <v>0</v>
      </c>
      <c r="W5" s="140">
        <v>4</v>
      </c>
      <c r="X5" s="142">
        <v>8</v>
      </c>
    </row>
    <row r="6" spans="2:24" ht="15" thickBot="1" x14ac:dyDescent="0.35">
      <c r="B6" s="13">
        <v>4</v>
      </c>
      <c r="C6" s="67" t="s">
        <v>8</v>
      </c>
      <c r="D6" s="43" t="s">
        <v>10</v>
      </c>
      <c r="E6" s="43"/>
      <c r="F6" s="43"/>
      <c r="G6" s="88">
        <v>0.4</v>
      </c>
      <c r="H6" s="13">
        <v>1</v>
      </c>
      <c r="I6" s="13">
        <v>0</v>
      </c>
      <c r="J6" s="13">
        <v>0</v>
      </c>
      <c r="K6" s="75">
        <v>9</v>
      </c>
      <c r="L6" s="87">
        <v>0</v>
      </c>
      <c r="M6" s="87">
        <v>0</v>
      </c>
      <c r="N6" s="13">
        <f t="shared" si="0"/>
        <v>3.6</v>
      </c>
      <c r="O6" s="13">
        <f t="shared" si="0"/>
        <v>0</v>
      </c>
      <c r="P6" s="13">
        <f t="shared" si="0"/>
        <v>0</v>
      </c>
      <c r="Q6" s="90">
        <f>SUM(N6:P6)</f>
        <v>3.6</v>
      </c>
      <c r="S6" s="89">
        <v>0.4</v>
      </c>
      <c r="T6" s="89" t="s">
        <v>81</v>
      </c>
      <c r="V6" s="143">
        <v>9</v>
      </c>
      <c r="W6" s="147">
        <v>0</v>
      </c>
      <c r="X6" s="148">
        <v>0</v>
      </c>
    </row>
    <row r="7" spans="2:24" ht="15" thickBot="1" x14ac:dyDescent="0.35">
      <c r="B7" s="13">
        <v>5</v>
      </c>
      <c r="C7" s="67" t="s">
        <v>9</v>
      </c>
      <c r="D7" s="42"/>
      <c r="E7" s="42" t="s">
        <v>10</v>
      </c>
      <c r="F7" s="42" t="s">
        <v>10</v>
      </c>
      <c r="G7" s="74">
        <v>7.0000000000000007E-2</v>
      </c>
      <c r="H7" s="13">
        <v>0</v>
      </c>
      <c r="I7" s="13">
        <v>1</v>
      </c>
      <c r="J7" s="13">
        <v>1</v>
      </c>
      <c r="K7" s="74">
        <v>0</v>
      </c>
      <c r="L7" s="70">
        <v>8</v>
      </c>
      <c r="M7" s="77">
        <v>7</v>
      </c>
      <c r="N7" s="13">
        <f t="shared" si="0"/>
        <v>0</v>
      </c>
      <c r="O7" s="13">
        <f t="shared" si="0"/>
        <v>0.56000000000000005</v>
      </c>
      <c r="P7" s="13">
        <f t="shared" si="0"/>
        <v>0.49000000000000005</v>
      </c>
      <c r="Q7" s="90">
        <f>SUM(N7:P7)</f>
        <v>1.05</v>
      </c>
      <c r="S7" s="36">
        <v>7.0000000000000007E-2</v>
      </c>
      <c r="T7" s="36" t="s">
        <v>79</v>
      </c>
      <c r="V7" s="145">
        <v>0</v>
      </c>
      <c r="W7" s="150">
        <v>8</v>
      </c>
      <c r="X7" s="149">
        <v>7</v>
      </c>
    </row>
    <row r="13" spans="2:24" x14ac:dyDescent="0.3">
      <c r="B13" s="16" t="s">
        <v>82</v>
      </c>
      <c r="C13" s="16"/>
      <c r="D13" s="16" t="s">
        <v>83</v>
      </c>
      <c r="J13" s="16" t="s">
        <v>82</v>
      </c>
      <c r="K13" s="16"/>
      <c r="L13" s="16" t="s">
        <v>84</v>
      </c>
    </row>
    <row r="14" spans="2:24" ht="15" thickBot="1" x14ac:dyDescent="0.35"/>
    <row r="15" spans="2:24" ht="22.2" x14ac:dyDescent="0.3">
      <c r="B15" s="151" t="s">
        <v>85</v>
      </c>
      <c r="C15" s="17" t="s">
        <v>80</v>
      </c>
      <c r="D15" s="18" t="s">
        <v>86</v>
      </c>
      <c r="E15" s="19" t="s">
        <v>107</v>
      </c>
      <c r="F15" s="20" t="s">
        <v>109</v>
      </c>
      <c r="G15" s="20" t="s">
        <v>108</v>
      </c>
      <c r="J15" s="151" t="s">
        <v>85</v>
      </c>
      <c r="K15" s="17" t="s">
        <v>80</v>
      </c>
      <c r="L15" s="18" t="s">
        <v>86</v>
      </c>
      <c r="M15" s="19"/>
      <c r="N15" s="20" t="s">
        <v>110</v>
      </c>
      <c r="O15" s="20" t="s">
        <v>5</v>
      </c>
    </row>
    <row r="16" spans="2:24" ht="40.799999999999997" x14ac:dyDescent="0.3">
      <c r="B16" s="151"/>
      <c r="C16" s="17" t="s">
        <v>81</v>
      </c>
      <c r="D16" s="18" t="s">
        <v>87</v>
      </c>
      <c r="E16" s="21" t="s">
        <v>127</v>
      </c>
      <c r="F16" s="22" t="s">
        <v>128</v>
      </c>
      <c r="G16" s="23" t="s">
        <v>106</v>
      </c>
      <c r="J16" s="151"/>
      <c r="K16" s="17" t="s">
        <v>81</v>
      </c>
      <c r="L16" s="18" t="s">
        <v>87</v>
      </c>
      <c r="M16" s="21"/>
      <c r="N16" s="22" t="s">
        <v>102</v>
      </c>
      <c r="O16" s="23"/>
      <c r="R16" s="24" t="s">
        <v>88</v>
      </c>
      <c r="S16" s="25" t="s">
        <v>89</v>
      </c>
    </row>
    <row r="17" spans="2:19" ht="30.6" thickBot="1" x14ac:dyDescent="0.35">
      <c r="B17" s="151"/>
      <c r="C17" s="17" t="s">
        <v>79</v>
      </c>
      <c r="D17" s="18" t="s">
        <v>90</v>
      </c>
      <c r="E17" s="26" t="s">
        <v>103</v>
      </c>
      <c r="F17" s="27" t="s">
        <v>104</v>
      </c>
      <c r="G17" s="28" t="s">
        <v>105</v>
      </c>
      <c r="J17" s="151"/>
      <c r="K17" s="17" t="s">
        <v>79</v>
      </c>
      <c r="L17" s="18" t="s">
        <v>90</v>
      </c>
      <c r="M17" s="26"/>
      <c r="N17" s="27" t="s">
        <v>9</v>
      </c>
      <c r="O17" s="28"/>
      <c r="R17" s="29" t="s">
        <v>91</v>
      </c>
      <c r="S17" s="24" t="s">
        <v>92</v>
      </c>
    </row>
    <row r="18" spans="2:19" ht="15" thickBot="1" x14ac:dyDescent="0.35">
      <c r="E18" s="30" t="s">
        <v>93</v>
      </c>
      <c r="F18" s="30" t="s">
        <v>94</v>
      </c>
      <c r="G18" s="30" t="s">
        <v>95</v>
      </c>
      <c r="M18" s="31" t="s">
        <v>79</v>
      </c>
      <c r="N18" s="32" t="s">
        <v>81</v>
      </c>
      <c r="O18" s="33" t="s">
        <v>80</v>
      </c>
    </row>
    <row r="19" spans="2:19" x14ac:dyDescent="0.3">
      <c r="E19" s="152" t="s">
        <v>96</v>
      </c>
      <c r="F19" s="152"/>
      <c r="G19" s="152"/>
      <c r="M19" s="153" t="s">
        <v>96</v>
      </c>
      <c r="N19" s="153"/>
      <c r="O19" s="153"/>
    </row>
  </sheetData>
  <mergeCells count="4">
    <mergeCell ref="B15:B17"/>
    <mergeCell ref="J15:J17"/>
    <mergeCell ref="E19:G19"/>
    <mergeCell ref="M19:O19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6995-D5EA-452B-93A2-FDF83E547B83}">
  <dimension ref="B1:M34"/>
  <sheetViews>
    <sheetView workbookViewId="0">
      <selection activeCell="M4" sqref="M4"/>
    </sheetView>
  </sheetViews>
  <sheetFormatPr defaultRowHeight="14.4" x14ac:dyDescent="0.3"/>
  <cols>
    <col min="2" max="6" width="10.88671875" customWidth="1"/>
    <col min="7" max="7" width="14.109375" customWidth="1"/>
    <col min="8" max="9" width="10.88671875" customWidth="1"/>
    <col min="12" max="12" width="25.33203125" customWidth="1"/>
  </cols>
  <sheetData>
    <row r="1" spans="2:13" x14ac:dyDescent="0.3">
      <c r="B1" s="37" t="s">
        <v>58</v>
      </c>
      <c r="C1" s="38" t="s">
        <v>53</v>
      </c>
      <c r="D1" s="38" t="s">
        <v>54</v>
      </c>
      <c r="E1" s="38" t="s">
        <v>55</v>
      </c>
      <c r="F1" s="38" t="s">
        <v>59</v>
      </c>
      <c r="G1" s="38" t="s">
        <v>56</v>
      </c>
      <c r="H1" s="38" t="s">
        <v>57</v>
      </c>
      <c r="I1" s="39" t="s">
        <v>73</v>
      </c>
      <c r="J1" s="68"/>
    </row>
    <row r="2" spans="2:13" x14ac:dyDescent="0.3">
      <c r="B2" s="3">
        <v>0</v>
      </c>
      <c r="C2" s="1">
        <f>FACT(10)</f>
        <v>3628800</v>
      </c>
      <c r="D2" s="1">
        <f t="shared" ref="D2:D12" si="0">FACT(B2)*FACT(10-B2)</f>
        <v>3628800</v>
      </c>
      <c r="E2" s="1">
        <f t="shared" ref="E2:E12" si="1">COMBIN(10,B2)</f>
        <v>1</v>
      </c>
      <c r="F2" s="96">
        <f t="shared" ref="F2:F12" si="2">POWER(0.5,B2)</f>
        <v>1</v>
      </c>
      <c r="G2" s="96">
        <f t="shared" ref="G2:G12" si="3">POWER(1-0.5,10-B2)</f>
        <v>9.765625E-4</v>
      </c>
      <c r="H2" s="93">
        <f t="shared" ref="H2:H12" si="4">(E2*F2*G2)</f>
        <v>9.765625E-4</v>
      </c>
      <c r="I2" s="97">
        <f>_xlfn.BINOM.DIST(B2,10,0.5,1)</f>
        <v>9.765625E-4</v>
      </c>
      <c r="J2" s="68"/>
      <c r="L2" t="s">
        <v>60</v>
      </c>
      <c r="M2" t="s">
        <v>61</v>
      </c>
    </row>
    <row r="3" spans="2:13" x14ac:dyDescent="0.3">
      <c r="B3" s="3">
        <v>1</v>
      </c>
      <c r="C3" s="1">
        <f t="shared" ref="C3:C12" si="5">FACT(10)</f>
        <v>3628800</v>
      </c>
      <c r="D3" s="1">
        <f t="shared" si="0"/>
        <v>362880</v>
      </c>
      <c r="E3" s="1">
        <f t="shared" si="1"/>
        <v>10</v>
      </c>
      <c r="F3" s="96">
        <f t="shared" si="2"/>
        <v>0.5</v>
      </c>
      <c r="G3" s="96">
        <f t="shared" si="3"/>
        <v>1.953125E-3</v>
      </c>
      <c r="H3" s="93">
        <f t="shared" si="4"/>
        <v>9.765625E-3</v>
      </c>
      <c r="I3" s="97">
        <f t="shared" ref="I3:I12" si="6">_xlfn.BINOM.DIST(B3,10,0.5,1)</f>
        <v>1.0742187500000003E-2</v>
      </c>
      <c r="J3" s="68"/>
      <c r="L3" t="s">
        <v>63</v>
      </c>
      <c r="M3" t="s">
        <v>62</v>
      </c>
    </row>
    <row r="4" spans="2:13" x14ac:dyDescent="0.3">
      <c r="B4" s="3">
        <v>2</v>
      </c>
      <c r="C4" s="1">
        <f t="shared" si="5"/>
        <v>3628800</v>
      </c>
      <c r="D4" s="1">
        <f t="shared" si="0"/>
        <v>80640</v>
      </c>
      <c r="E4" s="1">
        <f t="shared" si="1"/>
        <v>45</v>
      </c>
      <c r="F4" s="96">
        <f t="shared" si="2"/>
        <v>0.25</v>
      </c>
      <c r="G4" s="96">
        <f t="shared" si="3"/>
        <v>3.90625E-3</v>
      </c>
      <c r="H4" s="93">
        <f t="shared" si="4"/>
        <v>4.39453125E-2</v>
      </c>
      <c r="I4" s="97">
        <f t="shared" si="6"/>
        <v>5.46875E-2</v>
      </c>
      <c r="J4" s="68"/>
      <c r="L4" t="s">
        <v>64</v>
      </c>
      <c r="M4" t="s">
        <v>129</v>
      </c>
    </row>
    <row r="5" spans="2:13" x14ac:dyDescent="0.3">
      <c r="B5" s="3">
        <v>3</v>
      </c>
      <c r="C5" s="1">
        <f t="shared" si="5"/>
        <v>3628800</v>
      </c>
      <c r="D5" s="1">
        <f t="shared" si="0"/>
        <v>30240</v>
      </c>
      <c r="E5" s="1">
        <f t="shared" si="1"/>
        <v>120</v>
      </c>
      <c r="F5" s="96">
        <f t="shared" si="2"/>
        <v>0.125</v>
      </c>
      <c r="G5" s="96">
        <f t="shared" si="3"/>
        <v>7.8125E-3</v>
      </c>
      <c r="H5" s="93">
        <f t="shared" si="4"/>
        <v>0.1171875</v>
      </c>
      <c r="I5" s="97">
        <f>H2</f>
        <v>9.765625E-4</v>
      </c>
      <c r="J5" s="68"/>
      <c r="L5" t="s">
        <v>66</v>
      </c>
      <c r="M5" t="s">
        <v>67</v>
      </c>
    </row>
    <row r="6" spans="2:13" x14ac:dyDescent="0.3">
      <c r="B6" s="3">
        <v>4</v>
      </c>
      <c r="C6" s="1">
        <f t="shared" si="5"/>
        <v>3628800</v>
      </c>
      <c r="D6" s="1">
        <f t="shared" si="0"/>
        <v>17280</v>
      </c>
      <c r="E6" s="1">
        <f t="shared" si="1"/>
        <v>209.99999999999997</v>
      </c>
      <c r="F6" s="96">
        <f t="shared" si="2"/>
        <v>6.25E-2</v>
      </c>
      <c r="G6" s="96">
        <f t="shared" si="3"/>
        <v>1.5625E-2</v>
      </c>
      <c r="H6" s="93">
        <f t="shared" si="4"/>
        <v>0.20507812499999997</v>
      </c>
      <c r="I6" s="97">
        <f t="shared" si="6"/>
        <v>0.376953125</v>
      </c>
      <c r="J6" s="68"/>
    </row>
    <row r="7" spans="2:13" x14ac:dyDescent="0.3">
      <c r="B7" s="3">
        <v>5</v>
      </c>
      <c r="C7" s="1">
        <f t="shared" si="5"/>
        <v>3628800</v>
      </c>
      <c r="D7" s="1">
        <f t="shared" si="0"/>
        <v>14400</v>
      </c>
      <c r="E7" s="1">
        <f t="shared" si="1"/>
        <v>252</v>
      </c>
      <c r="F7" s="96">
        <f t="shared" si="2"/>
        <v>3.125E-2</v>
      </c>
      <c r="G7" s="96">
        <f t="shared" si="3"/>
        <v>3.125E-2</v>
      </c>
      <c r="H7" s="93">
        <f t="shared" si="4"/>
        <v>0.24609375</v>
      </c>
      <c r="I7" s="97">
        <f t="shared" si="6"/>
        <v>0.623046875</v>
      </c>
      <c r="J7" s="68"/>
    </row>
    <row r="8" spans="2:13" x14ac:dyDescent="0.3">
      <c r="B8" s="3">
        <v>6</v>
      </c>
      <c r="C8" s="1">
        <f t="shared" si="5"/>
        <v>3628800</v>
      </c>
      <c r="D8" s="1">
        <f t="shared" si="0"/>
        <v>17280</v>
      </c>
      <c r="E8" s="1">
        <f t="shared" si="1"/>
        <v>209.99999999999997</v>
      </c>
      <c r="F8" s="96">
        <f t="shared" si="2"/>
        <v>1.5625E-2</v>
      </c>
      <c r="G8" s="96">
        <f t="shared" si="3"/>
        <v>6.25E-2</v>
      </c>
      <c r="H8" s="93">
        <f t="shared" si="4"/>
        <v>0.20507812499999997</v>
      </c>
      <c r="I8" s="97">
        <f t="shared" si="6"/>
        <v>0.828125</v>
      </c>
      <c r="J8" s="68"/>
    </row>
    <row r="9" spans="2:13" x14ac:dyDescent="0.3">
      <c r="B9" s="3">
        <v>7</v>
      </c>
      <c r="C9" s="1">
        <f t="shared" si="5"/>
        <v>3628800</v>
      </c>
      <c r="D9" s="1">
        <f t="shared" si="0"/>
        <v>30240</v>
      </c>
      <c r="E9" s="1">
        <f t="shared" si="1"/>
        <v>120</v>
      </c>
      <c r="F9" s="96">
        <f t="shared" si="2"/>
        <v>7.8125E-3</v>
      </c>
      <c r="G9" s="96">
        <f t="shared" si="3"/>
        <v>0.125</v>
      </c>
      <c r="H9" s="93">
        <f t="shared" si="4"/>
        <v>0.1171875</v>
      </c>
      <c r="I9" s="97">
        <f t="shared" si="6"/>
        <v>0.9453125</v>
      </c>
      <c r="J9" s="68"/>
    </row>
    <row r="10" spans="2:13" x14ac:dyDescent="0.3">
      <c r="B10" s="3">
        <v>8</v>
      </c>
      <c r="C10" s="1">
        <f t="shared" si="5"/>
        <v>3628800</v>
      </c>
      <c r="D10" s="1">
        <f t="shared" si="0"/>
        <v>80640</v>
      </c>
      <c r="E10" s="1">
        <f t="shared" si="1"/>
        <v>45</v>
      </c>
      <c r="F10" s="96">
        <f t="shared" si="2"/>
        <v>3.90625E-3</v>
      </c>
      <c r="G10" s="96">
        <f t="shared" si="3"/>
        <v>0.25</v>
      </c>
      <c r="H10" s="93">
        <f t="shared" si="4"/>
        <v>4.39453125E-2</v>
      </c>
      <c r="I10" s="97">
        <f t="shared" si="6"/>
        <v>0.9892578125</v>
      </c>
      <c r="J10" s="68"/>
    </row>
    <row r="11" spans="2:13" x14ac:dyDescent="0.3">
      <c r="B11" s="3">
        <v>9</v>
      </c>
      <c r="C11" s="1">
        <f t="shared" si="5"/>
        <v>3628800</v>
      </c>
      <c r="D11" s="1">
        <f t="shared" si="0"/>
        <v>362880</v>
      </c>
      <c r="E11" s="1">
        <f t="shared" si="1"/>
        <v>10</v>
      </c>
      <c r="F11" s="96">
        <f t="shared" si="2"/>
        <v>1.953125E-3</v>
      </c>
      <c r="G11" s="96">
        <f t="shared" si="3"/>
        <v>0.5</v>
      </c>
      <c r="H11" s="93">
        <f t="shared" si="4"/>
        <v>9.765625E-3</v>
      </c>
      <c r="I11" s="97">
        <f t="shared" si="6"/>
        <v>0.9990234375</v>
      </c>
      <c r="J11" s="68"/>
    </row>
    <row r="12" spans="2:13" x14ac:dyDescent="0.3">
      <c r="B12" s="4">
        <v>10</v>
      </c>
      <c r="C12" s="2">
        <f t="shared" si="5"/>
        <v>3628800</v>
      </c>
      <c r="D12" s="2">
        <f t="shared" si="0"/>
        <v>3628800</v>
      </c>
      <c r="E12" s="2">
        <f t="shared" si="1"/>
        <v>1</v>
      </c>
      <c r="F12" s="98">
        <f t="shared" si="2"/>
        <v>9.765625E-4</v>
      </c>
      <c r="G12" s="98">
        <f t="shared" si="3"/>
        <v>1</v>
      </c>
      <c r="H12" s="116">
        <f t="shared" si="4"/>
        <v>9.765625E-4</v>
      </c>
      <c r="I12" s="99">
        <f t="shared" si="6"/>
        <v>1</v>
      </c>
      <c r="J12" s="68"/>
    </row>
    <row r="34" spans="11:11" x14ac:dyDescent="0.3">
      <c r="K34" t="s">
        <v>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3523-A923-46EE-A6FB-D8CD6001CE12}">
  <dimension ref="A1:L34"/>
  <sheetViews>
    <sheetView zoomScale="91" zoomScaleNormal="91" workbookViewId="0">
      <selection activeCell="L28" sqref="L28"/>
    </sheetView>
  </sheetViews>
  <sheetFormatPr defaultRowHeight="14.4" x14ac:dyDescent="0.3"/>
  <cols>
    <col min="1" max="4" width="10.88671875" customWidth="1"/>
    <col min="5" max="5" width="13.21875" customWidth="1"/>
    <col min="6" max="6" width="14.109375" customWidth="1"/>
    <col min="7" max="8" width="10.88671875" customWidth="1"/>
    <col min="11" max="11" width="25.33203125" customWidth="1"/>
  </cols>
  <sheetData>
    <row r="1" spans="1:12" x14ac:dyDescent="0.3">
      <c r="A1" s="37" t="s">
        <v>58</v>
      </c>
      <c r="B1" s="38" t="s">
        <v>53</v>
      </c>
      <c r="C1" s="38" t="s">
        <v>54</v>
      </c>
      <c r="D1" s="38" t="s">
        <v>55</v>
      </c>
      <c r="E1" s="38" t="s">
        <v>59</v>
      </c>
      <c r="F1" s="38" t="s">
        <v>56</v>
      </c>
      <c r="G1" s="38" t="s">
        <v>57</v>
      </c>
      <c r="H1" s="39" t="s">
        <v>73</v>
      </c>
      <c r="I1" s="68"/>
    </row>
    <row r="2" spans="1:12" x14ac:dyDescent="0.3">
      <c r="A2" s="3">
        <v>0</v>
      </c>
      <c r="B2" s="1">
        <f>FACT(10)</f>
        <v>3628800</v>
      </c>
      <c r="C2" s="1">
        <f t="shared" ref="C2:C12" si="0">FACT(A2)*FACT(10-A2)</f>
        <v>3628800</v>
      </c>
      <c r="D2" s="1">
        <f t="shared" ref="D2:D12" si="1">COMBIN(10,A2)</f>
        <v>1</v>
      </c>
      <c r="E2" s="93">
        <f t="shared" ref="E2:E12" si="2">POWER(0.025,A2)</f>
        <v>1</v>
      </c>
      <c r="F2" s="96">
        <f t="shared" ref="F2:F12" si="3">POWER(1-0.025,10-A2)</f>
        <v>0.77632962085643753</v>
      </c>
      <c r="G2" s="93">
        <f t="shared" ref="G2:G12" si="4">(D2*E2*F2)</f>
        <v>0.77632962085643753</v>
      </c>
      <c r="H2" s="97">
        <f>_xlfn.BINOM.DIST(A2,10,0.025,1)</f>
        <v>0.77632962085643775</v>
      </c>
      <c r="I2" s="68"/>
      <c r="K2" t="s">
        <v>60</v>
      </c>
      <c r="L2" t="s">
        <v>61</v>
      </c>
    </row>
    <row r="3" spans="1:12" x14ac:dyDescent="0.3">
      <c r="A3" s="3">
        <v>1</v>
      </c>
      <c r="B3" s="1">
        <f t="shared" ref="B3:B12" si="5">FACT(10)</f>
        <v>3628800</v>
      </c>
      <c r="C3" s="1">
        <f t="shared" si="0"/>
        <v>362880</v>
      </c>
      <c r="D3" s="1">
        <f t="shared" si="1"/>
        <v>10</v>
      </c>
      <c r="E3" s="93">
        <f t="shared" si="2"/>
        <v>2.5000000000000001E-2</v>
      </c>
      <c r="F3" s="96">
        <f t="shared" si="3"/>
        <v>0.79623550857070524</v>
      </c>
      <c r="G3" s="93">
        <f t="shared" si="4"/>
        <v>0.19905887714267631</v>
      </c>
      <c r="H3" s="97">
        <f t="shared" ref="H3:H12" si="6">_xlfn.BINOM.DIST(A3,10,0.025,1)</f>
        <v>0.97538849799911409</v>
      </c>
      <c r="I3" s="68"/>
      <c r="K3" t="s">
        <v>63</v>
      </c>
      <c r="L3" t="s">
        <v>62</v>
      </c>
    </row>
    <row r="4" spans="1:12" x14ac:dyDescent="0.3">
      <c r="A4" s="3">
        <v>2</v>
      </c>
      <c r="B4" s="1">
        <f t="shared" si="5"/>
        <v>3628800</v>
      </c>
      <c r="C4" s="1">
        <f t="shared" si="0"/>
        <v>80640</v>
      </c>
      <c r="D4" s="1">
        <f t="shared" si="1"/>
        <v>45</v>
      </c>
      <c r="E4" s="93">
        <f t="shared" si="2"/>
        <v>6.2500000000000012E-4</v>
      </c>
      <c r="F4" s="96">
        <f t="shared" si="3"/>
        <v>0.81665180366226175</v>
      </c>
      <c r="G4" s="93">
        <f t="shared" si="4"/>
        <v>2.2968331978001116E-2</v>
      </c>
      <c r="H4" s="97">
        <f t="shared" si="6"/>
        <v>0.99835682997711528</v>
      </c>
      <c r="I4" s="68"/>
      <c r="K4" t="s">
        <v>125</v>
      </c>
      <c r="L4" t="s">
        <v>65</v>
      </c>
    </row>
    <row r="5" spans="1:12" x14ac:dyDescent="0.3">
      <c r="A5" s="3">
        <v>3</v>
      </c>
      <c r="B5" s="1">
        <f t="shared" si="5"/>
        <v>3628800</v>
      </c>
      <c r="C5" s="1">
        <f t="shared" si="0"/>
        <v>30240</v>
      </c>
      <c r="D5" s="1">
        <f t="shared" si="1"/>
        <v>120</v>
      </c>
      <c r="E5" s="93">
        <f t="shared" si="2"/>
        <v>1.5625000000000004E-5</v>
      </c>
      <c r="F5" s="96">
        <f t="shared" si="3"/>
        <v>0.83759159349975565</v>
      </c>
      <c r="G5" s="93">
        <f t="shared" si="4"/>
        <v>1.5704842378120422E-3</v>
      </c>
      <c r="H5" s="97">
        <f t="shared" si="6"/>
        <v>0.99992731421492731</v>
      </c>
      <c r="I5" s="68"/>
      <c r="K5" t="s">
        <v>126</v>
      </c>
      <c r="L5" t="s">
        <v>67</v>
      </c>
    </row>
    <row r="6" spans="1:12" x14ac:dyDescent="0.3">
      <c r="A6" s="3">
        <v>4</v>
      </c>
      <c r="B6" s="1">
        <f t="shared" si="5"/>
        <v>3628800</v>
      </c>
      <c r="C6" s="1">
        <f t="shared" si="0"/>
        <v>17280</v>
      </c>
      <c r="D6" s="1">
        <f t="shared" si="1"/>
        <v>209.99999999999997</v>
      </c>
      <c r="E6" s="93">
        <f t="shared" si="2"/>
        <v>3.9062500000000018E-7</v>
      </c>
      <c r="F6" s="96">
        <f t="shared" si="3"/>
        <v>0.85906830102539045</v>
      </c>
      <c r="G6" s="93">
        <f t="shared" si="4"/>
        <v>7.0470446568489091E-5</v>
      </c>
      <c r="H6" s="97">
        <f t="shared" si="6"/>
        <v>0.9999977846614958</v>
      </c>
      <c r="I6" s="68"/>
    </row>
    <row r="7" spans="1:12" x14ac:dyDescent="0.3">
      <c r="A7" s="3">
        <v>5</v>
      </c>
      <c r="B7" s="1">
        <f t="shared" si="5"/>
        <v>3628800</v>
      </c>
      <c r="C7" s="1">
        <f t="shared" si="0"/>
        <v>14400</v>
      </c>
      <c r="D7" s="1">
        <f t="shared" si="1"/>
        <v>252</v>
      </c>
      <c r="E7" s="93">
        <f t="shared" si="2"/>
        <v>9.7656250000000058E-9</v>
      </c>
      <c r="F7" s="96">
        <f t="shared" si="3"/>
        <v>0.88109569335937488</v>
      </c>
      <c r="G7" s="93">
        <f t="shared" si="4"/>
        <v>2.1683214328765879E-6</v>
      </c>
      <c r="H7" s="97">
        <f t="shared" si="6"/>
        <v>0.99999995298292865</v>
      </c>
      <c r="I7" s="68"/>
    </row>
    <row r="8" spans="1:12" x14ac:dyDescent="0.3">
      <c r="A8" s="3">
        <v>6</v>
      </c>
      <c r="B8" s="1">
        <f t="shared" si="5"/>
        <v>3628800</v>
      </c>
      <c r="C8" s="1">
        <f t="shared" si="0"/>
        <v>17280</v>
      </c>
      <c r="D8" s="1">
        <f t="shared" si="1"/>
        <v>209.99999999999997</v>
      </c>
      <c r="E8" s="93">
        <f t="shared" si="2"/>
        <v>2.4414062500000014E-10</v>
      </c>
      <c r="F8" s="96">
        <f t="shared" si="3"/>
        <v>0.90368789062499988</v>
      </c>
      <c r="G8" s="93">
        <f t="shared" si="4"/>
        <v>4.6331654548645034E-8</v>
      </c>
      <c r="H8" s="97">
        <f t="shared" si="6"/>
        <v>0.99999999931458317</v>
      </c>
      <c r="I8" s="68"/>
    </row>
    <row r="9" spans="1:12" x14ac:dyDescent="0.3">
      <c r="A9" s="3">
        <v>7</v>
      </c>
      <c r="B9" s="1">
        <f t="shared" si="5"/>
        <v>3628800</v>
      </c>
      <c r="C9" s="1">
        <f t="shared" si="0"/>
        <v>30240</v>
      </c>
      <c r="D9" s="1">
        <f t="shared" si="1"/>
        <v>120</v>
      </c>
      <c r="E9" s="93">
        <f t="shared" si="2"/>
        <v>6.1035156250000046E-12</v>
      </c>
      <c r="F9" s="96">
        <f t="shared" si="3"/>
        <v>0.92685937499999993</v>
      </c>
      <c r="G9" s="93">
        <f t="shared" si="4"/>
        <v>6.7885208129882861E-10</v>
      </c>
      <c r="H9" s="97">
        <f t="shared" si="6"/>
        <v>0.99999999999343525</v>
      </c>
      <c r="I9" s="68"/>
    </row>
    <row r="10" spans="1:12" x14ac:dyDescent="0.3">
      <c r="A10" s="3">
        <v>8</v>
      </c>
      <c r="B10" s="1">
        <f t="shared" si="5"/>
        <v>3628800</v>
      </c>
      <c r="C10" s="1">
        <f t="shared" si="0"/>
        <v>80640</v>
      </c>
      <c r="D10" s="1">
        <f t="shared" si="1"/>
        <v>45</v>
      </c>
      <c r="E10" s="93">
        <f t="shared" si="2"/>
        <v>1.5258789062500013E-13</v>
      </c>
      <c r="F10" s="96">
        <f t="shared" si="3"/>
        <v>0.95062499999999994</v>
      </c>
      <c r="G10" s="93">
        <f t="shared" si="4"/>
        <v>6.5274238586425832E-12</v>
      </c>
      <c r="H10" s="97">
        <f t="shared" si="6"/>
        <v>0.9999999999999627</v>
      </c>
      <c r="I10" s="68"/>
    </row>
    <row r="11" spans="1:12" x14ac:dyDescent="0.3">
      <c r="A11" s="3">
        <v>9</v>
      </c>
      <c r="B11" s="1">
        <f t="shared" si="5"/>
        <v>3628800</v>
      </c>
      <c r="C11" s="1">
        <f t="shared" si="0"/>
        <v>362880</v>
      </c>
      <c r="D11" s="1">
        <f t="shared" si="1"/>
        <v>10</v>
      </c>
      <c r="E11" s="93">
        <f t="shared" si="2"/>
        <v>3.8146972656250034E-15</v>
      </c>
      <c r="F11" s="96">
        <f t="shared" si="3"/>
        <v>0.97499999999999998</v>
      </c>
      <c r="G11" s="93">
        <f t="shared" si="4"/>
        <v>3.719329833984378E-14</v>
      </c>
      <c r="H11" s="97">
        <f t="shared" si="6"/>
        <v>0.99999999999999989</v>
      </c>
      <c r="I11" s="68"/>
    </row>
    <row r="12" spans="1:12" x14ac:dyDescent="0.3">
      <c r="A12" s="4">
        <v>10</v>
      </c>
      <c r="B12" s="2">
        <f t="shared" si="5"/>
        <v>3628800</v>
      </c>
      <c r="C12" s="2">
        <f t="shared" si="0"/>
        <v>3628800</v>
      </c>
      <c r="D12" s="2">
        <f t="shared" si="1"/>
        <v>1</v>
      </c>
      <c r="E12" s="116">
        <f t="shared" si="2"/>
        <v>9.5367431640625102E-17</v>
      </c>
      <c r="F12" s="96">
        <f t="shared" si="3"/>
        <v>1</v>
      </c>
      <c r="G12" s="116">
        <f t="shared" si="4"/>
        <v>9.5367431640625102E-17</v>
      </c>
      <c r="H12" s="97">
        <f t="shared" si="6"/>
        <v>1</v>
      </c>
      <c r="I12" s="68"/>
    </row>
    <row r="34" spans="10:10" x14ac:dyDescent="0.3">
      <c r="J34" t="s">
        <v>118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Minacce-Asset-Probabilità</vt:lpstr>
      <vt:lpstr>Minacce</vt:lpstr>
      <vt:lpstr>Rischio intrinseco</vt:lpstr>
      <vt:lpstr>Livello di rischio quantitativo</vt:lpstr>
      <vt:lpstr>Attenuazione del rischio</vt:lpstr>
      <vt:lpstr>Rischio qualitativo</vt:lpstr>
      <vt:lpstr>Normalizzazione</vt:lpstr>
      <vt:lpstr>Binomiale-data breach</vt:lpstr>
      <vt:lpstr>Probabilità composta - D. B.</vt:lpstr>
      <vt:lpstr>Poisson - Incendio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2022-05-19T10:02:17Z</dcterms:created>
  <dcterms:modified xsi:type="dcterms:W3CDTF">2022-05-31T10:15:36Z</dcterms:modified>
</cp:coreProperties>
</file>