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"/>
    </mc:Choice>
  </mc:AlternateContent>
  <xr:revisionPtr revIDLastSave="0" documentId="13_ncr:1_{5713A20A-5DCE-4613-995A-7148B37956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I29" i="3"/>
  <c r="I38" i="3" s="1"/>
  <c r="J29" i="3"/>
  <c r="K29" i="3"/>
  <c r="L29" i="3"/>
  <c r="L38" i="3" s="1"/>
  <c r="M29" i="3"/>
  <c r="AE31" i="3"/>
  <c r="AE40" i="3" s="1"/>
  <c r="AD31" i="3"/>
  <c r="AD40" i="3" s="1"/>
  <c r="AC31" i="3"/>
  <c r="AC40" i="3" s="1"/>
  <c r="AB31" i="3"/>
  <c r="AB40" i="3" s="1"/>
  <c r="AA31" i="3"/>
  <c r="AA40" i="3" s="1"/>
  <c r="V31" i="3"/>
  <c r="V40" i="3" s="1"/>
  <c r="U31" i="3"/>
  <c r="U40" i="3" s="1"/>
  <c r="T31" i="3"/>
  <c r="T40" i="3" s="1"/>
  <c r="S31" i="3"/>
  <c r="S40" i="3" s="1"/>
  <c r="R31" i="3"/>
  <c r="R40" i="3" s="1"/>
  <c r="M31" i="3"/>
  <c r="M40" i="3" s="1"/>
  <c r="L31" i="3"/>
  <c r="L40" i="3" s="1"/>
  <c r="K31" i="3"/>
  <c r="K40" i="3" s="1"/>
  <c r="J31" i="3"/>
  <c r="J40" i="3" s="1"/>
  <c r="I31" i="3"/>
  <c r="I40" i="3" s="1"/>
  <c r="F31" i="3"/>
  <c r="F40" i="3" s="1"/>
  <c r="E31" i="3"/>
  <c r="E40" i="3" s="1"/>
  <c r="D31" i="3"/>
  <c r="D40" i="3" s="1"/>
  <c r="C31" i="3"/>
  <c r="C40" i="3" s="1"/>
  <c r="B31" i="3"/>
  <c r="B40" i="3" s="1"/>
  <c r="AE30" i="3"/>
  <c r="AE39" i="3" s="1"/>
  <c r="AD30" i="3"/>
  <c r="AD39" i="3" s="1"/>
  <c r="AC30" i="3"/>
  <c r="AC39" i="3" s="1"/>
  <c r="AB30" i="3"/>
  <c r="AB39" i="3" s="1"/>
  <c r="AA30" i="3"/>
  <c r="AA39" i="3" s="1"/>
  <c r="V30" i="3"/>
  <c r="V39" i="3" s="1"/>
  <c r="U30" i="3"/>
  <c r="U39" i="3" s="1"/>
  <c r="T30" i="3"/>
  <c r="T39" i="3" s="1"/>
  <c r="S30" i="3"/>
  <c r="S39" i="3" s="1"/>
  <c r="R30" i="3"/>
  <c r="R39" i="3" s="1"/>
  <c r="M30" i="3"/>
  <c r="M39" i="3" s="1"/>
  <c r="L30" i="3"/>
  <c r="L39" i="3" s="1"/>
  <c r="K30" i="3"/>
  <c r="K39" i="3" s="1"/>
  <c r="J30" i="3"/>
  <c r="J39" i="3" s="1"/>
  <c r="I30" i="3"/>
  <c r="I39" i="3" s="1"/>
  <c r="F30" i="3"/>
  <c r="F39" i="3" s="1"/>
  <c r="E30" i="3"/>
  <c r="E39" i="3" s="1"/>
  <c r="D30" i="3"/>
  <c r="D39" i="3" s="1"/>
  <c r="C30" i="3"/>
  <c r="C39" i="3" s="1"/>
  <c r="B30" i="3"/>
  <c r="B39" i="3" s="1"/>
  <c r="AE29" i="3"/>
  <c r="AE38" i="3" s="1"/>
  <c r="AD29" i="3"/>
  <c r="AD38" i="3" s="1"/>
  <c r="AC29" i="3"/>
  <c r="AC38" i="3" s="1"/>
  <c r="AB29" i="3"/>
  <c r="AB38" i="3" s="1"/>
  <c r="AA29" i="3"/>
  <c r="AA38" i="3" s="1"/>
  <c r="V29" i="3"/>
  <c r="V38" i="3" s="1"/>
  <c r="U29" i="3"/>
  <c r="U38" i="3" s="1"/>
  <c r="T29" i="3"/>
  <c r="T38" i="3" s="1"/>
  <c r="S29" i="3"/>
  <c r="S38" i="3" s="1"/>
  <c r="R29" i="3"/>
  <c r="R38" i="3" s="1"/>
  <c r="M38" i="3"/>
  <c r="K38" i="3"/>
  <c r="J38" i="3"/>
  <c r="F29" i="3"/>
  <c r="F38" i="3" s="1"/>
  <c r="E29" i="3"/>
  <c r="E38" i="3" s="1"/>
  <c r="D29" i="3"/>
  <c r="D38" i="3" s="1"/>
  <c r="C29" i="3"/>
  <c r="C38" i="3" s="1"/>
  <c r="B29" i="3"/>
  <c r="B38" i="3" s="1"/>
  <c r="AE28" i="3"/>
  <c r="AE37" i="3" s="1"/>
  <c r="AD28" i="3"/>
  <c r="AD37" i="3" s="1"/>
  <c r="AC28" i="3"/>
  <c r="AC37" i="3" s="1"/>
  <c r="AB28" i="3"/>
  <c r="AB37" i="3" s="1"/>
  <c r="AA28" i="3"/>
  <c r="AA37" i="3" s="1"/>
  <c r="V28" i="3"/>
  <c r="V37" i="3" s="1"/>
  <c r="U28" i="3"/>
  <c r="U37" i="3" s="1"/>
  <c r="T28" i="3"/>
  <c r="T37" i="3" s="1"/>
  <c r="S28" i="3"/>
  <c r="S37" i="3" s="1"/>
  <c r="R28" i="3"/>
  <c r="R37" i="3" s="1"/>
  <c r="M28" i="3"/>
  <c r="M37" i="3" s="1"/>
  <c r="L28" i="3"/>
  <c r="L37" i="3" s="1"/>
  <c r="K28" i="3"/>
  <c r="K37" i="3" s="1"/>
  <c r="J28" i="3"/>
  <c r="J37" i="3" s="1"/>
  <c r="I28" i="3"/>
  <c r="I37" i="3" s="1"/>
  <c r="F28" i="3"/>
  <c r="F37" i="3" s="1"/>
  <c r="E28" i="3"/>
  <c r="E37" i="3" s="1"/>
  <c r="D28" i="3"/>
  <c r="D37" i="3" s="1"/>
  <c r="C28" i="3"/>
  <c r="C37" i="3" s="1"/>
  <c r="B28" i="3"/>
  <c r="B37" i="3" s="1"/>
  <c r="AE27" i="3"/>
  <c r="AE36" i="3" s="1"/>
  <c r="AD27" i="3"/>
  <c r="AD36" i="3" s="1"/>
  <c r="AC27" i="3"/>
  <c r="AC36" i="3" s="1"/>
  <c r="AB27" i="3"/>
  <c r="AB36" i="3" s="1"/>
  <c r="AA27" i="3"/>
  <c r="AA36" i="3" s="1"/>
  <c r="E48" i="3" s="1"/>
  <c r="E58" i="3" s="1"/>
  <c r="V27" i="3"/>
  <c r="V36" i="3" s="1"/>
  <c r="U27" i="3"/>
  <c r="U36" i="3" s="1"/>
  <c r="T27" i="3"/>
  <c r="T36" i="3" s="1"/>
  <c r="S27" i="3"/>
  <c r="S36" i="3" s="1"/>
  <c r="R27" i="3"/>
  <c r="R36" i="3" s="1"/>
  <c r="M27" i="3"/>
  <c r="M36" i="3" s="1"/>
  <c r="L27" i="3"/>
  <c r="L36" i="3" s="1"/>
  <c r="K27" i="3"/>
  <c r="K36" i="3" s="1"/>
  <c r="J27" i="3"/>
  <c r="J36" i="3" s="1"/>
  <c r="I27" i="3"/>
  <c r="I36" i="3" s="1"/>
  <c r="F27" i="3"/>
  <c r="F36" i="3" s="1"/>
  <c r="E27" i="3"/>
  <c r="E36" i="3" s="1"/>
  <c r="D27" i="3"/>
  <c r="D36" i="3" s="1"/>
  <c r="C27" i="3"/>
  <c r="C36" i="3" s="1"/>
  <c r="B27" i="3"/>
  <c r="B36" i="3" s="1"/>
  <c r="I50" i="3" l="1"/>
  <c r="I49" i="3"/>
  <c r="E49" i="3"/>
  <c r="M53" i="3"/>
  <c r="C52" i="3"/>
  <c r="C62" i="3" s="1"/>
  <c r="D48" i="3"/>
  <c r="D58" i="3" s="1"/>
  <c r="D50" i="3"/>
  <c r="D60" i="3" s="1"/>
  <c r="C50" i="3"/>
  <c r="C60" i="3" s="1"/>
  <c r="L52" i="3"/>
  <c r="K51" i="3"/>
  <c r="K53" i="3"/>
  <c r="L50" i="3"/>
  <c r="J53" i="3"/>
  <c r="K49" i="3"/>
  <c r="M49" i="3"/>
  <c r="B49" i="3"/>
  <c r="B59" i="3" s="1"/>
  <c r="M51" i="3"/>
  <c r="I52" i="3"/>
  <c r="B51" i="3"/>
  <c r="B61" i="3" s="1"/>
  <c r="C48" i="3"/>
  <c r="C58" i="3" s="1"/>
  <c r="J52" i="3"/>
  <c r="K50" i="3"/>
  <c r="D49" i="3"/>
  <c r="D59" i="3" s="1"/>
  <c r="K52" i="3"/>
  <c r="D51" i="3"/>
  <c r="D61" i="3" s="1"/>
  <c r="E50" i="3"/>
  <c r="E60" i="3" s="1"/>
  <c r="E52" i="3"/>
  <c r="E62" i="3" s="1"/>
  <c r="J50" i="3"/>
  <c r="B48" i="3"/>
  <c r="B58" i="3" s="1"/>
  <c r="M50" i="3"/>
  <c r="I51" i="3"/>
  <c r="B50" i="3"/>
  <c r="B60" i="3" s="1"/>
  <c r="M52" i="3"/>
  <c r="I53" i="3"/>
  <c r="I62" i="3" s="1"/>
  <c r="B52" i="3"/>
  <c r="B62" i="3" s="1"/>
  <c r="J49" i="3"/>
  <c r="C49" i="3"/>
  <c r="C59" i="3" s="1"/>
  <c r="J51" i="3"/>
  <c r="C51" i="3"/>
  <c r="C61" i="3" s="1"/>
  <c r="D52" i="3"/>
  <c r="D62" i="3" s="1"/>
  <c r="L49" i="3"/>
  <c r="E59" i="3"/>
  <c r="L51" i="3"/>
  <c r="E51" i="3"/>
  <c r="E61" i="3" s="1"/>
  <c r="L53" i="3"/>
  <c r="AE27" i="1"/>
  <c r="AE36" i="1" s="1"/>
  <c r="AE28" i="1"/>
  <c r="AE37" i="1" s="1"/>
  <c r="AE29" i="1"/>
  <c r="AE38" i="1" s="1"/>
  <c r="AE30" i="1"/>
  <c r="AE39" i="1" s="1"/>
  <c r="AE31" i="1"/>
  <c r="AE40" i="1" s="1"/>
  <c r="AD27" i="1"/>
  <c r="AD36" i="1" s="1"/>
  <c r="AD28" i="1"/>
  <c r="AD37" i="1" s="1"/>
  <c r="AD29" i="1"/>
  <c r="AD38" i="1" s="1"/>
  <c r="AD30" i="1"/>
  <c r="AD39" i="1" s="1"/>
  <c r="AD31" i="1"/>
  <c r="AD40" i="1" s="1"/>
  <c r="AC27" i="1"/>
  <c r="AC36" i="1" s="1"/>
  <c r="AC28" i="1"/>
  <c r="AC37" i="1" s="1"/>
  <c r="AC29" i="1"/>
  <c r="AC38" i="1" s="1"/>
  <c r="AC30" i="1"/>
  <c r="AC39" i="1" s="1"/>
  <c r="AC31" i="1"/>
  <c r="AC40" i="1" s="1"/>
  <c r="AB27" i="1"/>
  <c r="AB36" i="1" s="1"/>
  <c r="AB28" i="1"/>
  <c r="AB37" i="1" s="1"/>
  <c r="AB29" i="1"/>
  <c r="AB38" i="1" s="1"/>
  <c r="AB30" i="1"/>
  <c r="AB39" i="1" s="1"/>
  <c r="AB31" i="1"/>
  <c r="AB40" i="1" s="1"/>
  <c r="AA27" i="1"/>
  <c r="AA36" i="1" s="1"/>
  <c r="AA28" i="1"/>
  <c r="AA37" i="1" s="1"/>
  <c r="AA29" i="1"/>
  <c r="AA38" i="1" s="1"/>
  <c r="AA30" i="1"/>
  <c r="AA39" i="1" s="1"/>
  <c r="AA31" i="1"/>
  <c r="AA40" i="1" s="1"/>
  <c r="V27" i="1"/>
  <c r="V36" i="1" s="1"/>
  <c r="V28" i="1"/>
  <c r="V37" i="1" s="1"/>
  <c r="V29" i="1"/>
  <c r="V38" i="1" s="1"/>
  <c r="V30" i="1"/>
  <c r="V39" i="1" s="1"/>
  <c r="V31" i="1"/>
  <c r="V40" i="1" s="1"/>
  <c r="U27" i="1"/>
  <c r="U36" i="1" s="1"/>
  <c r="U28" i="1"/>
  <c r="U37" i="1" s="1"/>
  <c r="U29" i="1"/>
  <c r="U38" i="1" s="1"/>
  <c r="U30" i="1"/>
  <c r="U39" i="1" s="1"/>
  <c r="U31" i="1"/>
  <c r="U40" i="1" s="1"/>
  <c r="S27" i="1"/>
  <c r="S36" i="1" s="1"/>
  <c r="S28" i="1"/>
  <c r="S37" i="1" s="1"/>
  <c r="S29" i="1"/>
  <c r="S38" i="1" s="1"/>
  <c r="S30" i="1"/>
  <c r="S39" i="1" s="1"/>
  <c r="S31" i="1"/>
  <c r="S40" i="1" s="1"/>
  <c r="T27" i="1"/>
  <c r="T36" i="1" s="1"/>
  <c r="T28" i="1"/>
  <c r="T37" i="1" s="1"/>
  <c r="T29" i="1"/>
  <c r="T38" i="1" s="1"/>
  <c r="T30" i="1"/>
  <c r="T39" i="1" s="1"/>
  <c r="T31" i="1"/>
  <c r="T40" i="1" s="1"/>
  <c r="R27" i="1"/>
  <c r="R36" i="1" s="1"/>
  <c r="R28" i="1"/>
  <c r="R37" i="1" s="1"/>
  <c r="R29" i="1"/>
  <c r="R38" i="1" s="1"/>
  <c r="R30" i="1"/>
  <c r="R39" i="1" s="1"/>
  <c r="R31" i="1"/>
  <c r="R40" i="1" s="1"/>
  <c r="M27" i="1"/>
  <c r="M36" i="1" s="1"/>
  <c r="M28" i="1"/>
  <c r="M37" i="1" s="1"/>
  <c r="M29" i="1"/>
  <c r="M38" i="1" s="1"/>
  <c r="M30" i="1"/>
  <c r="M39" i="1" s="1"/>
  <c r="M31" i="1"/>
  <c r="M40" i="1" s="1"/>
  <c r="L27" i="1"/>
  <c r="L36" i="1" s="1"/>
  <c r="L28" i="1"/>
  <c r="L37" i="1" s="1"/>
  <c r="L29" i="1"/>
  <c r="L38" i="1" s="1"/>
  <c r="L30" i="1"/>
  <c r="L39" i="1" s="1"/>
  <c r="L31" i="1"/>
  <c r="L40" i="1" s="1"/>
  <c r="K27" i="1"/>
  <c r="K36" i="1" s="1"/>
  <c r="K28" i="1"/>
  <c r="K37" i="1" s="1"/>
  <c r="K29" i="1"/>
  <c r="K38" i="1" s="1"/>
  <c r="K30" i="1"/>
  <c r="K39" i="1" s="1"/>
  <c r="K31" i="1"/>
  <c r="K40" i="1" s="1"/>
  <c r="J27" i="1"/>
  <c r="J36" i="1" s="1"/>
  <c r="J28" i="1"/>
  <c r="J37" i="1" s="1"/>
  <c r="J29" i="1"/>
  <c r="J38" i="1" s="1"/>
  <c r="J30" i="1"/>
  <c r="J39" i="1" s="1"/>
  <c r="J31" i="1"/>
  <c r="J40" i="1" s="1"/>
  <c r="I29" i="1"/>
  <c r="I38" i="1" s="1"/>
  <c r="I30" i="1"/>
  <c r="I39" i="1" s="1"/>
  <c r="I31" i="1"/>
  <c r="I40" i="1" s="1"/>
  <c r="I28" i="1"/>
  <c r="I37" i="1" s="1"/>
  <c r="I27" i="1"/>
  <c r="I36" i="1" s="1"/>
  <c r="F28" i="1"/>
  <c r="F37" i="1" s="1"/>
  <c r="F29" i="1"/>
  <c r="F38" i="1" s="1"/>
  <c r="F30" i="1"/>
  <c r="F39" i="1" s="1"/>
  <c r="F31" i="1"/>
  <c r="F40" i="1" s="1"/>
  <c r="E28" i="1"/>
  <c r="E37" i="1" s="1"/>
  <c r="E29" i="1"/>
  <c r="E38" i="1" s="1"/>
  <c r="E30" i="1"/>
  <c r="E39" i="1" s="1"/>
  <c r="E31" i="1"/>
  <c r="E40" i="1" s="1"/>
  <c r="D31" i="1"/>
  <c r="D40" i="1" s="1"/>
  <c r="D28" i="1"/>
  <c r="D37" i="1" s="1"/>
  <c r="D29" i="1"/>
  <c r="D38" i="1" s="1"/>
  <c r="D30" i="1"/>
  <c r="D39" i="1" s="1"/>
  <c r="C28" i="1"/>
  <c r="C37" i="1" s="1"/>
  <c r="C29" i="1"/>
  <c r="C38" i="1" s="1"/>
  <c r="C30" i="1"/>
  <c r="C39" i="1" s="1"/>
  <c r="C31" i="1"/>
  <c r="C40" i="1" s="1"/>
  <c r="F27" i="1"/>
  <c r="F36" i="1" s="1"/>
  <c r="E27" i="1"/>
  <c r="E36" i="1" s="1"/>
  <c r="D27" i="1"/>
  <c r="D36" i="1" s="1"/>
  <c r="C27" i="1"/>
  <c r="C36" i="1" s="1"/>
  <c r="B37" i="1"/>
  <c r="B29" i="1"/>
  <c r="B38" i="1" s="1"/>
  <c r="B30" i="1"/>
  <c r="B39" i="1" s="1"/>
  <c r="B31" i="1"/>
  <c r="B40" i="1" s="1"/>
  <c r="B27" i="1"/>
  <c r="B36" i="1" s="1"/>
  <c r="L51" i="1" l="1"/>
  <c r="I49" i="1"/>
  <c r="J53" i="1"/>
  <c r="K51" i="1"/>
  <c r="M51" i="1"/>
  <c r="M50" i="1"/>
  <c r="I52" i="1"/>
  <c r="B68" i="3"/>
  <c r="J60" i="3"/>
  <c r="B71" i="3"/>
  <c r="B70" i="3"/>
  <c r="J62" i="3"/>
  <c r="K62" i="3" s="1"/>
  <c r="J61" i="3"/>
  <c r="I60" i="3"/>
  <c r="I61" i="3"/>
  <c r="I59" i="3"/>
  <c r="J59" i="3"/>
  <c r="J58" i="3"/>
  <c r="I58" i="3"/>
  <c r="B69" i="3"/>
  <c r="B72" i="3"/>
  <c r="L52" i="1"/>
  <c r="J51" i="1"/>
  <c r="K50" i="1"/>
  <c r="K52" i="1"/>
  <c r="J52" i="1"/>
  <c r="L49" i="1"/>
  <c r="M49" i="1"/>
  <c r="L50" i="1"/>
  <c r="I53" i="1"/>
  <c r="I51" i="1"/>
  <c r="L53" i="1"/>
  <c r="J50" i="1"/>
  <c r="I50" i="1"/>
  <c r="K53" i="1"/>
  <c r="M53" i="1"/>
  <c r="J49" i="1"/>
  <c r="K49" i="1"/>
  <c r="M52" i="1"/>
  <c r="E50" i="1"/>
  <c r="E60" i="1" s="1"/>
  <c r="E51" i="1"/>
  <c r="E61" i="1" s="1"/>
  <c r="D50" i="1"/>
  <c r="D60" i="1" s="1"/>
  <c r="B51" i="1"/>
  <c r="B61" i="1" s="1"/>
  <c r="C51" i="1"/>
  <c r="C61" i="1" s="1"/>
  <c r="E52" i="1"/>
  <c r="E62" i="1" s="1"/>
  <c r="E49" i="1"/>
  <c r="E59" i="1" s="1"/>
  <c r="B50" i="1"/>
  <c r="B60" i="1" s="1"/>
  <c r="C48" i="1"/>
  <c r="C58" i="1" s="1"/>
  <c r="D51" i="1"/>
  <c r="D61" i="1" s="1"/>
  <c r="D48" i="1"/>
  <c r="D58" i="1" s="1"/>
  <c r="B52" i="1"/>
  <c r="B62" i="1" s="1"/>
  <c r="D52" i="1"/>
  <c r="D62" i="1" s="1"/>
  <c r="D49" i="1"/>
  <c r="D59" i="1" s="1"/>
  <c r="E48" i="1"/>
  <c r="E58" i="1" s="1"/>
  <c r="B48" i="1"/>
  <c r="B58" i="1" s="1"/>
  <c r="B49" i="1"/>
  <c r="B59" i="1" s="1"/>
  <c r="C52" i="1"/>
  <c r="C62" i="1" s="1"/>
  <c r="C50" i="1"/>
  <c r="C60" i="1" s="1"/>
  <c r="C49" i="1"/>
  <c r="C59" i="1" s="1"/>
  <c r="K60" i="3" l="1"/>
  <c r="K61" i="3"/>
  <c r="K58" i="3"/>
  <c r="K59" i="3"/>
  <c r="B69" i="1"/>
  <c r="B68" i="1"/>
  <c r="I62" i="1"/>
  <c r="J60" i="1"/>
  <c r="J59" i="1"/>
  <c r="I60" i="1"/>
  <c r="I59" i="1"/>
  <c r="J62" i="1"/>
  <c r="J61" i="1"/>
  <c r="I58" i="1"/>
  <c r="J58" i="1"/>
  <c r="I61" i="1"/>
  <c r="B71" i="1"/>
  <c r="B72" i="1"/>
  <c r="B70" i="1"/>
  <c r="K62" i="1" l="1"/>
  <c r="K60" i="1"/>
  <c r="K59" i="1"/>
  <c r="K61" i="1"/>
  <c r="K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Philou</author>
  </authors>
  <commentList>
    <comment ref="G7" authorId="0" shapeId="0" xr:uid="{A6005A2A-47C8-4336-9BB2-A6449761115F}">
      <text>
        <r>
          <rPr>
            <b/>
            <sz val="9"/>
            <color indexed="81"/>
            <rFont val="Tahoma"/>
            <family val="2"/>
          </rPr>
          <t>The qualitative scale of the criterion Comfort needs to be transformed to a quantitative scale. These values are chosen by the decision maker.</t>
        </r>
      </text>
    </comment>
    <comment ref="A8" authorId="0" shapeId="0" xr:uid="{8D07DFEE-8D49-456B-8A1E-019F7E0869A5}">
      <text>
        <r>
          <rPr>
            <sz val="9"/>
            <color indexed="81"/>
            <rFont val="Tahoma"/>
            <family val="2"/>
          </rPr>
          <t xml:space="preserve">The DM needs to define if the criteria have to be maximised or minimised.
</t>
        </r>
      </text>
    </comment>
    <comment ref="B9" authorId="0" shapeId="0" xr:uid="{1A3A61A8-2423-462D-862D-E15604E388E4}">
      <text>
        <r>
          <rPr>
            <sz val="9"/>
            <color rgb="FF000000"/>
            <rFont val="Tahoma"/>
            <family val="2"/>
          </rPr>
          <t>Green bold indicates the best performances on the criterion.</t>
        </r>
      </text>
    </comment>
    <comment ref="B11" authorId="0" shapeId="0" xr:uid="{0002F505-8E25-41A1-8A4F-DFBC5858A55C}">
      <text>
        <r>
          <rPr>
            <b/>
            <sz val="9"/>
            <color rgb="FF000000"/>
            <rFont val="Tahoma"/>
            <family val="2"/>
          </rPr>
          <t xml:space="preserve">Red bold indicates the worst performances on the criterion.
</t>
        </r>
      </text>
    </comment>
    <comment ref="A2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Difference between the evaluations on the price criterion between two actions. This matrix is necessarily anti-symmetric.
</t>
        </r>
      </text>
    </comment>
    <comment ref="H26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Q26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Z26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A35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H35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Q35" authorId="0" shapeId="0" xr:uid="{00000000-0006-0000-0000-00000B000000}">
      <text>
        <r>
          <rPr>
            <sz val="9"/>
            <color indexed="81"/>
            <rFont val="Tahoma"/>
            <family val="2"/>
          </rPr>
          <t>Pairwise preference function on the criterion price while using the linear preference function.
Bear in mind that the criterion has to be maximised.</t>
        </r>
      </text>
    </comment>
    <comment ref="Z35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maximised.
</t>
        </r>
      </text>
    </comment>
    <comment ref="A47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The unicriterion net flows are computed by adding the line element of an action - sum of the corresponding row of each action (of the unicriterion pairwise preferecence matrix)
</t>
        </r>
      </text>
    </comment>
    <comment ref="H48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Pairwise preference computed by doing a weighted sum of the corresponding elements in the 4 unicriterion prefrence matrices.
</t>
        </r>
      </text>
    </comment>
    <comment ref="A57" authorId="0" shapeId="0" xr:uid="{9AE0B54D-1856-40D1-AA02-0AE2BA101436}">
      <text>
        <r>
          <rPr>
            <sz val="9"/>
            <color indexed="81"/>
            <rFont val="Tahoma"/>
            <family val="2"/>
          </rPr>
          <t xml:space="preserve">The unicriterion net flows are computed by adding the line element of an action - sum of the corresponding row of each action (of the unicriterion pairwise preferecence matrix)
</t>
        </r>
      </text>
    </comment>
    <comment ref="H57" authorId="0" shapeId="0" xr:uid="{697351C2-C10A-4495-AED5-F9418F8100FD}">
      <text>
        <r>
          <rPr>
            <sz val="9"/>
            <color indexed="81"/>
            <rFont val="Tahoma"/>
            <family val="2"/>
          </rPr>
          <t xml:space="preserve">The unicriterion net flows are computed by adding the line element of an action - sum of the corresponding row of each action (of the unicriterion pairwise preferecence matrix)
</t>
        </r>
      </text>
    </comment>
    <comment ref="A67" authorId="0" shapeId="0" xr:uid="{4782ED13-3C00-4A67-92CB-2218652000B6}">
      <text>
        <r>
          <rPr>
            <sz val="9"/>
            <color indexed="81"/>
            <rFont val="Tahoma"/>
            <family val="2"/>
          </rPr>
          <t xml:space="preserve">The unicriterion net flows are computed by adding the line element of an action - sum of the corresponding row of each action (of the unicriterion pairwise preferecence matrix)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Philou</author>
  </authors>
  <commentList>
    <comment ref="A2" authorId="0" shapeId="0" xr:uid="{5701221A-CA02-F445-8138-AD6CAF9B5634}">
      <text>
        <r>
          <rPr>
            <sz val="9"/>
            <color rgb="FF000000"/>
            <rFont val="Tahoma"/>
            <family val="2"/>
          </rPr>
          <t xml:space="preserve">The DM needs to define if the criteria have to be maximised or minimised.
</t>
        </r>
      </text>
    </comment>
    <comment ref="B3" authorId="0" shapeId="0" xr:uid="{2786D8B0-F3E1-244F-B408-574AD2CB07CE}">
      <text>
        <r>
          <rPr>
            <sz val="9"/>
            <color rgb="FF000000"/>
            <rFont val="Tahoma"/>
            <family val="2"/>
          </rPr>
          <t>Green bold indicates the best performances on the criterion.</t>
        </r>
      </text>
    </comment>
    <comment ref="B5" authorId="0" shapeId="0" xr:uid="{A4D5C4E9-8B97-134A-B5A4-322D5A939C95}">
      <text>
        <r>
          <rPr>
            <b/>
            <sz val="9"/>
            <color rgb="FF000000"/>
            <rFont val="Tahoma"/>
            <family val="2"/>
          </rPr>
          <t xml:space="preserve">Red bold indicates the worst performances on the criterion.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Philou</author>
  </authors>
  <commentList>
    <comment ref="G7" authorId="0" shapeId="0" xr:uid="{F3F7F765-3B1E-4E01-92A4-6CF8EEB6AE6D}">
      <text>
        <r>
          <rPr>
            <b/>
            <sz val="9"/>
            <color indexed="81"/>
            <rFont val="Tahoma"/>
            <family val="2"/>
          </rPr>
          <t>The qualitative scale of the criterion Comfort needs to be transformed to a quantitative scale. These values are chosen by the decision maker.</t>
        </r>
      </text>
    </comment>
    <comment ref="A8" authorId="0" shapeId="0" xr:uid="{2DD29797-E575-4321-9E54-D34A2F073C8E}">
      <text>
        <r>
          <rPr>
            <sz val="9"/>
            <color indexed="81"/>
            <rFont val="Tahoma"/>
            <family val="2"/>
          </rPr>
          <t xml:space="preserve">The DM needs to define if the criteria have to be maximised or minimised.
</t>
        </r>
      </text>
    </comment>
    <comment ref="B9" authorId="0" shapeId="0" xr:uid="{A06394C0-0EC6-43D3-8095-640B3DB347C4}">
      <text>
        <r>
          <rPr>
            <sz val="9"/>
            <color rgb="FF000000"/>
            <rFont val="Tahoma"/>
            <family val="2"/>
          </rPr>
          <t>Green bold indicates the best performances on the criterion.</t>
        </r>
      </text>
    </comment>
    <comment ref="B11" authorId="0" shapeId="0" xr:uid="{BF17A300-81ED-4067-8477-4DC6480FE0B0}">
      <text>
        <r>
          <rPr>
            <b/>
            <sz val="9"/>
            <color rgb="FF000000"/>
            <rFont val="Tahoma"/>
            <family val="2"/>
          </rPr>
          <t xml:space="preserve">Red bold indicates the worst performances on the criterion.
</t>
        </r>
      </text>
    </comment>
    <comment ref="A26" authorId="0" shapeId="0" xr:uid="{7C514BC3-73FB-4508-93ED-841D31E00132}">
      <text>
        <r>
          <rPr>
            <sz val="9"/>
            <color indexed="81"/>
            <rFont val="Tahoma"/>
            <family val="2"/>
          </rPr>
          <t xml:space="preserve">Difference between the evaluations on the price criterion between two actions. This matrix is necessarily anti-symmetric.
</t>
        </r>
      </text>
    </comment>
    <comment ref="H26" authorId="0" shapeId="0" xr:uid="{9E9A073E-6009-48DE-84D2-D256FF8310CB}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Q26" authorId="0" shapeId="0" xr:uid="{9B86C543-324C-46B8-816D-ECD8FDC31340}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Z26" authorId="0" shapeId="0" xr:uid="{39570A93-9F9C-43FB-A4DE-7E9A78194C69}">
      <text>
        <r>
          <rPr>
            <sz val="9"/>
            <color indexed="81"/>
            <rFont val="Tahoma"/>
            <family val="2"/>
          </rPr>
          <t xml:space="preserve">Difference between the evaluations on the price criterion.
</t>
        </r>
      </text>
    </comment>
    <comment ref="A35" authorId="0" shapeId="0" xr:uid="{EE693211-D522-4C09-A623-8BCBE6B13580}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H35" authorId="0" shapeId="0" xr:uid="{4831AB53-1159-47B4-8D79-7483A8AA7E65}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minimised.
</t>
        </r>
      </text>
    </comment>
    <comment ref="Q35" authorId="0" shapeId="0" xr:uid="{1E01C3AF-7F66-4486-B8EF-AC19952CF5A7}">
      <text>
        <r>
          <rPr>
            <sz val="9"/>
            <color indexed="81"/>
            <rFont val="Tahoma"/>
            <family val="2"/>
          </rPr>
          <t>Pairwise preference function on the criterion price while using the linear preference function.
Bear in mind that the criterion has to be maximised.</t>
        </r>
      </text>
    </comment>
    <comment ref="Z35" authorId="0" shapeId="0" xr:uid="{EFD38A50-BB85-44F4-B1EE-BE25A3618B90}">
      <text>
        <r>
          <rPr>
            <sz val="9"/>
            <color indexed="81"/>
            <rFont val="Tahoma"/>
            <family val="2"/>
          </rPr>
          <t xml:space="preserve">Pairwise preference function on the criterion price while using the linear preference function.
Bear in mind that the criterion has to be maximised.
</t>
        </r>
      </text>
    </comment>
    <comment ref="A47" authorId="0" shapeId="0" xr:uid="{EE01649B-95B6-47BE-A65D-A67799296861}">
      <text>
        <r>
          <rPr>
            <sz val="9"/>
            <color indexed="81"/>
            <rFont val="Tahoma"/>
            <family val="2"/>
          </rPr>
          <t xml:space="preserve">The unicriterion net flows are computed by adding the line element of an action - sum of the corresponding row of each action (of the unicriterion pairwise preferecence matrix)
</t>
        </r>
      </text>
    </comment>
    <comment ref="H48" authorId="0" shapeId="0" xr:uid="{05BA04B5-B632-43F7-A9C9-D7B6B1E5486E}">
      <text>
        <r>
          <rPr>
            <sz val="9"/>
            <color indexed="81"/>
            <rFont val="Tahoma"/>
            <family val="2"/>
          </rPr>
          <t xml:space="preserve">Pairwise preference computed by doing a weighted sum of the corresponding elements in the 4 unicriterion prefrence matrices.
</t>
        </r>
      </text>
    </comment>
    <comment ref="A57" authorId="0" shapeId="0" xr:uid="{38C87F27-5BB8-4A89-B40F-6D15DAB367A7}">
      <text>
        <r>
          <rPr>
            <sz val="9"/>
            <color indexed="81"/>
            <rFont val="Tahoma"/>
            <family val="2"/>
          </rPr>
          <t xml:space="preserve">Representation of the weighted unicriterion net flows.
</t>
        </r>
      </text>
    </comment>
    <comment ref="H57" authorId="0" shapeId="0" xr:uid="{C068D9D4-BA71-47F8-8D83-941D6A25777E}">
      <text>
        <r>
          <rPr>
            <b/>
            <sz val="9"/>
            <color indexed="81"/>
            <rFont val="Tahoma"/>
            <family val="2"/>
          </rPr>
          <t>The Positive Flows; sum of the line
The nefative Flow: Sum of the column
Net flow: Positive - Negative Flow</t>
        </r>
      </text>
    </comment>
    <comment ref="A67" authorId="0" shapeId="0" xr:uid="{9286D756-4E62-4053-A756-E5AFA53E9C08}">
      <text>
        <r>
          <rPr>
            <sz val="9"/>
            <color indexed="81"/>
            <rFont val="Tahoma"/>
            <family val="2"/>
          </rPr>
          <t>Sum of the elements on one line: sum of the contribution of the different unicriterion net flows.</t>
        </r>
      </text>
    </comment>
  </commentList>
</comments>
</file>

<file path=xl/sharedStrings.xml><?xml version="1.0" encoding="utf-8"?>
<sst xmlns="http://schemas.openxmlformats.org/spreadsheetml/2006/main" count="412" uniqueCount="91">
  <si>
    <t>Let us consider the following problem where a decision maker (DM) wants to rank 5 different cars He/She defines therefore 4 criteria.</t>
  </si>
  <si>
    <t>He/she has collated the raw evaluations (as found for instance on the web) of the 5 cars in the following performance table.</t>
  </si>
  <si>
    <t>Performances of the different cars: 5 smartphones evaluated on 4 criteria.</t>
  </si>
  <si>
    <t>Price (£)</t>
  </si>
  <si>
    <t>Comfort</t>
  </si>
  <si>
    <t>Economic</t>
  </si>
  <si>
    <t>Sport</t>
  </si>
  <si>
    <t>Bad</t>
  </si>
  <si>
    <t xml:space="preserve">Luxury </t>
  </si>
  <si>
    <t>Very Good</t>
  </si>
  <si>
    <t>Touring A</t>
  </si>
  <si>
    <t>Average</t>
  </si>
  <si>
    <t>Touring B</t>
  </si>
  <si>
    <t>Min/Max</t>
  </si>
  <si>
    <t>MIN</t>
  </si>
  <si>
    <t>MAX</t>
  </si>
  <si>
    <t>Raw Data</t>
  </si>
  <si>
    <t>Criterion</t>
  </si>
  <si>
    <t>price</t>
  </si>
  <si>
    <t>Preference Parameters of all the criteria</t>
  </si>
  <si>
    <t>Function</t>
  </si>
  <si>
    <t>linear</t>
  </si>
  <si>
    <t>wi</t>
  </si>
  <si>
    <t>qi</t>
  </si>
  <si>
    <t>pi</t>
  </si>
  <si>
    <t>Pref. Price</t>
  </si>
  <si>
    <t>Difference</t>
  </si>
  <si>
    <t>Step 1: Differences between the evaluations of the cars on the price criterion.</t>
  </si>
  <si>
    <t>Step 2: Pairwise Comparison matrix for the criterion price.</t>
  </si>
  <si>
    <t>Price Net Flows</t>
  </si>
  <si>
    <t>Cars</t>
  </si>
  <si>
    <t>Step 1: Differences between the evaluations of the cars on the Consumption criterion.</t>
  </si>
  <si>
    <t>Consumption Net Flows</t>
  </si>
  <si>
    <t>Computation of the Unicriterion net Flows</t>
  </si>
  <si>
    <t>Consumption</t>
  </si>
  <si>
    <t>Power</t>
  </si>
  <si>
    <t>Step 2: Pairwise Comparison matrix for the criterion comfort</t>
  </si>
  <si>
    <t>Step 2: Pairwise Comparison matrix for the criterion Consumption</t>
  </si>
  <si>
    <t>Step 1: Differences between the evaluations of the cars on the Power criterion.</t>
  </si>
  <si>
    <t>Step 1: Differences between the evaluations of the cars on the Comfort criterion.</t>
  </si>
  <si>
    <t>Step 2: Pairwise Comparison matrix for the criterion Power</t>
  </si>
  <si>
    <t>Power Net Flows</t>
  </si>
  <si>
    <t>Comfort Net Flows</t>
  </si>
  <si>
    <t>Total Net Flows</t>
  </si>
  <si>
    <t>Computation of the pairwise preference matrix</t>
  </si>
  <si>
    <t>Total Positive Flows</t>
  </si>
  <si>
    <t>Total Negative Flows</t>
  </si>
  <si>
    <t>Globally</t>
  </si>
  <si>
    <t xml:space="preserve"> Computation of the Unicriterion Net Flows</t>
  </si>
  <si>
    <t xml:space="preserve"> Computation of the weighted unicriterion flows</t>
  </si>
  <si>
    <t xml:space="preserve"> Computation of the total net flows</t>
  </si>
  <si>
    <r>
      <rPr>
        <b/>
        <sz val="16"/>
        <color theme="1"/>
        <rFont val="Calibri"/>
        <family val="2"/>
        <scheme val="minor"/>
      </rPr>
      <t>Exercise 6 - 3</t>
    </r>
    <r>
      <rPr>
        <sz val="16"/>
        <color theme="1"/>
        <rFont val="Calibri"/>
        <family val="2"/>
        <scheme val="minor"/>
      </rPr>
      <t>: Computation of the unicriterion flows, positive and negative global flows of Case Study 6-1.</t>
    </r>
  </si>
  <si>
    <t>Price (€)</t>
  </si>
  <si>
    <t>Screen (inches)</t>
  </si>
  <si>
    <t>Video Camera</t>
  </si>
  <si>
    <t>Huawei P30 Pro</t>
  </si>
  <si>
    <t>Good</t>
  </si>
  <si>
    <t>Apple Iphone 11 pro</t>
  </si>
  <si>
    <t>Samsung Galaxy S20 Ultra 5G</t>
  </si>
  <si>
    <t>Low</t>
  </si>
  <si>
    <t>Weight (g)</t>
  </si>
  <si>
    <t>Google Pixel 3</t>
  </si>
  <si>
    <t>Xiaomi Mi 9</t>
  </si>
  <si>
    <t>iPhone 16 Pro Max</t>
  </si>
  <si>
    <t>Xiami Redmi A3 Pro</t>
  </si>
  <si>
    <t>Huawey Pura 70 Ultra</t>
  </si>
  <si>
    <t>Videocamera</t>
  </si>
  <si>
    <t>Numeric Videocamera</t>
  </si>
  <si>
    <t>weight</t>
  </si>
  <si>
    <t>videocamera</t>
  </si>
  <si>
    <t>screen</t>
  </si>
  <si>
    <t>Honor 200 Smart</t>
  </si>
  <si>
    <t>Galaxy A16 5G</t>
  </si>
  <si>
    <t>6.9</t>
  </si>
  <si>
    <t>6.7</t>
  </si>
  <si>
    <t>6.88</t>
  </si>
  <si>
    <t>6.8</t>
  </si>
  <si>
    <t>0.04</t>
  </si>
  <si>
    <t>Phone</t>
  </si>
  <si>
    <t>Weight Net Flows</t>
  </si>
  <si>
    <t>Videocamera Net Flows</t>
  </si>
  <si>
    <t>Display Net Flows</t>
  </si>
  <si>
    <t>Pref. weight</t>
  </si>
  <si>
    <t>Pref. Videocamera</t>
  </si>
  <si>
    <t>Pref. Screen size</t>
  </si>
  <si>
    <t>Step 2: Pairwise Comparison matrix for the criterion weight</t>
  </si>
  <si>
    <t>Step 1: Differences between the evaluations of the cars on the weight criterion.</t>
  </si>
  <si>
    <t xml:space="preserve">Step 2: Pairwise Comparison matrix for the Videocamera criterion </t>
  </si>
  <si>
    <t>Step 1: Differences between the evaluations of the cars on the Videocamera criterion.</t>
  </si>
  <si>
    <t>Step 1: Differences between the evaluations of the cars on the Screen size criterion.</t>
  </si>
  <si>
    <t>Step 2: Pairwise Comparison matrix for the Screen size  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</si>
</sst>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1">
    <xf numFmtId="0" fontId="0" fillId="0" borderId="0" xfId="0"/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0" borderId="4" xfId="0" applyFont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2" xfId="0" applyFill="1" applyBorder="1"/>
    <xf numFmtId="0" fontId="1" fillId="2" borderId="5" xfId="1" applyBorder="1"/>
    <xf numFmtId="0" fontId="2" fillId="3" borderId="0" xfId="2" applyBorder="1" applyAlignment="1">
      <alignment horizontal="center"/>
    </xf>
    <xf numFmtId="0" fontId="2" fillId="3" borderId="1" xfId="2" applyAlignment="1">
      <alignment horizontal="center"/>
    </xf>
    <xf numFmtId="0" fontId="0" fillId="0" borderId="5" xfId="0" applyBorder="1"/>
    <xf numFmtId="0" fontId="0" fillId="5" borderId="5" xfId="0" applyFill="1" applyBorder="1"/>
    <xf numFmtId="0" fontId="2" fillId="3" borderId="7" xfId="2" applyBorder="1" applyAlignment="1">
      <alignment horizontal="center"/>
    </xf>
    <xf numFmtId="0" fontId="2" fillId="3" borderId="1" xfId="2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5" xfId="0" applyFill="1" applyBorder="1"/>
    <xf numFmtId="0" fontId="0" fillId="5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7" xfId="2" applyBorder="1"/>
    <xf numFmtId="0" fontId="0" fillId="5" borderId="6" xfId="0" applyFill="1" applyBorder="1"/>
    <xf numFmtId="0" fontId="0" fillId="0" borderId="9" xfId="0" applyBorder="1"/>
    <xf numFmtId="0" fontId="9" fillId="0" borderId="0" xfId="0" applyFont="1"/>
    <xf numFmtId="0" fontId="3" fillId="0" borderId="5" xfId="0" applyFont="1" applyBorder="1" applyAlignment="1">
      <alignment horizontal="center"/>
    </xf>
  </cellXfs>
  <cellStyles count="3">
    <cellStyle name="Cella da controllare" xfId="2" builtinId="23"/>
    <cellStyle name="Normale" xfId="0" builtinId="0"/>
    <cellStyle name="Valore valido" xfId="1" builtinId="26"/>
  </cellStyles>
  <dxfs count="124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Detailed Weighted Net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Price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Sheet1!$B$58:$B$62</c:f>
              <c:numCache>
                <c:formatCode>General</c:formatCode>
                <c:ptCount val="5"/>
                <c:pt idx="0">
                  <c:v>-0.26249999999999996</c:v>
                </c:pt>
                <c:pt idx="1">
                  <c:v>0.15225</c:v>
                </c:pt>
                <c:pt idx="2">
                  <c:v>0.19774999999999998</c:v>
                </c:pt>
                <c:pt idx="3">
                  <c:v>-0.26249999999999996</c:v>
                </c:pt>
                <c:pt idx="4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9-6641-B690-7A301852130B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Weight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Sheet1!$C$58:$C$62</c:f>
              <c:numCache>
                <c:formatCode>General</c:formatCode>
                <c:ptCount val="5"/>
                <c:pt idx="0">
                  <c:v>-0.26249999999999996</c:v>
                </c:pt>
                <c:pt idx="1">
                  <c:v>8.7499999999999994E-2</c:v>
                </c:pt>
                <c:pt idx="2">
                  <c:v>8.7499999999999994E-2</c:v>
                </c:pt>
                <c:pt idx="3">
                  <c:v>-0.26249999999999996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9-6641-B690-7A301852130B}"/>
            </c:ext>
          </c:extLst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Videocamera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Sheet1!$D$58:$D$62</c:f>
              <c:numCache>
                <c:formatCode>General</c:formatCode>
                <c:ptCount val="5"/>
                <c:pt idx="0">
                  <c:v>0.35</c:v>
                </c:pt>
                <c:pt idx="1">
                  <c:v>8.7499999999999994E-2</c:v>
                </c:pt>
                <c:pt idx="2">
                  <c:v>-0.35</c:v>
                </c:pt>
                <c:pt idx="3">
                  <c:v>8.7499999999999994E-2</c:v>
                </c:pt>
                <c:pt idx="4">
                  <c:v>-0.17499999999999999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9-6641-B690-7A301852130B}"/>
            </c:ext>
          </c:extLst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Display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Sheet1!$E$58:$E$62</c:f>
              <c:numCache>
                <c:formatCode>General</c:formatCode>
                <c:ptCount val="5"/>
                <c:pt idx="0">
                  <c:v>0.30625000000000097</c:v>
                </c:pt>
                <c:pt idx="1">
                  <c:v>-0.35</c:v>
                </c:pt>
                <c:pt idx="2">
                  <c:v>8.7499999999999994E-2</c:v>
                </c:pt>
                <c:pt idx="3">
                  <c:v>-8.7499999999999994E-2</c:v>
                </c:pt>
                <c:pt idx="4">
                  <c:v>-8.7499999999999994E-2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9-6641-B690-7A301852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0585984"/>
        <c:axId val="50587520"/>
      </c:barChart>
      <c:catAx>
        <c:axId val="50585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587520"/>
        <c:crosses val="autoZero"/>
        <c:auto val="1"/>
        <c:lblAlgn val="ctr"/>
        <c:lblOffset val="100"/>
        <c:noMultiLvlLbl val="0"/>
      </c:catAx>
      <c:valAx>
        <c:axId val="50587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5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Net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Total Net Flows</c:v>
                </c:pt>
              </c:strCache>
            </c:strRef>
          </c:tx>
          <c:invertIfNegative val="0"/>
          <c:cat>
            <c:strRef>
              <c:f>Sheet1!$A$68:$A$72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Sheet1!$B$68:$B$72</c:f>
              <c:numCache>
                <c:formatCode>General</c:formatCode>
                <c:ptCount val="5"/>
                <c:pt idx="0">
                  <c:v>0.13125000000000103</c:v>
                </c:pt>
                <c:pt idx="1">
                  <c:v>-2.2749999999999992E-2</c:v>
                </c:pt>
                <c:pt idx="2">
                  <c:v>2.275000000000002E-2</c:v>
                </c:pt>
                <c:pt idx="3">
                  <c:v>-0.52499999999999991</c:v>
                </c:pt>
                <c:pt idx="4">
                  <c:v>0.26249999999999996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8-7241-989A-8D4B7D15B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0616192"/>
        <c:axId val="50617728"/>
      </c:barChart>
      <c:catAx>
        <c:axId val="5061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617728"/>
        <c:crosses val="autoZero"/>
        <c:auto val="1"/>
        <c:lblAlgn val="ctr"/>
        <c:lblOffset val="100"/>
        <c:noMultiLvlLbl val="0"/>
      </c:catAx>
      <c:valAx>
        <c:axId val="50617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6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Detailed Weighted Net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Price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Sheet1!$B$58:$B$62</c:f>
              <c:numCache>
                <c:formatCode>General</c:formatCode>
                <c:ptCount val="5"/>
                <c:pt idx="0">
                  <c:v>-0.26249999999999996</c:v>
                </c:pt>
                <c:pt idx="1">
                  <c:v>0.15225</c:v>
                </c:pt>
                <c:pt idx="2">
                  <c:v>0.19774999999999998</c:v>
                </c:pt>
                <c:pt idx="3">
                  <c:v>-0.26249999999999996</c:v>
                </c:pt>
                <c:pt idx="4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9-4C84-A241-0723B4C01690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Weight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Sheet1!$C$58:$C$62</c:f>
              <c:numCache>
                <c:formatCode>General</c:formatCode>
                <c:ptCount val="5"/>
                <c:pt idx="0">
                  <c:v>-0.26249999999999996</c:v>
                </c:pt>
                <c:pt idx="1">
                  <c:v>8.7499999999999994E-2</c:v>
                </c:pt>
                <c:pt idx="2">
                  <c:v>8.7499999999999994E-2</c:v>
                </c:pt>
                <c:pt idx="3">
                  <c:v>-0.26249999999999996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9-4C84-A241-0723B4C01690}"/>
            </c:ext>
          </c:extLst>
        </c:ser>
        <c:ser>
          <c:idx val="2"/>
          <c:order val="2"/>
          <c:tx>
            <c:strRef>
              <c:f>Sheet1!$D$57</c:f>
              <c:strCache>
                <c:ptCount val="1"/>
                <c:pt idx="0">
                  <c:v>Videocamera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Sheet1!$D$58:$D$62</c:f>
              <c:numCache>
                <c:formatCode>General</c:formatCode>
                <c:ptCount val="5"/>
                <c:pt idx="0">
                  <c:v>0.35</c:v>
                </c:pt>
                <c:pt idx="1">
                  <c:v>8.7499999999999994E-2</c:v>
                </c:pt>
                <c:pt idx="2">
                  <c:v>-0.35</c:v>
                </c:pt>
                <c:pt idx="3">
                  <c:v>8.7499999999999994E-2</c:v>
                </c:pt>
                <c:pt idx="4">
                  <c:v>-0.17499999999999999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9-4C84-A241-0723B4C01690}"/>
            </c:ext>
          </c:extLst>
        </c:ser>
        <c:ser>
          <c:idx val="3"/>
          <c:order val="3"/>
          <c:tx>
            <c:strRef>
              <c:f>Sheet1!$E$57</c:f>
              <c:strCache>
                <c:ptCount val="1"/>
                <c:pt idx="0">
                  <c:v>Display Net Flows</c:v>
                </c:pt>
              </c:strCache>
            </c:strRef>
          </c:tx>
          <c:invertIfNegative val="0"/>
          <c:cat>
            <c:strRef>
              <c:f>Sheet1!$A$58:$A$62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Sheet1!$E$58:$E$62</c:f>
              <c:numCache>
                <c:formatCode>General</c:formatCode>
                <c:ptCount val="5"/>
                <c:pt idx="0">
                  <c:v>0.30625000000000097</c:v>
                </c:pt>
                <c:pt idx="1">
                  <c:v>-0.35</c:v>
                </c:pt>
                <c:pt idx="2">
                  <c:v>8.7499999999999994E-2</c:v>
                </c:pt>
                <c:pt idx="3">
                  <c:v>-8.7499999999999994E-2</c:v>
                </c:pt>
                <c:pt idx="4">
                  <c:v>-8.7499999999999994E-2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E9-4C84-A241-0723B4C0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0585984"/>
        <c:axId val="50587520"/>
      </c:barChart>
      <c:catAx>
        <c:axId val="50585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587520"/>
        <c:crosses val="autoZero"/>
        <c:auto val="1"/>
        <c:lblAlgn val="ctr"/>
        <c:lblOffset val="100"/>
        <c:noMultiLvlLbl val="0"/>
      </c:catAx>
      <c:valAx>
        <c:axId val="50587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5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Net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Total Net Flows</c:v>
                </c:pt>
              </c:strCache>
            </c:strRef>
          </c:tx>
          <c:invertIfNegative val="0"/>
          <c:cat>
            <c:strRef>
              <c:f>Sheet1!$A$68:$A$72</c:f>
              <c:strCache>
                <c:ptCount val="5"/>
                <c:pt idx="0">
                  <c:v>iPhone 16 Pro Max</c:v>
                </c:pt>
                <c:pt idx="1">
                  <c:v>Galaxy A16 5G</c:v>
                </c:pt>
                <c:pt idx="2">
                  <c:v>Xiami Redmi A3 Pro</c:v>
                </c:pt>
                <c:pt idx="3">
                  <c:v>Huawey Pura 70 Ultra</c:v>
                </c:pt>
                <c:pt idx="4">
                  <c:v>Honor 200 Smart</c:v>
                </c:pt>
              </c:strCache>
            </c:strRef>
          </c:cat>
          <c:val>
            <c:numRef>
              <c:f>Sheet1!$B$68:$B$72</c:f>
              <c:numCache>
                <c:formatCode>General</c:formatCode>
                <c:ptCount val="5"/>
                <c:pt idx="0">
                  <c:v>0.13125000000000103</c:v>
                </c:pt>
                <c:pt idx="1">
                  <c:v>-2.2749999999999992E-2</c:v>
                </c:pt>
                <c:pt idx="2">
                  <c:v>2.275000000000002E-2</c:v>
                </c:pt>
                <c:pt idx="3">
                  <c:v>-0.52499999999999991</c:v>
                </c:pt>
                <c:pt idx="4">
                  <c:v>0.26249999999999996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0-4383-AD2E-5BF9E50F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0616192"/>
        <c:axId val="50617728"/>
      </c:barChart>
      <c:catAx>
        <c:axId val="5061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0617728"/>
        <c:crosses val="autoZero"/>
        <c:auto val="1"/>
        <c:lblAlgn val="ctr"/>
        <c:lblOffset val="100"/>
        <c:noMultiLvlLbl val="0"/>
      </c:catAx>
      <c:valAx>
        <c:axId val="50617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061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123264</xdr:colOff>
      <xdr:row>73</xdr:row>
      <xdr:rowOff>158003</xdr:rowOff>
    </xdr:from>
    <xdr:to>
      <xdr:col>11</xdr:col>
      <xdr:colOff>549089</xdr:colOff>
      <xdr:row>92</xdr:row>
      <xdr:rowOff>11207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4</xdr:col>
      <xdr:colOff>762001</xdr:colOff>
      <xdr:row>92</xdr:row>
      <xdr:rowOff>43704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123264</xdr:colOff>
      <xdr:row>73</xdr:row>
      <xdr:rowOff>158003</xdr:rowOff>
    </xdr:from>
    <xdr:to>
      <xdr:col>11</xdr:col>
      <xdr:colOff>549089</xdr:colOff>
      <xdr:row>92</xdr:row>
      <xdr:rowOff>11207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A2A01-A017-4651-8E5F-942E2E55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4</xdr:col>
      <xdr:colOff>762001</xdr:colOff>
      <xdr:row>92</xdr:row>
      <xdr:rowOff>43704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9D931-ADCD-401E-AE46-325CBB29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6:F31" totalsRowShown="0">
  <autoFilter ref="A26:F31" xr:uid="{00000000-0009-0000-0100-000003000000}"/>
  <tableColumns count="6">
    <tableColumn id="1" xr3:uid="{00000000-0010-0000-0200-000001000000}" name="Difference"/>
    <tableColumn id="2" xr3:uid="{00000000-0010-0000-0200-000002000000}" name="iPhone 16 Pro Max">
      <calculatedColumnFormula>B9-$B$9</calculatedColumnFormula>
    </tableColumn>
    <tableColumn id="3" xr3:uid="{00000000-0010-0000-0200-000003000000}" name="Galaxy A16 5G">
      <calculatedColumnFormula>B9-$B$10</calculatedColumnFormula>
    </tableColumn>
    <tableColumn id="4" xr3:uid="{00000000-0010-0000-0200-000004000000}" name="Xiami Redmi A3 Pro">
      <calculatedColumnFormula>B9-$B$11</calculatedColumnFormula>
    </tableColumn>
    <tableColumn id="5" xr3:uid="{00000000-0010-0000-0200-000005000000}" name="Huawey Pura 70 Ultra">
      <calculatedColumnFormula>B9-$B$12</calculatedColumnFormula>
    </tableColumn>
    <tableColumn id="6" xr3:uid="{00000000-0010-0000-0200-000006000000}" name="Honor 200 Smart">
      <calculatedColumnFormula>B9-$B$13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Table715" displayName="Table715" ref="A57:E62" totalsRowShown="0" tableBorderDxfId="81">
  <autoFilter ref="A57:E62" xr:uid="{00000000-0009-0000-0100-00000E000000}"/>
  <tableColumns count="5">
    <tableColumn id="1" xr3:uid="{00000000-0010-0000-0C00-000001000000}" name="Phone" dataDxfId="80"/>
    <tableColumn id="2" xr3:uid="{00000000-0010-0000-0C00-000002000000}" name="Price Net Flows">
      <calculatedColumnFormula>B48*$C$18</calculatedColumnFormula>
    </tableColumn>
    <tableColumn id="3" xr3:uid="{00000000-0010-0000-0C00-000003000000}" name="Weight Net Flows">
      <calculatedColumnFormula>C48*$C$18</calculatedColumnFormula>
    </tableColumn>
    <tableColumn id="4" xr3:uid="{00000000-0010-0000-0C00-000004000000}" name="Videocamera Net Flows" dataDxfId="79">
      <calculatedColumnFormula>D48*$C$18</calculatedColumnFormula>
    </tableColumn>
    <tableColumn id="5" xr3:uid="{00000000-0010-0000-0C00-000005000000}" name="Display Net Flows">
      <calculatedColumnFormula>E48*$C$18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61016" displayName="Table61016" ref="H48:M53" totalsRowShown="0">
  <autoFilter ref="H48:M53" xr:uid="{00000000-0009-0000-0100-00000F000000}"/>
  <tableColumns count="6">
    <tableColumn id="1" xr3:uid="{00000000-0010-0000-0D00-000001000000}" name="Pref. Price" dataDxfId="78" dataCellStyle="Cella da controllare"/>
    <tableColumn id="2" xr3:uid="{00000000-0010-0000-0D00-000002000000}" name="iPhone 16 Pro Max" dataDxfId="77">
      <calculatedColumnFormula>B36*$C$18+I36*$C$19+R36*$C$20+AA36*$C$21</calculatedColumnFormula>
    </tableColumn>
    <tableColumn id="3" xr3:uid="{00000000-0010-0000-0D00-000003000000}" name="Galaxy A16 5G" dataDxfId="76">
      <calculatedColumnFormula>C36*$C$18+J36*$C$19+S36*$C$20+AB36*$C$21</calculatedColumnFormula>
    </tableColumn>
    <tableColumn id="4" xr3:uid="{00000000-0010-0000-0D00-000004000000}" name="Xiami Redmi A3 Pro" dataDxfId="75">
      <calculatedColumnFormula>D36*$C$18+K36*$C$19+T36*$C$20+AC36*$C$21</calculatedColumnFormula>
    </tableColumn>
    <tableColumn id="5" xr3:uid="{00000000-0010-0000-0D00-000005000000}" name="Huawey Pura 70 Ultra" dataDxfId="74">
      <calculatedColumnFormula>E36*$C$18+L36*$C$19+U36*$C$20+AD36*$C$21</calculatedColumnFormula>
    </tableColumn>
    <tableColumn id="6" xr3:uid="{00000000-0010-0000-0D00-000006000000}" name="Honor 200 Smart" dataDxfId="73">
      <calculatedColumnFormula>F36*$C$18+M36*$C$19+V36*$C$20+AE36*$C$21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19EF4ED-B24F-4004-90F7-79C981AFD827}" name="Table11731" displayName="Table11731" ref="A7:E13" totalsRowShown="0">
  <autoFilter ref="A7:E13" xr:uid="{519EF4ED-B24F-4004-90F7-79C981AFD827}"/>
  <tableColumns count="5">
    <tableColumn id="1" xr3:uid="{B654F3C6-2DD6-402F-9BA0-23266FE9F194}" name="Raw Data" dataDxfId="72"/>
    <tableColumn id="2" xr3:uid="{70BB2472-EBB8-48E9-98CC-5E3469D439CA}" name="Price (£)"/>
    <tableColumn id="3" xr3:uid="{9403B3F8-C53C-4800-A7E4-91FF60CDA929}" name="Weight (g)"/>
    <tableColumn id="4" xr3:uid="{440541B2-77F7-46E8-8589-21485F3AC87E}" name="Videocamera"/>
    <tableColumn id="5" xr3:uid="{0E56EAC7-99F2-4ACE-B9BA-214F0C9FFE76}" name="Screen (inches)" dataDxfId="71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6C7D1D1-3426-49FD-8970-8657CF6BCEBA}" name="Table52032" displayName="Table52032" ref="G7:G13" totalsRowShown="0" dataDxfId="70" tableBorderDxfId="69">
  <autoFilter ref="G7:G13" xr:uid="{D6C7D1D1-3426-49FD-8970-8657CF6BCEBA}"/>
  <tableColumns count="1">
    <tableColumn id="1" xr3:uid="{5DFC6A26-47DA-4595-AE47-61F53594243B}" name="Numeric Videocamera" dataDxfId="68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BBCC0FB2-21B6-4700-9371-B83D543AF81E}" name="Table21833" displayName="Table21833" ref="A17:E21" totalsRowShown="0">
  <autoFilter ref="A17:E21" xr:uid="{BBCC0FB2-21B6-4700-9371-B83D543AF81E}"/>
  <tableColumns count="5">
    <tableColumn id="1" xr3:uid="{42E16583-D918-4289-A700-566AB69A530D}" name="Criterion" dataDxfId="67"/>
    <tableColumn id="2" xr3:uid="{A6789DA7-1A9B-4D3F-9756-4ED54D8E0A5D}" name="Function" dataDxfId="66"/>
    <tableColumn id="3" xr3:uid="{9E0112D7-F21E-4CA2-8F17-D599A52B890F}" name="wi" dataDxfId="65"/>
    <tableColumn id="4" xr3:uid="{41866563-DEF0-4237-884F-DB431F7D8B5F}" name="qi" dataDxfId="64"/>
    <tableColumn id="5" xr3:uid="{E2E6B6AD-E387-4A59-893E-2741FE0D6AB4}" name="pi" dataDxfId="6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12C1A3-EC1E-314D-AF44-9E4DC1391BF6}" name="Table15" displayName="Table15" ref="A1:E7" totalsRowShown="0">
  <autoFilter ref="A1:E7" xr:uid="{37322B31-F2E9-3441-8010-BE8EC251F681}"/>
  <tableColumns count="5">
    <tableColumn id="1" xr3:uid="{649C1A7E-E6F7-804D-A848-3EF674CB22E5}" name="Raw Data" dataDxfId="62"/>
    <tableColumn id="2" xr3:uid="{F92AD836-D07F-704A-95F1-DB9E6D2F1631}" name="Price (€)"/>
    <tableColumn id="3" xr3:uid="{4A4E1465-0E21-A345-AF83-E5E8EE3066A4}" name="Weight (g)"/>
    <tableColumn id="4" xr3:uid="{D6B6B7F9-178E-A146-B88B-E5FED0C8B25F}" name="Video Camera"/>
    <tableColumn id="5" xr3:uid="{5A3D7850-C747-DE4B-BBCC-CE67EFB90D15}" name="Screen (inches)" dataDxfId="61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85D7A77-4AFE-480B-A0A6-CE4610A40C11}" name="Table117" displayName="Table117" ref="A7:E13" totalsRowShown="0">
  <autoFilter ref="A7:E13" xr:uid="{C85D7A77-4AFE-480B-A0A6-CE4610A40C11}"/>
  <tableColumns count="5">
    <tableColumn id="1" xr3:uid="{DD68E456-BC43-42E6-A218-B55927ED29F6}" name="Raw Data" dataDxfId="60"/>
    <tableColumn id="2" xr3:uid="{75931FAF-2671-4C1E-B3BF-C6A6B7FC75AF}" name="Price (£)"/>
    <tableColumn id="3" xr3:uid="{E1949B1E-C2EC-48BC-9828-DD47424A370A}" name="Weight (g)"/>
    <tableColumn id="4" xr3:uid="{ECBF7D52-15E5-484E-A28C-C4462D8332BD}" name="Videocamera"/>
    <tableColumn id="5" xr3:uid="{2730C6EF-7362-422B-AB97-968C0BCBF396}" name="Screen (inches)" dataDxfId="59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D3EEAF4-B824-4B74-AF76-5FC0FCA60DE6}" name="Table218" displayName="Table218" ref="A17:E21" totalsRowShown="0">
  <autoFilter ref="A17:E21" xr:uid="{BD3EEAF4-B824-4B74-AF76-5FC0FCA60DE6}"/>
  <tableColumns count="5">
    <tableColumn id="1" xr3:uid="{53014F5B-8583-4E51-81D6-5DE77A59CF79}" name="Criterion" dataDxfId="58"/>
    <tableColumn id="2" xr3:uid="{5A4FB73E-C609-4104-AA72-4919BB8C62CC}" name="Function" dataDxfId="57"/>
    <tableColumn id="3" xr3:uid="{7C8A9103-A7AE-4849-AF86-F7E73B19C198}" name="wi" dataDxfId="56"/>
    <tableColumn id="4" xr3:uid="{22E145A8-5567-4D76-AB61-64BA1985802E}" name="qi" dataDxfId="55"/>
    <tableColumn id="5" xr3:uid="{0A2CE144-F0B4-4C82-A9DF-FF9E800AD09A}" name="pi" dataDxfId="54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5C21835-114A-486C-B4E1-69A740FFE330}" name="Table319" displayName="Table319" ref="A26:F31" totalsRowShown="0">
  <autoFilter ref="A26:F31" xr:uid="{25C21835-114A-486C-B4E1-69A740FFE330}"/>
  <tableColumns count="6">
    <tableColumn id="1" xr3:uid="{F3C0B4C9-99AA-47C3-A705-18763D7DB696}" name="Difference"/>
    <tableColumn id="2" xr3:uid="{445BEA78-1AB6-4355-8552-D0E87940F774}" name="Economic">
      <calculatedColumnFormula>B9-$B$9</calculatedColumnFormula>
    </tableColumn>
    <tableColumn id="3" xr3:uid="{409EEC29-6B0C-422A-B37F-C1EE292A7510}" name="Sport">
      <calculatedColumnFormula>B9-$B$10</calculatedColumnFormula>
    </tableColumn>
    <tableColumn id="4" xr3:uid="{B968319D-BD6B-426A-8767-B3B69587C70E}" name="Luxury ">
      <calculatedColumnFormula>B9-$B$11</calculatedColumnFormula>
    </tableColumn>
    <tableColumn id="5" xr3:uid="{3033AF82-3E51-4C12-997C-20E12E95060F}" name="Touring A">
      <calculatedColumnFormula>B9-$B$12</calculatedColumnFormula>
    </tableColumn>
    <tableColumn id="6" xr3:uid="{F98FBF2B-876F-456A-AA14-BF947352CC8A}" name="Touring B">
      <calculatedColumnFormula>B9-$B$13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09DA8F6-400B-4B8B-BFCA-5A595FEAC326}" name="Table520" displayName="Table520" ref="G7:G13" totalsRowShown="0" dataDxfId="53" tableBorderDxfId="52">
  <autoFilter ref="G7:G13" xr:uid="{309DA8F6-400B-4B8B-BFCA-5A595FEAC326}"/>
  <tableColumns count="1">
    <tableColumn id="1" xr3:uid="{39F20AEF-3CCE-4B20-8608-FD84DFB97F08}" name="Numeric Videocamera" dataDxfId="5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A35:F40" totalsRowShown="0">
  <autoFilter ref="A35:F40" xr:uid="{00000000-0009-0000-0100-000006000000}"/>
  <tableColumns count="6">
    <tableColumn id="1" xr3:uid="{00000000-0010-0000-0400-000001000000}" name="Pref. Price" dataDxfId="123" dataCellStyle="Cella da controllare"/>
    <tableColumn id="2" xr3:uid="{00000000-0010-0000-0400-000002000000}" name="iPhone 16 Pro Max" dataDxfId="122">
      <calculatedColumnFormula>IF(-B27&lt;=0,0,IF(-B27&gt;$E$18,1,IF(-B27&lt;=$D$18,0,((-B27-$D$18)/($E$18-$D$18)))))</calculatedColumnFormula>
    </tableColumn>
    <tableColumn id="3" xr3:uid="{00000000-0010-0000-0400-000003000000}" name="Galaxy A16 5G" dataDxfId="121">
      <calculatedColumnFormula>IF(-C27&lt;=0,0,IF(-C27&gt;$E$18,1,IF(-C27&lt;=$D$18,0,((-C27-$D$18)/($E$18-$D$18)))))</calculatedColumnFormula>
    </tableColumn>
    <tableColumn id="4" xr3:uid="{00000000-0010-0000-0400-000004000000}" name="Xiami Redmi A3 Pro" dataDxfId="120">
      <calculatedColumnFormula>IF(-D27&lt;=0,0,IF(-D27&gt;$E$18,1,IF(-D27&lt;=$D$18,0,((-D27-$D$18)/($E$18-$D$18)))))</calculatedColumnFormula>
    </tableColumn>
    <tableColumn id="5" xr3:uid="{00000000-0010-0000-0400-000005000000}" name="Huawey Pura 70 Ultra" dataDxfId="119">
      <calculatedColumnFormula>IF(-E27&lt;=0,0,IF(-E27&gt;$E$18,1,IF(-E27&lt;=$D$18,0,((-E27-$D$18)/($E$18-$D$18)))))</calculatedColumnFormula>
    </tableColumn>
    <tableColumn id="6" xr3:uid="{00000000-0010-0000-0400-000006000000}" name="Honor 200 Smart" dataDxfId="118">
      <calculatedColumnFormula>IF(-F27&lt;=0,0,IF(-F27&gt;$E$18,1,IF(-F27&lt;=$D$18,0,((-F27-$D$18)/($E$18-$D$18)))))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BF61839-26AA-4CF6-91B0-0B1E5672AFDE}" name="Table621" displayName="Table621" ref="A35:F40" totalsRowShown="0">
  <autoFilter ref="A35:F40" xr:uid="{5BF61839-26AA-4CF6-91B0-0B1E5672AFDE}"/>
  <tableColumns count="6">
    <tableColumn id="1" xr3:uid="{BBCA494A-FC09-4197-8787-FE051292ECB3}" name="Pref. Price" dataDxfId="50"/>
    <tableColumn id="2" xr3:uid="{7B18EF2C-7C3B-4CB3-8907-CB0D9DFF56D3}" name="Economic" dataDxfId="49">
      <calculatedColumnFormula>IF(-B27&lt;=0,0,IF(-B27&gt;$E$18,1,IF(-B27&lt;=$D$18,0,((-B27-$D$18)/($E$18-$D$18)))))</calculatedColumnFormula>
    </tableColumn>
    <tableColumn id="3" xr3:uid="{F66C431D-9DF1-439B-8814-EEC5A3CBAA7E}" name="Sport" dataDxfId="48">
      <calculatedColumnFormula>IF(-C27&lt;=0,0,IF(-C27&gt;$E$18,1,IF(-C27&lt;=$D$18,0,((-C27-$D$18)/($E$18-$D$18)))))</calculatedColumnFormula>
    </tableColumn>
    <tableColumn id="4" xr3:uid="{732BA9FD-ACDF-4E1E-904D-BF85D72154BA}" name="Luxury " dataDxfId="47">
      <calculatedColumnFormula>IF(-D27&lt;=0,0,IF(-D27&gt;$E$18,1,IF(-D27&lt;=$D$18,0,((-D27-$D$18)/($E$18-$D$18)))))</calculatedColumnFormula>
    </tableColumn>
    <tableColumn id="5" xr3:uid="{32238DFE-5919-48C5-BF24-1F1DAE0535D4}" name="Touring A" dataDxfId="46">
      <calculatedColumnFormula>IF(-E27&lt;=0,0,IF(-E27&gt;$E$18,1,IF(-E27&lt;=$D$18,0,((-E27-$D$18)/($E$18-$D$18)))))</calculatedColumnFormula>
    </tableColumn>
    <tableColumn id="6" xr3:uid="{6290FE9D-4366-48ED-B245-02ED43CD775B}" name="Touring B" dataDxfId="45">
      <calculatedColumnFormula>IF(-F27&lt;=0,0,IF(-F27&gt;$E$18,1,IF(-F27&lt;=$D$18,0,((-F27-$D$18)/($E$18-$D$18)))))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4E22A02-C7B4-4A40-9E6B-6A38B3F93302}" name="Table722" displayName="Table722" ref="A47:E52" totalsRowShown="0" tableBorderDxfId="44">
  <autoFilter ref="A47:E52" xr:uid="{94E22A02-C7B4-4A40-9E6B-6A38B3F93302}"/>
  <tableColumns count="5">
    <tableColumn id="1" xr3:uid="{6CB92C22-54CD-4955-A14F-B2D34654AD86}" name="Cars" dataDxfId="43"/>
    <tableColumn id="2" xr3:uid="{EC59AB58-A98B-4F99-9092-9963D6540A6D}" name="Price Net Flows"/>
    <tableColumn id="3" xr3:uid="{88DD3F3B-B68F-48A4-92E4-4B0B7EF1F611}" name="Consumption Net Flows"/>
    <tableColumn id="4" xr3:uid="{CFAA7CAC-D015-492B-AB3D-22C209E26E26}" name="Comfort Net Flows" dataDxfId="42"/>
    <tableColumn id="5" xr3:uid="{6CB2CB63-FBAB-4FDF-9071-4F0B49A71D9D}" name="Power Net Flow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7262411-AA70-4EC0-BDF8-4054829B5CC4}" name="Table3923" displayName="Table3923" ref="H26:M31" totalsRowShown="0">
  <autoFilter ref="H26:M31" xr:uid="{C7262411-AA70-4EC0-BDF8-4054829B5CC4}"/>
  <tableColumns count="6">
    <tableColumn id="1" xr3:uid="{519BB530-62B3-40A7-ABB9-D79C95658FD7}" name="Difference"/>
    <tableColumn id="2" xr3:uid="{0EDD90A5-606A-4965-B71D-149A2ED257D1}" name="Economic" dataDxfId="41">
      <calculatedColumnFormula>C9-$C$9</calculatedColumnFormula>
    </tableColumn>
    <tableColumn id="3" xr3:uid="{29220EAB-1BAC-4E5C-A059-72C8AF5D31DB}" name="Sport" dataDxfId="40">
      <calculatedColumnFormula>C9-$C$10</calculatedColumnFormula>
    </tableColumn>
    <tableColumn id="4" xr3:uid="{7223B9EB-2C03-464C-A194-7747B0CA7E7A}" name="Luxury " dataDxfId="39">
      <calculatedColumnFormula>C9-$C$11</calculatedColumnFormula>
    </tableColumn>
    <tableColumn id="5" xr3:uid="{42617483-15B3-47FE-8B9E-34C76F6B5CF3}" name="Touring A" dataDxfId="38">
      <calculatedColumnFormula>C9-$C$12</calculatedColumnFormula>
    </tableColumn>
    <tableColumn id="6" xr3:uid="{8FE76446-2090-4E5B-BB96-67AC05D5815E}" name="Touring B" dataDxfId="37">
      <calculatedColumnFormula>C9-$C$13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04CC8F5-50BF-42B7-8B67-EFCBA72ECB5A}" name="Table61024" displayName="Table61024" ref="H35:M40" totalsRowShown="0">
  <autoFilter ref="H35:M40" xr:uid="{704CC8F5-50BF-42B7-8B67-EFCBA72ECB5A}"/>
  <tableColumns count="6">
    <tableColumn id="1" xr3:uid="{0AAFB192-46AD-4822-BDFC-C713A29270C0}" name="Pref. Price" dataDxfId="36"/>
    <tableColumn id="2" xr3:uid="{D5B68E3A-5996-4AF4-AC85-0F9E6A8F56D2}" name="Economic" dataDxfId="35">
      <calculatedColumnFormula>IF(-I27&lt;=0,0,IF(-I27&gt;$E$19,1,IF(-I27&lt;=$D$19,0,((-I27-$D$19)/($E$19-$D$19)))))</calculatedColumnFormula>
    </tableColumn>
    <tableColumn id="3" xr3:uid="{26FB77E9-2E8C-4390-B385-874B0E32FCA1}" name="Sport" dataDxfId="34">
      <calculatedColumnFormula>IF(-J27&lt;=0,0,IF(-J27&gt;$E$19,1,IF(-J27&lt;=$D$19,0,((-J27-$D$19)/($E$19-$D$19)))))</calculatedColumnFormula>
    </tableColumn>
    <tableColumn id="4" xr3:uid="{407540F2-D28A-413D-B205-B7E71DFB4C44}" name="Luxury " dataDxfId="33">
      <calculatedColumnFormula>IF(-K27&lt;=0,0,IF(-K27&gt;$E$19,1,IF(-K27&lt;=$D$19,0,((-K27-$D$19)/($E$19-$D$19)))))</calculatedColumnFormula>
    </tableColumn>
    <tableColumn id="5" xr3:uid="{6E1DAB31-DA65-4FA5-8C7D-97238A43AE69}" name="Touring A" dataDxfId="32">
      <calculatedColumnFormula>IF(-L27&lt;=0,0,IF(-L27&gt;$E$19,1,IF(-L27&lt;=$D$19,0,((-L27-$D$19)/($E$19-$D$19)))))</calculatedColumnFormula>
    </tableColumn>
    <tableColumn id="6" xr3:uid="{61ED350A-DA41-4C88-9A3F-C0346D5FA34C}" name="Touring B" dataDxfId="31">
      <calculatedColumnFormula>IF(-M27&lt;=0,0,IF(-M27&gt;$E$19,1,IF(-M27&lt;=$D$19,0,((-M27-$D$19)/($E$19-$D$19)))))</calculatedColumnFormula>
    </tableColumn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70C19A0-5FD7-42D8-A478-6A4AF66DBC59}" name="Table391125" displayName="Table391125" ref="Q26:V31" totalsRowShown="0">
  <autoFilter ref="Q26:V31" xr:uid="{870C19A0-5FD7-42D8-A478-6A4AF66DBC59}"/>
  <tableColumns count="6">
    <tableColumn id="1" xr3:uid="{5D2C03D8-8570-4B37-B038-9CE339A7E3D4}" name="Difference"/>
    <tableColumn id="2" xr3:uid="{9083B065-853B-45CE-9048-F90B6A472C49}" name="Economic" dataDxfId="30">
      <calculatedColumnFormula>G9-$G$9</calculatedColumnFormula>
    </tableColumn>
    <tableColumn id="3" xr3:uid="{3133CFC4-A792-48E9-B2F2-BDFBF127C49D}" name="Sport" dataDxfId="29">
      <calculatedColumnFormula>G9-$G$10</calculatedColumnFormula>
    </tableColumn>
    <tableColumn id="4" xr3:uid="{C086B982-70EB-4ADE-BBC4-9F986B003E45}" name="Luxury " dataDxfId="28">
      <calculatedColumnFormula>G9-$G$11</calculatedColumnFormula>
    </tableColumn>
    <tableColumn id="5" xr3:uid="{54C7A769-43A7-4DDC-A1DB-5E418390D42C}" name="Touring A" dataDxfId="27">
      <calculatedColumnFormula>G9-$G$12</calculatedColumnFormula>
    </tableColumn>
    <tableColumn id="6" xr3:uid="{DEEAE30E-890F-4673-972E-2B34778B659D}" name="Touring B" dataDxfId="26">
      <calculatedColumnFormula>G9-$G$13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31DF5C4-9406-4758-89F7-C2EF79CCAACC}" name="Table6101226" displayName="Table6101226" ref="Q35:V40" totalsRowShown="0">
  <autoFilter ref="Q35:V40" xr:uid="{031DF5C4-9406-4758-89F7-C2EF79CCAACC}"/>
  <tableColumns count="6">
    <tableColumn id="1" xr3:uid="{13D5F53E-E68A-4EB1-9615-FEFC2779D9A7}" name="Pref. Price" dataDxfId="25"/>
    <tableColumn id="2" xr3:uid="{ECA260FB-2A28-4922-86E8-952AFB480A20}" name="Economic" dataDxfId="24">
      <calculatedColumnFormula>IF(R27&lt;=0,0,IF(R27&gt;$E$20,1,IF(R27&lt;=$D$20,0,((R27-$D$20)/($E$20-$D$20)))))</calculatedColumnFormula>
    </tableColumn>
    <tableColumn id="3" xr3:uid="{17F62DC0-7285-4CCB-9BCA-7C4C331969F4}" name="Sport" dataDxfId="23">
      <calculatedColumnFormula>IF(S27&lt;=0,0,IF(S27&gt;$E$20,1,IF(S27&lt;=$D$20,0,((S27-$D$20)/($E$20-$D$20)))))</calculatedColumnFormula>
    </tableColumn>
    <tableColumn id="4" xr3:uid="{FD8E3EF8-D97B-4921-A9FA-77899EDD1060}" name="Luxury " dataDxfId="22">
      <calculatedColumnFormula>IF(T27&lt;=0,0,IF(T27&gt;$E$20,1,IF(T27&lt;=$D$20,0,((T27-$D$20)/($E$20-$D$20)))))</calculatedColumnFormula>
    </tableColumn>
    <tableColumn id="5" xr3:uid="{787D6987-9706-4091-8F57-ECF76655B487}" name="Touring A" dataDxfId="21">
      <calculatedColumnFormula>IF(U27&lt;=0,0,IF(U27&gt;$E$20,1,IF(U27&lt;=$D$20,0,((U27-$D$20)/($E$20-$D$20)))))</calculatedColumnFormula>
    </tableColumn>
    <tableColumn id="6" xr3:uid="{BAE9068C-8F38-4100-B629-0F73D41DA11E}" name="Touring B" dataDxfId="20">
      <calculatedColumnFormula>IF(V27&lt;=0,0,IF(V27&gt;$E$20,1,IF(V27&lt;=$D$20,0,((V27-$D$20)/($E$20-$D$20)))))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A05FAD3-78F9-425C-AA30-336971376121}" name="Table391327" displayName="Table391327" ref="Z26:AE31" totalsRowShown="0">
  <autoFilter ref="Z26:AE31" xr:uid="{7A05FAD3-78F9-425C-AA30-336971376121}"/>
  <tableColumns count="6">
    <tableColumn id="1" xr3:uid="{19428072-D0EA-4884-B659-375BE49AD896}" name="Difference"/>
    <tableColumn id="2" xr3:uid="{8901DC33-5623-45AF-AECD-16779F732545}" name="Economic" dataDxfId="19">
      <calculatedColumnFormula>E9-$E$9</calculatedColumnFormula>
    </tableColumn>
    <tableColumn id="3" xr3:uid="{323B14FD-35B1-498C-A094-67D9F94B7888}" name="Sport" dataDxfId="18">
      <calculatedColumnFormula>E9-$E$10</calculatedColumnFormula>
    </tableColumn>
    <tableColumn id="4" xr3:uid="{3F17CC76-E65B-4687-AADA-A37F0059900B}" name="Luxury " dataDxfId="17">
      <calculatedColumnFormula>E9-$E$11</calculatedColumnFormula>
    </tableColumn>
    <tableColumn id="5" xr3:uid="{627DB0FB-9542-4DD2-A0AB-4291DFACD84E}" name="Touring A" dataDxfId="16">
      <calculatedColumnFormula>E9-$E$12</calculatedColumnFormula>
    </tableColumn>
    <tableColumn id="6" xr3:uid="{C6C4D324-0D22-42A0-8E2B-79789BFDD728}" name="Touring B" dataDxfId="15">
      <calculatedColumnFormula>E9-$E$13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6747B-D64B-4E58-AD05-2972B3ED8662}" name="Table6101428" displayName="Table6101428" ref="Z35:AE40" totalsRowShown="0">
  <autoFilter ref="Z35:AE40" xr:uid="{5D46747B-D64B-4E58-AD05-2972B3ED8662}"/>
  <tableColumns count="6">
    <tableColumn id="1" xr3:uid="{820F4B1D-4D9C-46A5-9F5F-E49FF4403412}" name="Pref. Price" dataDxfId="14"/>
    <tableColumn id="2" xr3:uid="{C885B01F-0C7A-4ACE-9037-4FECF1A05398}" name="Economic" dataDxfId="13">
      <calculatedColumnFormula>IF(AA27&lt;=0,0,IF(AA27&gt;$E$21,1,IF(AA27&lt;=$D$21,0,((AA27-$D$21)/($E$21-$D$21)))))</calculatedColumnFormula>
    </tableColumn>
    <tableColumn id="3" xr3:uid="{9D45B340-2496-4959-B602-5674F8A3E37B}" name="Sport" dataDxfId="12">
      <calculatedColumnFormula>IF(AB27&lt;=0,0,IF(AB27&gt;$E$21,1,IF(AB27&lt;=$D$21,0,((AB27-$D$21)/($E$21-$D$21)))))</calculatedColumnFormula>
    </tableColumn>
    <tableColumn id="4" xr3:uid="{D784355E-46B9-4C5F-8D34-B5571EDE47A4}" name="Luxury " dataDxfId="11">
      <calculatedColumnFormula>IF(AC27&lt;=0,0,IF(AC27&gt;$E$21,1,IF(AC27&lt;=$D$21,0,((AC27-$D$21)/($E$21-$D$21)))))</calculatedColumnFormula>
    </tableColumn>
    <tableColumn id="5" xr3:uid="{F1256289-EB98-49A8-B0B4-9D97BFD3DCDB}" name="Touring A" dataDxfId="10">
      <calculatedColumnFormula>IF(AD27&lt;=0,0,IF(AD27&gt;$E$21,1,IF(AD27&lt;=$D$21,0,((AD27-$D$21)/($E$21-$D$21)))))</calculatedColumnFormula>
    </tableColumn>
    <tableColumn id="6" xr3:uid="{2EAD95AF-2C41-4472-B3F8-DA61FBC4089B}" name="Touring B" dataDxfId="9">
      <calculatedColumnFormula>IF(AE27&lt;=0,0,IF(AE27&gt;$E$21,1,IF(AE27&lt;=$D$21,0,((AE27-$D$21)/($E$21-$D$21)))))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832FC1A-1330-4E87-BCF6-7881BF1B185E}" name="Table71529" displayName="Table71529" ref="A57:E62" totalsRowShown="0" tableBorderDxfId="8">
  <autoFilter ref="A57:E62" xr:uid="{3832FC1A-1330-4E87-BCF6-7881BF1B185E}"/>
  <tableColumns count="5">
    <tableColumn id="1" xr3:uid="{DF831B4C-295A-452C-98D2-04C45FCB171E}" name="Cars" dataDxfId="7"/>
    <tableColumn id="2" xr3:uid="{89665A88-C880-4B40-87FA-3D510DC5B98F}" name="Price Net Flows">
      <calculatedColumnFormula>B48*$C$18</calculatedColumnFormula>
    </tableColumn>
    <tableColumn id="3" xr3:uid="{125D199E-68D6-4F57-82C6-4605495541EB}" name="Consumption Net Flows">
      <calculatedColumnFormula>C48*$C$18</calculatedColumnFormula>
    </tableColumn>
    <tableColumn id="4" xr3:uid="{525DFBE6-DDF1-496A-8BAB-F2DF560CD8F0}" name="Comfort Net Flows" dataDxfId="6">
      <calculatedColumnFormula>D48*$C$18</calculatedColumnFormula>
    </tableColumn>
    <tableColumn id="5" xr3:uid="{35E1AB60-F98F-45B5-BB71-8BA8F21CDF93}" name="Power Net Flows">
      <calculatedColumnFormula>E48*$C$18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FA38BE2-7F98-4405-8DD0-94A229A97247}" name="Table6101630" displayName="Table6101630" ref="H48:M53" totalsRowShown="0">
  <autoFilter ref="H48:M53" xr:uid="{5FA38BE2-7F98-4405-8DD0-94A229A97247}"/>
  <tableColumns count="6">
    <tableColumn id="1" xr3:uid="{8F29FD4F-382A-4141-94A8-77716F6A2A5D}" name="Pref. Price" dataDxfId="5"/>
    <tableColumn id="2" xr3:uid="{3D2AAC77-0136-4587-8BD2-18F9026086E6}" name="Economic" dataDxfId="4">
      <calculatedColumnFormula>B36*$C$18+I36*$C$19+R36*$C$20+AA36*$C$21</calculatedColumnFormula>
    </tableColumn>
    <tableColumn id="3" xr3:uid="{A6557756-0D65-4C9D-9DF0-00078DDF71CD}" name="Sport" dataDxfId="3">
      <calculatedColumnFormula>C36*$C$18+J36*$C$19+S36*$C$20+AB36*$C$21</calculatedColumnFormula>
    </tableColumn>
    <tableColumn id="4" xr3:uid="{51EB716D-0741-4330-A0FD-F3F088D31A27}" name="Luxury " dataDxfId="2">
      <calculatedColumnFormula>D36*$C$18+K36*$C$19+T36*$C$20+AC36*$C$21</calculatedColumnFormula>
    </tableColumn>
    <tableColumn id="5" xr3:uid="{9643A5B7-2093-4951-A883-9F84A08B32B3}" name="Touring A" dataDxfId="1">
      <calculatedColumnFormula>E36*$C$18+L36*$C$19+U36*$C$20+AD36*$C$21</calculatedColumnFormula>
    </tableColumn>
    <tableColumn id="6" xr3:uid="{879A0BCD-6BE4-4603-9B11-7EDBFEAB3876}" name="Touring B" dataDxfId="0">
      <calculatedColumnFormula>F36*$C$18+M36*$C$19+V36*$C$20+AE36*$C$21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47:E52" totalsRowShown="0" tableBorderDxfId="117">
  <autoFilter ref="A47:E52" xr:uid="{00000000-0009-0000-0100-000007000000}"/>
  <tableColumns count="5">
    <tableColumn id="1" xr3:uid="{00000000-0010-0000-0500-000001000000}" name="Phone" dataDxfId="116"/>
    <tableColumn id="2" xr3:uid="{00000000-0010-0000-0500-000002000000}" name="Price Net Flows"/>
    <tableColumn id="3" xr3:uid="{00000000-0010-0000-0500-000003000000}" name="Weight Net Flows"/>
    <tableColumn id="4" xr3:uid="{00000000-0010-0000-0500-000004000000}" name="Videocamera Net Flows" dataDxfId="115"/>
    <tableColumn id="5" xr3:uid="{00000000-0010-0000-0500-000005000000}" name="Display Net Flow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39" displayName="Table39" ref="H26:M31" totalsRowShown="0">
  <autoFilter ref="H26:M31" xr:uid="{00000000-0009-0000-0100-000008000000}"/>
  <tableColumns count="6">
    <tableColumn id="1" xr3:uid="{00000000-0010-0000-0600-000001000000}" name="Difference" dataCellStyle="Cella da controllare"/>
    <tableColumn id="2" xr3:uid="{00000000-0010-0000-0600-000002000000}" name="iPhone 16 Pro Max" dataDxfId="114">
      <calculatedColumnFormula>C9-$C$9</calculatedColumnFormula>
    </tableColumn>
    <tableColumn id="3" xr3:uid="{00000000-0010-0000-0600-000003000000}" name="Galaxy A16 5G" dataDxfId="113">
      <calculatedColumnFormula>C9-$C$10</calculatedColumnFormula>
    </tableColumn>
    <tableColumn id="4" xr3:uid="{00000000-0010-0000-0600-000004000000}" name="Xiami Redmi A3 Pro" dataDxfId="112">
      <calculatedColumnFormula>C9-$C$11</calculatedColumnFormula>
    </tableColumn>
    <tableColumn id="5" xr3:uid="{00000000-0010-0000-0600-000005000000}" name="Huawey Pura 70 Ultra" dataDxfId="111">
      <calculatedColumnFormula>C9-$C$12</calculatedColumnFormula>
    </tableColumn>
    <tableColumn id="6" xr3:uid="{00000000-0010-0000-0600-000006000000}" name="Honor 200 Smart" dataDxfId="110">
      <calculatedColumnFormula>C9-$C$13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610" displayName="Table610" ref="H35:M40" totalsRowShown="0">
  <autoFilter ref="H35:M40" xr:uid="{00000000-0009-0000-0100-000009000000}"/>
  <tableColumns count="6">
    <tableColumn id="1" xr3:uid="{00000000-0010-0000-0700-000001000000}" name="Pref. weight" dataDxfId="109" dataCellStyle="Cella da controllare"/>
    <tableColumn id="2" xr3:uid="{00000000-0010-0000-0700-000002000000}" name="iPhone 16 Pro Max" dataDxfId="108">
      <calculatedColumnFormula>IF(-I27&lt;=0,0,IF(-I27&gt;$E$19,1,IF(-I27&lt;=$D$19,0,((-I27-$D$19)/($E$19-$D$19)))))</calculatedColumnFormula>
    </tableColumn>
    <tableColumn id="3" xr3:uid="{00000000-0010-0000-0700-000003000000}" name="Galaxy A16 5G" dataDxfId="107">
      <calculatedColumnFormula>IF(-J27&lt;=0,0,IF(-J27&gt;$E$19,1,IF(-J27&lt;=$D$19,0,((-J27-$D$19)/($E$19-$D$19)))))</calculatedColumnFormula>
    </tableColumn>
    <tableColumn id="4" xr3:uid="{00000000-0010-0000-0700-000004000000}" name="Xiami Redmi A3 Pro" dataDxfId="106">
      <calculatedColumnFormula>IF(-K27&lt;=0,0,IF(-K27&gt;$E$19,1,IF(-K27&lt;=$D$19,0,((-K27-$D$19)/($E$19-$D$19)))))</calculatedColumnFormula>
    </tableColumn>
    <tableColumn id="5" xr3:uid="{00000000-0010-0000-0700-000005000000}" name="Huawey Pura 70 Ultra" dataDxfId="105">
      <calculatedColumnFormula>IF(-L27&lt;=0,0,IF(-L27&gt;$E$19,1,IF(-L27&lt;=$D$19,0,((-L27-$D$19)/($E$19-$D$19)))))</calculatedColumnFormula>
    </tableColumn>
    <tableColumn id="6" xr3:uid="{00000000-0010-0000-0700-000006000000}" name="Honor 200 Smart" dataDxfId="104">
      <calculatedColumnFormula>IF(-M27&lt;=0,0,IF(-M27&gt;$E$19,1,IF(-M27&lt;=$D$19,0,((-M27-$D$19)/($E$19-$D$19)))))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3911" displayName="Table3911" ref="Q26:V31" totalsRowShown="0">
  <autoFilter ref="Q26:V31" xr:uid="{00000000-0009-0000-0100-00000A000000}"/>
  <tableColumns count="6">
    <tableColumn id="1" xr3:uid="{00000000-0010-0000-0800-000001000000}" name="Difference" dataCellStyle="Cella da controllare"/>
    <tableColumn id="2" xr3:uid="{00000000-0010-0000-0800-000002000000}" name="iPhone 16 Pro Max" dataDxfId="103">
      <calculatedColumnFormula>G9-$G$9</calculatedColumnFormula>
    </tableColumn>
    <tableColumn id="3" xr3:uid="{00000000-0010-0000-0800-000003000000}" name="Galaxy A16 5G" dataDxfId="102">
      <calculatedColumnFormula>G9-$G$10</calculatedColumnFormula>
    </tableColumn>
    <tableColumn id="4" xr3:uid="{00000000-0010-0000-0800-000004000000}" name="Xiami Redmi A3 Pro" dataDxfId="101">
      <calculatedColumnFormula>G9-$G$11</calculatedColumnFormula>
    </tableColumn>
    <tableColumn id="5" xr3:uid="{00000000-0010-0000-0800-000005000000}" name="Huawey Pura 70 Ultra" dataDxfId="100">
      <calculatedColumnFormula>G9-$G$12</calculatedColumnFormula>
    </tableColumn>
    <tableColumn id="6" xr3:uid="{00000000-0010-0000-0800-000006000000}" name="Honor 200 Smart" dataDxfId="99">
      <calculatedColumnFormula>G9-$G$13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61012" displayName="Table61012" ref="Q35:V40" totalsRowShown="0">
  <autoFilter ref="Q35:V40" xr:uid="{00000000-0009-0000-0100-00000B000000}"/>
  <tableColumns count="6">
    <tableColumn id="1" xr3:uid="{00000000-0010-0000-0900-000001000000}" name="Pref. Videocamera" dataDxfId="98" dataCellStyle="Cella da controllare"/>
    <tableColumn id="2" xr3:uid="{00000000-0010-0000-0900-000002000000}" name="iPhone 16 Pro Max" dataDxfId="97">
      <calculatedColumnFormula>IF(R27&lt;=0,0,IF(R27&gt;$E$20,1,IF(R27&lt;=$D$20,0,((R27-$D$20)/($E$20-$D$20)))))</calculatedColumnFormula>
    </tableColumn>
    <tableColumn id="3" xr3:uid="{00000000-0010-0000-0900-000003000000}" name="Galaxy A16 5G" dataDxfId="96">
      <calculatedColumnFormula>IF(S27&lt;=0,0,IF(S27&gt;$E$20,1,IF(S27&lt;=$D$20,0,((S27-$D$20)/($E$20-$D$20)))))</calculatedColumnFormula>
    </tableColumn>
    <tableColumn id="4" xr3:uid="{00000000-0010-0000-0900-000004000000}" name="Xiami Redmi A3 Pro" dataDxfId="95">
      <calculatedColumnFormula>IF(T27&lt;=0,0,IF(T27&gt;$E$20,1,IF(T27&lt;=$D$20,0,((T27-$D$20)/($E$20-$D$20)))))</calculatedColumnFormula>
    </tableColumn>
    <tableColumn id="5" xr3:uid="{00000000-0010-0000-0900-000005000000}" name="Huawey Pura 70 Ultra" dataDxfId="94">
      <calculatedColumnFormula>IF(U27&lt;=0,0,IF(U27&gt;$E$20,1,IF(U27&lt;=$D$20,0,((U27-$D$20)/($E$20-$D$20)))))</calculatedColumnFormula>
    </tableColumn>
    <tableColumn id="6" xr3:uid="{00000000-0010-0000-0900-000006000000}" name="Honor 200 Smart" dataDxfId="93">
      <calculatedColumnFormula>IF(V27&lt;=0,0,IF(V27&gt;$E$20,1,IF(V27&lt;=$D$20,0,((V27-$D$20)/($E$20-$D$20)))))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3913" displayName="Table3913" ref="Z26:AE31" totalsRowShown="0">
  <autoFilter ref="Z26:AE31" xr:uid="{00000000-0009-0000-0100-00000C000000}"/>
  <tableColumns count="6">
    <tableColumn id="1" xr3:uid="{00000000-0010-0000-0A00-000001000000}" name="Difference" dataCellStyle="Cella da controllare"/>
    <tableColumn id="2" xr3:uid="{00000000-0010-0000-0A00-000002000000}" name="iPhone 16 Pro Max" dataDxfId="92">
      <calculatedColumnFormula>E9-$E$9</calculatedColumnFormula>
    </tableColumn>
    <tableColumn id="3" xr3:uid="{00000000-0010-0000-0A00-000003000000}" name="Galaxy A16 5G" dataDxfId="91">
      <calculatedColumnFormula>E9-$E$10</calculatedColumnFormula>
    </tableColumn>
    <tableColumn id="4" xr3:uid="{00000000-0010-0000-0A00-000004000000}" name="Xiami Redmi A3 Pro" dataDxfId="90">
      <calculatedColumnFormula>E9-$E$11</calculatedColumnFormula>
    </tableColumn>
    <tableColumn id="5" xr3:uid="{00000000-0010-0000-0A00-000005000000}" name="Huawey Pura 70 Ultra" dataDxfId="89">
      <calculatedColumnFormula>E9-$E$12</calculatedColumnFormula>
    </tableColumn>
    <tableColumn id="6" xr3:uid="{00000000-0010-0000-0A00-000006000000}" name="Honor 200 Smart" dataDxfId="88">
      <calculatedColumnFormula>E9-$E$13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61014" displayName="Table61014" ref="Z35:AE40" totalsRowShown="0">
  <autoFilter ref="Z35:AE40" xr:uid="{00000000-0009-0000-0100-00000D000000}"/>
  <tableColumns count="6">
    <tableColumn id="1" xr3:uid="{00000000-0010-0000-0B00-000001000000}" name="Pref. Screen size" dataDxfId="87" dataCellStyle="Cella da controllare"/>
    <tableColumn id="2" xr3:uid="{00000000-0010-0000-0B00-000002000000}" name="iPhone 16 Pro Max" dataDxfId="86">
      <calculatedColumnFormula>IF(AA27&lt;=0,0,IF(AA27&gt;$E$21,1,IF(AA27&lt;=$D$21,0,((AA27-$D$21)/($E$21-$D$21)))))</calculatedColumnFormula>
    </tableColumn>
    <tableColumn id="3" xr3:uid="{00000000-0010-0000-0B00-000003000000}" name="Galaxy A16 5G" dataDxfId="85">
      <calculatedColumnFormula>IF(AB27&lt;=0,0,IF(AB27&gt;$E$21,1,IF(AB27&lt;=$D$21,0,((AB27-$D$21)/($E$21-$D$21)))))</calculatedColumnFormula>
    </tableColumn>
    <tableColumn id="4" xr3:uid="{00000000-0010-0000-0B00-000004000000}" name="Xiami Redmi A3 Pro" dataDxfId="84">
      <calculatedColumnFormula>IF(AC27&lt;=0,0,IF(AC27&gt;$E$21,1,IF(AC27&lt;=$D$21,0,((AC27-$D$21)/($E$21-$D$21)))))</calculatedColumnFormula>
    </tableColumn>
    <tableColumn id="5" xr3:uid="{00000000-0010-0000-0B00-000005000000}" name="Huawey Pura 70 Ultra" dataDxfId="83">
      <calculatedColumnFormula>IF(AD27&lt;=0,0,IF(AD27&gt;$E$21,1,IF(AD27&lt;=$D$21,0,((AD27-$D$21)/($E$21-$D$21)))))</calculatedColumnFormula>
    </tableColumn>
    <tableColumn id="6" xr3:uid="{00000000-0010-0000-0B00-000006000000}" name="Honor 200 Smart" dataDxfId="82">
      <calculatedColumnFormula>IF(AE27&lt;=0,0,IF(AE27&gt;$E$21,1,IF(AE27&lt;=$D$21,0,((AE27-$D$21)/($E$21-$D$21)))))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17" Type="http://schemas.openxmlformats.org/officeDocument/2006/relationships/table" Target="../tables/table14.xml"/><Relationship Id="rId2" Type="http://schemas.openxmlformats.org/officeDocument/2006/relationships/drawing" Target="../drawings/drawing1.xml"/><Relationship Id="rId16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17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6" Type="http://schemas.openxmlformats.org/officeDocument/2006/relationships/table" Target="../tables/table29.xml"/><Relationship Id="rId1" Type="http://schemas.openxmlformats.org/officeDocument/2006/relationships/drawing" Target="../drawings/drawing2.xml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2"/>
  <sheetViews>
    <sheetView showGridLines="0" tabSelected="1" zoomScale="80" zoomScaleNormal="80" workbookViewId="0">
      <selection activeCell="X42" sqref="X42"/>
    </sheetView>
  </sheetViews>
  <sheetFormatPr defaultColWidth="8.77734375" defaultRowHeight="14.4" x14ac:dyDescent="0.3"/>
  <cols>
    <col min="1" max="1" width="15.109375" customWidth="1"/>
    <col min="2" max="2" width="20" customWidth="1"/>
    <col min="3" max="3" width="26" customWidth="1"/>
    <col min="4" max="4" width="14.44140625" customWidth="1"/>
    <col min="5" max="5" width="16.44140625" customWidth="1"/>
    <col min="6" max="6" width="11.44140625" customWidth="1"/>
    <col min="7" max="7" width="18.77734375" customWidth="1"/>
    <col min="8" max="8" width="15.44140625" customWidth="1"/>
    <col min="9" max="9" width="11.77734375" customWidth="1"/>
    <col min="10" max="10" width="12.6640625" customWidth="1"/>
    <col min="25" max="25" width="8.77734375" customWidth="1"/>
  </cols>
  <sheetData>
    <row r="1" spans="1:7" ht="21" x14ac:dyDescent="0.4">
      <c r="A1" s="29" t="s">
        <v>51</v>
      </c>
    </row>
    <row r="3" spans="1:7" x14ac:dyDescent="0.3">
      <c r="A3" t="s">
        <v>0</v>
      </c>
    </row>
    <row r="4" spans="1:7" x14ac:dyDescent="0.3">
      <c r="A4" t="s">
        <v>1</v>
      </c>
    </row>
    <row r="6" spans="1:7" ht="15" thickBot="1" x14ac:dyDescent="0.35">
      <c r="A6" t="s">
        <v>2</v>
      </c>
    </row>
    <row r="7" spans="1:7" ht="15.6" thickTop="1" thickBot="1" x14ac:dyDescent="0.35">
      <c r="A7" s="7" t="s">
        <v>16</v>
      </c>
      <c r="B7" s="8" t="s">
        <v>3</v>
      </c>
      <c r="C7" s="9" t="s">
        <v>60</v>
      </c>
      <c r="D7" s="9" t="s">
        <v>66</v>
      </c>
      <c r="E7" s="12" t="s">
        <v>53</v>
      </c>
      <c r="G7" s="13" t="s">
        <v>67</v>
      </c>
    </row>
    <row r="8" spans="1:7" ht="15" thickTop="1" x14ac:dyDescent="0.3">
      <c r="A8" s="6" t="s">
        <v>13</v>
      </c>
      <c r="B8" s="1" t="s">
        <v>14</v>
      </c>
      <c r="C8" s="1" t="s">
        <v>14</v>
      </c>
      <c r="D8" s="1" t="s">
        <v>15</v>
      </c>
      <c r="E8" s="2" t="s">
        <v>15</v>
      </c>
      <c r="G8" s="24" t="s">
        <v>15</v>
      </c>
    </row>
    <row r="9" spans="1:7" x14ac:dyDescent="0.3">
      <c r="A9" s="10" t="s">
        <v>63</v>
      </c>
      <c r="B9" s="15">
        <v>1489</v>
      </c>
      <c r="C9" s="15">
        <v>227</v>
      </c>
      <c r="D9" s="14" t="s">
        <v>9</v>
      </c>
      <c r="E9" s="18">
        <v>6.9</v>
      </c>
      <c r="G9" s="4">
        <v>10</v>
      </c>
    </row>
    <row r="10" spans="1:7" x14ac:dyDescent="0.3">
      <c r="A10" s="10" t="s">
        <v>72</v>
      </c>
      <c r="B10" s="4">
        <v>239</v>
      </c>
      <c r="C10" s="17">
        <v>200</v>
      </c>
      <c r="D10" s="17" t="s">
        <v>56</v>
      </c>
      <c r="E10" s="16">
        <v>6.7</v>
      </c>
      <c r="G10" s="4">
        <v>7</v>
      </c>
    </row>
    <row r="11" spans="1:7" x14ac:dyDescent="0.3">
      <c r="A11" s="10" t="s">
        <v>64</v>
      </c>
      <c r="B11" s="14">
        <v>100</v>
      </c>
      <c r="C11" s="4">
        <v>200</v>
      </c>
      <c r="D11" s="15" t="s">
        <v>7</v>
      </c>
      <c r="E11" s="19">
        <v>6.88</v>
      </c>
      <c r="G11" s="4">
        <v>3</v>
      </c>
    </row>
    <row r="12" spans="1:7" x14ac:dyDescent="0.3">
      <c r="A12" s="10" t="s">
        <v>65</v>
      </c>
      <c r="B12" s="4">
        <v>1399</v>
      </c>
      <c r="C12" s="17">
        <v>226</v>
      </c>
      <c r="D12" s="4" t="s">
        <v>56</v>
      </c>
      <c r="E12" s="19">
        <v>6.8</v>
      </c>
      <c r="G12" s="4">
        <v>8</v>
      </c>
    </row>
    <row r="13" spans="1:7" x14ac:dyDescent="0.3">
      <c r="A13" s="10" t="s">
        <v>71</v>
      </c>
      <c r="B13" s="4">
        <v>147</v>
      </c>
      <c r="C13" s="14">
        <v>191</v>
      </c>
      <c r="D13" s="4" t="s">
        <v>11</v>
      </c>
      <c r="E13" s="19">
        <v>6.8</v>
      </c>
      <c r="G13" s="4">
        <v>5</v>
      </c>
    </row>
    <row r="16" spans="1:7" ht="15" thickBot="1" x14ac:dyDescent="0.35">
      <c r="A16" t="s">
        <v>19</v>
      </c>
    </row>
    <row r="17" spans="1:31" ht="15.6" thickTop="1" thickBot="1" x14ac:dyDescent="0.35">
      <c r="A17" s="22" t="s">
        <v>17</v>
      </c>
      <c r="B17" s="21" t="s">
        <v>20</v>
      </c>
      <c r="C17" s="9" t="s">
        <v>22</v>
      </c>
      <c r="D17" s="9" t="s">
        <v>23</v>
      </c>
      <c r="E17" s="9" t="s">
        <v>24</v>
      </c>
    </row>
    <row r="18" spans="1:31" ht="15" thickTop="1" x14ac:dyDescent="0.3">
      <c r="A18" s="10" t="s">
        <v>18</v>
      </c>
      <c r="B18" s="4" t="s">
        <v>21</v>
      </c>
      <c r="C18" s="4">
        <v>0.35</v>
      </c>
      <c r="D18" s="4">
        <v>100</v>
      </c>
      <c r="E18" s="19">
        <v>250</v>
      </c>
    </row>
    <row r="19" spans="1:31" x14ac:dyDescent="0.3">
      <c r="A19" s="10" t="s">
        <v>68</v>
      </c>
      <c r="B19" s="4" t="s">
        <v>21</v>
      </c>
      <c r="C19" s="4">
        <v>0.15</v>
      </c>
      <c r="D19" s="4">
        <v>4</v>
      </c>
      <c r="E19" s="19">
        <v>9</v>
      </c>
    </row>
    <row r="20" spans="1:31" x14ac:dyDescent="0.3">
      <c r="A20" s="10" t="s">
        <v>69</v>
      </c>
      <c r="B20" s="4" t="s">
        <v>21</v>
      </c>
      <c r="C20" s="4">
        <v>0.25</v>
      </c>
      <c r="D20" s="4">
        <v>1</v>
      </c>
      <c r="E20" s="19">
        <v>2</v>
      </c>
    </row>
    <row r="21" spans="1:31" x14ac:dyDescent="0.3">
      <c r="A21" s="11" t="s">
        <v>70</v>
      </c>
      <c r="B21" s="5" t="s">
        <v>21</v>
      </c>
      <c r="C21" s="5">
        <v>0.25</v>
      </c>
      <c r="D21" s="5">
        <v>0</v>
      </c>
      <c r="E21" s="20">
        <v>0.04</v>
      </c>
    </row>
    <row r="23" spans="1:31" x14ac:dyDescent="0.3">
      <c r="A23" s="25" t="s">
        <v>33</v>
      </c>
    </row>
    <row r="24" spans="1:31" x14ac:dyDescent="0.3">
      <c r="H24" t="s">
        <v>34</v>
      </c>
      <c r="Q24" t="s">
        <v>4</v>
      </c>
      <c r="Z24" t="s">
        <v>35</v>
      </c>
    </row>
    <row r="25" spans="1:31" ht="15" thickBot="1" x14ac:dyDescent="0.35">
      <c r="A25" t="s">
        <v>27</v>
      </c>
      <c r="H25" t="s">
        <v>86</v>
      </c>
      <c r="Q25" t="s">
        <v>88</v>
      </c>
      <c r="Z25" t="s">
        <v>89</v>
      </c>
    </row>
    <row r="26" spans="1:31" ht="15.6" thickTop="1" thickBot="1" x14ac:dyDescent="0.35">
      <c r="A26" t="s">
        <v>26</v>
      </c>
      <c r="B26" s="13" t="s">
        <v>63</v>
      </c>
      <c r="C26" s="13" t="s">
        <v>72</v>
      </c>
      <c r="D26" s="13" t="s">
        <v>64</v>
      </c>
      <c r="E26" s="13" t="s">
        <v>65</v>
      </c>
      <c r="F26" s="13" t="s">
        <v>71</v>
      </c>
      <c r="H26" t="s">
        <v>26</v>
      </c>
      <c r="I26" s="13" t="s">
        <v>63</v>
      </c>
      <c r="J26" s="13" t="s">
        <v>72</v>
      </c>
      <c r="K26" s="13" t="s">
        <v>64</v>
      </c>
      <c r="L26" s="13" t="s">
        <v>65</v>
      </c>
      <c r="M26" s="13" t="s">
        <v>71</v>
      </c>
      <c r="Q26" t="s">
        <v>26</v>
      </c>
      <c r="R26" s="13" t="s">
        <v>63</v>
      </c>
      <c r="S26" s="13" t="s">
        <v>72</v>
      </c>
      <c r="T26" s="13" t="s">
        <v>64</v>
      </c>
      <c r="U26" s="13" t="s">
        <v>65</v>
      </c>
      <c r="V26" s="13" t="s">
        <v>71</v>
      </c>
      <c r="Z26" t="s">
        <v>26</v>
      </c>
      <c r="AA26" s="13" t="s">
        <v>63</v>
      </c>
      <c r="AB26" s="13" t="s">
        <v>72</v>
      </c>
      <c r="AC26" s="13" t="s">
        <v>64</v>
      </c>
      <c r="AD26" s="13" t="s">
        <v>65</v>
      </c>
      <c r="AE26" s="13" t="s">
        <v>71</v>
      </c>
    </row>
    <row r="27" spans="1:31" ht="15.6" thickTop="1" thickBot="1" x14ac:dyDescent="0.35">
      <c r="A27" s="13" t="s">
        <v>63</v>
      </c>
      <c r="B27">
        <f>B9-$B$9</f>
        <v>0</v>
      </c>
      <c r="C27">
        <f>B9-$B$10</f>
        <v>1250</v>
      </c>
      <c r="D27">
        <f>B9-$B$11</f>
        <v>1389</v>
      </c>
      <c r="E27">
        <f>B9-$B$12</f>
        <v>90</v>
      </c>
      <c r="F27">
        <f>B9-$B$13</f>
        <v>1342</v>
      </c>
      <c r="H27" s="13" t="s">
        <v>63</v>
      </c>
      <c r="I27">
        <f t="shared" ref="I27" si="0">C9-$C$9</f>
        <v>0</v>
      </c>
      <c r="J27">
        <f t="shared" ref="J27:J31" si="1">C9-$C$10</f>
        <v>27</v>
      </c>
      <c r="K27">
        <f t="shared" ref="K27:K31" si="2">C9-$C$11</f>
        <v>27</v>
      </c>
      <c r="L27">
        <f t="shared" ref="L27:L31" si="3">C9-$C$12</f>
        <v>1</v>
      </c>
      <c r="M27">
        <f t="shared" ref="M27:M31" si="4">C9-$C$13</f>
        <v>36</v>
      </c>
      <c r="Q27" s="13" t="s">
        <v>63</v>
      </c>
      <c r="R27">
        <f t="shared" ref="R27:R31" si="5">G9-$G$9</f>
        <v>0</v>
      </c>
      <c r="S27">
        <f t="shared" ref="S27:S31" si="6">G9-$G$10</f>
        <v>3</v>
      </c>
      <c r="T27">
        <f t="shared" ref="T27:T31" si="7">G9-$G$11</f>
        <v>7</v>
      </c>
      <c r="U27">
        <f t="shared" ref="U27:U31" si="8">G9-$G$12</f>
        <v>2</v>
      </c>
      <c r="V27">
        <f t="shared" ref="V27:V31" si="9">G9-$G$13</f>
        <v>5</v>
      </c>
      <c r="Z27" s="13" t="s">
        <v>63</v>
      </c>
      <c r="AA27">
        <f t="shared" ref="AA27:AA31" si="10">E9-$E$9</f>
        <v>0</v>
      </c>
      <c r="AB27">
        <f t="shared" ref="AB27:AB31" si="11">E9-$E$10</f>
        <v>0.20000000000000018</v>
      </c>
      <c r="AC27">
        <f t="shared" ref="AC27:AC31" si="12">E9-$E$11</f>
        <v>2.0000000000000462E-2</v>
      </c>
      <c r="AD27">
        <f t="shared" ref="AD27:AD31" si="13">E9-$E$12</f>
        <v>0.10000000000000053</v>
      </c>
      <c r="AE27">
        <f t="shared" ref="AE27:AE31" si="14">E9-$E$13</f>
        <v>0.10000000000000053</v>
      </c>
    </row>
    <row r="28" spans="1:31" ht="15.6" thickTop="1" thickBot="1" x14ac:dyDescent="0.35">
      <c r="A28" s="13" t="s">
        <v>72</v>
      </c>
      <c r="B28">
        <f>B10-$B$9</f>
        <v>-1250</v>
      </c>
      <c r="C28">
        <f t="shared" ref="C28:C31" si="15">B10-$B$10</f>
        <v>0</v>
      </c>
      <c r="D28">
        <f t="shared" ref="D28:D30" si="16">B10-$B$11</f>
        <v>139</v>
      </c>
      <c r="E28">
        <f t="shared" ref="E28:E31" si="17">B10-$B$12</f>
        <v>-1160</v>
      </c>
      <c r="F28">
        <f t="shared" ref="F28:F31" si="18">B10-$B$13</f>
        <v>92</v>
      </c>
      <c r="H28" s="13" t="s">
        <v>72</v>
      </c>
      <c r="I28">
        <f>C10-$C$9</f>
        <v>-27</v>
      </c>
      <c r="J28">
        <f t="shared" si="1"/>
        <v>0</v>
      </c>
      <c r="K28">
        <f t="shared" si="2"/>
        <v>0</v>
      </c>
      <c r="L28">
        <f t="shared" si="3"/>
        <v>-26</v>
      </c>
      <c r="M28">
        <f t="shared" si="4"/>
        <v>9</v>
      </c>
      <c r="Q28" s="13" t="s">
        <v>72</v>
      </c>
      <c r="R28">
        <f t="shared" si="5"/>
        <v>-3</v>
      </c>
      <c r="S28">
        <f t="shared" si="6"/>
        <v>0</v>
      </c>
      <c r="T28">
        <f t="shared" si="7"/>
        <v>4</v>
      </c>
      <c r="U28">
        <f t="shared" si="8"/>
        <v>-1</v>
      </c>
      <c r="V28">
        <f t="shared" si="9"/>
        <v>2</v>
      </c>
      <c r="Z28" s="13" t="s">
        <v>72</v>
      </c>
      <c r="AA28">
        <f t="shared" si="10"/>
        <v>-0.20000000000000018</v>
      </c>
      <c r="AB28">
        <f t="shared" si="11"/>
        <v>0</v>
      </c>
      <c r="AC28">
        <f t="shared" si="12"/>
        <v>-0.17999999999999972</v>
      </c>
      <c r="AD28">
        <f t="shared" si="13"/>
        <v>-9.9999999999999645E-2</v>
      </c>
      <c r="AE28">
        <f t="shared" si="14"/>
        <v>-9.9999999999999645E-2</v>
      </c>
    </row>
    <row r="29" spans="1:31" ht="15.6" thickTop="1" thickBot="1" x14ac:dyDescent="0.35">
      <c r="A29" s="13" t="s">
        <v>64</v>
      </c>
      <c r="B29">
        <f t="shared" ref="B28:B31" si="19">B11-$B$9</f>
        <v>-1389</v>
      </c>
      <c r="C29">
        <f t="shared" si="15"/>
        <v>-139</v>
      </c>
      <c r="D29">
        <f t="shared" si="16"/>
        <v>0</v>
      </c>
      <c r="E29">
        <f t="shared" si="17"/>
        <v>-1299</v>
      </c>
      <c r="F29">
        <f t="shared" si="18"/>
        <v>-47</v>
      </c>
      <c r="H29" s="13" t="s">
        <v>64</v>
      </c>
      <c r="I29">
        <f t="shared" ref="I29:I31" si="20">C11-$C$9</f>
        <v>-27</v>
      </c>
      <c r="J29">
        <f t="shared" si="1"/>
        <v>0</v>
      </c>
      <c r="K29">
        <f t="shared" si="2"/>
        <v>0</v>
      </c>
      <c r="L29">
        <f t="shared" si="3"/>
        <v>-26</v>
      </c>
      <c r="M29">
        <f t="shared" si="4"/>
        <v>9</v>
      </c>
      <c r="Q29" s="13" t="s">
        <v>64</v>
      </c>
      <c r="R29">
        <f t="shared" si="5"/>
        <v>-7</v>
      </c>
      <c r="S29">
        <f t="shared" si="6"/>
        <v>-4</v>
      </c>
      <c r="T29">
        <f t="shared" si="7"/>
        <v>0</v>
      </c>
      <c r="U29">
        <f t="shared" si="8"/>
        <v>-5</v>
      </c>
      <c r="V29">
        <f t="shared" si="9"/>
        <v>-2</v>
      </c>
      <c r="Z29" s="13" t="s">
        <v>64</v>
      </c>
      <c r="AA29">
        <f t="shared" si="10"/>
        <v>-2.0000000000000462E-2</v>
      </c>
      <c r="AB29">
        <f t="shared" si="11"/>
        <v>0.17999999999999972</v>
      </c>
      <c r="AC29">
        <f t="shared" si="12"/>
        <v>0</v>
      </c>
      <c r="AD29">
        <f t="shared" si="13"/>
        <v>8.0000000000000071E-2</v>
      </c>
      <c r="AE29">
        <f t="shared" si="14"/>
        <v>8.0000000000000071E-2</v>
      </c>
    </row>
    <row r="30" spans="1:31" ht="15.6" thickTop="1" thickBot="1" x14ac:dyDescent="0.35">
      <c r="A30" s="13" t="s">
        <v>65</v>
      </c>
      <c r="B30">
        <f t="shared" si="19"/>
        <v>-90</v>
      </c>
      <c r="C30">
        <f t="shared" si="15"/>
        <v>1160</v>
      </c>
      <c r="D30">
        <f t="shared" si="16"/>
        <v>1299</v>
      </c>
      <c r="E30">
        <f t="shared" si="17"/>
        <v>0</v>
      </c>
      <c r="F30">
        <f t="shared" si="18"/>
        <v>1252</v>
      </c>
      <c r="H30" s="13" t="s">
        <v>65</v>
      </c>
      <c r="I30">
        <f t="shared" si="20"/>
        <v>-1</v>
      </c>
      <c r="J30">
        <f t="shared" si="1"/>
        <v>26</v>
      </c>
      <c r="K30">
        <f t="shared" si="2"/>
        <v>26</v>
      </c>
      <c r="L30">
        <f t="shared" si="3"/>
        <v>0</v>
      </c>
      <c r="M30">
        <f t="shared" si="4"/>
        <v>35</v>
      </c>
      <c r="Q30" s="13" t="s">
        <v>65</v>
      </c>
      <c r="R30">
        <f t="shared" si="5"/>
        <v>-2</v>
      </c>
      <c r="S30">
        <f t="shared" si="6"/>
        <v>1</v>
      </c>
      <c r="T30">
        <f t="shared" si="7"/>
        <v>5</v>
      </c>
      <c r="U30">
        <f t="shared" si="8"/>
        <v>0</v>
      </c>
      <c r="V30">
        <f t="shared" si="9"/>
        <v>3</v>
      </c>
      <c r="Z30" s="13" t="s">
        <v>65</v>
      </c>
      <c r="AA30">
        <f t="shared" si="10"/>
        <v>-0.10000000000000053</v>
      </c>
      <c r="AB30">
        <f t="shared" si="11"/>
        <v>9.9999999999999645E-2</v>
      </c>
      <c r="AC30">
        <f t="shared" si="12"/>
        <v>-8.0000000000000071E-2</v>
      </c>
      <c r="AD30">
        <f t="shared" si="13"/>
        <v>0</v>
      </c>
      <c r="AE30">
        <f t="shared" si="14"/>
        <v>0</v>
      </c>
    </row>
    <row r="31" spans="1:31" ht="15.6" thickTop="1" thickBot="1" x14ac:dyDescent="0.35">
      <c r="A31" s="13" t="s">
        <v>71</v>
      </c>
      <c r="B31">
        <f t="shared" si="19"/>
        <v>-1342</v>
      </c>
      <c r="C31">
        <f t="shared" si="15"/>
        <v>-92</v>
      </c>
      <c r="D31">
        <f>B13-$B$11</f>
        <v>47</v>
      </c>
      <c r="E31">
        <f t="shared" si="17"/>
        <v>-1252</v>
      </c>
      <c r="F31">
        <f t="shared" si="18"/>
        <v>0</v>
      </c>
      <c r="H31" s="13" t="s">
        <v>71</v>
      </c>
      <c r="I31">
        <f t="shared" si="20"/>
        <v>-36</v>
      </c>
      <c r="J31">
        <f t="shared" si="1"/>
        <v>-9</v>
      </c>
      <c r="K31">
        <f t="shared" si="2"/>
        <v>-9</v>
      </c>
      <c r="L31">
        <f t="shared" si="3"/>
        <v>-35</v>
      </c>
      <c r="M31">
        <f t="shared" si="4"/>
        <v>0</v>
      </c>
      <c r="Q31" s="13" t="s">
        <v>71</v>
      </c>
      <c r="R31">
        <f t="shared" si="5"/>
        <v>-5</v>
      </c>
      <c r="S31">
        <f t="shared" si="6"/>
        <v>-2</v>
      </c>
      <c r="T31">
        <f t="shared" si="7"/>
        <v>2</v>
      </c>
      <c r="U31">
        <f t="shared" si="8"/>
        <v>-3</v>
      </c>
      <c r="V31">
        <f t="shared" si="9"/>
        <v>0</v>
      </c>
      <c r="Z31" s="13" t="s">
        <v>71</v>
      </c>
      <c r="AA31">
        <f t="shared" si="10"/>
        <v>-0.10000000000000053</v>
      </c>
      <c r="AB31">
        <f t="shared" si="11"/>
        <v>9.9999999999999645E-2</v>
      </c>
      <c r="AC31">
        <f t="shared" si="12"/>
        <v>-8.0000000000000071E-2</v>
      </c>
      <c r="AD31">
        <f t="shared" si="13"/>
        <v>0</v>
      </c>
      <c r="AE31">
        <f t="shared" si="14"/>
        <v>0</v>
      </c>
    </row>
    <row r="32" spans="1:31" ht="15" thickTop="1" x14ac:dyDescent="0.3"/>
    <row r="34" spans="1:31" ht="15" thickBot="1" x14ac:dyDescent="0.35">
      <c r="A34" t="s">
        <v>28</v>
      </c>
      <c r="H34" t="s">
        <v>85</v>
      </c>
      <c r="Q34" t="s">
        <v>87</v>
      </c>
      <c r="Z34" t="s">
        <v>90</v>
      </c>
    </row>
    <row r="35" spans="1:31" ht="15.6" thickTop="1" thickBot="1" x14ac:dyDescent="0.35">
      <c r="A35" s="10" t="s">
        <v>25</v>
      </c>
      <c r="B35" s="13" t="s">
        <v>63</v>
      </c>
      <c r="C35" s="13" t="s">
        <v>72</v>
      </c>
      <c r="D35" s="13" t="s">
        <v>64</v>
      </c>
      <c r="E35" s="13" t="s">
        <v>65</v>
      </c>
      <c r="F35" s="13" t="s">
        <v>71</v>
      </c>
      <c r="H35" s="28" t="s">
        <v>82</v>
      </c>
      <c r="I35" s="13" t="s">
        <v>63</v>
      </c>
      <c r="J35" s="13" t="s">
        <v>72</v>
      </c>
      <c r="K35" s="13" t="s">
        <v>64</v>
      </c>
      <c r="L35" s="13" t="s">
        <v>65</v>
      </c>
      <c r="M35" s="13" t="s">
        <v>71</v>
      </c>
      <c r="Q35" s="10" t="s">
        <v>83</v>
      </c>
      <c r="R35" s="13" t="s">
        <v>63</v>
      </c>
      <c r="S35" s="13" t="s">
        <v>72</v>
      </c>
      <c r="T35" s="13" t="s">
        <v>64</v>
      </c>
      <c r="U35" s="13" t="s">
        <v>65</v>
      </c>
      <c r="V35" s="13" t="s">
        <v>71</v>
      </c>
      <c r="Z35" s="10" t="s">
        <v>84</v>
      </c>
      <c r="AA35" s="13" t="s">
        <v>63</v>
      </c>
      <c r="AB35" s="13" t="s">
        <v>72</v>
      </c>
      <c r="AC35" s="13" t="s">
        <v>64</v>
      </c>
      <c r="AD35" s="13" t="s">
        <v>65</v>
      </c>
      <c r="AE35" s="13" t="s">
        <v>71</v>
      </c>
    </row>
    <row r="36" spans="1:31" ht="15.6" thickTop="1" thickBot="1" x14ac:dyDescent="0.35">
      <c r="A36" s="13" t="s">
        <v>63</v>
      </c>
      <c r="B36" s="4">
        <f>IF(-B27&lt;=0,0,IF(-B27&gt;$E$18,1,IF(-B27&lt;=$D$18,0,((-B27-$D$18)/($E$18-$D$18)))))</f>
        <v>0</v>
      </c>
      <c r="C36" s="4">
        <f>IF(-C27&lt;=0,0,IF(-C27&gt;$E$18,1,IF(-C27&lt;=$D$18,0,((-C27-$D$18)/($E$18-$D$18)))))</f>
        <v>0</v>
      </c>
      <c r="D36" s="4">
        <f>IF(-D27&lt;=0,0,IF(-D27&gt;$E$18,1,IF(-D27&lt;=$D$18,0,((-D27-$D$18)/($E$18-$D$18)))))</f>
        <v>0</v>
      </c>
      <c r="E36" s="4">
        <f t="shared" ref="E36:F36" si="21">IF(-E27&lt;=0,0,IF(-E27&gt;$E$18,1,IF(-E27&lt;=$D$18,0,((-E27-$D$18)/($E$18-$D$18)))))</f>
        <v>0</v>
      </c>
      <c r="F36" s="19">
        <f t="shared" si="21"/>
        <v>0</v>
      </c>
      <c r="H36" s="13" t="s">
        <v>63</v>
      </c>
      <c r="I36" s="4">
        <f t="shared" ref="I36:M40" si="22">IF(-I27&lt;=0,0,IF(-I27&gt;$E$19,1,IF(-I27&lt;=$D$19,0,((-I27-$D$19)/($E$19-$D$19)))))</f>
        <v>0</v>
      </c>
      <c r="J36" s="4">
        <f t="shared" si="22"/>
        <v>0</v>
      </c>
      <c r="K36" s="4">
        <f t="shared" si="22"/>
        <v>0</v>
      </c>
      <c r="L36" s="4">
        <f t="shared" si="22"/>
        <v>0</v>
      </c>
      <c r="M36" s="4">
        <f t="shared" si="22"/>
        <v>0</v>
      </c>
      <c r="Q36" s="13" t="s">
        <v>63</v>
      </c>
      <c r="R36" s="4">
        <f t="shared" ref="R36:V36" si="23">IF(R27&lt;=0,0,IF(R27&gt;$E$20,1,IF(R27&lt;=$D$20,0,((R27-$D$20)/($E$20-$D$20)))))</f>
        <v>0</v>
      </c>
      <c r="S36" s="4">
        <f t="shared" si="23"/>
        <v>1</v>
      </c>
      <c r="T36" s="4">
        <f t="shared" si="23"/>
        <v>1</v>
      </c>
      <c r="U36" s="4">
        <f t="shared" si="23"/>
        <v>1</v>
      </c>
      <c r="V36" s="4">
        <f t="shared" si="23"/>
        <v>1</v>
      </c>
      <c r="Z36" s="13" t="s">
        <v>63</v>
      </c>
      <c r="AA36" s="4">
        <f>IF(AA27&lt;=0,0,IF(AA27&gt;$E$21,1,IF(AA27&lt;=$D$21,0,((AA27-$D$21)/($E$21-$D$21)))))</f>
        <v>0</v>
      </c>
      <c r="AB36" s="4">
        <f t="shared" ref="AB36:AE36" si="24">IF(AB27&lt;=0,0,IF(AB27&gt;$E$21,1,IF(AB27&lt;=$D$21,0,((AB27-$D$21)/($E$21-$D$21)))))</f>
        <v>1</v>
      </c>
      <c r="AC36" s="4">
        <f t="shared" si="24"/>
        <v>0.50000000000001155</v>
      </c>
      <c r="AD36" s="4">
        <f t="shared" si="24"/>
        <v>1</v>
      </c>
      <c r="AE36" s="4">
        <f t="shared" si="24"/>
        <v>1</v>
      </c>
    </row>
    <row r="37" spans="1:31" ht="15.6" thickTop="1" thickBot="1" x14ac:dyDescent="0.35">
      <c r="A37" s="13" t="s">
        <v>72</v>
      </c>
      <c r="B37" s="4">
        <f t="shared" ref="B37:F40" si="25">IF(-B28&lt;=0,0,IF(-B28&gt;$E$18,1,IF(-B28&lt;=$D$18,0,((-B28-$D$18)/($E$18-$D$18)))))</f>
        <v>1</v>
      </c>
      <c r="C37" s="4">
        <f t="shared" si="25"/>
        <v>0</v>
      </c>
      <c r="D37" s="4">
        <f>IF(-D28&lt;=0,0,IF(-D28&gt;$E$18,1,IF(-D28&lt;=$D$18,0,((-D28-$D$18)/($E$18-$D$18)))))</f>
        <v>0</v>
      </c>
      <c r="E37" s="4">
        <f t="shared" si="25"/>
        <v>1</v>
      </c>
      <c r="F37" s="19">
        <f t="shared" si="25"/>
        <v>0</v>
      </c>
      <c r="H37" s="13" t="s">
        <v>72</v>
      </c>
      <c r="I37" s="4">
        <f t="shared" si="22"/>
        <v>1</v>
      </c>
      <c r="J37" s="4">
        <f t="shared" si="22"/>
        <v>0</v>
      </c>
      <c r="K37" s="4">
        <f t="shared" si="22"/>
        <v>0</v>
      </c>
      <c r="L37" s="4">
        <f t="shared" si="22"/>
        <v>1</v>
      </c>
      <c r="M37" s="4">
        <f t="shared" si="22"/>
        <v>0</v>
      </c>
      <c r="Q37" s="13" t="s">
        <v>72</v>
      </c>
      <c r="R37" s="4">
        <f t="shared" ref="R37:V37" si="26">IF(R28&lt;=0,0,IF(R28&gt;$E$20,1,IF(R28&lt;=$D$20,0,((R28-$D$20)/($E$20-$D$20)))))</f>
        <v>0</v>
      </c>
      <c r="S37" s="4">
        <f t="shared" si="26"/>
        <v>0</v>
      </c>
      <c r="T37" s="4">
        <f t="shared" si="26"/>
        <v>1</v>
      </c>
      <c r="U37" s="4">
        <f t="shared" si="26"/>
        <v>0</v>
      </c>
      <c r="V37" s="4">
        <f t="shared" si="26"/>
        <v>1</v>
      </c>
      <c r="Z37" s="13" t="s">
        <v>72</v>
      </c>
      <c r="AA37" s="4">
        <f t="shared" ref="AA37:AE37" si="27">IF(AA28&lt;=0,0,IF(AA28&gt;$E$21,1,IF(AA28&lt;=$D$21,0,((AA28-$D$21)/($E$21-$D$21)))))</f>
        <v>0</v>
      </c>
      <c r="AB37" s="4">
        <f t="shared" si="27"/>
        <v>0</v>
      </c>
      <c r="AC37" s="4">
        <f t="shared" si="27"/>
        <v>0</v>
      </c>
      <c r="AD37" s="4">
        <f t="shared" si="27"/>
        <v>0</v>
      </c>
      <c r="AE37" s="4">
        <f t="shared" si="27"/>
        <v>0</v>
      </c>
    </row>
    <row r="38" spans="1:31" ht="15.6" thickTop="1" thickBot="1" x14ac:dyDescent="0.35">
      <c r="A38" s="13" t="s">
        <v>64</v>
      </c>
      <c r="B38" s="4">
        <f t="shared" si="25"/>
        <v>1</v>
      </c>
      <c r="C38" s="4">
        <f t="shared" si="25"/>
        <v>0.26</v>
      </c>
      <c r="D38" s="4">
        <f t="shared" si="25"/>
        <v>0</v>
      </c>
      <c r="E38" s="4">
        <f t="shared" si="25"/>
        <v>1</v>
      </c>
      <c r="F38" s="19">
        <f t="shared" si="25"/>
        <v>0</v>
      </c>
      <c r="H38" s="13" t="s">
        <v>64</v>
      </c>
      <c r="I38" s="4">
        <f t="shared" si="22"/>
        <v>1</v>
      </c>
      <c r="J38" s="4">
        <f t="shared" si="22"/>
        <v>0</v>
      </c>
      <c r="K38" s="4">
        <f t="shared" si="22"/>
        <v>0</v>
      </c>
      <c r="L38" s="4">
        <f t="shared" si="22"/>
        <v>1</v>
      </c>
      <c r="M38" s="4">
        <f t="shared" si="22"/>
        <v>0</v>
      </c>
      <c r="Q38" s="13" t="s">
        <v>64</v>
      </c>
      <c r="R38" s="4">
        <f t="shared" ref="R38:V38" si="28">IF(R29&lt;=0,0,IF(R29&gt;$E$20,1,IF(R29&lt;=$D$20,0,((R29-$D$20)/($E$20-$D$20)))))</f>
        <v>0</v>
      </c>
      <c r="S38" s="4">
        <f t="shared" si="28"/>
        <v>0</v>
      </c>
      <c r="T38" s="4">
        <f t="shared" si="28"/>
        <v>0</v>
      </c>
      <c r="U38" s="4">
        <f t="shared" si="28"/>
        <v>0</v>
      </c>
      <c r="V38" s="4">
        <f t="shared" si="28"/>
        <v>0</v>
      </c>
      <c r="Z38" s="13" t="s">
        <v>64</v>
      </c>
      <c r="AA38" s="4">
        <f t="shared" ref="AA38:AE38" si="29">IF(AA29&lt;=0,0,IF(AA29&gt;$E$21,1,IF(AA29&lt;=$D$21,0,((AA29-$D$21)/($E$21-$D$21)))))</f>
        <v>0</v>
      </c>
      <c r="AB38" s="4">
        <f t="shared" si="29"/>
        <v>1</v>
      </c>
      <c r="AC38" s="4">
        <f t="shared" si="29"/>
        <v>0</v>
      </c>
      <c r="AD38" s="4">
        <f t="shared" si="29"/>
        <v>1</v>
      </c>
      <c r="AE38" s="4">
        <f t="shared" si="29"/>
        <v>1</v>
      </c>
    </row>
    <row r="39" spans="1:31" ht="15.6" thickTop="1" thickBot="1" x14ac:dyDescent="0.35">
      <c r="A39" s="13" t="s">
        <v>65</v>
      </c>
      <c r="B39" s="4">
        <f t="shared" si="25"/>
        <v>0</v>
      </c>
      <c r="C39" s="4">
        <f t="shared" si="25"/>
        <v>0</v>
      </c>
      <c r="D39" s="4">
        <f t="shared" si="25"/>
        <v>0</v>
      </c>
      <c r="E39" s="4">
        <f t="shared" si="25"/>
        <v>0</v>
      </c>
      <c r="F39" s="19">
        <f t="shared" si="25"/>
        <v>0</v>
      </c>
      <c r="H39" s="13" t="s">
        <v>65</v>
      </c>
      <c r="I39" s="4">
        <f t="shared" si="22"/>
        <v>0</v>
      </c>
      <c r="J39" s="4">
        <f t="shared" si="22"/>
        <v>0</v>
      </c>
      <c r="K39" s="4">
        <f t="shared" si="22"/>
        <v>0</v>
      </c>
      <c r="L39" s="4">
        <f t="shared" si="22"/>
        <v>0</v>
      </c>
      <c r="M39" s="4">
        <f t="shared" si="22"/>
        <v>0</v>
      </c>
      <c r="Q39" s="13" t="s">
        <v>65</v>
      </c>
      <c r="R39" s="4">
        <f t="shared" ref="R39:V39" si="30">IF(R30&lt;=0,0,IF(R30&gt;$E$20,1,IF(R30&lt;=$D$20,0,((R30-$D$20)/($E$20-$D$20)))))</f>
        <v>0</v>
      </c>
      <c r="S39" s="4">
        <f t="shared" si="30"/>
        <v>0</v>
      </c>
      <c r="T39" s="4">
        <f t="shared" si="30"/>
        <v>1</v>
      </c>
      <c r="U39" s="4">
        <f t="shared" si="30"/>
        <v>0</v>
      </c>
      <c r="V39" s="4">
        <f t="shared" si="30"/>
        <v>1</v>
      </c>
      <c r="Z39" s="13" t="s">
        <v>65</v>
      </c>
      <c r="AA39" s="4">
        <f t="shared" ref="AA39:AE39" si="31">IF(AA30&lt;=0,0,IF(AA30&gt;$E$21,1,IF(AA30&lt;=$D$21,0,((AA30-$D$21)/($E$21-$D$21)))))</f>
        <v>0</v>
      </c>
      <c r="AB39" s="4">
        <f t="shared" si="31"/>
        <v>1</v>
      </c>
      <c r="AC39" s="4">
        <f t="shared" si="31"/>
        <v>0</v>
      </c>
      <c r="AD39" s="4">
        <f t="shared" si="31"/>
        <v>0</v>
      </c>
      <c r="AE39" s="4">
        <f t="shared" si="31"/>
        <v>0</v>
      </c>
    </row>
    <row r="40" spans="1:31" ht="15.6" thickTop="1" thickBot="1" x14ac:dyDescent="0.35">
      <c r="A40" s="13" t="s">
        <v>71</v>
      </c>
      <c r="B40" s="4">
        <f t="shared" si="25"/>
        <v>1</v>
      </c>
      <c r="C40" s="4">
        <f t="shared" si="25"/>
        <v>0</v>
      </c>
      <c r="D40" s="4">
        <f t="shared" si="25"/>
        <v>0</v>
      </c>
      <c r="E40" s="4">
        <f t="shared" si="25"/>
        <v>1</v>
      </c>
      <c r="F40" s="19">
        <f t="shared" si="25"/>
        <v>0</v>
      </c>
      <c r="H40" s="13" t="s">
        <v>71</v>
      </c>
      <c r="I40" s="4">
        <f t="shared" si="22"/>
        <v>1</v>
      </c>
      <c r="J40" s="4">
        <f t="shared" si="22"/>
        <v>1</v>
      </c>
      <c r="K40" s="4">
        <f t="shared" si="22"/>
        <v>1</v>
      </c>
      <c r="L40" s="4">
        <f t="shared" si="22"/>
        <v>1</v>
      </c>
      <c r="M40" s="4">
        <f t="shared" si="22"/>
        <v>0</v>
      </c>
      <c r="Q40" s="13" t="s">
        <v>71</v>
      </c>
      <c r="R40" s="4">
        <f t="shared" ref="R40:V40" si="32">IF(R31&lt;=0,0,IF(R31&gt;$E$20,1,IF(R31&lt;=$D$20,0,((R31-$D$20)/($E$20-$D$20)))))</f>
        <v>0</v>
      </c>
      <c r="S40" s="4">
        <f t="shared" si="32"/>
        <v>0</v>
      </c>
      <c r="T40" s="4">
        <f t="shared" si="32"/>
        <v>1</v>
      </c>
      <c r="U40" s="4">
        <f t="shared" si="32"/>
        <v>0</v>
      </c>
      <c r="V40" s="4">
        <f t="shared" si="32"/>
        <v>0</v>
      </c>
      <c r="Z40" s="13" t="s">
        <v>71</v>
      </c>
      <c r="AA40" s="4">
        <f t="shared" ref="AA40:AE40" si="33">IF(AA31&lt;=0,0,IF(AA31&gt;$E$21,1,IF(AA31&lt;=$D$21,0,((AA31-$D$21)/($E$21-$D$21)))))</f>
        <v>0</v>
      </c>
      <c r="AB40" s="4">
        <f t="shared" si="33"/>
        <v>1</v>
      </c>
      <c r="AC40" s="4">
        <f t="shared" si="33"/>
        <v>0</v>
      </c>
      <c r="AD40" s="4">
        <f t="shared" si="33"/>
        <v>0</v>
      </c>
      <c r="AE40" s="4">
        <f t="shared" si="33"/>
        <v>0</v>
      </c>
    </row>
    <row r="41" spans="1:31" ht="15" thickTop="1" x14ac:dyDescent="0.3"/>
    <row r="44" spans="1:31" x14ac:dyDescent="0.3">
      <c r="A44" t="s">
        <v>47</v>
      </c>
    </row>
    <row r="46" spans="1:31" x14ac:dyDescent="0.3">
      <c r="A46" t="s">
        <v>48</v>
      </c>
    </row>
    <row r="47" spans="1:31" ht="15" thickBot="1" x14ac:dyDescent="0.35">
      <c r="A47" t="s">
        <v>78</v>
      </c>
      <c r="B47" t="s">
        <v>29</v>
      </c>
      <c r="C47" t="s">
        <v>79</v>
      </c>
      <c r="D47" t="s">
        <v>80</v>
      </c>
      <c r="E47" t="s">
        <v>81</v>
      </c>
      <c r="H47" t="s">
        <v>44</v>
      </c>
    </row>
    <row r="48" spans="1:31" ht="15.6" thickTop="1" thickBot="1" x14ac:dyDescent="0.35">
      <c r="A48" s="10" t="s">
        <v>63</v>
      </c>
      <c r="B48">
        <f>(SUM(B36:F36)-SUM(B36:B40))/(5-1)</f>
        <v>-0.75</v>
      </c>
      <c r="C48">
        <f>(SUM(I36:M36)-SUM(I36:I40))/(5-1)</f>
        <v>-0.75</v>
      </c>
      <c r="D48">
        <f>(SUM(R36:V36)-SUM(R36:R40))/(5-1)</f>
        <v>1</v>
      </c>
      <c r="E48">
        <f>(SUM(AA36:AE36)-SUM(AA36:AA40))/(5-1)</f>
        <v>0.87500000000000289</v>
      </c>
      <c r="H48" s="28" t="s">
        <v>25</v>
      </c>
      <c r="I48" s="13" t="s">
        <v>63</v>
      </c>
      <c r="J48" s="13" t="s">
        <v>72</v>
      </c>
      <c r="K48" s="13" t="s">
        <v>64</v>
      </c>
      <c r="L48" s="13" t="s">
        <v>65</v>
      </c>
      <c r="M48" s="13" t="s">
        <v>71</v>
      </c>
    </row>
    <row r="49" spans="1:13" ht="15.6" thickTop="1" thickBot="1" x14ac:dyDescent="0.35">
      <c r="A49" s="10" t="s">
        <v>72</v>
      </c>
      <c r="B49">
        <f>((SUM(B37:F37)/(5-1))-(SUM(C36:C40)/(5-1)))</f>
        <v>0.435</v>
      </c>
      <c r="C49">
        <f>((SUM(I37:M37)/(5-1))-(SUM(J36:J40)/(5-1)))</f>
        <v>0.25</v>
      </c>
      <c r="D49">
        <f>((SUM(R37:V37)/(5-1))-(SUM(S36:S40)/(5-1)))</f>
        <v>0.25</v>
      </c>
      <c r="E49">
        <f>((SUM(AA37:AE37)/(5-1))-(SUM(AB36:AB40)/(5-1)))</f>
        <v>-1</v>
      </c>
      <c r="H49" s="13" t="s">
        <v>63</v>
      </c>
      <c r="I49" s="4">
        <f t="shared" ref="I49:M53" si="34">B36*$C$18+I36*$C$19+R36*$C$20+AA36*$C$21</f>
        <v>0</v>
      </c>
      <c r="J49" s="4">
        <f t="shared" si="34"/>
        <v>0.5</v>
      </c>
      <c r="K49" s="4">
        <f t="shared" si="34"/>
        <v>0.37500000000000289</v>
      </c>
      <c r="L49" s="4">
        <f t="shared" si="34"/>
        <v>0.5</v>
      </c>
      <c r="M49" s="4">
        <f t="shared" si="34"/>
        <v>0.5</v>
      </c>
    </row>
    <row r="50" spans="1:13" ht="15.6" thickTop="1" thickBot="1" x14ac:dyDescent="0.35">
      <c r="A50" s="10" t="s">
        <v>64</v>
      </c>
      <c r="B50">
        <f>(SUM(B38:F38)-SUM(D36:D40))/(5-1)</f>
        <v>0.56499999999999995</v>
      </c>
      <c r="C50">
        <f>(SUM(I38:M38)-SUM(K36:K40))/(5-1)</f>
        <v>0.25</v>
      </c>
      <c r="D50">
        <f>(SUM(R38:V38)-SUM(T36:T40))/(5-1)</f>
        <v>-1</v>
      </c>
      <c r="E50">
        <f>(SUM(AA38:AE38)-SUM(AE36:AE40))/(5-1)</f>
        <v>0.25</v>
      </c>
      <c r="H50" s="13" t="s">
        <v>72</v>
      </c>
      <c r="I50" s="4">
        <f t="shared" si="34"/>
        <v>0.5</v>
      </c>
      <c r="J50" s="4">
        <f t="shared" si="34"/>
        <v>0</v>
      </c>
      <c r="K50" s="4">
        <f t="shared" si="34"/>
        <v>0.25</v>
      </c>
      <c r="L50" s="4">
        <f t="shared" si="34"/>
        <v>0.5</v>
      </c>
      <c r="M50" s="4">
        <f t="shared" si="34"/>
        <v>0.25</v>
      </c>
    </row>
    <row r="51" spans="1:13" ht="15.6" thickTop="1" thickBot="1" x14ac:dyDescent="0.35">
      <c r="A51" s="10" t="s">
        <v>65</v>
      </c>
      <c r="B51">
        <f>(SUM(B39:F39)-SUM(E36:E40))/(5-1)</f>
        <v>-0.75</v>
      </c>
      <c r="C51">
        <f>(SUM(I39:M39)-SUM(L36:L40))/(5-1)</f>
        <v>-0.75</v>
      </c>
      <c r="D51">
        <f>(SUM(R39:V39)-SUM(U36:U40))/(5-1)</f>
        <v>0.25</v>
      </c>
      <c r="E51">
        <f>(SUM(AA39:AE39)-SUM(AD36:AD40))/(5-1)</f>
        <v>-0.25</v>
      </c>
      <c r="H51" s="13" t="s">
        <v>64</v>
      </c>
      <c r="I51" s="4">
        <f t="shared" si="34"/>
        <v>0.5</v>
      </c>
      <c r="J51" s="4">
        <f t="shared" si="34"/>
        <v>0.34099999999999997</v>
      </c>
      <c r="K51" s="4">
        <f t="shared" si="34"/>
        <v>0</v>
      </c>
      <c r="L51" s="4">
        <f t="shared" si="34"/>
        <v>0.75</v>
      </c>
      <c r="M51" s="4">
        <f t="shared" si="34"/>
        <v>0.25</v>
      </c>
    </row>
    <row r="52" spans="1:13" ht="15.6" thickTop="1" thickBot="1" x14ac:dyDescent="0.35">
      <c r="A52" s="10" t="s">
        <v>71</v>
      </c>
      <c r="B52">
        <f>(SUM(B40:F40)-SUM(F36:F40))/(5-1)</f>
        <v>0.5</v>
      </c>
      <c r="C52">
        <f>(SUM(I40:M40)-SUM(M36:M40))/(5-1)</f>
        <v>1</v>
      </c>
      <c r="D52">
        <f>(SUM(R40:V40)-SUM(V36:V40))/(5-1)</f>
        <v>-0.5</v>
      </c>
      <c r="E52">
        <f>(SUM(AA40:AE40)-SUM(AE36:AE40))/(5-1)</f>
        <v>-0.25</v>
      </c>
      <c r="H52" s="13" t="s">
        <v>65</v>
      </c>
      <c r="I52" s="4">
        <f t="shared" si="34"/>
        <v>0</v>
      </c>
      <c r="J52" s="4">
        <f t="shared" si="34"/>
        <v>0.25</v>
      </c>
      <c r="K52" s="4">
        <f t="shared" si="34"/>
        <v>0.25</v>
      </c>
      <c r="L52" s="4">
        <f t="shared" si="34"/>
        <v>0</v>
      </c>
      <c r="M52" s="4">
        <f t="shared" si="34"/>
        <v>0.25</v>
      </c>
    </row>
    <row r="53" spans="1:13" ht="15.6" thickTop="1" thickBot="1" x14ac:dyDescent="0.35">
      <c r="H53" s="13" t="s">
        <v>71</v>
      </c>
      <c r="I53" s="4">
        <f t="shared" si="34"/>
        <v>0.5</v>
      </c>
      <c r="J53" s="4">
        <f t="shared" si="34"/>
        <v>0.4</v>
      </c>
      <c r="K53" s="4">
        <f t="shared" si="34"/>
        <v>0.4</v>
      </c>
      <c r="L53" s="4">
        <f t="shared" si="34"/>
        <v>0.5</v>
      </c>
      <c r="M53" s="4">
        <f t="shared" si="34"/>
        <v>0</v>
      </c>
    </row>
    <row r="54" spans="1:13" ht="15" thickTop="1" x14ac:dyDescent="0.3"/>
    <row r="56" spans="1:13" x14ac:dyDescent="0.3">
      <c r="A56" t="s">
        <v>49</v>
      </c>
      <c r="H56" t="s">
        <v>50</v>
      </c>
    </row>
    <row r="57" spans="1:13" x14ac:dyDescent="0.3">
      <c r="A57" t="s">
        <v>78</v>
      </c>
      <c r="B57" t="s">
        <v>29</v>
      </c>
      <c r="C57" t="s">
        <v>79</v>
      </c>
      <c r="D57" t="s">
        <v>80</v>
      </c>
      <c r="E57" t="s">
        <v>81</v>
      </c>
      <c r="H57" s="3" t="s">
        <v>78</v>
      </c>
      <c r="I57" s="3" t="s">
        <v>45</v>
      </c>
      <c r="J57" s="3" t="s">
        <v>46</v>
      </c>
      <c r="K57" s="3" t="s">
        <v>43</v>
      </c>
    </row>
    <row r="58" spans="1:13" x14ac:dyDescent="0.3">
      <c r="A58" s="10" t="s">
        <v>63</v>
      </c>
      <c r="B58">
        <f>B48*$C$18</f>
        <v>-0.26249999999999996</v>
      </c>
      <c r="C58">
        <f t="shared" ref="C58:D58" si="35">C48*$C$18</f>
        <v>-0.26249999999999996</v>
      </c>
      <c r="D58">
        <f t="shared" si="35"/>
        <v>0.35</v>
      </c>
      <c r="E58">
        <f>E48*$C$18</f>
        <v>0.30625000000000097</v>
      </c>
      <c r="H58" s="11" t="s">
        <v>63</v>
      </c>
      <c r="I58" s="23">
        <f>SUM(I49:M49)/4</f>
        <v>0.46875000000000072</v>
      </c>
      <c r="J58" s="23">
        <f>SUM(Table61016[iPhone 16 Pro Max])/4</f>
        <v>0.375</v>
      </c>
      <c r="K58" s="23">
        <f>I58-J58</f>
        <v>9.3750000000000722E-2</v>
      </c>
    </row>
    <row r="59" spans="1:13" x14ac:dyDescent="0.3">
      <c r="A59" s="10" t="s">
        <v>72</v>
      </c>
      <c r="B59">
        <f t="shared" ref="B59:E59" si="36">B49*$C$18</f>
        <v>0.15225</v>
      </c>
      <c r="C59">
        <f t="shared" si="36"/>
        <v>8.7499999999999994E-2</v>
      </c>
      <c r="D59">
        <f t="shared" si="36"/>
        <v>8.7499999999999994E-2</v>
      </c>
      <c r="E59">
        <f t="shared" si="36"/>
        <v>-0.35</v>
      </c>
      <c r="H59" s="10" t="s">
        <v>72</v>
      </c>
      <c r="I59" s="23">
        <f t="shared" ref="I59:I62" si="37">SUM(I50:M50)/4</f>
        <v>0.375</v>
      </c>
      <c r="J59" s="23">
        <f>SUM(Table61016[Galaxy A16 5G])/4</f>
        <v>0.37275000000000003</v>
      </c>
      <c r="K59" s="23">
        <f t="shared" ref="K59:K62" si="38">I59-J59</f>
        <v>2.2499999999999742E-3</v>
      </c>
    </row>
    <row r="60" spans="1:13" x14ac:dyDescent="0.3">
      <c r="A60" s="10" t="s">
        <v>64</v>
      </c>
      <c r="B60">
        <f t="shared" ref="B60:E60" si="39">B50*$C$18</f>
        <v>0.19774999999999998</v>
      </c>
      <c r="C60">
        <f t="shared" si="39"/>
        <v>8.7499999999999994E-2</v>
      </c>
      <c r="D60">
        <f t="shared" si="39"/>
        <v>-0.35</v>
      </c>
      <c r="E60">
        <f t="shared" si="39"/>
        <v>8.7499999999999994E-2</v>
      </c>
      <c r="H60" s="11" t="s">
        <v>64</v>
      </c>
      <c r="I60" s="23">
        <f t="shared" si="37"/>
        <v>0.46024999999999999</v>
      </c>
      <c r="J60" s="23">
        <f>SUM(Table61016[Xiami Redmi A3 Pro])/4</f>
        <v>0.31875000000000075</v>
      </c>
      <c r="K60" s="23">
        <f t="shared" si="38"/>
        <v>0.14149999999999924</v>
      </c>
    </row>
    <row r="61" spans="1:13" x14ac:dyDescent="0.3">
      <c r="A61" s="10" t="s">
        <v>65</v>
      </c>
      <c r="B61">
        <f t="shared" ref="B61:E61" si="40">B51*$C$18</f>
        <v>-0.26249999999999996</v>
      </c>
      <c r="C61">
        <f t="shared" si="40"/>
        <v>-0.26249999999999996</v>
      </c>
      <c r="D61">
        <f t="shared" si="40"/>
        <v>8.7499999999999994E-2</v>
      </c>
      <c r="E61">
        <f t="shared" si="40"/>
        <v>-8.7499999999999994E-2</v>
      </c>
      <c r="H61" s="10" t="s">
        <v>65</v>
      </c>
      <c r="I61" s="23">
        <f t="shared" si="37"/>
        <v>0.1875</v>
      </c>
      <c r="J61" s="23">
        <f>SUM(Table61016[Huawey Pura 70 Ultra])/4</f>
        <v>0.5625</v>
      </c>
      <c r="K61" s="23">
        <f t="shared" si="38"/>
        <v>-0.375</v>
      </c>
    </row>
    <row r="62" spans="1:13" x14ac:dyDescent="0.3">
      <c r="A62" s="10" t="s">
        <v>71</v>
      </c>
      <c r="B62">
        <f t="shared" ref="B62:D62" si="41">B52*$C$18</f>
        <v>0.17499999999999999</v>
      </c>
      <c r="C62">
        <f t="shared" si="41"/>
        <v>0.35</v>
      </c>
      <c r="D62">
        <f t="shared" si="41"/>
        <v>-0.17499999999999999</v>
      </c>
      <c r="E62">
        <f>E52*$C$18</f>
        <v>-8.7499999999999994E-2</v>
      </c>
      <c r="H62" s="27" t="s">
        <v>71</v>
      </c>
      <c r="I62" s="23">
        <f t="shared" si="37"/>
        <v>0.45</v>
      </c>
      <c r="J62" s="23">
        <f>SUM(Table61016[Honor 200 Smart])/4</f>
        <v>0.3125</v>
      </c>
      <c r="K62" s="23">
        <f t="shared" si="38"/>
        <v>0.13750000000000001</v>
      </c>
    </row>
    <row r="66" spans="1:2" x14ac:dyDescent="0.3">
      <c r="A66" t="s">
        <v>50</v>
      </c>
    </row>
    <row r="67" spans="1:2" x14ac:dyDescent="0.3">
      <c r="A67" s="3" t="s">
        <v>78</v>
      </c>
      <c r="B67" s="3" t="s">
        <v>43</v>
      </c>
    </row>
    <row r="68" spans="1:2" x14ac:dyDescent="0.3">
      <c r="A68" s="11" t="s">
        <v>63</v>
      </c>
      <c r="B68" s="23">
        <f>SUM(B58:E58)</f>
        <v>0.13125000000000103</v>
      </c>
    </row>
    <row r="69" spans="1:2" x14ac:dyDescent="0.3">
      <c r="A69" s="10" t="s">
        <v>72</v>
      </c>
      <c r="B69" s="23">
        <f>SUM(B59:E59)</f>
        <v>-2.2749999999999992E-2</v>
      </c>
    </row>
    <row r="70" spans="1:2" x14ac:dyDescent="0.3">
      <c r="A70" s="11" t="s">
        <v>64</v>
      </c>
      <c r="B70" s="23">
        <f t="shared" ref="B70:B72" si="42">SUM(B60:E60)</f>
        <v>2.275000000000002E-2</v>
      </c>
    </row>
    <row r="71" spans="1:2" x14ac:dyDescent="0.3">
      <c r="A71" s="10" t="s">
        <v>65</v>
      </c>
      <c r="B71" s="23">
        <f t="shared" si="42"/>
        <v>-0.52499999999999991</v>
      </c>
    </row>
    <row r="72" spans="1:2" x14ac:dyDescent="0.3">
      <c r="A72" s="27" t="s">
        <v>71</v>
      </c>
      <c r="B72" s="23">
        <f t="shared" si="42"/>
        <v>0.26249999999999996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  <tableParts count="14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B8" sqref="B8"/>
    </sheetView>
  </sheetViews>
  <sheetFormatPr defaultColWidth="8.77734375" defaultRowHeight="14.4" x14ac:dyDescent="0.3"/>
  <cols>
    <col min="1" max="1" width="23.33203125" bestFit="1" customWidth="1"/>
    <col min="2" max="2" width="20.44140625" customWidth="1"/>
    <col min="3" max="3" width="21.6640625" bestFit="1" customWidth="1"/>
    <col min="4" max="4" width="17" bestFit="1" customWidth="1"/>
    <col min="5" max="5" width="17.77734375" bestFit="1" customWidth="1"/>
  </cols>
  <sheetData>
    <row r="1" spans="1:5" ht="15.6" thickTop="1" thickBot="1" x14ac:dyDescent="0.35">
      <c r="A1" s="7" t="s">
        <v>16</v>
      </c>
      <c r="B1" s="8" t="s">
        <v>52</v>
      </c>
      <c r="C1" s="9" t="s">
        <v>60</v>
      </c>
      <c r="D1" s="9" t="s">
        <v>54</v>
      </c>
      <c r="E1" s="12" t="s">
        <v>53</v>
      </c>
    </row>
    <row r="2" spans="1:5" ht="15" thickTop="1" x14ac:dyDescent="0.3">
      <c r="A2" s="6" t="s">
        <v>13</v>
      </c>
      <c r="B2" s="1" t="s">
        <v>14</v>
      </c>
      <c r="C2" s="1" t="s">
        <v>14</v>
      </c>
      <c r="D2" s="1" t="s">
        <v>15</v>
      </c>
      <c r="E2" s="2" t="s">
        <v>15</v>
      </c>
    </row>
    <row r="3" spans="1:5" x14ac:dyDescent="0.3">
      <c r="A3" s="10" t="s">
        <v>55</v>
      </c>
      <c r="B3" s="24">
        <v>539</v>
      </c>
      <c r="C3" s="4">
        <v>192</v>
      </c>
      <c r="D3" s="24" t="s">
        <v>56</v>
      </c>
      <c r="E3" s="30">
        <v>6.5</v>
      </c>
    </row>
    <row r="4" spans="1:5" x14ac:dyDescent="0.3">
      <c r="A4" s="10" t="s">
        <v>61</v>
      </c>
      <c r="B4" s="4">
        <v>279.99</v>
      </c>
      <c r="C4" s="24">
        <v>148</v>
      </c>
      <c r="D4" s="4" t="s">
        <v>11</v>
      </c>
      <c r="E4" s="30">
        <v>5.5</v>
      </c>
    </row>
    <row r="5" spans="1:5" x14ac:dyDescent="0.3">
      <c r="A5" s="10" t="s">
        <v>57</v>
      </c>
      <c r="B5" s="24">
        <v>835.12</v>
      </c>
      <c r="C5" s="4">
        <v>188</v>
      </c>
      <c r="D5" s="24" t="s">
        <v>9</v>
      </c>
      <c r="E5" s="19">
        <v>5.8</v>
      </c>
    </row>
    <row r="6" spans="1:5" x14ac:dyDescent="0.3">
      <c r="A6" s="10" t="s">
        <v>58</v>
      </c>
      <c r="B6" s="4">
        <v>952.98</v>
      </c>
      <c r="C6" s="24">
        <v>175</v>
      </c>
      <c r="D6" s="4" t="s">
        <v>9</v>
      </c>
      <c r="E6" s="19">
        <v>6.9</v>
      </c>
    </row>
    <row r="7" spans="1:5" x14ac:dyDescent="0.3">
      <c r="A7" s="10" t="s">
        <v>62</v>
      </c>
      <c r="B7" s="4">
        <v>255</v>
      </c>
      <c r="C7" s="24">
        <v>173</v>
      </c>
      <c r="D7" s="4" t="s">
        <v>59</v>
      </c>
      <c r="E7" s="19">
        <v>6.39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2"/>
  <sheetViews>
    <sheetView workbookViewId="0">
      <selection activeCell="H16" sqref="H16"/>
    </sheetView>
  </sheetViews>
  <sheetFormatPr defaultColWidth="8.77734375" defaultRowHeight="14.4" x14ac:dyDescent="0.3"/>
  <cols>
    <col min="1" max="1" width="15.109375" customWidth="1"/>
    <col min="2" max="2" width="20" customWidth="1"/>
    <col min="3" max="3" width="26" customWidth="1"/>
    <col min="4" max="4" width="14.44140625" customWidth="1"/>
    <col min="5" max="5" width="16.44140625" customWidth="1"/>
    <col min="6" max="6" width="11.44140625" customWidth="1"/>
    <col min="7" max="7" width="18.77734375" customWidth="1"/>
    <col min="8" max="8" width="15.44140625" customWidth="1"/>
    <col min="9" max="9" width="11.77734375" customWidth="1"/>
    <col min="10" max="10" width="12.6640625" customWidth="1"/>
  </cols>
  <sheetData>
    <row r="1" spans="1:7" ht="21" x14ac:dyDescent="0.4">
      <c r="A1" s="29" t="s">
        <v>51</v>
      </c>
    </row>
    <row r="3" spans="1:7" x14ac:dyDescent="0.3">
      <c r="A3" t="s">
        <v>0</v>
      </c>
    </row>
    <row r="4" spans="1:7" x14ac:dyDescent="0.3">
      <c r="A4" t="s">
        <v>1</v>
      </c>
    </row>
    <row r="6" spans="1:7" ht="15" thickBot="1" x14ac:dyDescent="0.35">
      <c r="A6" t="s">
        <v>2</v>
      </c>
    </row>
    <row r="7" spans="1:7" ht="15.6" thickTop="1" thickBot="1" x14ac:dyDescent="0.35">
      <c r="A7" s="7" t="s">
        <v>16</v>
      </c>
      <c r="B7" s="8" t="s">
        <v>3</v>
      </c>
      <c r="C7" s="9" t="s">
        <v>60</v>
      </c>
      <c r="D7" s="9" t="s">
        <v>66</v>
      </c>
      <c r="E7" s="12" t="s">
        <v>53</v>
      </c>
      <c r="G7" s="13" t="s">
        <v>67</v>
      </c>
    </row>
    <row r="8" spans="1:7" ht="15" thickTop="1" x14ac:dyDescent="0.3">
      <c r="A8" s="6" t="s">
        <v>13</v>
      </c>
      <c r="B8" s="1" t="s">
        <v>14</v>
      </c>
      <c r="C8" s="1" t="s">
        <v>14</v>
      </c>
      <c r="D8" s="1" t="s">
        <v>15</v>
      </c>
      <c r="E8" s="2" t="s">
        <v>15</v>
      </c>
      <c r="G8" s="24" t="s">
        <v>15</v>
      </c>
    </row>
    <row r="9" spans="1:7" x14ac:dyDescent="0.3">
      <c r="A9" s="10" t="s">
        <v>63</v>
      </c>
      <c r="B9" s="15">
        <v>1489</v>
      </c>
      <c r="C9" s="15">
        <v>227</v>
      </c>
      <c r="D9" s="14" t="s">
        <v>9</v>
      </c>
      <c r="E9" s="18" t="s">
        <v>73</v>
      </c>
      <c r="G9" s="4">
        <v>10</v>
      </c>
    </row>
    <row r="10" spans="1:7" x14ac:dyDescent="0.3">
      <c r="A10" s="10" t="s">
        <v>72</v>
      </c>
      <c r="B10" s="4">
        <v>239</v>
      </c>
      <c r="C10" s="17">
        <v>200</v>
      </c>
      <c r="D10" s="17" t="s">
        <v>56</v>
      </c>
      <c r="E10" s="16" t="s">
        <v>74</v>
      </c>
      <c r="G10" s="4">
        <v>7</v>
      </c>
    </row>
    <row r="11" spans="1:7" x14ac:dyDescent="0.3">
      <c r="A11" s="10" t="s">
        <v>64</v>
      </c>
      <c r="B11" s="14">
        <v>100</v>
      </c>
      <c r="C11" s="4">
        <v>200</v>
      </c>
      <c r="D11" s="15" t="s">
        <v>7</v>
      </c>
      <c r="E11" s="19" t="s">
        <v>75</v>
      </c>
      <c r="G11" s="4">
        <v>3</v>
      </c>
    </row>
    <row r="12" spans="1:7" x14ac:dyDescent="0.3">
      <c r="A12" s="10" t="s">
        <v>65</v>
      </c>
      <c r="B12" s="4">
        <v>1399</v>
      </c>
      <c r="C12" s="17">
        <v>226</v>
      </c>
      <c r="D12" s="4" t="s">
        <v>56</v>
      </c>
      <c r="E12" s="19" t="s">
        <v>76</v>
      </c>
      <c r="G12" s="4">
        <v>8</v>
      </c>
    </row>
    <row r="13" spans="1:7" x14ac:dyDescent="0.3">
      <c r="A13" s="10" t="s">
        <v>71</v>
      </c>
      <c r="B13" s="4">
        <v>147</v>
      </c>
      <c r="C13" s="14">
        <v>191</v>
      </c>
      <c r="D13" s="4" t="s">
        <v>11</v>
      </c>
      <c r="E13" s="19" t="s">
        <v>76</v>
      </c>
      <c r="G13" s="4">
        <v>5</v>
      </c>
    </row>
    <row r="16" spans="1:7" ht="15" thickBot="1" x14ac:dyDescent="0.35">
      <c r="A16" t="s">
        <v>19</v>
      </c>
    </row>
    <row r="17" spans="1:31" ht="15.6" thickTop="1" thickBot="1" x14ac:dyDescent="0.35">
      <c r="A17" s="22" t="s">
        <v>17</v>
      </c>
      <c r="B17" s="21" t="s">
        <v>20</v>
      </c>
      <c r="C17" s="9" t="s">
        <v>22</v>
      </c>
      <c r="D17" s="9" t="s">
        <v>23</v>
      </c>
      <c r="E17" s="9" t="s">
        <v>24</v>
      </c>
    </row>
    <row r="18" spans="1:31" ht="15" thickTop="1" x14ac:dyDescent="0.3">
      <c r="A18" s="10" t="s">
        <v>18</v>
      </c>
      <c r="B18" s="4" t="s">
        <v>21</v>
      </c>
      <c r="C18" s="4">
        <v>0.25</v>
      </c>
      <c r="D18" s="4">
        <v>100</v>
      </c>
      <c r="E18" s="19">
        <v>250</v>
      </c>
    </row>
    <row r="19" spans="1:31" x14ac:dyDescent="0.3">
      <c r="A19" s="10" t="s">
        <v>68</v>
      </c>
      <c r="B19" s="4" t="s">
        <v>21</v>
      </c>
      <c r="C19" s="4">
        <v>0.25</v>
      </c>
      <c r="D19" s="4">
        <v>4</v>
      </c>
      <c r="E19" s="19">
        <v>9</v>
      </c>
    </row>
    <row r="20" spans="1:31" x14ac:dyDescent="0.3">
      <c r="A20" s="10" t="s">
        <v>69</v>
      </c>
      <c r="B20" s="4" t="s">
        <v>21</v>
      </c>
      <c r="C20" s="4">
        <v>0.25</v>
      </c>
      <c r="D20" s="4">
        <v>1</v>
      </c>
      <c r="E20" s="19">
        <v>2</v>
      </c>
    </row>
    <row r="21" spans="1:31" x14ac:dyDescent="0.3">
      <c r="A21" s="11" t="s">
        <v>70</v>
      </c>
      <c r="B21" s="5" t="s">
        <v>21</v>
      </c>
      <c r="C21" s="5">
        <v>0.25</v>
      </c>
      <c r="D21" s="5">
        <v>0</v>
      </c>
      <c r="E21" s="20" t="s">
        <v>77</v>
      </c>
    </row>
    <row r="23" spans="1:31" x14ac:dyDescent="0.3">
      <c r="A23" s="25" t="s">
        <v>33</v>
      </c>
    </row>
    <row r="24" spans="1:31" x14ac:dyDescent="0.3">
      <c r="H24" t="s">
        <v>34</v>
      </c>
      <c r="Q24" t="s">
        <v>4</v>
      </c>
      <c r="Z24" t="s">
        <v>35</v>
      </c>
    </row>
    <row r="25" spans="1:31" ht="15" thickBot="1" x14ac:dyDescent="0.35">
      <c r="A25" t="s">
        <v>27</v>
      </c>
      <c r="H25" t="s">
        <v>31</v>
      </c>
      <c r="Q25" t="s">
        <v>39</v>
      </c>
      <c r="Z25" t="s">
        <v>38</v>
      </c>
    </row>
    <row r="26" spans="1:31" ht="15.6" thickTop="1" thickBot="1" x14ac:dyDescent="0.35">
      <c r="A26" t="s">
        <v>26</v>
      </c>
      <c r="B26" s="13" t="s">
        <v>5</v>
      </c>
      <c r="C26" s="13" t="s">
        <v>6</v>
      </c>
      <c r="D26" s="13" t="s">
        <v>8</v>
      </c>
      <c r="E26" s="13" t="s">
        <v>10</v>
      </c>
      <c r="F26" s="13" t="s">
        <v>12</v>
      </c>
      <c r="H26" t="s">
        <v>26</v>
      </c>
      <c r="I26" s="13" t="s">
        <v>5</v>
      </c>
      <c r="J26" s="13" t="s">
        <v>6</v>
      </c>
      <c r="K26" s="13" t="s">
        <v>8</v>
      </c>
      <c r="L26" s="13" t="s">
        <v>10</v>
      </c>
      <c r="M26" s="13" t="s">
        <v>12</v>
      </c>
      <c r="Q26" t="s">
        <v>26</v>
      </c>
      <c r="R26" s="13" t="s">
        <v>5</v>
      </c>
      <c r="S26" s="13" t="s">
        <v>6</v>
      </c>
      <c r="T26" s="13" t="s">
        <v>8</v>
      </c>
      <c r="U26" s="13" t="s">
        <v>10</v>
      </c>
      <c r="V26" s="13" t="s">
        <v>12</v>
      </c>
      <c r="Z26" t="s">
        <v>26</v>
      </c>
      <c r="AA26" s="13" t="s">
        <v>5</v>
      </c>
      <c r="AB26" s="13" t="s">
        <v>6</v>
      </c>
      <c r="AC26" s="13" t="s">
        <v>8</v>
      </c>
      <c r="AD26" s="13" t="s">
        <v>10</v>
      </c>
      <c r="AE26" s="13" t="s">
        <v>12</v>
      </c>
    </row>
    <row r="27" spans="1:31" ht="15.6" thickTop="1" thickBot="1" x14ac:dyDescent="0.35">
      <c r="A27" s="13" t="s">
        <v>5</v>
      </c>
      <c r="B27">
        <f>B9-$B$9</f>
        <v>0</v>
      </c>
      <c r="C27">
        <f>B9-$B$10</f>
        <v>1250</v>
      </c>
      <c r="D27">
        <f>B9-$B$11</f>
        <v>1389</v>
      </c>
      <c r="E27">
        <f>B9-$B$12</f>
        <v>90</v>
      </c>
      <c r="F27">
        <f>B9-$B$13</f>
        <v>1342</v>
      </c>
      <c r="H27" s="13" t="s">
        <v>5</v>
      </c>
      <c r="I27">
        <f t="shared" ref="I27" si="0">C9-$C$9</f>
        <v>0</v>
      </c>
      <c r="J27">
        <f t="shared" ref="J27:J31" si="1">C9-$C$10</f>
        <v>27</v>
      </c>
      <c r="K27">
        <f t="shared" ref="K27:K31" si="2">C9-$C$11</f>
        <v>27</v>
      </c>
      <c r="L27">
        <f t="shared" ref="L27:L31" si="3">C9-$C$12</f>
        <v>1</v>
      </c>
      <c r="M27">
        <f t="shared" ref="M27:M31" si="4">C9-$C$13</f>
        <v>36</v>
      </c>
      <c r="Q27" s="13" t="s">
        <v>5</v>
      </c>
      <c r="R27">
        <f t="shared" ref="R27:R31" si="5">G9-$G$9</f>
        <v>0</v>
      </c>
      <c r="S27">
        <f t="shared" ref="S27:S31" si="6">G9-$G$10</f>
        <v>3</v>
      </c>
      <c r="T27">
        <f t="shared" ref="T27:T31" si="7">G9-$G$11</f>
        <v>7</v>
      </c>
      <c r="U27">
        <f t="shared" ref="U27:U31" si="8">G9-$G$12</f>
        <v>2</v>
      </c>
      <c r="V27">
        <f t="shared" ref="V27:V31" si="9">G9-$G$13</f>
        <v>5</v>
      </c>
      <c r="Z27" s="13" t="s">
        <v>5</v>
      </c>
      <c r="AA27" t="e">
        <f t="shared" ref="AA27:AA31" si="10">E9-$E$9</f>
        <v>#VALUE!</v>
      </c>
      <c r="AB27" t="e">
        <f t="shared" ref="AB27:AB31" si="11">E9-$E$10</f>
        <v>#VALUE!</v>
      </c>
      <c r="AC27" t="e">
        <f t="shared" ref="AC27:AC31" si="12">E9-$E$11</f>
        <v>#VALUE!</v>
      </c>
      <c r="AD27" t="e">
        <f t="shared" ref="AD27:AD31" si="13">E9-$E$12</f>
        <v>#VALUE!</v>
      </c>
      <c r="AE27" t="e">
        <f t="shared" ref="AE27:AE31" si="14">E9-$E$13</f>
        <v>#VALUE!</v>
      </c>
    </row>
    <row r="28" spans="1:31" ht="15.6" thickTop="1" thickBot="1" x14ac:dyDescent="0.35">
      <c r="A28" s="13" t="s">
        <v>6</v>
      </c>
      <c r="B28">
        <f t="shared" ref="B28:B31" si="15">B10-$B$9</f>
        <v>-1250</v>
      </c>
      <c r="C28">
        <f t="shared" ref="C28:C31" si="16">B10-$B$10</f>
        <v>0</v>
      </c>
      <c r="D28">
        <f t="shared" ref="D28:D30" si="17">B10-$B$11</f>
        <v>139</v>
      </c>
      <c r="E28">
        <f t="shared" ref="E28:E31" si="18">B10-$B$12</f>
        <v>-1160</v>
      </c>
      <c r="F28">
        <f t="shared" ref="F28:F31" si="19">B10-$B$13</f>
        <v>92</v>
      </c>
      <c r="H28" s="13" t="s">
        <v>6</v>
      </c>
      <c r="I28">
        <f>C10-$C$9</f>
        <v>-27</v>
      </c>
      <c r="J28">
        <f t="shared" si="1"/>
        <v>0</v>
      </c>
      <c r="K28">
        <f t="shared" si="2"/>
        <v>0</v>
      </c>
      <c r="L28">
        <f t="shared" si="3"/>
        <v>-26</v>
      </c>
      <c r="M28">
        <f t="shared" si="4"/>
        <v>9</v>
      </c>
      <c r="Q28" s="13" t="s">
        <v>6</v>
      </c>
      <c r="R28">
        <f t="shared" si="5"/>
        <v>-3</v>
      </c>
      <c r="S28">
        <f t="shared" si="6"/>
        <v>0</v>
      </c>
      <c r="T28">
        <f t="shared" si="7"/>
        <v>4</v>
      </c>
      <c r="U28">
        <f t="shared" si="8"/>
        <v>-1</v>
      </c>
      <c r="V28">
        <f t="shared" si="9"/>
        <v>2</v>
      </c>
      <c r="Z28" s="13" t="s">
        <v>6</v>
      </c>
      <c r="AA28" t="e">
        <f t="shared" si="10"/>
        <v>#VALUE!</v>
      </c>
      <c r="AB28" t="e">
        <f t="shared" si="11"/>
        <v>#VALUE!</v>
      </c>
      <c r="AC28" t="e">
        <f t="shared" si="12"/>
        <v>#VALUE!</v>
      </c>
      <c r="AD28" t="e">
        <f t="shared" si="13"/>
        <v>#VALUE!</v>
      </c>
      <c r="AE28" t="e">
        <f t="shared" si="14"/>
        <v>#VALUE!</v>
      </c>
    </row>
    <row r="29" spans="1:31" ht="15.6" thickTop="1" thickBot="1" x14ac:dyDescent="0.35">
      <c r="A29" s="13" t="s">
        <v>8</v>
      </c>
      <c r="B29">
        <f t="shared" si="15"/>
        <v>-1389</v>
      </c>
      <c r="C29">
        <f t="shared" si="16"/>
        <v>-139</v>
      </c>
      <c r="D29">
        <f t="shared" si="17"/>
        <v>0</v>
      </c>
      <c r="E29">
        <f t="shared" si="18"/>
        <v>-1299</v>
      </c>
      <c r="F29">
        <f t="shared" si="19"/>
        <v>-47</v>
      </c>
      <c r="H29" s="13" t="s">
        <v>8</v>
      </c>
      <c r="I29">
        <f t="shared" ref="I29:I31" si="20">C11-$C$9</f>
        <v>-27</v>
      </c>
      <c r="J29">
        <f t="shared" si="1"/>
        <v>0</v>
      </c>
      <c r="K29">
        <f t="shared" si="2"/>
        <v>0</v>
      </c>
      <c r="L29">
        <f t="shared" si="3"/>
        <v>-26</v>
      </c>
      <c r="M29">
        <f t="shared" si="4"/>
        <v>9</v>
      </c>
      <c r="Q29" s="13" t="s">
        <v>8</v>
      </c>
      <c r="R29">
        <f t="shared" si="5"/>
        <v>-7</v>
      </c>
      <c r="S29">
        <f t="shared" si="6"/>
        <v>-4</v>
      </c>
      <c r="T29">
        <f t="shared" si="7"/>
        <v>0</v>
      </c>
      <c r="U29">
        <f t="shared" si="8"/>
        <v>-5</v>
      </c>
      <c r="V29">
        <f t="shared" si="9"/>
        <v>-2</v>
      </c>
      <c r="Z29" s="13" t="s">
        <v>8</v>
      </c>
      <c r="AA29" t="e">
        <f t="shared" si="10"/>
        <v>#VALUE!</v>
      </c>
      <c r="AB29" t="e">
        <f t="shared" si="11"/>
        <v>#VALUE!</v>
      </c>
      <c r="AC29" t="e">
        <f t="shared" si="12"/>
        <v>#VALUE!</v>
      </c>
      <c r="AD29" t="e">
        <f t="shared" si="13"/>
        <v>#VALUE!</v>
      </c>
      <c r="AE29" t="e">
        <f t="shared" si="14"/>
        <v>#VALUE!</v>
      </c>
    </row>
    <row r="30" spans="1:31" ht="15.6" thickTop="1" thickBot="1" x14ac:dyDescent="0.35">
      <c r="A30" s="13" t="s">
        <v>10</v>
      </c>
      <c r="B30">
        <f t="shared" si="15"/>
        <v>-90</v>
      </c>
      <c r="C30">
        <f t="shared" si="16"/>
        <v>1160</v>
      </c>
      <c r="D30">
        <f t="shared" si="17"/>
        <v>1299</v>
      </c>
      <c r="E30">
        <f t="shared" si="18"/>
        <v>0</v>
      </c>
      <c r="F30">
        <f t="shared" si="19"/>
        <v>1252</v>
      </c>
      <c r="H30" s="13" t="s">
        <v>10</v>
      </c>
      <c r="I30">
        <f t="shared" si="20"/>
        <v>-1</v>
      </c>
      <c r="J30">
        <f t="shared" si="1"/>
        <v>26</v>
      </c>
      <c r="K30">
        <f t="shared" si="2"/>
        <v>26</v>
      </c>
      <c r="L30">
        <f t="shared" si="3"/>
        <v>0</v>
      </c>
      <c r="M30">
        <f t="shared" si="4"/>
        <v>35</v>
      </c>
      <c r="Q30" s="13" t="s">
        <v>10</v>
      </c>
      <c r="R30">
        <f t="shared" si="5"/>
        <v>-2</v>
      </c>
      <c r="S30">
        <f t="shared" si="6"/>
        <v>1</v>
      </c>
      <c r="T30">
        <f t="shared" si="7"/>
        <v>5</v>
      </c>
      <c r="U30">
        <f t="shared" si="8"/>
        <v>0</v>
      </c>
      <c r="V30">
        <f t="shared" si="9"/>
        <v>3</v>
      </c>
      <c r="Z30" s="13" t="s">
        <v>10</v>
      </c>
      <c r="AA30" t="e">
        <f t="shared" si="10"/>
        <v>#VALUE!</v>
      </c>
      <c r="AB30" t="e">
        <f t="shared" si="11"/>
        <v>#VALUE!</v>
      </c>
      <c r="AC30" t="e">
        <f t="shared" si="12"/>
        <v>#VALUE!</v>
      </c>
      <c r="AD30" t="e">
        <f t="shared" si="13"/>
        <v>#VALUE!</v>
      </c>
      <c r="AE30" t="e">
        <f t="shared" si="14"/>
        <v>#VALUE!</v>
      </c>
    </row>
    <row r="31" spans="1:31" ht="15.6" thickTop="1" thickBot="1" x14ac:dyDescent="0.35">
      <c r="A31" s="13" t="s">
        <v>12</v>
      </c>
      <c r="B31">
        <f t="shared" si="15"/>
        <v>-1342</v>
      </c>
      <c r="C31">
        <f t="shared" si="16"/>
        <v>-92</v>
      </c>
      <c r="D31">
        <f>B13-$B$11</f>
        <v>47</v>
      </c>
      <c r="E31">
        <f t="shared" si="18"/>
        <v>-1252</v>
      </c>
      <c r="F31">
        <f t="shared" si="19"/>
        <v>0</v>
      </c>
      <c r="H31" s="13" t="s">
        <v>12</v>
      </c>
      <c r="I31">
        <f t="shared" si="20"/>
        <v>-36</v>
      </c>
      <c r="J31">
        <f t="shared" si="1"/>
        <v>-9</v>
      </c>
      <c r="K31">
        <f t="shared" si="2"/>
        <v>-9</v>
      </c>
      <c r="L31">
        <f t="shared" si="3"/>
        <v>-35</v>
      </c>
      <c r="M31">
        <f t="shared" si="4"/>
        <v>0</v>
      </c>
      <c r="Q31" s="13" t="s">
        <v>12</v>
      </c>
      <c r="R31">
        <f t="shared" si="5"/>
        <v>-5</v>
      </c>
      <c r="S31">
        <f t="shared" si="6"/>
        <v>-2</v>
      </c>
      <c r="T31">
        <f t="shared" si="7"/>
        <v>2</v>
      </c>
      <c r="U31">
        <f t="shared" si="8"/>
        <v>-3</v>
      </c>
      <c r="V31">
        <f t="shared" si="9"/>
        <v>0</v>
      </c>
      <c r="Z31" s="13" t="s">
        <v>12</v>
      </c>
      <c r="AA31" t="e">
        <f t="shared" si="10"/>
        <v>#VALUE!</v>
      </c>
      <c r="AB31" t="e">
        <f t="shared" si="11"/>
        <v>#VALUE!</v>
      </c>
      <c r="AC31" t="e">
        <f t="shared" si="12"/>
        <v>#VALUE!</v>
      </c>
      <c r="AD31" t="e">
        <f t="shared" si="13"/>
        <v>#VALUE!</v>
      </c>
      <c r="AE31" t="e">
        <f t="shared" si="14"/>
        <v>#VALUE!</v>
      </c>
    </row>
    <row r="32" spans="1:31" ht="15" thickTop="1" x14ac:dyDescent="0.3"/>
    <row r="34" spans="1:31" ht="15" thickBot="1" x14ac:dyDescent="0.35">
      <c r="A34" t="s">
        <v>28</v>
      </c>
      <c r="H34" t="s">
        <v>37</v>
      </c>
      <c r="Q34" t="s">
        <v>36</v>
      </c>
      <c r="Z34" t="s">
        <v>40</v>
      </c>
    </row>
    <row r="35" spans="1:31" ht="15.6" thickTop="1" thickBot="1" x14ac:dyDescent="0.35">
      <c r="A35" s="10" t="s">
        <v>25</v>
      </c>
      <c r="B35" s="21" t="s">
        <v>5</v>
      </c>
      <c r="C35" s="9" t="s">
        <v>6</v>
      </c>
      <c r="D35" s="9" t="s">
        <v>8</v>
      </c>
      <c r="E35" s="9" t="s">
        <v>10</v>
      </c>
      <c r="F35" s="12" t="s">
        <v>12</v>
      </c>
      <c r="H35" s="28" t="s">
        <v>25</v>
      </c>
      <c r="I35" s="21" t="s">
        <v>5</v>
      </c>
      <c r="J35" s="9" t="s">
        <v>6</v>
      </c>
      <c r="K35" s="9" t="s">
        <v>8</v>
      </c>
      <c r="L35" s="9" t="s">
        <v>10</v>
      </c>
      <c r="M35" s="12" t="s">
        <v>12</v>
      </c>
      <c r="Q35" s="10" t="s">
        <v>25</v>
      </c>
      <c r="R35" s="21" t="s">
        <v>5</v>
      </c>
      <c r="S35" s="9" t="s">
        <v>6</v>
      </c>
      <c r="T35" s="9" t="s">
        <v>8</v>
      </c>
      <c r="U35" s="9" t="s">
        <v>10</v>
      </c>
      <c r="V35" s="12" t="s">
        <v>12</v>
      </c>
      <c r="Z35" s="10" t="s">
        <v>25</v>
      </c>
      <c r="AA35" s="21" t="s">
        <v>5</v>
      </c>
      <c r="AB35" s="9" t="s">
        <v>6</v>
      </c>
      <c r="AC35" s="9" t="s">
        <v>8</v>
      </c>
      <c r="AD35" s="9" t="s">
        <v>10</v>
      </c>
      <c r="AE35" s="12" t="s">
        <v>12</v>
      </c>
    </row>
    <row r="36" spans="1:31" ht="15.6" thickTop="1" thickBot="1" x14ac:dyDescent="0.35">
      <c r="A36" s="26" t="s">
        <v>5</v>
      </c>
      <c r="B36" s="4">
        <f>IF(-B27&lt;=0,0,IF(-B27&gt;$E$18,1,IF(-B27&lt;=$D$18,0,((-B27-$D$18)/($E$18-$D$18)))))</f>
        <v>0</v>
      </c>
      <c r="C36" s="4">
        <f>IF(-C27&lt;=0,0,IF(-C27&gt;$E$18,1,IF(-C27&lt;=$D$18,0,((-C27-$D$18)/($E$18-$D$18)))))</f>
        <v>0</v>
      </c>
      <c r="D36" s="4">
        <f>IF(-D27&lt;=0,0,IF(-D27&gt;$E$18,1,IF(-D27&lt;=$D$18,0,((-D27-$D$18)/($E$18-$D$18)))))</f>
        <v>0</v>
      </c>
      <c r="E36" s="4">
        <f t="shared" ref="E36:F36" si="21">IF(-E27&lt;=0,0,IF(-E27&gt;$E$18,1,IF(-E27&lt;=$D$18,0,((-E27-$D$18)/($E$18-$D$18)))))</f>
        <v>0</v>
      </c>
      <c r="F36" s="19">
        <f t="shared" si="21"/>
        <v>0</v>
      </c>
      <c r="H36" s="26" t="s">
        <v>5</v>
      </c>
      <c r="I36" s="4">
        <f t="shared" ref="I36:M40" si="22">IF(-I27&lt;=0,0,IF(-I27&gt;$E$19,1,IF(-I27&lt;=$D$19,0,((-I27-$D$19)/($E$19-$D$19)))))</f>
        <v>0</v>
      </c>
      <c r="J36" s="4">
        <f t="shared" si="22"/>
        <v>0</v>
      </c>
      <c r="K36" s="4">
        <f t="shared" si="22"/>
        <v>0</v>
      </c>
      <c r="L36" s="4">
        <f t="shared" si="22"/>
        <v>0</v>
      </c>
      <c r="M36" s="4">
        <f t="shared" si="22"/>
        <v>0</v>
      </c>
      <c r="Q36" s="26" t="s">
        <v>5</v>
      </c>
      <c r="R36" s="4">
        <f t="shared" ref="R36:V40" si="23">IF(R27&lt;=0,0,IF(R27&gt;$E$20,1,IF(R27&lt;=$D$20,0,((R27-$D$20)/($E$20-$D$20)))))</f>
        <v>0</v>
      </c>
      <c r="S36" s="4">
        <f t="shared" si="23"/>
        <v>1</v>
      </c>
      <c r="T36" s="4">
        <f t="shared" si="23"/>
        <v>1</v>
      </c>
      <c r="U36" s="4">
        <f t="shared" si="23"/>
        <v>1</v>
      </c>
      <c r="V36" s="4">
        <f t="shared" si="23"/>
        <v>1</v>
      </c>
      <c r="Z36" s="26" t="s">
        <v>5</v>
      </c>
      <c r="AA36" s="4" t="e">
        <f>IF(AA27&lt;=0,0,IF(AA27&gt;$E$21,1,IF(AA27&lt;=$D$21,0,((AA27-$D$21)/($E$21-$D$21)))))</f>
        <v>#VALUE!</v>
      </c>
      <c r="AB36" s="4" t="e">
        <f t="shared" ref="AB36:AE36" si="24">IF(AB27&lt;=0,0,IF(AB27&gt;$E$21,1,IF(AB27&lt;=$D$21,0,((AB27-$D$21)/($E$21-$D$21)))))</f>
        <v>#VALUE!</v>
      </c>
      <c r="AC36" s="4" t="e">
        <f t="shared" si="24"/>
        <v>#VALUE!</v>
      </c>
      <c r="AD36" s="4" t="e">
        <f t="shared" si="24"/>
        <v>#VALUE!</v>
      </c>
      <c r="AE36" s="4" t="e">
        <f t="shared" si="24"/>
        <v>#VALUE!</v>
      </c>
    </row>
    <row r="37" spans="1:31" ht="15.6" thickTop="1" thickBot="1" x14ac:dyDescent="0.35">
      <c r="A37" s="26" t="s">
        <v>6</v>
      </c>
      <c r="B37" s="4">
        <f t="shared" ref="B37:F40" si="25">IF(-B28&lt;=0,0,IF(-B28&gt;$E$18,1,IF(-B28&lt;=$D$18,0,((-B28-$D$18)/($E$18-$D$18)))))</f>
        <v>1</v>
      </c>
      <c r="C37" s="4">
        <f t="shared" si="25"/>
        <v>0</v>
      </c>
      <c r="D37" s="4">
        <f>IF(-D28&lt;=0,0,IF(-D28&gt;$E$18,1,IF(-D28&lt;=$D$18,0,((-D28-$D$18)/($E$18-$D$18)))))</f>
        <v>0</v>
      </c>
      <c r="E37" s="4">
        <f t="shared" si="25"/>
        <v>1</v>
      </c>
      <c r="F37" s="19">
        <f t="shared" si="25"/>
        <v>0</v>
      </c>
      <c r="H37" s="26" t="s">
        <v>6</v>
      </c>
      <c r="I37" s="4">
        <f t="shared" si="22"/>
        <v>1</v>
      </c>
      <c r="J37" s="4">
        <f t="shared" si="22"/>
        <v>0</v>
      </c>
      <c r="K37" s="4">
        <f t="shared" si="22"/>
        <v>0</v>
      </c>
      <c r="L37" s="4">
        <f t="shared" si="22"/>
        <v>1</v>
      </c>
      <c r="M37" s="4">
        <f t="shared" si="22"/>
        <v>0</v>
      </c>
      <c r="Q37" s="26" t="s">
        <v>6</v>
      </c>
      <c r="R37" s="4">
        <f t="shared" si="23"/>
        <v>0</v>
      </c>
      <c r="S37" s="4">
        <f t="shared" si="23"/>
        <v>0</v>
      </c>
      <c r="T37" s="4">
        <f t="shared" si="23"/>
        <v>1</v>
      </c>
      <c r="U37" s="4">
        <f t="shared" si="23"/>
        <v>0</v>
      </c>
      <c r="V37" s="4">
        <f t="shared" si="23"/>
        <v>1</v>
      </c>
      <c r="Z37" s="26" t="s">
        <v>6</v>
      </c>
      <c r="AA37" s="4" t="e">
        <f t="shared" ref="AA37:AE40" si="26">IF(AA28&lt;=0,0,IF(AA28&gt;$E$21,1,IF(AA28&lt;=$D$21,0,((AA28-$D$21)/($E$21-$D$21)))))</f>
        <v>#VALUE!</v>
      </c>
      <c r="AB37" s="4" t="e">
        <f t="shared" si="26"/>
        <v>#VALUE!</v>
      </c>
      <c r="AC37" s="4" t="e">
        <f t="shared" si="26"/>
        <v>#VALUE!</v>
      </c>
      <c r="AD37" s="4" t="e">
        <f t="shared" si="26"/>
        <v>#VALUE!</v>
      </c>
      <c r="AE37" s="4" t="e">
        <f t="shared" si="26"/>
        <v>#VALUE!</v>
      </c>
    </row>
    <row r="38" spans="1:31" ht="15.6" thickTop="1" thickBot="1" x14ac:dyDescent="0.35">
      <c r="A38" s="26" t="s">
        <v>8</v>
      </c>
      <c r="B38" s="4">
        <f t="shared" si="25"/>
        <v>1</v>
      </c>
      <c r="C38" s="4">
        <f t="shared" si="25"/>
        <v>0.26</v>
      </c>
      <c r="D38" s="4">
        <f t="shared" si="25"/>
        <v>0</v>
      </c>
      <c r="E38" s="4">
        <f t="shared" si="25"/>
        <v>1</v>
      </c>
      <c r="F38" s="19">
        <f t="shared" si="25"/>
        <v>0</v>
      </c>
      <c r="H38" s="26" t="s">
        <v>8</v>
      </c>
      <c r="I38" s="4">
        <f t="shared" si="22"/>
        <v>1</v>
      </c>
      <c r="J38" s="4">
        <f t="shared" si="22"/>
        <v>0</v>
      </c>
      <c r="K38" s="4">
        <f t="shared" si="22"/>
        <v>0</v>
      </c>
      <c r="L38" s="4">
        <f t="shared" si="22"/>
        <v>1</v>
      </c>
      <c r="M38" s="4">
        <f t="shared" si="22"/>
        <v>0</v>
      </c>
      <c r="Q38" s="26" t="s">
        <v>8</v>
      </c>
      <c r="R38" s="4">
        <f t="shared" si="23"/>
        <v>0</v>
      </c>
      <c r="S38" s="4">
        <f t="shared" si="23"/>
        <v>0</v>
      </c>
      <c r="T38" s="4">
        <f t="shared" si="23"/>
        <v>0</v>
      </c>
      <c r="U38" s="4">
        <f t="shared" si="23"/>
        <v>0</v>
      </c>
      <c r="V38" s="4">
        <f t="shared" si="23"/>
        <v>0</v>
      </c>
      <c r="Z38" s="26" t="s">
        <v>8</v>
      </c>
      <c r="AA38" s="4" t="e">
        <f t="shared" si="26"/>
        <v>#VALUE!</v>
      </c>
      <c r="AB38" s="4" t="e">
        <f t="shared" si="26"/>
        <v>#VALUE!</v>
      </c>
      <c r="AC38" s="4" t="e">
        <f t="shared" si="26"/>
        <v>#VALUE!</v>
      </c>
      <c r="AD38" s="4" t="e">
        <f t="shared" si="26"/>
        <v>#VALUE!</v>
      </c>
      <c r="AE38" s="4" t="e">
        <f t="shared" si="26"/>
        <v>#VALUE!</v>
      </c>
    </row>
    <row r="39" spans="1:31" ht="15.6" thickTop="1" thickBot="1" x14ac:dyDescent="0.35">
      <c r="A39" s="26" t="s">
        <v>10</v>
      </c>
      <c r="B39" s="4">
        <f t="shared" si="25"/>
        <v>0</v>
      </c>
      <c r="C39" s="4">
        <f t="shared" si="25"/>
        <v>0</v>
      </c>
      <c r="D39" s="4">
        <f t="shared" si="25"/>
        <v>0</v>
      </c>
      <c r="E39" s="4">
        <f t="shared" si="25"/>
        <v>0</v>
      </c>
      <c r="F39" s="19">
        <f t="shared" si="25"/>
        <v>0</v>
      </c>
      <c r="H39" s="26" t="s">
        <v>10</v>
      </c>
      <c r="I39" s="4">
        <f t="shared" si="22"/>
        <v>0</v>
      </c>
      <c r="J39" s="4">
        <f t="shared" si="22"/>
        <v>0</v>
      </c>
      <c r="K39" s="4">
        <f t="shared" si="22"/>
        <v>0</v>
      </c>
      <c r="L39" s="4">
        <f t="shared" si="22"/>
        <v>0</v>
      </c>
      <c r="M39" s="4">
        <f t="shared" si="22"/>
        <v>0</v>
      </c>
      <c r="Q39" s="26" t="s">
        <v>10</v>
      </c>
      <c r="R39" s="4">
        <f t="shared" si="23"/>
        <v>0</v>
      </c>
      <c r="S39" s="4">
        <f t="shared" si="23"/>
        <v>0</v>
      </c>
      <c r="T39" s="4">
        <f t="shared" si="23"/>
        <v>1</v>
      </c>
      <c r="U39" s="4">
        <f t="shared" si="23"/>
        <v>0</v>
      </c>
      <c r="V39" s="4">
        <f t="shared" si="23"/>
        <v>1</v>
      </c>
      <c r="Z39" s="26" t="s">
        <v>10</v>
      </c>
      <c r="AA39" s="4" t="e">
        <f t="shared" si="26"/>
        <v>#VALUE!</v>
      </c>
      <c r="AB39" s="4" t="e">
        <f t="shared" si="26"/>
        <v>#VALUE!</v>
      </c>
      <c r="AC39" s="4" t="e">
        <f t="shared" si="26"/>
        <v>#VALUE!</v>
      </c>
      <c r="AD39" s="4" t="e">
        <f t="shared" si="26"/>
        <v>#VALUE!</v>
      </c>
      <c r="AE39" s="4" t="e">
        <f t="shared" si="26"/>
        <v>#VALUE!</v>
      </c>
    </row>
    <row r="40" spans="1:31" ht="15.6" thickTop="1" thickBot="1" x14ac:dyDescent="0.35">
      <c r="A40" s="26" t="s">
        <v>12</v>
      </c>
      <c r="B40" s="4">
        <f t="shared" si="25"/>
        <v>1</v>
      </c>
      <c r="C40" s="4">
        <f t="shared" si="25"/>
        <v>0</v>
      </c>
      <c r="D40" s="4">
        <f t="shared" si="25"/>
        <v>0</v>
      </c>
      <c r="E40" s="4">
        <f t="shared" si="25"/>
        <v>1</v>
      </c>
      <c r="F40" s="19">
        <f t="shared" si="25"/>
        <v>0</v>
      </c>
      <c r="H40" s="26" t="s">
        <v>12</v>
      </c>
      <c r="I40" s="4">
        <f t="shared" si="22"/>
        <v>1</v>
      </c>
      <c r="J40" s="4">
        <f t="shared" si="22"/>
        <v>1</v>
      </c>
      <c r="K40" s="4">
        <f t="shared" si="22"/>
        <v>1</v>
      </c>
      <c r="L40" s="4">
        <f t="shared" si="22"/>
        <v>1</v>
      </c>
      <c r="M40" s="4">
        <f t="shared" si="22"/>
        <v>0</v>
      </c>
      <c r="Q40" s="26" t="s">
        <v>12</v>
      </c>
      <c r="R40" s="4">
        <f t="shared" si="23"/>
        <v>0</v>
      </c>
      <c r="S40" s="4">
        <f t="shared" si="23"/>
        <v>0</v>
      </c>
      <c r="T40" s="4">
        <f t="shared" si="23"/>
        <v>1</v>
      </c>
      <c r="U40" s="4">
        <f t="shared" si="23"/>
        <v>0</v>
      </c>
      <c r="V40" s="4">
        <f t="shared" si="23"/>
        <v>0</v>
      </c>
      <c r="Z40" s="26" t="s">
        <v>12</v>
      </c>
      <c r="AA40" s="4" t="e">
        <f t="shared" si="26"/>
        <v>#VALUE!</v>
      </c>
      <c r="AB40" s="4" t="e">
        <f t="shared" si="26"/>
        <v>#VALUE!</v>
      </c>
      <c r="AC40" s="4" t="e">
        <f t="shared" si="26"/>
        <v>#VALUE!</v>
      </c>
      <c r="AD40" s="4" t="e">
        <f t="shared" si="26"/>
        <v>#VALUE!</v>
      </c>
      <c r="AE40" s="4" t="e">
        <f t="shared" si="26"/>
        <v>#VALUE!</v>
      </c>
    </row>
    <row r="41" spans="1:31" ht="15" thickTop="1" x14ac:dyDescent="0.3"/>
    <row r="44" spans="1:31" x14ac:dyDescent="0.3">
      <c r="A44" t="s">
        <v>47</v>
      </c>
    </row>
    <row r="46" spans="1:31" x14ac:dyDescent="0.3">
      <c r="A46" t="s">
        <v>48</v>
      </c>
    </row>
    <row r="47" spans="1:31" ht="15" thickBot="1" x14ac:dyDescent="0.35">
      <c r="A47" t="s">
        <v>30</v>
      </c>
      <c r="B47" t="s">
        <v>29</v>
      </c>
      <c r="C47" t="s">
        <v>32</v>
      </c>
      <c r="D47" t="s">
        <v>42</v>
      </c>
      <c r="E47" t="s">
        <v>41</v>
      </c>
      <c r="H47" t="s">
        <v>44</v>
      </c>
    </row>
    <row r="48" spans="1:31" ht="15.6" thickTop="1" thickBot="1" x14ac:dyDescent="0.35">
      <c r="A48" s="10" t="s">
        <v>5</v>
      </c>
      <c r="B48">
        <f>(SUM(B36:F36)-SUM(B36:B40))/(5-1)</f>
        <v>-0.75</v>
      </c>
      <c r="C48">
        <f>(SUM(I36:M36)-SUM(I36:I40))/(5-1)</f>
        <v>-0.75</v>
      </c>
      <c r="D48">
        <f>(SUM(R36:V36)-SUM(R36:R40))/(5-1)</f>
        <v>1</v>
      </c>
      <c r="E48" t="e">
        <f>(SUM(AA36:AE36)-SUM(AA36:AA40))/(5-1)</f>
        <v>#VALUE!</v>
      </c>
      <c r="H48" s="28" t="s">
        <v>25</v>
      </c>
      <c r="I48" s="21" t="s">
        <v>5</v>
      </c>
      <c r="J48" s="9" t="s">
        <v>6</v>
      </c>
      <c r="K48" s="9" t="s">
        <v>8</v>
      </c>
      <c r="L48" s="9" t="s">
        <v>10</v>
      </c>
      <c r="M48" s="12" t="s">
        <v>12</v>
      </c>
    </row>
    <row r="49" spans="1:13" ht="15.6" thickTop="1" thickBot="1" x14ac:dyDescent="0.35">
      <c r="A49" s="10" t="s">
        <v>6</v>
      </c>
      <c r="B49">
        <f>((SUM(B37:F37)/(5-1))-(SUM(C36:C40)/(5-1)))</f>
        <v>0.435</v>
      </c>
      <c r="C49">
        <f>((SUM(I37:M37)/(5-1))-(SUM(J36:J40)/(5-1)))</f>
        <v>0.25</v>
      </c>
      <c r="D49">
        <f>((SUM(R37:V37)/(5-1))-(SUM(S36:S40)/(5-1)))</f>
        <v>0.25</v>
      </c>
      <c r="E49" t="e">
        <f>((SUM(AA37:AE37)/(5-1))-(SUM(AB36:AB40)/(5-1)))</f>
        <v>#VALUE!</v>
      </c>
      <c r="H49" s="26" t="s">
        <v>5</v>
      </c>
      <c r="I49" s="4" t="e">
        <f t="shared" ref="I49:M53" si="27">B36*$C$18+I36*$C$19+R36*$C$20+AA36*$C$21</f>
        <v>#VALUE!</v>
      </c>
      <c r="J49" s="4" t="e">
        <f t="shared" si="27"/>
        <v>#VALUE!</v>
      </c>
      <c r="K49" s="4" t="e">
        <f t="shared" si="27"/>
        <v>#VALUE!</v>
      </c>
      <c r="L49" s="4" t="e">
        <f t="shared" si="27"/>
        <v>#VALUE!</v>
      </c>
      <c r="M49" s="4" t="e">
        <f t="shared" si="27"/>
        <v>#VALUE!</v>
      </c>
    </row>
    <row r="50" spans="1:13" ht="15.6" thickTop="1" thickBot="1" x14ac:dyDescent="0.35">
      <c r="A50" s="10" t="s">
        <v>8</v>
      </c>
      <c r="B50">
        <f>(SUM(B38:F38)-SUM(D36:D40))/(5-1)</f>
        <v>0.56499999999999995</v>
      </c>
      <c r="C50">
        <f>(SUM(I38:M38)-SUM(K36:K40))/(5-1)</f>
        <v>0.25</v>
      </c>
      <c r="D50">
        <f>(SUM(R38:V38)-SUM(T36:T40))/(5-1)</f>
        <v>-1</v>
      </c>
      <c r="E50" t="e">
        <f>(SUM(AA38:AE38)-SUM(AE36:AE40))/(5-1)</f>
        <v>#VALUE!</v>
      </c>
      <c r="H50" s="26" t="s">
        <v>6</v>
      </c>
      <c r="I50" s="4" t="e">
        <f t="shared" si="27"/>
        <v>#VALUE!</v>
      </c>
      <c r="J50" s="4" t="e">
        <f t="shared" si="27"/>
        <v>#VALUE!</v>
      </c>
      <c r="K50" s="4" t="e">
        <f t="shared" si="27"/>
        <v>#VALUE!</v>
      </c>
      <c r="L50" s="4" t="e">
        <f t="shared" si="27"/>
        <v>#VALUE!</v>
      </c>
      <c r="M50" s="4" t="e">
        <f t="shared" si="27"/>
        <v>#VALUE!</v>
      </c>
    </row>
    <row r="51" spans="1:13" ht="15.6" thickTop="1" thickBot="1" x14ac:dyDescent="0.35">
      <c r="A51" s="10" t="s">
        <v>10</v>
      </c>
      <c r="B51">
        <f>(SUM(B39:F39)-SUM(E36:E40))/(5-1)</f>
        <v>-0.75</v>
      </c>
      <c r="C51">
        <f>(SUM(I39:M39)-SUM(L36:L40))/(5-1)</f>
        <v>-0.75</v>
      </c>
      <c r="D51">
        <f>(SUM(R39:V39)-SUM(U36:U40))/(5-1)</f>
        <v>0.25</v>
      </c>
      <c r="E51" t="e">
        <f>(SUM(AA39:AE39)-SUM(AD36:AD40))/(5-1)</f>
        <v>#VALUE!</v>
      </c>
      <c r="H51" s="26" t="s">
        <v>8</v>
      </c>
      <c r="I51" s="4" t="e">
        <f t="shared" si="27"/>
        <v>#VALUE!</v>
      </c>
      <c r="J51" s="4" t="e">
        <f t="shared" si="27"/>
        <v>#VALUE!</v>
      </c>
      <c r="K51" s="4" t="e">
        <f t="shared" si="27"/>
        <v>#VALUE!</v>
      </c>
      <c r="L51" s="4" t="e">
        <f t="shared" si="27"/>
        <v>#VALUE!</v>
      </c>
      <c r="M51" s="4" t="e">
        <f t="shared" si="27"/>
        <v>#VALUE!</v>
      </c>
    </row>
    <row r="52" spans="1:13" ht="15.6" thickTop="1" thickBot="1" x14ac:dyDescent="0.35">
      <c r="A52" s="10" t="s">
        <v>12</v>
      </c>
      <c r="B52">
        <f>(SUM(B40:F40)-SUM(F36:F40))/(5-1)</f>
        <v>0.5</v>
      </c>
      <c r="C52">
        <f>(SUM(I40:M40)-SUM(M36:M40))/(5-1)</f>
        <v>1</v>
      </c>
      <c r="D52">
        <f>(SUM(R40:V40)-SUM(V36:V40))/(5-1)</f>
        <v>-0.5</v>
      </c>
      <c r="E52" t="e">
        <f>(SUM(AA40:AE40)-SUM(AE36:AE40))/(5-1)</f>
        <v>#VALUE!</v>
      </c>
      <c r="H52" s="26" t="s">
        <v>10</v>
      </c>
      <c r="I52" s="4" t="e">
        <f t="shared" si="27"/>
        <v>#VALUE!</v>
      </c>
      <c r="J52" s="4" t="e">
        <f t="shared" si="27"/>
        <v>#VALUE!</v>
      </c>
      <c r="K52" s="4" t="e">
        <f t="shared" si="27"/>
        <v>#VALUE!</v>
      </c>
      <c r="L52" s="4" t="e">
        <f t="shared" si="27"/>
        <v>#VALUE!</v>
      </c>
      <c r="M52" s="4" t="e">
        <f t="shared" si="27"/>
        <v>#VALUE!</v>
      </c>
    </row>
    <row r="53" spans="1:13" ht="15.6" thickTop="1" thickBot="1" x14ac:dyDescent="0.35">
      <c r="H53" s="26" t="s">
        <v>12</v>
      </c>
      <c r="I53" s="4" t="e">
        <f t="shared" si="27"/>
        <v>#VALUE!</v>
      </c>
      <c r="J53" s="4" t="e">
        <f t="shared" si="27"/>
        <v>#VALUE!</v>
      </c>
      <c r="K53" s="4" t="e">
        <f t="shared" si="27"/>
        <v>#VALUE!</v>
      </c>
      <c r="L53" s="4" t="e">
        <f t="shared" si="27"/>
        <v>#VALUE!</v>
      </c>
      <c r="M53" s="4" t="e">
        <f t="shared" si="27"/>
        <v>#VALUE!</v>
      </c>
    </row>
    <row r="54" spans="1:13" ht="15" thickTop="1" x14ac:dyDescent="0.3"/>
    <row r="56" spans="1:13" x14ac:dyDescent="0.3">
      <c r="A56" t="s">
        <v>49</v>
      </c>
      <c r="H56" t="s">
        <v>50</v>
      </c>
    </row>
    <row r="57" spans="1:13" x14ac:dyDescent="0.3">
      <c r="A57" t="s">
        <v>30</v>
      </c>
      <c r="B57" t="s">
        <v>29</v>
      </c>
      <c r="C57" t="s">
        <v>32</v>
      </c>
      <c r="D57" t="s">
        <v>42</v>
      </c>
      <c r="E57" t="s">
        <v>41</v>
      </c>
      <c r="H57" s="3" t="s">
        <v>30</v>
      </c>
      <c r="I57" s="3" t="s">
        <v>45</v>
      </c>
      <c r="J57" s="3" t="s">
        <v>46</v>
      </c>
      <c r="K57" s="3" t="s">
        <v>43</v>
      </c>
    </row>
    <row r="58" spans="1:13" x14ac:dyDescent="0.3">
      <c r="A58" s="10" t="s">
        <v>5</v>
      </c>
      <c r="B58">
        <f>B48*$C$18</f>
        <v>-0.1875</v>
      </c>
      <c r="C58">
        <f t="shared" ref="C58:D58" si="28">C48*$C$18</f>
        <v>-0.1875</v>
      </c>
      <c r="D58">
        <f t="shared" si="28"/>
        <v>0.25</v>
      </c>
      <c r="E58" t="e">
        <f>E48*$C$18</f>
        <v>#VALUE!</v>
      </c>
      <c r="H58" s="11" t="s">
        <v>5</v>
      </c>
      <c r="I58" s="23" t="e">
        <f>SUM(I49:M49)/4</f>
        <v>#VALUE!</v>
      </c>
      <c r="J58" s="23" t="e">
        <f>SUM(Table6101630[Economic])/4</f>
        <v>#VALUE!</v>
      </c>
      <c r="K58" s="23" t="e">
        <f>I58-J58</f>
        <v>#VALUE!</v>
      </c>
    </row>
    <row r="59" spans="1:13" x14ac:dyDescent="0.3">
      <c r="A59" s="10" t="s">
        <v>6</v>
      </c>
      <c r="B59">
        <f t="shared" ref="B59:E62" si="29">B49*$C$18</f>
        <v>0.10875</v>
      </c>
      <c r="C59">
        <f t="shared" si="29"/>
        <v>6.25E-2</v>
      </c>
      <c r="D59">
        <f t="shared" si="29"/>
        <v>6.25E-2</v>
      </c>
      <c r="E59" t="e">
        <f t="shared" si="29"/>
        <v>#VALUE!</v>
      </c>
      <c r="H59" s="10" t="s">
        <v>6</v>
      </c>
      <c r="I59" s="23" t="e">
        <f t="shared" ref="I59:I62" si="30">SUM(I50:M50)/4</f>
        <v>#VALUE!</v>
      </c>
      <c r="J59" s="23" t="e">
        <f>SUM(Table6101630[Sport])/4</f>
        <v>#VALUE!</v>
      </c>
      <c r="K59" s="23" t="e">
        <f t="shared" ref="K59:K62" si="31">I59-J59</f>
        <v>#VALUE!</v>
      </c>
    </row>
    <row r="60" spans="1:13" x14ac:dyDescent="0.3">
      <c r="A60" s="10" t="s">
        <v>8</v>
      </c>
      <c r="B60">
        <f t="shared" si="29"/>
        <v>0.14124999999999999</v>
      </c>
      <c r="C60">
        <f t="shared" si="29"/>
        <v>6.25E-2</v>
      </c>
      <c r="D60">
        <f t="shared" si="29"/>
        <v>-0.25</v>
      </c>
      <c r="E60" t="e">
        <f t="shared" si="29"/>
        <v>#VALUE!</v>
      </c>
      <c r="H60" s="11" t="s">
        <v>8</v>
      </c>
      <c r="I60" s="23" t="e">
        <f t="shared" si="30"/>
        <v>#VALUE!</v>
      </c>
      <c r="J60" s="23" t="e">
        <f>SUM(Table6101630[[Luxury ]])/4</f>
        <v>#VALUE!</v>
      </c>
      <c r="K60" s="23" t="e">
        <f t="shared" si="31"/>
        <v>#VALUE!</v>
      </c>
    </row>
    <row r="61" spans="1:13" x14ac:dyDescent="0.3">
      <c r="A61" s="10" t="s">
        <v>10</v>
      </c>
      <c r="B61">
        <f t="shared" si="29"/>
        <v>-0.1875</v>
      </c>
      <c r="C61">
        <f t="shared" si="29"/>
        <v>-0.1875</v>
      </c>
      <c r="D61">
        <f t="shared" si="29"/>
        <v>6.25E-2</v>
      </c>
      <c r="E61" t="e">
        <f t="shared" si="29"/>
        <v>#VALUE!</v>
      </c>
      <c r="H61" s="10" t="s">
        <v>10</v>
      </c>
      <c r="I61" s="23" t="e">
        <f t="shared" si="30"/>
        <v>#VALUE!</v>
      </c>
      <c r="J61" s="23" t="e">
        <f>SUM(Table6101630[Touring A])/4</f>
        <v>#VALUE!</v>
      </c>
      <c r="K61" s="23" t="e">
        <f t="shared" si="31"/>
        <v>#VALUE!</v>
      </c>
    </row>
    <row r="62" spans="1:13" x14ac:dyDescent="0.3">
      <c r="A62" s="10" t="s">
        <v>12</v>
      </c>
      <c r="B62">
        <f t="shared" si="29"/>
        <v>0.125</v>
      </c>
      <c r="C62">
        <f t="shared" si="29"/>
        <v>0.25</v>
      </c>
      <c r="D62">
        <f t="shared" si="29"/>
        <v>-0.125</v>
      </c>
      <c r="E62" t="e">
        <f>E52*$C$18</f>
        <v>#VALUE!</v>
      </c>
      <c r="H62" s="27" t="s">
        <v>12</v>
      </c>
      <c r="I62" s="23" t="e">
        <f t="shared" si="30"/>
        <v>#VALUE!</v>
      </c>
      <c r="J62" s="23" t="e">
        <f>SUM(Table6101630[Touring B])/4</f>
        <v>#VALUE!</v>
      </c>
      <c r="K62" s="23" t="e">
        <f t="shared" si="31"/>
        <v>#VALUE!</v>
      </c>
    </row>
    <row r="66" spans="1:2" x14ac:dyDescent="0.3">
      <c r="A66" t="s">
        <v>50</v>
      </c>
    </row>
    <row r="67" spans="1:2" x14ac:dyDescent="0.3">
      <c r="A67" s="3" t="s">
        <v>30</v>
      </c>
      <c r="B67" s="3" t="s">
        <v>43</v>
      </c>
    </row>
    <row r="68" spans="1:2" x14ac:dyDescent="0.3">
      <c r="A68" s="11" t="s">
        <v>5</v>
      </c>
      <c r="B68" s="23" t="e">
        <f>SUM(B58:E58)</f>
        <v>#VALUE!</v>
      </c>
    </row>
    <row r="69" spans="1:2" x14ac:dyDescent="0.3">
      <c r="A69" s="10" t="s">
        <v>6</v>
      </c>
      <c r="B69" s="23" t="e">
        <f>SUM(B59:E59)</f>
        <v>#VALUE!</v>
      </c>
    </row>
    <row r="70" spans="1:2" x14ac:dyDescent="0.3">
      <c r="A70" s="11" t="s">
        <v>8</v>
      </c>
      <c r="B70" s="23" t="e">
        <f t="shared" ref="B70:B72" si="32">SUM(B60:E60)</f>
        <v>#VALUE!</v>
      </c>
    </row>
    <row r="71" spans="1:2" x14ac:dyDescent="0.3">
      <c r="A71" s="10" t="s">
        <v>10</v>
      </c>
      <c r="B71" s="23" t="e">
        <f t="shared" si="32"/>
        <v>#VALUE!</v>
      </c>
    </row>
    <row r="72" spans="1:2" x14ac:dyDescent="0.3">
      <c r="A72" s="27" t="s">
        <v>12</v>
      </c>
      <c r="B72" s="23" t="e">
        <f t="shared" si="32"/>
        <v>#VALUE!</v>
      </c>
    </row>
  </sheetData>
  <pageMargins left="0.7" right="0.7" top="0.75" bottom="0.75" header="0.3" footer="0.3"/>
  <drawing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Philou</dc:creator>
  <cp:lastModifiedBy>Francesco Natali</cp:lastModifiedBy>
  <dcterms:created xsi:type="dcterms:W3CDTF">2012-06-11T03:06:23Z</dcterms:created>
  <dcterms:modified xsi:type="dcterms:W3CDTF">2024-11-07T17:14:53Z</dcterms:modified>
</cp:coreProperties>
</file>