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AticAtac\Analysis\Data\"/>
    </mc:Choice>
  </mc:AlternateContent>
  <bookViews>
    <workbookView xWindow="0" yWindow="0" windowWidth="2715" windowHeight="7935"/>
  </bookViews>
  <sheets>
    <sheet name="AticAtac" sheetId="4" r:id="rId1"/>
    <sheet name="Bee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T3" i="4"/>
  <c r="F18" i="4" l="1"/>
  <c r="F37" i="4" l="1"/>
  <c r="F15" i="4"/>
  <c r="R23" i="4" l="1"/>
  <c r="S23" i="4" s="1"/>
  <c r="U23" i="4" s="1"/>
  <c r="R3" i="4"/>
  <c r="R5" i="4"/>
  <c r="R2" i="4"/>
  <c r="R4" i="4"/>
  <c r="R6" i="4"/>
  <c r="T23" i="4" l="1"/>
  <c r="T6" i="4"/>
  <c r="S6" i="4"/>
  <c r="U6" i="4" s="1"/>
  <c r="T4" i="4"/>
  <c r="S4" i="4"/>
  <c r="U4" i="4" s="1"/>
  <c r="S2" i="4"/>
  <c r="U2" i="4" s="1"/>
  <c r="T5" i="4"/>
  <c r="S5" i="4"/>
  <c r="U5" i="4" s="1"/>
  <c r="S3" i="4"/>
  <c r="U3" i="4" s="1"/>
  <c r="W32" i="2"/>
  <c r="Y32" i="2" s="1"/>
  <c r="W31" i="2"/>
  <c r="Y31" i="2" s="1"/>
  <c r="Y30" i="2"/>
  <c r="W30" i="2"/>
  <c r="W27" i="2"/>
  <c r="Y27" i="2" s="1"/>
  <c r="W11" i="2"/>
  <c r="X11" i="2" s="1"/>
  <c r="V5" i="2"/>
  <c r="V6" i="2" s="1"/>
  <c r="V7" i="2" s="1"/>
  <c r="W9" i="2" s="1"/>
  <c r="X9" i="2" s="1"/>
  <c r="K9" i="2"/>
  <c r="W25" i="2"/>
  <c r="W26" i="2"/>
  <c r="Y26" i="2" s="1"/>
  <c r="W23" i="2"/>
  <c r="V2" i="2"/>
  <c r="C94" i="2"/>
  <c r="B94" i="2"/>
  <c r="C93" i="2"/>
  <c r="B93" i="2"/>
  <c r="F93" i="2" s="1"/>
  <c r="C92" i="2"/>
  <c r="B92" i="2"/>
  <c r="C91" i="2"/>
  <c r="B91" i="2"/>
  <c r="F91" i="2" s="1"/>
  <c r="C90" i="2"/>
  <c r="B90" i="2"/>
  <c r="C89" i="2"/>
  <c r="B89" i="2"/>
  <c r="F89" i="2" s="1"/>
  <c r="C88" i="2"/>
  <c r="B88" i="2"/>
  <c r="C87" i="2"/>
  <c r="B87" i="2"/>
  <c r="F87" i="2" s="1"/>
  <c r="C86" i="2"/>
  <c r="B86" i="2"/>
  <c r="C85" i="2"/>
  <c r="B85" i="2"/>
  <c r="F85" i="2" s="1"/>
  <c r="C84" i="2"/>
  <c r="B84" i="2"/>
  <c r="C83" i="2"/>
  <c r="B83" i="2"/>
  <c r="F83" i="2" s="1"/>
  <c r="C82" i="2"/>
  <c r="B82" i="2"/>
  <c r="C81" i="2"/>
  <c r="B81" i="2"/>
  <c r="F81" i="2" s="1"/>
  <c r="C80" i="2"/>
  <c r="B80" i="2"/>
  <c r="C79" i="2"/>
  <c r="B79" i="2"/>
  <c r="F79" i="2" s="1"/>
  <c r="C78" i="2"/>
  <c r="B78" i="2"/>
  <c r="C77" i="2"/>
  <c r="B77" i="2"/>
  <c r="F77" i="2" s="1"/>
  <c r="C76" i="2"/>
  <c r="B76" i="2"/>
  <c r="C75" i="2"/>
  <c r="B75" i="2"/>
  <c r="F75" i="2" s="1"/>
  <c r="C74" i="2"/>
  <c r="B74" i="2"/>
  <c r="C73" i="2"/>
  <c r="B73" i="2"/>
  <c r="F73" i="2" s="1"/>
  <c r="C72" i="2"/>
  <c r="B72" i="2"/>
  <c r="C71" i="2"/>
  <c r="B71" i="2"/>
  <c r="F71" i="2" s="1"/>
  <c r="C70" i="2"/>
  <c r="B70" i="2"/>
  <c r="C69" i="2"/>
  <c r="B69" i="2"/>
  <c r="F69" i="2" s="1"/>
  <c r="C68" i="2"/>
  <c r="B68" i="2"/>
  <c r="C67" i="2"/>
  <c r="B67" i="2"/>
  <c r="F67" i="2" s="1"/>
  <c r="C66" i="2"/>
  <c r="B66" i="2"/>
  <c r="C65" i="2"/>
  <c r="B65" i="2"/>
  <c r="F65" i="2" s="1"/>
  <c r="C64" i="2"/>
  <c r="B64" i="2"/>
  <c r="C63" i="2"/>
  <c r="B63" i="2"/>
  <c r="F63" i="2" s="1"/>
  <c r="C62" i="2"/>
  <c r="B62" i="2"/>
  <c r="C61" i="2"/>
  <c r="B61" i="2"/>
  <c r="F61" i="2" s="1"/>
  <c r="C60" i="2"/>
  <c r="B60" i="2"/>
  <c r="C59" i="2"/>
  <c r="B59" i="2"/>
  <c r="F59" i="2" s="1"/>
  <c r="C58" i="2"/>
  <c r="B58" i="2"/>
  <c r="C57" i="2"/>
  <c r="B57" i="2"/>
  <c r="F57" i="2" s="1"/>
  <c r="C56" i="2"/>
  <c r="B56" i="2"/>
  <c r="C55" i="2"/>
  <c r="B55" i="2"/>
  <c r="F55" i="2" s="1"/>
  <c r="C54" i="2"/>
  <c r="B54" i="2"/>
  <c r="C53" i="2"/>
  <c r="B53" i="2"/>
  <c r="F53" i="2" s="1"/>
  <c r="C52" i="2"/>
  <c r="B52" i="2"/>
  <c r="C51" i="2"/>
  <c r="B51" i="2"/>
  <c r="F51" i="2" s="1"/>
  <c r="C50" i="2"/>
  <c r="B50" i="2"/>
  <c r="C49" i="2"/>
  <c r="B49" i="2"/>
  <c r="F49" i="2" s="1"/>
  <c r="C48" i="2"/>
  <c r="B48" i="2"/>
  <c r="C47" i="2"/>
  <c r="B47" i="2"/>
  <c r="F47" i="2" s="1"/>
  <c r="C46" i="2"/>
  <c r="B46" i="2"/>
  <c r="C45" i="2"/>
  <c r="B45" i="2"/>
  <c r="F45" i="2" s="1"/>
  <c r="C44" i="2"/>
  <c r="B44" i="2"/>
  <c r="E43" i="2"/>
  <c r="B43" i="2"/>
  <c r="F43" i="2" s="1"/>
  <c r="B42" i="2"/>
  <c r="F42" i="2" s="1"/>
  <c r="B41" i="2"/>
  <c r="D41" i="2" s="1"/>
  <c r="B40" i="2"/>
  <c r="F40" i="2" s="1"/>
  <c r="B39" i="2"/>
  <c r="B38" i="2"/>
  <c r="D38" i="2" s="1"/>
  <c r="B37" i="2"/>
  <c r="F37" i="2" s="1"/>
  <c r="B36" i="2"/>
  <c r="F36" i="2" s="1"/>
  <c r="B35" i="2"/>
  <c r="F35" i="2" s="1"/>
  <c r="B34" i="2"/>
  <c r="F34" i="2" s="1"/>
  <c r="B33" i="2"/>
  <c r="F33" i="2" s="1"/>
  <c r="B32" i="2"/>
  <c r="F32" i="2" s="1"/>
  <c r="B31" i="2"/>
  <c r="F31" i="2" s="1"/>
  <c r="B30" i="2"/>
  <c r="D30" i="2" s="1"/>
  <c r="B29" i="2"/>
  <c r="F29" i="2" s="1"/>
  <c r="B28" i="2"/>
  <c r="F28" i="2" s="1"/>
  <c r="B27" i="2"/>
  <c r="F27" i="2" s="1"/>
  <c r="B26" i="2"/>
  <c r="F26" i="2" s="1"/>
  <c r="B25" i="2"/>
  <c r="F25" i="2" s="1"/>
  <c r="B24" i="2"/>
  <c r="D24" i="2" s="1"/>
  <c r="B23" i="2"/>
  <c r="D23" i="2" s="1"/>
  <c r="B22" i="2"/>
  <c r="D22" i="2" s="1"/>
  <c r="B21" i="2"/>
  <c r="D21" i="2" s="1"/>
  <c r="B20" i="2"/>
  <c r="F20" i="2" s="1"/>
  <c r="B19" i="2"/>
  <c r="F19" i="2" s="1"/>
  <c r="B18" i="2"/>
  <c r="F18" i="2" s="1"/>
  <c r="B17" i="2"/>
  <c r="D17" i="2" s="1"/>
  <c r="B16" i="2"/>
  <c r="D16" i="2" s="1"/>
  <c r="B15" i="2"/>
  <c r="F15" i="2" s="1"/>
  <c r="B14" i="2"/>
  <c r="D14" i="2" s="1"/>
  <c r="B13" i="2"/>
  <c r="D13" i="2" s="1"/>
  <c r="B12" i="2"/>
  <c r="F12" i="2" s="1"/>
  <c r="B11" i="2"/>
  <c r="D11" i="2" s="1"/>
  <c r="B10" i="2"/>
  <c r="F10" i="2" s="1"/>
  <c r="B9" i="2"/>
  <c r="F9" i="2" s="1"/>
  <c r="B8" i="2"/>
  <c r="B7" i="2"/>
  <c r="D7" i="2" s="1"/>
  <c r="K3" i="2"/>
  <c r="Y25" i="2" l="1"/>
  <c r="Y28" i="2"/>
  <c r="K10" i="2"/>
  <c r="L10" i="2" s="1"/>
  <c r="W10" i="2"/>
  <c r="Y33" i="2"/>
  <c r="F21" i="2"/>
  <c r="D65" i="2"/>
  <c r="D33" i="2"/>
  <c r="F22" i="2"/>
  <c r="D42" i="2"/>
  <c r="D37" i="2"/>
  <c r="D77" i="2"/>
  <c r="F13" i="2"/>
  <c r="D25" i="2"/>
  <c r="F41" i="2"/>
  <c r="D29" i="2"/>
  <c r="D45" i="2"/>
  <c r="D71" i="2"/>
  <c r="F17" i="2"/>
  <c r="D57" i="2"/>
  <c r="D63" i="2"/>
  <c r="D69" i="2"/>
  <c r="D89" i="2"/>
  <c r="D27" i="2"/>
  <c r="F38" i="2"/>
  <c r="F11" i="2"/>
  <c r="D35" i="2"/>
  <c r="D49" i="2"/>
  <c r="D55" i="2"/>
  <c r="D61" i="2"/>
  <c r="D81" i="2"/>
  <c r="D87" i="2"/>
  <c r="D93" i="2"/>
  <c r="F16" i="2"/>
  <c r="D20" i="2"/>
  <c r="F24" i="2"/>
  <c r="D28" i="2"/>
  <c r="D32" i="2"/>
  <c r="D19" i="2"/>
  <c r="F30" i="2"/>
  <c r="F7" i="2"/>
  <c r="D36" i="2"/>
  <c r="D47" i="2"/>
  <c r="D53" i="2"/>
  <c r="D73" i="2"/>
  <c r="D79" i="2"/>
  <c r="D85" i="2"/>
  <c r="D43" i="2"/>
  <c r="D10" i="2"/>
  <c r="D31" i="2"/>
  <c r="D18" i="2"/>
  <c r="F23" i="2"/>
  <c r="D26" i="2"/>
  <c r="D34" i="2"/>
  <c r="D40" i="2"/>
  <c r="D51" i="2"/>
  <c r="D59" i="2"/>
  <c r="D67" i="2"/>
  <c r="D75" i="2"/>
  <c r="D83" i="2"/>
  <c r="D91" i="2"/>
  <c r="F39" i="2"/>
  <c r="D39" i="2"/>
  <c r="F44" i="2"/>
  <c r="D44" i="2"/>
  <c r="F52" i="2"/>
  <c r="D52" i="2"/>
  <c r="F60" i="2"/>
  <c r="D60" i="2"/>
  <c r="F68" i="2"/>
  <c r="D68" i="2"/>
  <c r="F76" i="2"/>
  <c r="D76" i="2"/>
  <c r="F84" i="2"/>
  <c r="D84" i="2"/>
  <c r="F92" i="2"/>
  <c r="D92" i="2"/>
  <c r="F8" i="2"/>
  <c r="D8" i="2"/>
  <c r="F50" i="2"/>
  <c r="D50" i="2"/>
  <c r="F58" i="2"/>
  <c r="D58" i="2"/>
  <c r="F66" i="2"/>
  <c r="D66" i="2"/>
  <c r="F74" i="2"/>
  <c r="D74" i="2"/>
  <c r="F82" i="2"/>
  <c r="D82" i="2"/>
  <c r="F90" i="2"/>
  <c r="D90" i="2"/>
  <c r="F14" i="2"/>
  <c r="F48" i="2"/>
  <c r="D48" i="2"/>
  <c r="F56" i="2"/>
  <c r="D56" i="2"/>
  <c r="F64" i="2"/>
  <c r="D64" i="2"/>
  <c r="F72" i="2"/>
  <c r="D72" i="2"/>
  <c r="F80" i="2"/>
  <c r="D80" i="2"/>
  <c r="F88" i="2"/>
  <c r="D88" i="2"/>
  <c r="L3" i="2"/>
  <c r="M3" i="2" s="1"/>
  <c r="D9" i="2"/>
  <c r="D12" i="2"/>
  <c r="D15" i="2"/>
  <c r="E42" i="2"/>
  <c r="C43" i="2"/>
  <c r="F46" i="2"/>
  <c r="D46" i="2"/>
  <c r="F54" i="2"/>
  <c r="D54" i="2"/>
  <c r="F62" i="2"/>
  <c r="D62" i="2"/>
  <c r="F70" i="2"/>
  <c r="D70" i="2"/>
  <c r="F78" i="2"/>
  <c r="D78" i="2"/>
  <c r="F86" i="2"/>
  <c r="D86" i="2"/>
  <c r="F94" i="2"/>
  <c r="D94" i="2"/>
  <c r="X10" i="2" l="1"/>
  <c r="W12" i="2"/>
  <c r="X12" i="2" s="1"/>
  <c r="E41" i="2"/>
  <c r="C42" i="2"/>
  <c r="C41" i="2" l="1"/>
  <c r="E40" i="2"/>
  <c r="E39" i="2" l="1"/>
  <c r="C40" i="2"/>
  <c r="E38" i="2" l="1"/>
  <c r="C39" i="2"/>
  <c r="C38" i="2" l="1"/>
  <c r="E37" i="2"/>
  <c r="C37" i="2" l="1"/>
  <c r="E36" i="2"/>
  <c r="C36" i="2" l="1"/>
  <c r="E35" i="2"/>
  <c r="C35" i="2" l="1"/>
  <c r="E34" i="2"/>
  <c r="C34" i="2" l="1"/>
  <c r="E33" i="2"/>
  <c r="C33" i="2" l="1"/>
  <c r="E32" i="2"/>
  <c r="C32" i="2" l="1"/>
  <c r="E31" i="2"/>
  <c r="C31" i="2" l="1"/>
  <c r="E30" i="2"/>
  <c r="C30" i="2" l="1"/>
  <c r="E29" i="2"/>
  <c r="C29" i="2" l="1"/>
  <c r="E28" i="2"/>
  <c r="C28" i="2" l="1"/>
  <c r="E27" i="2"/>
  <c r="C27" i="2" l="1"/>
  <c r="E26" i="2"/>
  <c r="C26" i="2" l="1"/>
  <c r="E25" i="2"/>
  <c r="C25" i="2" l="1"/>
  <c r="E24" i="2"/>
  <c r="C24" i="2" l="1"/>
  <c r="E23" i="2"/>
  <c r="C23" i="2" l="1"/>
  <c r="E22" i="2"/>
  <c r="C22" i="2" l="1"/>
  <c r="E21" i="2"/>
  <c r="C21" i="2" l="1"/>
  <c r="E20" i="2"/>
  <c r="C20" i="2" l="1"/>
  <c r="E19" i="2"/>
  <c r="C19" i="2" l="1"/>
  <c r="E18" i="2"/>
  <c r="C18" i="2" l="1"/>
  <c r="E17" i="2"/>
  <c r="C17" i="2" l="1"/>
  <c r="E16" i="2"/>
  <c r="C16" i="2" l="1"/>
  <c r="E15" i="2"/>
  <c r="E14" i="2" l="1"/>
  <c r="C15" i="2"/>
  <c r="C14" i="2" l="1"/>
  <c r="E13" i="2"/>
  <c r="E12" i="2" l="1"/>
  <c r="C13" i="2"/>
  <c r="C12" i="2" l="1"/>
  <c r="E11" i="2"/>
  <c r="C11" i="2" l="1"/>
  <c r="E10" i="2"/>
  <c r="C10" i="2" l="1"/>
  <c r="E9" i="2"/>
  <c r="E8" i="2" l="1"/>
  <c r="C9" i="2"/>
  <c r="E7" i="2" l="1"/>
  <c r="C7" i="2" s="1"/>
  <c r="C8" i="2"/>
</calcChain>
</file>

<file path=xl/sharedStrings.xml><?xml version="1.0" encoding="utf-8"?>
<sst xmlns="http://schemas.openxmlformats.org/spreadsheetml/2006/main" count="480" uniqueCount="351">
  <si>
    <t>beep</t>
  </si>
  <si>
    <t>duration</t>
  </si>
  <si>
    <t>pitch</t>
  </si>
  <si>
    <t>seconds</t>
  </si>
  <si>
    <t>semitones above middle C</t>
  </si>
  <si>
    <t>semitones below middle C</t>
  </si>
  <si>
    <t>Spectrum</t>
  </si>
  <si>
    <t>Win32</t>
  </si>
  <si>
    <t>milliseconds</t>
  </si>
  <si>
    <t>frequency</t>
  </si>
  <si>
    <t>37-32767</t>
  </si>
  <si>
    <t>t-states</t>
  </si>
  <si>
    <t>Hz</t>
  </si>
  <si>
    <t>3.5MHz</t>
  </si>
  <si>
    <t>Clock</t>
  </si>
  <si>
    <t>Seconds</t>
  </si>
  <si>
    <t>Milliseconds</t>
  </si>
  <si>
    <t>1 t-state</t>
  </si>
  <si>
    <t>Middle C</t>
  </si>
  <si>
    <t>Speaker on/off</t>
  </si>
  <si>
    <t>Per second</t>
  </si>
  <si>
    <t># t-states</t>
  </si>
  <si>
    <t>BC</t>
  </si>
  <si>
    <t>B (frequency)</t>
  </si>
  <si>
    <t>C (duration)</t>
  </si>
  <si>
    <t>Duration (ms)</t>
  </si>
  <si>
    <t>Beep Pitch</t>
  </si>
  <si>
    <t>DI</t>
  </si>
  <si>
    <t>SRL L</t>
  </si>
  <si>
    <t>CPL</t>
  </si>
  <si>
    <t>AND +03</t>
  </si>
  <si>
    <t>LD C,A</t>
  </si>
  <si>
    <t>LB B,+00</t>
  </si>
  <si>
    <t>LD IX,+03D1</t>
  </si>
  <si>
    <t>ADD IX,BC</t>
  </si>
  <si>
    <t>LD A,(BORDCR)</t>
  </si>
  <si>
    <t>AND +38</t>
  </si>
  <si>
    <t>RRCA</t>
  </si>
  <si>
    <t>OR +08</t>
  </si>
  <si>
    <t>NOP</t>
  </si>
  <si>
    <t>INC B</t>
  </si>
  <si>
    <t>INC C</t>
  </si>
  <si>
    <t>DEC C</t>
  </si>
  <si>
    <t>JR NZ, 03D6 (BE-H&amp;L-LP)</t>
  </si>
  <si>
    <t>LD C, +3F</t>
  </si>
  <si>
    <t>DEC B</t>
  </si>
  <si>
    <t>XOR +10</t>
  </si>
  <si>
    <t>OUT (+FE),A</t>
  </si>
  <si>
    <t>LD B,H</t>
  </si>
  <si>
    <t>BIT 4,A</t>
  </si>
  <si>
    <t>JR NZ,03F2 (BE-AGAIN)</t>
  </si>
  <si>
    <t>LD A,D</t>
  </si>
  <si>
    <t>OR E</t>
  </si>
  <si>
    <t>JR Z,03D6 (BE-END)</t>
  </si>
  <si>
    <t>LD A,C</t>
  </si>
  <si>
    <t>LD C,L</t>
  </si>
  <si>
    <t>DEC DE</t>
  </si>
  <si>
    <t>JP (IX)</t>
  </si>
  <si>
    <t>EI</t>
  </si>
  <si>
    <t>RET</t>
  </si>
  <si>
    <t>BE-END</t>
  </si>
  <si>
    <t>BE-AGAIN</t>
  </si>
  <si>
    <t>BEEPER</t>
  </si>
  <si>
    <t>03B5</t>
  </si>
  <si>
    <t>BE-IX+3</t>
  </si>
  <si>
    <t>BE-IX+2</t>
  </si>
  <si>
    <t>BE-IX+1</t>
  </si>
  <si>
    <t>BE-IX+0</t>
  </si>
  <si>
    <t>BE-H&amp;L-LP</t>
  </si>
  <si>
    <t>03D6</t>
  </si>
  <si>
    <t>03D1</t>
  </si>
  <si>
    <t>03D2</t>
  </si>
  <si>
    <t>03D3</t>
  </si>
  <si>
    <t>03D4</t>
  </si>
  <si>
    <t>03F2</t>
  </si>
  <si>
    <t>03F6</t>
  </si>
  <si>
    <t>Disable the interrupt for the duration of the 'beep'.</t>
  </si>
  <si>
    <t>Save L temporarily.</t>
  </si>
  <si>
    <t>Each '1' in the L register is SRL L to count '4' T states, but take</t>
  </si>
  <si>
    <t>INT (L/4) and count '16' T states instead.</t>
  </si>
  <si>
    <t>Go back to the original value</t>
  </si>
  <si>
    <t>in L and find how many were</t>
  </si>
  <si>
    <t>lost by taking INT (L/4).</t>
  </si>
  <si>
    <t>The base address of the timing loop.</t>
  </si>
  <si>
    <t>Alter the length of the timing loop. Use an earlier starting point for each '1' lost by taking INT (L/4).</t>
  </si>
  <si>
    <t>Fetch the present border</t>
  </si>
  <si>
    <t>colour and move it to bits</t>
  </si>
  <si>
    <t>2, 1 &amp; 0 of the A register.</t>
  </si>
  <si>
    <t>Ensure the MIC output is 'off'.</t>
  </si>
  <si>
    <t>Now enter the sound generation loop. 'DE' complete passes are made, i.e. a pass for each cycle of the note.</t>
  </si>
  <si>
    <t>The HL register holds the 'length of the timing loop' with '16' T states being used for each '1' in the L register and '1,024' T states for each '1' in the H register.</t>
  </si>
  <si>
    <t>Add '4' T states for each</t>
  </si>
  <si>
    <t>earlier entry port</t>
  </si>
  <si>
    <t>that is used.</t>
  </si>
  <si>
    <t>The values in the B &amp; C registers</t>
  </si>
  <si>
    <t>will come from H &amp; L registers</t>
  </si>
  <si>
    <t>The 'timing loop'.</t>
  </si>
  <si>
    <t>i.e. 'BC' * '4' T states.</t>
  </si>
  <si>
    <t>(But note that at the half-cycle</t>
  </si>
  <si>
    <t>point - C will be equal to</t>
  </si>
  <si>
    <t>'L+1'.)</t>
  </si>
  <si>
    <t>Flip bit 4.</t>
  </si>
  <si>
    <t>The loudspeaker is now alternately activated and deactivated.</t>
  </si>
  <si>
    <t>Perform the OUT operation; leaving the border unchanged.</t>
  </si>
  <si>
    <t>Reset the B register.</t>
  </si>
  <si>
    <t>Save the A register.</t>
  </si>
  <si>
    <t>Jump if at the half-cycle</t>
  </si>
  <si>
    <t>point.</t>
  </si>
  <si>
    <t>After a full cycle the DE register pair is tested.</t>
  </si>
  <si>
    <t>Jump forward if the last</t>
  </si>
  <si>
    <t>complete pass has been</t>
  </si>
  <si>
    <t>made already.</t>
  </si>
  <si>
    <t>Fetch the saved value.</t>
  </si>
  <si>
    <t>Reset the C register.</t>
  </si>
  <si>
    <t>Decrease the pass counter.</t>
  </si>
  <si>
    <t>Jump back to the required starting location of the loop.</t>
  </si>
  <si>
    <t>The parameters for the second half-cycle are set up.</t>
  </si>
  <si>
    <t>Add '16' T states as this path is shorter.</t>
  </si>
  <si>
    <t>Jump back.</t>
  </si>
  <si>
    <t>Enable interrupt.</t>
  </si>
  <si>
    <t>Finally return.</t>
  </si>
  <si>
    <t>Upon completion of the 'beep' the maskable interrupt has to be enabled.</t>
  </si>
  <si>
    <t>THE 'BEEPER' SUBROUTINE</t>
  </si>
  <si>
    <t>i.e. For the note 'middle C' to be produced for one second DE holds +0105 (INT(261.3 * 1)) and HL holds +066A (derived from 6,689/4 - 30.125).</t>
  </si>
  <si>
    <t>This subroutine is entered with the DE register pair holding the value 'f*t', where a note of given frequency 'f' is to have a duration of 't' seconds,</t>
  </si>
  <si>
    <t xml:space="preserve"> and the HL register pair holding a value equal to the number of T states in the 'timing loop' divided by '4'.</t>
  </si>
  <si>
    <t>DE</t>
  </si>
  <si>
    <t>L</t>
  </si>
  <si>
    <t>HL</t>
  </si>
  <si>
    <t>number of T states in timing loop divided by 4</t>
  </si>
  <si>
    <t>T state</t>
  </si>
  <si>
    <t>ms</t>
  </si>
  <si>
    <t>frequency * time (in seconds)</t>
  </si>
  <si>
    <t>0105</t>
  </si>
  <si>
    <t>Hex</t>
  </si>
  <si>
    <t>Dec</t>
  </si>
  <si>
    <t>LD A,L</t>
  </si>
  <si>
    <t xml:space="preserve">H </t>
  </si>
  <si>
    <t>06</t>
  </si>
  <si>
    <t>6A</t>
  </si>
  <si>
    <t>Frequency</t>
  </si>
  <si>
    <t>2 * note frequency</t>
  </si>
  <si>
    <t>3.5MHz/(2 * note frequency)</t>
  </si>
  <si>
    <t>3.5MHz/(2 * #t-states)</t>
  </si>
  <si>
    <t>66A</t>
  </si>
  <si>
    <t>#t-states</t>
  </si>
  <si>
    <t>overhead</t>
  </si>
  <si>
    <t>61A</t>
  </si>
  <si>
    <t>1A</t>
  </si>
  <si>
    <t>LD A,10</t>
  </si>
  <si>
    <t>OUT (FE),A</t>
  </si>
  <si>
    <t>PUSH BC</t>
  </si>
  <si>
    <t>DJNZ A3AF</t>
  </si>
  <si>
    <t>POP BC</t>
  </si>
  <si>
    <t>XOR A</t>
  </si>
  <si>
    <t>DJNZ A3B6</t>
  </si>
  <si>
    <t>JR NZ, MakeSound</t>
  </si>
  <si>
    <t>MakeSound</t>
  </si>
  <si>
    <t>A3B6</t>
  </si>
  <si>
    <t>A3AF</t>
  </si>
  <si>
    <t>A3AA</t>
  </si>
  <si>
    <t>A3AC</t>
  </si>
  <si>
    <t>A3AE</t>
  </si>
  <si>
    <t>A3BA</t>
  </si>
  <si>
    <t>A3B1</t>
  </si>
  <si>
    <t>A3B2</t>
  </si>
  <si>
    <t>A3B3</t>
  </si>
  <si>
    <t>A3B4</t>
  </si>
  <si>
    <t>A3B9</t>
  </si>
  <si>
    <t>A3BC</t>
  </si>
  <si>
    <t>A3B8</t>
  </si>
  <si>
    <t>Border</t>
  </si>
  <si>
    <t>Mic</t>
  </si>
  <si>
    <t>Ear</t>
  </si>
  <si>
    <t>1=off</t>
  </si>
  <si>
    <t>0=on</t>
  </si>
  <si>
    <t>0=off</t>
  </si>
  <si>
    <t>1=on</t>
  </si>
  <si>
    <t>turn on speaker</t>
  </si>
  <si>
    <t>store BC</t>
  </si>
  <si>
    <t>restore BC</t>
  </si>
  <si>
    <t>turn off speaker</t>
  </si>
  <si>
    <t>dec C</t>
  </si>
  <si>
    <t>C !=0 loop</t>
  </si>
  <si>
    <t>return</t>
  </si>
  <si>
    <t>Port FE</t>
  </si>
  <si>
    <t>A3C0</t>
  </si>
  <si>
    <t>dec B until 0</t>
  </si>
  <si>
    <t>Total # t-states</t>
  </si>
  <si>
    <t>#t-states per loop</t>
  </si>
  <si>
    <t>A3FB</t>
  </si>
  <si>
    <t>A418</t>
  </si>
  <si>
    <t>A46B</t>
  </si>
  <si>
    <t>A49D</t>
  </si>
  <si>
    <t>Frequency (Hz)</t>
  </si>
  <si>
    <t># t-states per loop</t>
  </si>
  <si>
    <t>clock</t>
  </si>
  <si>
    <t>Nasty dies</t>
  </si>
  <si>
    <t>Entering room</t>
  </si>
  <si>
    <t>Nasty hits player</t>
  </si>
  <si>
    <t>Pick up object</t>
  </si>
  <si>
    <t>Weapon hits wall</t>
  </si>
  <si>
    <t>Pick up health item</t>
  </si>
  <si>
    <t>5D10</t>
  </si>
  <si>
    <t>4C0F</t>
  </si>
  <si>
    <t>4D0E</t>
  </si>
  <si>
    <t>5F10</t>
  </si>
  <si>
    <t>4E0D</t>
  </si>
  <si>
    <t>4F0C</t>
  </si>
  <si>
    <t>480B</t>
  </si>
  <si>
    <t>490A</t>
  </si>
  <si>
    <t>Player walking 1</t>
  </si>
  <si>
    <t>Player walking 2</t>
  </si>
  <si>
    <t>Drop Object</t>
  </si>
  <si>
    <t>F709</t>
  </si>
  <si>
    <t>FF08</t>
  </si>
  <si>
    <t>8F06</t>
  </si>
  <si>
    <t>9F04</t>
  </si>
  <si>
    <t>A703</t>
  </si>
  <si>
    <t>AF02</t>
  </si>
  <si>
    <t>B701</t>
  </si>
  <si>
    <t>Beep</t>
  </si>
  <si>
    <t>A420</t>
  </si>
  <si>
    <t>A431</t>
  </si>
  <si>
    <t>A43E</t>
  </si>
  <si>
    <t>0601</t>
  </si>
  <si>
    <t>Falling Screen</t>
  </si>
  <si>
    <t>to</t>
  </si>
  <si>
    <t>0501</t>
  </si>
  <si>
    <t>0401</t>
  </si>
  <si>
    <t>0301</t>
  </si>
  <si>
    <t>0201</t>
  </si>
  <si>
    <t>0101</t>
  </si>
  <si>
    <t>8001 (x15)</t>
  </si>
  <si>
    <t>A456</t>
  </si>
  <si>
    <t>A=0x10</t>
  </si>
  <si>
    <t>A=0x00</t>
  </si>
  <si>
    <t>A3C5</t>
  </si>
  <si>
    <t>A3D6</t>
  </si>
  <si>
    <t>A3DE</t>
  </si>
  <si>
    <t>A3E3</t>
  </si>
  <si>
    <t>Player initialised</t>
  </si>
  <si>
    <t>Player terminated</t>
  </si>
  <si>
    <t>7F10</t>
  </si>
  <si>
    <t>7D10</t>
  </si>
  <si>
    <t>7B10</t>
  </si>
  <si>
    <t>6F10</t>
  </si>
  <si>
    <t>6D10</t>
  </si>
  <si>
    <t>6B10</t>
  </si>
  <si>
    <t>A46E</t>
  </si>
  <si>
    <t>A471</t>
  </si>
  <si>
    <t>A474</t>
  </si>
  <si>
    <t>A475</t>
  </si>
  <si>
    <t>A476</t>
  </si>
  <si>
    <t>A477</t>
  </si>
  <si>
    <t>A479</t>
  </si>
  <si>
    <t>A47A</t>
  </si>
  <si>
    <t>A47C</t>
  </si>
  <si>
    <t>A47E</t>
  </si>
  <si>
    <t>A480</t>
  </si>
  <si>
    <t>A481</t>
  </si>
  <si>
    <t>A482</t>
  </si>
  <si>
    <t>A484</t>
  </si>
  <si>
    <t>DoorSound</t>
  </si>
  <si>
    <t>JR NZ,DoorSound</t>
  </si>
  <si>
    <t>LD BC,0830</t>
  </si>
  <si>
    <t>LD HL,0000</t>
  </si>
  <si>
    <t>LD E,(HL)</t>
  </si>
  <si>
    <t>INC HL</t>
  </si>
  <si>
    <t>RRC E</t>
  </si>
  <si>
    <t>LD A,E</t>
  </si>
  <si>
    <t>DJNZ A477</t>
  </si>
  <si>
    <t>BC=0830H</t>
  </si>
  <si>
    <t>HL=0000H</t>
  </si>
  <si>
    <t>HL++</t>
  </si>
  <si>
    <t>A=E</t>
  </si>
  <si>
    <t>E=F3</t>
  </si>
  <si>
    <t>3F01</t>
  </si>
  <si>
    <t>3D01</t>
  </si>
  <si>
    <t>3B01</t>
  </si>
  <si>
    <t>2F01</t>
  </si>
  <si>
    <t>2D01</t>
  </si>
  <si>
    <t>2B01</t>
  </si>
  <si>
    <t>4A09</t>
  </si>
  <si>
    <t>4B08</t>
  </si>
  <si>
    <t>Weapon removed</t>
  </si>
  <si>
    <t>x1</t>
  </si>
  <si>
    <t>x6</t>
  </si>
  <si>
    <t>Start beeps</t>
  </si>
  <si>
    <t>18 frames</t>
  </si>
  <si>
    <t>15 frames</t>
  </si>
  <si>
    <t>9 frames</t>
  </si>
  <si>
    <t>16 frames</t>
  </si>
  <si>
    <t>DA01 (x8)</t>
  </si>
  <si>
    <t>1 frame</t>
  </si>
  <si>
    <t>Done</t>
  </si>
  <si>
    <t>x15</t>
  </si>
  <si>
    <t>x9</t>
  </si>
  <si>
    <t>x18 x4</t>
  </si>
  <si>
    <t>x18</t>
  </si>
  <si>
    <t>x16</t>
  </si>
  <si>
    <t>x12</t>
  </si>
  <si>
    <t>AND 10</t>
  </si>
  <si>
    <t>Rotate E with Carry</t>
  </si>
  <si>
    <t>Open/Close Door</t>
  </si>
  <si>
    <t>08</t>
  </si>
  <si>
    <t>0830</t>
  </si>
  <si>
    <t>A=10H or 00H</t>
  </si>
  <si>
    <t>Piano</t>
  </si>
  <si>
    <t>Calculaion ZxSpectrum to frequency</t>
  </si>
  <si>
    <t>Pitch</t>
  </si>
  <si>
    <t>Zx Spectrum pitch</t>
  </si>
  <si>
    <t>Wavelength</t>
  </si>
  <si>
    <t>Status</t>
  </si>
  <si>
    <t>Frames</t>
  </si>
  <si>
    <t>Sound</t>
  </si>
  <si>
    <t>Description</t>
  </si>
  <si>
    <t>Addr</t>
  </si>
  <si>
    <t>Code</t>
  </si>
  <si>
    <t>Wizard fire weapon</t>
  </si>
  <si>
    <t>Knight fire weapon</t>
  </si>
  <si>
    <t>Serf fire weapon</t>
  </si>
  <si>
    <t>EF01</t>
  </si>
  <si>
    <t>F101</t>
  </si>
  <si>
    <t>F301</t>
  </si>
  <si>
    <t>F501</t>
  </si>
  <si>
    <t>F701</t>
  </si>
  <si>
    <t>F901</t>
  </si>
  <si>
    <t>FB01</t>
  </si>
  <si>
    <t>FD01</t>
  </si>
  <si>
    <t>x8</t>
  </si>
  <si>
    <t>1D01</t>
  </si>
  <si>
    <t>EC01</t>
  </si>
  <si>
    <t>FC01</t>
  </si>
  <si>
    <t>CC01</t>
  </si>
  <si>
    <t>DC01</t>
  </si>
  <si>
    <t>AC01</t>
  </si>
  <si>
    <t>BC01</t>
  </si>
  <si>
    <t>8C01</t>
  </si>
  <si>
    <t>9C01</t>
  </si>
  <si>
    <t>6C01</t>
  </si>
  <si>
    <t>7C01</t>
  </si>
  <si>
    <t>4C01</t>
  </si>
  <si>
    <t>5C01</t>
  </si>
  <si>
    <t>2C01</t>
  </si>
  <si>
    <t>3C01</t>
  </si>
  <si>
    <t>0C01</t>
  </si>
  <si>
    <t>???</t>
  </si>
  <si>
    <t>speed/async</t>
  </si>
  <si>
    <t>async</t>
  </si>
  <si>
    <t>Open/Close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</si>
</sst>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left" indent="5"/>
    </xf>
    <xf numFmtId="0" fontId="0" fillId="0" borderId="0" xfId="0" applyFill="1"/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/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tabSelected="1" topLeftCell="G1" zoomScaleNormal="100" workbookViewId="0">
      <selection activeCell="L19" sqref="L19"/>
    </sheetView>
  </sheetViews>
  <sheetFormatPr defaultRowHeight="15" x14ac:dyDescent="0.25"/>
  <cols>
    <col min="1" max="1" width="11.42578125" bestFit="1" customWidth="1"/>
    <col min="2" max="2" width="5.85546875" bestFit="1" customWidth="1"/>
    <col min="3" max="3" width="17.42578125" bestFit="1" customWidth="1"/>
    <col min="4" max="4" width="8.7109375" bestFit="1" customWidth="1"/>
    <col min="5" max="5" width="18" bestFit="1" customWidth="1"/>
    <col min="6" max="6" width="12" bestFit="1" customWidth="1"/>
    <col min="8" max="8" width="16.42578125" bestFit="1" customWidth="1"/>
    <col min="9" max="9" width="5.5703125" bestFit="1" customWidth="1"/>
    <col min="10" max="10" width="6.42578125" bestFit="1" customWidth="1"/>
    <col min="11" max="11" width="16.28515625" bestFit="1" customWidth="1"/>
    <col min="12" max="12" width="18.5703125" bestFit="1" customWidth="1"/>
    <col min="13" max="13" width="12.140625" bestFit="1" customWidth="1"/>
    <col min="14" max="14" width="6.42578125" bestFit="1" customWidth="1"/>
    <col min="15" max="15" width="10.42578125" bestFit="1" customWidth="1"/>
    <col min="16" max="16" width="13.140625" bestFit="1" customWidth="1"/>
    <col min="17" max="17" width="11.5703125" bestFit="1" customWidth="1"/>
    <col min="18" max="18" width="17.28515625" bestFit="1" customWidth="1"/>
    <col min="19" max="19" width="14.140625" bestFit="1" customWidth="1"/>
    <col min="20" max="20" width="14.42578125" bestFit="1" customWidth="1"/>
    <col min="21" max="21" width="13.28515625" bestFit="1" customWidth="1"/>
    <col min="22" max="24" width="5.28515625" bestFit="1" customWidth="1"/>
    <col min="25" max="30" width="5.140625" bestFit="1" customWidth="1"/>
    <col min="31" max="32" width="5.28515625" bestFit="1" customWidth="1"/>
    <col min="33" max="37" width="4" bestFit="1" customWidth="1"/>
  </cols>
  <sheetData>
    <row r="1" spans="1:39" x14ac:dyDescent="0.25">
      <c r="B1" s="1" t="s">
        <v>317</v>
      </c>
      <c r="C1" s="1" t="s">
        <v>318</v>
      </c>
      <c r="D1" s="1" t="s">
        <v>145</v>
      </c>
      <c r="E1" s="1" t="s">
        <v>316</v>
      </c>
      <c r="F1" s="1" t="s">
        <v>145</v>
      </c>
      <c r="H1" s="36" t="s">
        <v>157</v>
      </c>
      <c r="I1" s="36" t="s">
        <v>317</v>
      </c>
      <c r="J1" s="36" t="s">
        <v>313</v>
      </c>
      <c r="K1" s="36"/>
      <c r="L1" s="39" t="s">
        <v>315</v>
      </c>
      <c r="M1" s="39" t="s">
        <v>314</v>
      </c>
      <c r="N1" s="39"/>
      <c r="O1" s="39" t="s">
        <v>22</v>
      </c>
      <c r="P1" s="39" t="s">
        <v>23</v>
      </c>
      <c r="Q1" s="39" t="s">
        <v>24</v>
      </c>
      <c r="R1" s="39" t="s">
        <v>195</v>
      </c>
      <c r="S1" s="39" t="s">
        <v>188</v>
      </c>
      <c r="T1" s="39" t="s">
        <v>194</v>
      </c>
      <c r="U1" s="39" t="s">
        <v>25</v>
      </c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9" x14ac:dyDescent="0.25">
      <c r="A2" s="14" t="s">
        <v>157</v>
      </c>
      <c r="B2" t="s">
        <v>160</v>
      </c>
      <c r="C2" t="s">
        <v>149</v>
      </c>
      <c r="D2">
        <v>7</v>
      </c>
      <c r="E2" t="s">
        <v>235</v>
      </c>
      <c r="F2">
        <v>7</v>
      </c>
      <c r="I2" t="s">
        <v>186</v>
      </c>
      <c r="J2" s="42" t="s">
        <v>295</v>
      </c>
      <c r="K2" s="42"/>
      <c r="L2" s="8" t="s">
        <v>200</v>
      </c>
      <c r="M2" s="27" t="s">
        <v>294</v>
      </c>
      <c r="N2" s="27" t="s">
        <v>286</v>
      </c>
      <c r="O2" s="6">
        <v>4040</v>
      </c>
      <c r="P2" s="6">
        <v>40</v>
      </c>
      <c r="Q2" s="6">
        <v>40</v>
      </c>
      <c r="R2" s="6">
        <f>2*((HEX2DEC(P2)-1)*13+8)+$F$15</f>
        <v>1745</v>
      </c>
      <c r="S2" s="6">
        <f>R2*HEX2DEC(Q2)</f>
        <v>111680</v>
      </c>
      <c r="T2" s="28">
        <f>$F$17/R2</f>
        <v>2005.7306590257879</v>
      </c>
      <c r="U2" s="29">
        <f>$F$18*S2</f>
        <v>31.908571428571424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B3" t="s">
        <v>161</v>
      </c>
      <c r="C3" t="s">
        <v>150</v>
      </c>
      <c r="D3">
        <v>11</v>
      </c>
      <c r="E3" t="s">
        <v>178</v>
      </c>
      <c r="F3">
        <v>11</v>
      </c>
      <c r="I3" t="s">
        <v>237</v>
      </c>
      <c r="J3" s="42" t="s">
        <v>295</v>
      </c>
      <c r="K3" s="42"/>
      <c r="L3" s="8" t="s">
        <v>213</v>
      </c>
      <c r="M3" s="27" t="s">
        <v>294</v>
      </c>
      <c r="N3" s="27" t="s">
        <v>286</v>
      </c>
      <c r="O3" s="6">
        <v>2080</v>
      </c>
      <c r="P3" s="6">
        <v>20</v>
      </c>
      <c r="Q3" s="6">
        <v>80</v>
      </c>
      <c r="R3" s="6">
        <f>2*((HEX2DEC(P3)-1)*13+8)+$F$15</f>
        <v>913</v>
      </c>
      <c r="S3" s="6">
        <f>R3*HEX2DEC(Q3)</f>
        <v>116864</v>
      </c>
      <c r="T3" s="28">
        <f>$F$17/R3</f>
        <v>3833.5158817086526</v>
      </c>
      <c r="U3" s="29">
        <f>$F$18*S3</f>
        <v>33.389714285714284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B4" t="s">
        <v>162</v>
      </c>
      <c r="C4" t="s">
        <v>151</v>
      </c>
      <c r="D4">
        <v>11</v>
      </c>
      <c r="E4" t="s">
        <v>179</v>
      </c>
      <c r="F4">
        <v>11</v>
      </c>
      <c r="I4" t="s">
        <v>238</v>
      </c>
      <c r="J4" s="42" t="s">
        <v>295</v>
      </c>
      <c r="K4" s="42"/>
      <c r="L4" s="8" t="s">
        <v>211</v>
      </c>
      <c r="M4" s="35" t="s">
        <v>348</v>
      </c>
      <c r="N4" t="s">
        <v>286</v>
      </c>
      <c r="O4" s="6">
        <v>4004</v>
      </c>
      <c r="P4" s="6">
        <v>40</v>
      </c>
      <c r="Q4" s="6">
        <v>4</v>
      </c>
      <c r="R4" s="6">
        <f>2*((HEX2DEC(P4)-1)*13+8)+$F$15</f>
        <v>1745</v>
      </c>
      <c r="S4" s="6">
        <f>R4*HEX2DEC(Q4)</f>
        <v>6980</v>
      </c>
      <c r="T4" s="28">
        <f>$F$17/R4</f>
        <v>2005.7306590257879</v>
      </c>
      <c r="U4" s="29">
        <f>$F$18*S4</f>
        <v>1.994285714285714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B5" s="10" t="s">
        <v>159</v>
      </c>
      <c r="C5" s="10" t="s">
        <v>152</v>
      </c>
      <c r="D5">
        <v>13</v>
      </c>
      <c r="E5" t="s">
        <v>187</v>
      </c>
      <c r="I5" t="s">
        <v>239</v>
      </c>
      <c r="J5" s="42" t="s">
        <v>295</v>
      </c>
      <c r="K5" s="42"/>
      <c r="L5" s="8" t="s">
        <v>212</v>
      </c>
      <c r="M5" s="35" t="s">
        <v>348</v>
      </c>
      <c r="N5" t="s">
        <v>286</v>
      </c>
      <c r="O5" s="6">
        <v>6004</v>
      </c>
      <c r="P5" s="6">
        <v>60</v>
      </c>
      <c r="Q5" s="6">
        <v>4</v>
      </c>
      <c r="R5" s="6">
        <f>2*((HEX2DEC(P5)-1)*13+8)+$F$15</f>
        <v>2577</v>
      </c>
      <c r="S5" s="6">
        <f>R5*HEX2DEC(Q5)</f>
        <v>10308</v>
      </c>
      <c r="T5" s="28">
        <f>$F$17/R5</f>
        <v>1358.1684128831976</v>
      </c>
      <c r="U5" s="29">
        <f>$F$18*S5</f>
        <v>2.9451428571428568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B6" t="s">
        <v>164</v>
      </c>
      <c r="C6" t="s">
        <v>153</v>
      </c>
      <c r="D6">
        <v>10</v>
      </c>
      <c r="E6" t="s">
        <v>180</v>
      </c>
      <c r="F6">
        <v>10</v>
      </c>
      <c r="I6" t="s">
        <v>240</v>
      </c>
      <c r="J6" s="42" t="s">
        <v>295</v>
      </c>
      <c r="K6" s="42"/>
      <c r="L6" s="8" t="s">
        <v>288</v>
      </c>
      <c r="M6" s="27"/>
      <c r="N6" s="35" t="s">
        <v>287</v>
      </c>
      <c r="O6" s="6">
        <v>8060</v>
      </c>
      <c r="P6" s="6">
        <v>80</v>
      </c>
      <c r="Q6" s="6">
        <v>60</v>
      </c>
      <c r="R6" s="6">
        <f>2*((HEX2DEC(P6)-1)*13+8)+$F$15</f>
        <v>3409</v>
      </c>
      <c r="S6" s="6">
        <f>R6*HEX2DEC(Q6)</f>
        <v>327264</v>
      </c>
      <c r="T6" s="28">
        <f>$F$17/R6</f>
        <v>1026.6940451745379</v>
      </c>
      <c r="U6" s="29">
        <f>$F$18*S6</f>
        <v>93.503999999999991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B7" t="s">
        <v>165</v>
      </c>
      <c r="C7" t="s">
        <v>151</v>
      </c>
      <c r="D7">
        <v>11</v>
      </c>
      <c r="E7" t="s">
        <v>179</v>
      </c>
      <c r="F7">
        <v>11</v>
      </c>
      <c r="I7" t="s">
        <v>190</v>
      </c>
      <c r="J7" s="42" t="s">
        <v>295</v>
      </c>
      <c r="K7" s="42" t="s">
        <v>350</v>
      </c>
      <c r="L7" s="33" t="s">
        <v>199</v>
      </c>
      <c r="M7" s="34" t="s">
        <v>290</v>
      </c>
      <c r="N7" s="34" t="s">
        <v>296</v>
      </c>
      <c r="O7" s="6" t="s">
        <v>204</v>
      </c>
      <c r="P7" s="6" t="s">
        <v>205</v>
      </c>
      <c r="Q7" s="6" t="s">
        <v>207</v>
      </c>
      <c r="R7" s="6" t="s">
        <v>208</v>
      </c>
      <c r="S7" s="6" t="s">
        <v>209</v>
      </c>
      <c r="T7" s="28" t="s">
        <v>210</v>
      </c>
      <c r="U7" s="29" t="s">
        <v>283</v>
      </c>
      <c r="V7" s="6" t="s">
        <v>284</v>
      </c>
      <c r="W7" s="6">
        <v>4407</v>
      </c>
      <c r="X7" s="6">
        <v>4506</v>
      </c>
      <c r="Y7" s="6">
        <v>4605</v>
      </c>
      <c r="Z7" s="6">
        <v>4704</v>
      </c>
      <c r="AA7" s="6">
        <v>4003</v>
      </c>
      <c r="AB7" s="6">
        <v>4102</v>
      </c>
      <c r="AC7" s="6">
        <v>4201</v>
      </c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x14ac:dyDescent="0.25">
      <c r="B8" t="s">
        <v>166</v>
      </c>
      <c r="C8" t="s">
        <v>154</v>
      </c>
      <c r="D8">
        <v>4</v>
      </c>
      <c r="E8" t="s">
        <v>236</v>
      </c>
      <c r="F8">
        <v>4</v>
      </c>
      <c r="I8" t="s">
        <v>191</v>
      </c>
      <c r="J8" s="42" t="s">
        <v>295</v>
      </c>
      <c r="K8" s="42" t="s">
        <v>350</v>
      </c>
      <c r="L8" s="33" t="s">
        <v>198</v>
      </c>
      <c r="M8" s="34" t="s">
        <v>291</v>
      </c>
      <c r="N8" s="34" t="s">
        <v>297</v>
      </c>
      <c r="O8" s="6" t="s">
        <v>214</v>
      </c>
      <c r="P8" s="6" t="s">
        <v>215</v>
      </c>
      <c r="Q8" s="6">
        <v>8707</v>
      </c>
      <c r="R8" s="6" t="s">
        <v>216</v>
      </c>
      <c r="S8" s="6">
        <v>9705</v>
      </c>
      <c r="T8" s="6" t="s">
        <v>217</v>
      </c>
      <c r="U8" s="6" t="s">
        <v>218</v>
      </c>
      <c r="V8" s="6" t="s">
        <v>219</v>
      </c>
      <c r="W8" s="6" t="s">
        <v>220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B9" t="s">
        <v>167</v>
      </c>
      <c r="C9" t="s">
        <v>150</v>
      </c>
      <c r="D9">
        <v>11</v>
      </c>
      <c r="E9" t="s">
        <v>181</v>
      </c>
      <c r="F9">
        <v>11</v>
      </c>
      <c r="I9" t="s">
        <v>192</v>
      </c>
      <c r="J9" s="42" t="s">
        <v>295</v>
      </c>
      <c r="K9" s="42" t="s">
        <v>350</v>
      </c>
      <c r="L9" s="33" t="s">
        <v>241</v>
      </c>
      <c r="M9" s="34" t="s">
        <v>289</v>
      </c>
      <c r="N9" s="34" t="s">
        <v>298</v>
      </c>
      <c r="O9" s="30" t="s">
        <v>243</v>
      </c>
      <c r="P9" s="6" t="s">
        <v>244</v>
      </c>
      <c r="Q9" s="6" t="s">
        <v>245</v>
      </c>
      <c r="R9" s="6">
        <v>7910</v>
      </c>
      <c r="S9" s="6">
        <v>7710</v>
      </c>
      <c r="T9" s="29">
        <v>7510</v>
      </c>
      <c r="U9" s="6">
        <v>7310</v>
      </c>
      <c r="V9" s="6">
        <v>7110</v>
      </c>
      <c r="W9" s="6" t="s">
        <v>246</v>
      </c>
      <c r="X9" s="6" t="s">
        <v>247</v>
      </c>
      <c r="Y9" s="6" t="s">
        <v>248</v>
      </c>
      <c r="Z9" s="6">
        <v>6910</v>
      </c>
      <c r="AA9" s="6">
        <v>6710</v>
      </c>
      <c r="AB9" s="6">
        <v>6510</v>
      </c>
      <c r="AC9" s="6">
        <v>6310</v>
      </c>
      <c r="AD9" s="6">
        <v>6110</v>
      </c>
      <c r="AE9" s="6" t="s">
        <v>206</v>
      </c>
      <c r="AF9" s="6" t="s">
        <v>203</v>
      </c>
      <c r="AG9" s="6"/>
      <c r="AH9" s="6"/>
      <c r="AI9" s="6"/>
      <c r="AJ9" s="6"/>
      <c r="AK9" s="6"/>
      <c r="AL9" s="6"/>
      <c r="AM9" s="6"/>
    </row>
    <row r="10" spans="1:39" x14ac:dyDescent="0.25">
      <c r="B10" s="10" t="s">
        <v>158</v>
      </c>
      <c r="C10" s="10" t="s">
        <v>155</v>
      </c>
      <c r="D10">
        <v>13</v>
      </c>
      <c r="E10" t="s">
        <v>187</v>
      </c>
      <c r="J10" s="42" t="s">
        <v>295</v>
      </c>
      <c r="K10" s="42" t="s">
        <v>350</v>
      </c>
      <c r="L10" s="33" t="s">
        <v>242</v>
      </c>
      <c r="M10" s="34" t="s">
        <v>289</v>
      </c>
      <c r="N10" s="34" t="s">
        <v>299</v>
      </c>
      <c r="O10" s="6" t="s">
        <v>203</v>
      </c>
      <c r="P10" s="6" t="s">
        <v>206</v>
      </c>
      <c r="Q10" s="6">
        <v>6110</v>
      </c>
      <c r="R10" s="6">
        <v>6310</v>
      </c>
      <c r="S10" s="6">
        <v>6510</v>
      </c>
      <c r="T10" s="6">
        <v>6710</v>
      </c>
      <c r="U10" s="6">
        <v>6910</v>
      </c>
      <c r="V10" s="6" t="s">
        <v>248</v>
      </c>
      <c r="W10" s="6" t="s">
        <v>247</v>
      </c>
      <c r="X10" s="6" t="s">
        <v>246</v>
      </c>
      <c r="Y10" s="6">
        <v>7110</v>
      </c>
      <c r="Z10" s="6">
        <v>7310</v>
      </c>
      <c r="AA10" s="6">
        <v>7510</v>
      </c>
      <c r="AB10" s="6">
        <v>7710</v>
      </c>
      <c r="AC10" s="6">
        <v>7910</v>
      </c>
      <c r="AD10" s="6" t="s">
        <v>245</v>
      </c>
      <c r="AE10" s="6" t="s">
        <v>244</v>
      </c>
      <c r="AF10" s="6" t="s">
        <v>243</v>
      </c>
      <c r="AG10" s="6"/>
      <c r="AH10" s="6"/>
      <c r="AI10" s="6"/>
      <c r="AJ10" s="6"/>
      <c r="AK10" s="6"/>
      <c r="AL10" s="6"/>
      <c r="AM10" s="6"/>
    </row>
    <row r="11" spans="1:39" x14ac:dyDescent="0.25">
      <c r="B11" t="s">
        <v>170</v>
      </c>
      <c r="C11" t="s">
        <v>153</v>
      </c>
      <c r="D11">
        <v>10</v>
      </c>
      <c r="E11" t="s">
        <v>180</v>
      </c>
      <c r="F11">
        <v>10</v>
      </c>
      <c r="I11" t="s">
        <v>193</v>
      </c>
      <c r="J11" s="42" t="s">
        <v>295</v>
      </c>
      <c r="K11" s="42" t="s">
        <v>350</v>
      </c>
      <c r="L11" s="33" t="s">
        <v>202</v>
      </c>
      <c r="M11" s="34" t="s">
        <v>292</v>
      </c>
      <c r="N11" s="34" t="s">
        <v>300</v>
      </c>
      <c r="O11" s="6">
        <v>1008</v>
      </c>
      <c r="P11" s="6">
        <v>2008</v>
      </c>
      <c r="Q11" s="6">
        <v>3008</v>
      </c>
      <c r="R11" s="6">
        <v>4008</v>
      </c>
      <c r="S11" s="6">
        <v>5008</v>
      </c>
      <c r="T11" s="6">
        <v>6008</v>
      </c>
      <c r="U11" s="29">
        <v>7008</v>
      </c>
      <c r="V11" s="6">
        <v>8008</v>
      </c>
      <c r="W11" s="6">
        <v>9008</v>
      </c>
      <c r="X11" s="6">
        <v>8008</v>
      </c>
      <c r="Y11" s="6">
        <v>9008</v>
      </c>
      <c r="Z11" s="6">
        <v>8008</v>
      </c>
      <c r="AA11" s="6">
        <v>9008</v>
      </c>
      <c r="AB11" s="6">
        <v>8008</v>
      </c>
      <c r="AC11" s="6">
        <v>9008</v>
      </c>
      <c r="AD11" s="6">
        <v>8008</v>
      </c>
      <c r="AE11" s="6"/>
      <c r="AF11" s="6"/>
      <c r="AG11" s="6"/>
      <c r="AH11" s="6"/>
      <c r="AI11" s="6"/>
      <c r="AJ11" s="6"/>
      <c r="AK11" s="6"/>
      <c r="AL11" s="6"/>
      <c r="AM11" s="6"/>
    </row>
    <row r="12" spans="1:39" x14ac:dyDescent="0.25">
      <c r="B12" t="s">
        <v>168</v>
      </c>
      <c r="C12" t="s">
        <v>42</v>
      </c>
      <c r="D12">
        <v>4</v>
      </c>
      <c r="E12" t="s">
        <v>182</v>
      </c>
      <c r="F12">
        <v>4</v>
      </c>
      <c r="AG12" s="6"/>
      <c r="AH12" s="6"/>
      <c r="AI12" s="6"/>
      <c r="AJ12" s="6"/>
      <c r="AK12" s="6"/>
      <c r="AL12" s="6"/>
      <c r="AM12" s="6"/>
    </row>
    <row r="13" spans="1:39" x14ac:dyDescent="0.25">
      <c r="B13" t="s">
        <v>163</v>
      </c>
      <c r="C13" s="14" t="s">
        <v>156</v>
      </c>
      <c r="D13">
        <v>12</v>
      </c>
      <c r="E13" t="s">
        <v>183</v>
      </c>
      <c r="F13">
        <v>12</v>
      </c>
      <c r="H13" s="36" t="s">
        <v>221</v>
      </c>
      <c r="I13" s="36" t="s">
        <v>317</v>
      </c>
      <c r="J13" s="36" t="s">
        <v>313</v>
      </c>
      <c r="K13" s="36"/>
      <c r="L13" s="39" t="s">
        <v>315</v>
      </c>
      <c r="M13" s="39" t="s">
        <v>314</v>
      </c>
      <c r="N13" s="39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6"/>
      <c r="AH13" s="6"/>
      <c r="AI13" s="6"/>
      <c r="AJ13" s="6"/>
      <c r="AK13" s="6"/>
      <c r="AL13" s="6"/>
      <c r="AM13" s="6"/>
    </row>
    <row r="14" spans="1:39" ht="15.75" thickBot="1" x14ac:dyDescent="0.3">
      <c r="B14" t="s">
        <v>169</v>
      </c>
      <c r="C14" t="s">
        <v>59</v>
      </c>
      <c r="D14">
        <v>10</v>
      </c>
      <c r="E14" t="s">
        <v>184</v>
      </c>
      <c r="F14" s="41"/>
      <c r="I14" s="15">
        <v>9750</v>
      </c>
      <c r="J14" s="42" t="s">
        <v>295</v>
      </c>
      <c r="K14" s="42"/>
      <c r="L14" s="8" t="s">
        <v>226</v>
      </c>
      <c r="M14" t="s">
        <v>349</v>
      </c>
      <c r="O14" s="6" t="s">
        <v>233</v>
      </c>
      <c r="P14" s="6" t="s">
        <v>227</v>
      </c>
      <c r="Q14" s="31" t="s">
        <v>293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.75" thickTop="1" x14ac:dyDescent="0.25">
      <c r="E15" s="1" t="s">
        <v>189</v>
      </c>
      <c r="F15" s="1">
        <f>SUM(F2:F13)</f>
        <v>91</v>
      </c>
      <c r="I15" t="s">
        <v>222</v>
      </c>
      <c r="J15" s="42" t="s">
        <v>295</v>
      </c>
      <c r="K15" s="42"/>
      <c r="L15" s="8" t="s">
        <v>320</v>
      </c>
      <c r="M15" s="27" t="s">
        <v>294</v>
      </c>
      <c r="N15" s="27" t="s">
        <v>301</v>
      </c>
      <c r="O15" s="30" t="s">
        <v>225</v>
      </c>
      <c r="P15" s="6">
        <v>8501</v>
      </c>
      <c r="Q15" s="30" t="s">
        <v>228</v>
      </c>
      <c r="R15" s="6">
        <v>8401</v>
      </c>
      <c r="S15" s="30" t="s">
        <v>229</v>
      </c>
      <c r="T15" s="6">
        <v>8301</v>
      </c>
      <c r="U15" s="30" t="s">
        <v>230</v>
      </c>
      <c r="V15" s="6">
        <v>8201</v>
      </c>
      <c r="W15" s="30" t="s">
        <v>231</v>
      </c>
      <c r="X15" s="6">
        <v>8101</v>
      </c>
      <c r="Y15" s="30" t="s">
        <v>232</v>
      </c>
      <c r="Z15" s="6">
        <v>8001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x14ac:dyDescent="0.25">
      <c r="I16" s="42" t="s">
        <v>223</v>
      </c>
      <c r="J16" s="42" t="s">
        <v>295</v>
      </c>
      <c r="K16" s="42"/>
      <c r="L16" s="17" t="s">
        <v>321</v>
      </c>
      <c r="M16" s="27" t="s">
        <v>294</v>
      </c>
      <c r="N16" s="27" t="s">
        <v>300</v>
      </c>
      <c r="O16" s="43" t="s">
        <v>331</v>
      </c>
      <c r="P16" s="6" t="s">
        <v>332</v>
      </c>
      <c r="Q16" s="6" t="s">
        <v>333</v>
      </c>
      <c r="R16" s="6" t="s">
        <v>334</v>
      </c>
      <c r="S16" s="6" t="s">
        <v>335</v>
      </c>
      <c r="T16" s="6" t="s">
        <v>336</v>
      </c>
      <c r="U16" s="6" t="s">
        <v>337</v>
      </c>
      <c r="V16" s="6" t="s">
        <v>338</v>
      </c>
      <c r="W16" s="6" t="s">
        <v>339</v>
      </c>
      <c r="X16" s="6" t="s">
        <v>340</v>
      </c>
      <c r="Y16" s="6" t="s">
        <v>341</v>
      </c>
      <c r="Z16" s="6" t="s">
        <v>342</v>
      </c>
      <c r="AA16" s="6" t="s">
        <v>343</v>
      </c>
      <c r="AB16" s="6" t="s">
        <v>344</v>
      </c>
      <c r="AC16" s="6" t="s">
        <v>345</v>
      </c>
      <c r="AD16" s="6" t="s">
        <v>346</v>
      </c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E17" t="s">
        <v>196</v>
      </c>
      <c r="F17" s="5">
        <v>3500000</v>
      </c>
      <c r="I17" s="42" t="s">
        <v>224</v>
      </c>
      <c r="J17" s="42" t="s">
        <v>295</v>
      </c>
      <c r="K17" s="42"/>
      <c r="L17" s="8" t="s">
        <v>319</v>
      </c>
      <c r="M17" s="27" t="s">
        <v>294</v>
      </c>
      <c r="N17" s="27" t="s">
        <v>330</v>
      </c>
      <c r="O17" s="6" t="s">
        <v>322</v>
      </c>
      <c r="P17" s="6" t="s">
        <v>323</v>
      </c>
      <c r="Q17" s="6" t="s">
        <v>324</v>
      </c>
      <c r="R17" s="6" t="s">
        <v>325</v>
      </c>
      <c r="S17" s="6" t="s">
        <v>326</v>
      </c>
      <c r="T17" s="6" t="s">
        <v>327</v>
      </c>
      <c r="U17" s="6" t="s">
        <v>328</v>
      </c>
      <c r="V17" s="6" t="s">
        <v>329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25">
      <c r="E18" t="s">
        <v>17</v>
      </c>
      <c r="F18">
        <f>1/F17*1000</f>
        <v>2.8571428571428568E-4</v>
      </c>
      <c r="I18" t="s">
        <v>234</v>
      </c>
      <c r="J18" s="42" t="s">
        <v>295</v>
      </c>
      <c r="K18" s="42"/>
      <c r="L18" s="33" t="s">
        <v>285</v>
      </c>
      <c r="M18" s="27" t="s">
        <v>294</v>
      </c>
      <c r="N18" t="s">
        <v>300</v>
      </c>
      <c r="O18" s="6" t="s">
        <v>277</v>
      </c>
      <c r="P18" s="6" t="s">
        <v>278</v>
      </c>
      <c r="Q18" s="6" t="s">
        <v>279</v>
      </c>
      <c r="R18" s="6">
        <v>3901</v>
      </c>
      <c r="S18" s="6">
        <v>3701</v>
      </c>
      <c r="T18" s="6">
        <v>3501</v>
      </c>
      <c r="U18" s="6">
        <v>3301</v>
      </c>
      <c r="V18" s="6">
        <v>3101</v>
      </c>
      <c r="W18" s="6" t="s">
        <v>280</v>
      </c>
      <c r="X18" s="6" t="s">
        <v>281</v>
      </c>
      <c r="Y18" s="6" t="s">
        <v>282</v>
      </c>
      <c r="Z18" s="6">
        <v>2901</v>
      </c>
      <c r="AA18" s="6">
        <v>2701</v>
      </c>
      <c r="AB18" s="6">
        <v>2501</v>
      </c>
      <c r="AC18" s="6">
        <v>2301</v>
      </c>
      <c r="AD18" s="6">
        <v>2101</v>
      </c>
      <c r="AE18" s="6"/>
      <c r="AF18" s="6"/>
      <c r="AG18" s="6"/>
      <c r="AH18" s="6"/>
      <c r="AI18" s="6"/>
      <c r="AJ18" s="6"/>
      <c r="AK18" s="6"/>
      <c r="AL18" s="6"/>
      <c r="AM18" s="6"/>
    </row>
    <row r="19" spans="1:39" x14ac:dyDescent="0.25">
      <c r="J19" s="42" t="s">
        <v>295</v>
      </c>
      <c r="K19" s="42" t="s">
        <v>350</v>
      </c>
      <c r="L19" s="8" t="s">
        <v>197</v>
      </c>
      <c r="M19" t="s">
        <v>292</v>
      </c>
      <c r="N19" t="s">
        <v>300</v>
      </c>
      <c r="O19" s="6" t="s">
        <v>277</v>
      </c>
      <c r="P19" s="6" t="s">
        <v>278</v>
      </c>
      <c r="Q19" s="6" t="s">
        <v>279</v>
      </c>
      <c r="R19" s="6">
        <v>3901</v>
      </c>
      <c r="S19" s="6">
        <v>3701</v>
      </c>
      <c r="T19" s="6">
        <v>3501</v>
      </c>
      <c r="U19" s="6">
        <v>3301</v>
      </c>
      <c r="V19" s="6">
        <v>3101</v>
      </c>
      <c r="W19" s="6" t="s">
        <v>280</v>
      </c>
      <c r="X19" s="6" t="s">
        <v>281</v>
      </c>
      <c r="Y19" s="6" t="s">
        <v>282</v>
      </c>
      <c r="Z19" s="6">
        <v>2901</v>
      </c>
      <c r="AA19" s="6">
        <v>2701</v>
      </c>
      <c r="AB19" s="6">
        <v>2501</v>
      </c>
      <c r="AC19" s="6">
        <v>2301</v>
      </c>
      <c r="AD19" s="6">
        <v>2101</v>
      </c>
      <c r="AE19" s="6"/>
      <c r="AF19" s="6"/>
      <c r="AG19" s="6"/>
      <c r="AH19" s="6"/>
      <c r="AI19" s="6"/>
      <c r="AJ19" s="6"/>
      <c r="AK19" s="6"/>
      <c r="AL19" s="6"/>
      <c r="AM19" s="6"/>
    </row>
    <row r="20" spans="1:39" x14ac:dyDescent="0.25">
      <c r="J20" s="42" t="s">
        <v>295</v>
      </c>
      <c r="K20" s="42"/>
      <c r="L20" s="33" t="s">
        <v>201</v>
      </c>
      <c r="M20" t="s">
        <v>347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32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H21" s="26"/>
      <c r="I21" s="26"/>
      <c r="J21" s="26"/>
      <c r="K21" s="26"/>
    </row>
    <row r="22" spans="1:39" x14ac:dyDescent="0.25">
      <c r="B22" s="1" t="s">
        <v>317</v>
      </c>
      <c r="C22" s="1" t="s">
        <v>318</v>
      </c>
      <c r="D22" s="1" t="s">
        <v>145</v>
      </c>
      <c r="E22" s="1" t="s">
        <v>316</v>
      </c>
      <c r="F22" s="1" t="s">
        <v>145</v>
      </c>
      <c r="H22" s="36" t="s">
        <v>304</v>
      </c>
      <c r="I22" s="37"/>
      <c r="J22" s="36" t="s">
        <v>313</v>
      </c>
      <c r="K22" s="36"/>
      <c r="L22" s="39" t="s">
        <v>315</v>
      </c>
      <c r="M22" s="39" t="s">
        <v>314</v>
      </c>
      <c r="N22" s="39"/>
      <c r="O22" s="39" t="s">
        <v>22</v>
      </c>
      <c r="P22" s="39" t="s">
        <v>23</v>
      </c>
      <c r="Q22" s="39" t="s">
        <v>24</v>
      </c>
      <c r="R22" s="39" t="s">
        <v>195</v>
      </c>
      <c r="S22" s="39" t="s">
        <v>188</v>
      </c>
      <c r="T22" s="39" t="s">
        <v>194</v>
      </c>
      <c r="U22" s="39" t="s">
        <v>25</v>
      </c>
      <c r="V22" s="40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9" x14ac:dyDescent="0.25">
      <c r="A23" s="27"/>
      <c r="B23" s="27" t="s">
        <v>249</v>
      </c>
      <c r="C23" s="27" t="s">
        <v>265</v>
      </c>
      <c r="D23">
        <v>10</v>
      </c>
      <c r="E23" t="s">
        <v>272</v>
      </c>
      <c r="F23">
        <v>10</v>
      </c>
      <c r="H23" s="26"/>
      <c r="J23" s="42" t="s">
        <v>295</v>
      </c>
      <c r="K23" s="42"/>
      <c r="L23" s="33" t="s">
        <v>304</v>
      </c>
      <c r="M23" t="s">
        <v>294</v>
      </c>
      <c r="N23" t="s">
        <v>286</v>
      </c>
      <c r="O23" s="30" t="s">
        <v>306</v>
      </c>
      <c r="P23" s="30" t="s">
        <v>305</v>
      </c>
      <c r="Q23" s="6">
        <v>30</v>
      </c>
      <c r="R23" s="6">
        <f>((HEX2DEC(P23)-1)*13+8)+$F$37</f>
        <v>197</v>
      </c>
      <c r="S23" s="6">
        <f>R23*HEX2DEC(Q23)</f>
        <v>9456</v>
      </c>
      <c r="T23" s="28">
        <f>$F$17/(2*R23)</f>
        <v>8883.2487309644675</v>
      </c>
      <c r="U23" s="29">
        <f>$F$18*S23</f>
        <v>2.7017142857142855</v>
      </c>
    </row>
    <row r="24" spans="1:39" x14ac:dyDescent="0.25">
      <c r="A24" s="27"/>
      <c r="B24" s="27" t="s">
        <v>250</v>
      </c>
      <c r="C24" t="s">
        <v>266</v>
      </c>
      <c r="D24">
        <v>10</v>
      </c>
      <c r="E24" t="s">
        <v>273</v>
      </c>
      <c r="F24">
        <v>10</v>
      </c>
      <c r="H24" s="26"/>
      <c r="I24" s="26"/>
      <c r="J24" s="26"/>
      <c r="K24" s="26"/>
    </row>
    <row r="25" spans="1:39" x14ac:dyDescent="0.25">
      <c r="A25" s="14" t="s">
        <v>263</v>
      </c>
      <c r="B25" s="27" t="s">
        <v>251</v>
      </c>
      <c r="C25" s="27" t="s">
        <v>267</v>
      </c>
      <c r="D25">
        <v>7</v>
      </c>
      <c r="E25" t="s">
        <v>276</v>
      </c>
      <c r="F25">
        <v>7</v>
      </c>
      <c r="H25" s="26"/>
      <c r="I25" s="26"/>
      <c r="J25" s="26"/>
      <c r="K25" s="26"/>
      <c r="V25" s="15"/>
    </row>
    <row r="26" spans="1:39" x14ac:dyDescent="0.25">
      <c r="A26" s="27"/>
      <c r="B26" s="27" t="s">
        <v>252</v>
      </c>
      <c r="C26" s="27" t="s">
        <v>268</v>
      </c>
      <c r="D26">
        <v>6</v>
      </c>
      <c r="E26" t="s">
        <v>274</v>
      </c>
      <c r="F26">
        <v>6</v>
      </c>
      <c r="H26" s="26"/>
      <c r="I26" s="26"/>
      <c r="J26" s="26"/>
      <c r="K26" s="26"/>
      <c r="V26" s="15"/>
    </row>
    <row r="27" spans="1:39" x14ac:dyDescent="0.25">
      <c r="A27" s="27"/>
      <c r="B27" s="27" t="s">
        <v>253</v>
      </c>
      <c r="C27" s="27" t="s">
        <v>151</v>
      </c>
      <c r="D27">
        <v>11</v>
      </c>
      <c r="E27" t="s">
        <v>179</v>
      </c>
      <c r="F27">
        <v>11</v>
      </c>
      <c r="H27" s="26"/>
      <c r="I27" s="26"/>
      <c r="J27" s="26"/>
      <c r="K27" s="26"/>
      <c r="V27" s="15"/>
    </row>
    <row r="28" spans="1:39" x14ac:dyDescent="0.25">
      <c r="A28" s="27"/>
      <c r="B28" s="12" t="s">
        <v>254</v>
      </c>
      <c r="C28" s="27" t="s">
        <v>269</v>
      </c>
      <c r="D28">
        <v>8</v>
      </c>
      <c r="E28" t="s">
        <v>303</v>
      </c>
      <c r="F28">
        <v>8</v>
      </c>
      <c r="L28" s="25"/>
      <c r="N28" s="2"/>
      <c r="V28" s="15"/>
    </row>
    <row r="29" spans="1:39" x14ac:dyDescent="0.25">
      <c r="A29" s="27"/>
      <c r="B29" s="27" t="s">
        <v>255</v>
      </c>
      <c r="C29" s="27" t="s">
        <v>270</v>
      </c>
      <c r="D29">
        <v>4</v>
      </c>
      <c r="E29" t="s">
        <v>275</v>
      </c>
      <c r="F29">
        <v>4</v>
      </c>
      <c r="V29" s="15"/>
    </row>
    <row r="30" spans="1:39" x14ac:dyDescent="0.25">
      <c r="A30" s="27"/>
      <c r="B30" s="27" t="s">
        <v>256</v>
      </c>
      <c r="C30" s="27" t="s">
        <v>302</v>
      </c>
      <c r="D30">
        <v>4</v>
      </c>
      <c r="E30" t="s">
        <v>307</v>
      </c>
      <c r="F30">
        <v>4</v>
      </c>
      <c r="V30" s="15"/>
    </row>
    <row r="31" spans="1:39" x14ac:dyDescent="0.25">
      <c r="A31" s="27"/>
      <c r="B31" s="27" t="s">
        <v>257</v>
      </c>
      <c r="C31" s="27" t="s">
        <v>150</v>
      </c>
      <c r="D31">
        <v>11</v>
      </c>
      <c r="E31" t="s">
        <v>178</v>
      </c>
      <c r="F31">
        <v>11</v>
      </c>
      <c r="V31" s="15"/>
    </row>
    <row r="32" spans="1:39" x14ac:dyDescent="0.25">
      <c r="A32" s="27"/>
      <c r="B32" s="27" t="s">
        <v>258</v>
      </c>
      <c r="C32" s="12" t="s">
        <v>271</v>
      </c>
      <c r="D32">
        <v>13</v>
      </c>
      <c r="E32" t="s">
        <v>187</v>
      </c>
      <c r="F32">
        <v>13</v>
      </c>
      <c r="V32" s="15"/>
    </row>
    <row r="33" spans="1:22" x14ac:dyDescent="0.25">
      <c r="A33" s="27"/>
      <c r="B33" s="27" t="s">
        <v>259</v>
      </c>
      <c r="C33" s="27" t="s">
        <v>153</v>
      </c>
      <c r="D33">
        <v>10</v>
      </c>
      <c r="E33" t="s">
        <v>180</v>
      </c>
      <c r="F33">
        <v>10</v>
      </c>
    </row>
    <row r="34" spans="1:22" x14ac:dyDescent="0.25">
      <c r="A34" s="27"/>
      <c r="B34" s="27" t="s">
        <v>260</v>
      </c>
      <c r="C34" s="27" t="s">
        <v>42</v>
      </c>
      <c r="D34">
        <v>4</v>
      </c>
      <c r="E34" t="s">
        <v>182</v>
      </c>
      <c r="F34">
        <v>4</v>
      </c>
    </row>
    <row r="35" spans="1:22" x14ac:dyDescent="0.25">
      <c r="A35" s="27"/>
      <c r="B35" s="27" t="s">
        <v>261</v>
      </c>
      <c r="C35" s="14" t="s">
        <v>264</v>
      </c>
      <c r="D35">
        <v>12</v>
      </c>
      <c r="E35" t="s">
        <v>183</v>
      </c>
      <c r="F35">
        <v>12</v>
      </c>
      <c r="V35" s="15"/>
    </row>
    <row r="36" spans="1:22" ht="15.75" thickBot="1" x14ac:dyDescent="0.3">
      <c r="A36" s="27"/>
      <c r="B36" s="27" t="s">
        <v>262</v>
      </c>
      <c r="C36" s="27" t="s">
        <v>59</v>
      </c>
      <c r="D36">
        <v>10</v>
      </c>
      <c r="E36" t="s">
        <v>184</v>
      </c>
      <c r="F36" s="41">
        <v>10</v>
      </c>
      <c r="V36" s="15"/>
    </row>
    <row r="37" spans="1:22" ht="15.75" thickTop="1" x14ac:dyDescent="0.25">
      <c r="A37" s="27"/>
      <c r="B37" s="27"/>
      <c r="C37" s="27"/>
      <c r="E37" s="1" t="s">
        <v>189</v>
      </c>
      <c r="F37" s="1">
        <f>SUM(F23:F34)</f>
        <v>98</v>
      </c>
      <c r="V37" s="15"/>
    </row>
    <row r="38" spans="1:22" x14ac:dyDescent="0.25">
      <c r="A38" s="27"/>
      <c r="B38" s="27"/>
      <c r="C38" s="27"/>
      <c r="V38" s="15"/>
    </row>
    <row r="39" spans="1:22" x14ac:dyDescent="0.25">
      <c r="C39" s="27"/>
    </row>
    <row r="110" spans="70:70" x14ac:dyDescent="0.25">
      <c r="BR110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"/>
  <sheetViews>
    <sheetView zoomScaleNormal="100" workbookViewId="0"/>
  </sheetViews>
  <sheetFormatPr defaultRowHeight="15" x14ac:dyDescent="0.25"/>
  <cols>
    <col min="1" max="1" width="9.42578125" bestFit="1" customWidth="1"/>
    <col min="2" max="2" width="14.42578125" bestFit="1" customWidth="1"/>
    <col min="3" max="3" width="33.42578125" bestFit="1" customWidth="1"/>
    <col min="4" max="4" width="5.42578125" bestFit="1" customWidth="1"/>
    <col min="5" max="5" width="16.85546875" bestFit="1" customWidth="1"/>
    <col min="6" max="6" width="11.85546875" bestFit="1" customWidth="1"/>
    <col min="7" max="7" width="12.140625" bestFit="1" customWidth="1"/>
    <col min="9" max="9" width="14.42578125" bestFit="1" customWidth="1"/>
    <col min="10" max="10" width="7.42578125" bestFit="1" customWidth="1"/>
    <col min="11" max="11" width="10.7109375" bestFit="1" customWidth="1"/>
    <col min="12" max="12" width="12" bestFit="1" customWidth="1"/>
    <col min="13" max="13" width="12.140625" bestFit="1" customWidth="1"/>
    <col min="14" max="14" width="8.28515625" bestFit="1" customWidth="1"/>
    <col min="15" max="15" width="8.28515625" customWidth="1"/>
    <col min="16" max="16" width="25.5703125" customWidth="1"/>
    <col min="17" max="17" width="9.42578125" customWidth="1"/>
    <col min="18" max="18" width="22.42578125" bestFit="1" customWidth="1"/>
    <col min="19" max="19" width="90" bestFit="1" customWidth="1"/>
    <col min="20" max="20" width="7.7109375" bestFit="1" customWidth="1"/>
    <col min="21" max="21" width="14.42578125" bestFit="1" customWidth="1"/>
    <col min="22" max="22" width="42.42578125" bestFit="1" customWidth="1"/>
    <col min="23" max="23" width="10.7109375" bestFit="1" customWidth="1"/>
    <col min="24" max="24" width="27.42578125" bestFit="1" customWidth="1"/>
    <col min="27" max="36" width="5.7109375" customWidth="1"/>
  </cols>
  <sheetData>
    <row r="1" spans="1:36" x14ac:dyDescent="0.25">
      <c r="A1" s="39" t="s">
        <v>6</v>
      </c>
      <c r="B1" s="37"/>
      <c r="C1" s="37"/>
      <c r="E1" s="39" t="s">
        <v>7</v>
      </c>
      <c r="F1" s="37"/>
      <c r="G1" s="37"/>
      <c r="P1" s="1" t="s">
        <v>122</v>
      </c>
      <c r="U1" s="15"/>
      <c r="V1" s="15"/>
      <c r="AA1" s="44" t="s">
        <v>185</v>
      </c>
      <c r="AB1" s="44"/>
      <c r="AC1" s="44"/>
      <c r="AD1" s="44"/>
      <c r="AE1" s="44"/>
      <c r="AF1" s="44"/>
      <c r="AG1" s="44"/>
      <c r="AH1" s="44"/>
      <c r="AI1" s="44"/>
      <c r="AJ1" s="44"/>
    </row>
    <row r="2" spans="1:36" x14ac:dyDescent="0.25">
      <c r="A2" t="s">
        <v>0</v>
      </c>
      <c r="B2" t="s">
        <v>1</v>
      </c>
      <c r="C2" t="s">
        <v>3</v>
      </c>
      <c r="E2" t="s">
        <v>0</v>
      </c>
      <c r="F2" t="s">
        <v>9</v>
      </c>
      <c r="G2" s="2" t="s">
        <v>10</v>
      </c>
      <c r="K2" t="s">
        <v>12</v>
      </c>
      <c r="L2" t="s">
        <v>15</v>
      </c>
      <c r="M2" t="s">
        <v>16</v>
      </c>
      <c r="P2" t="s">
        <v>124</v>
      </c>
      <c r="U2" s="15" t="s">
        <v>130</v>
      </c>
      <c r="V2" s="19">
        <f>1/35000000*1000</f>
        <v>2.8571428571428571E-5</v>
      </c>
      <c r="W2" t="s">
        <v>131</v>
      </c>
      <c r="AA2">
        <v>7</v>
      </c>
      <c r="AB2">
        <v>6</v>
      </c>
      <c r="AC2">
        <v>5</v>
      </c>
      <c r="AD2">
        <v>4</v>
      </c>
      <c r="AE2">
        <v>3</v>
      </c>
      <c r="AG2">
        <v>2</v>
      </c>
      <c r="AI2">
        <v>1</v>
      </c>
      <c r="AJ2">
        <v>0</v>
      </c>
    </row>
    <row r="3" spans="1:36" x14ac:dyDescent="0.25">
      <c r="B3" t="s">
        <v>2</v>
      </c>
      <c r="C3" t="s">
        <v>4</v>
      </c>
      <c r="F3" t="s">
        <v>1</v>
      </c>
      <c r="G3" t="s">
        <v>8</v>
      </c>
      <c r="I3" t="s">
        <v>14</v>
      </c>
      <c r="J3" t="s">
        <v>13</v>
      </c>
      <c r="K3" s="5">
        <f>3.5*1000000</f>
        <v>3500000</v>
      </c>
      <c r="L3">
        <f>1/K3</f>
        <v>2.8571428571428569E-7</v>
      </c>
      <c r="M3">
        <f>L3*1000</f>
        <v>2.8571428571428568E-4</v>
      </c>
      <c r="N3" t="s">
        <v>17</v>
      </c>
      <c r="P3" t="s">
        <v>125</v>
      </c>
      <c r="U3" s="15" t="s">
        <v>18</v>
      </c>
      <c r="V3" s="16">
        <v>261.63</v>
      </c>
      <c r="W3" t="s">
        <v>12</v>
      </c>
      <c r="AD3" t="s">
        <v>173</v>
      </c>
      <c r="AE3" t="s">
        <v>172</v>
      </c>
      <c r="AG3" s="45" t="s">
        <v>171</v>
      </c>
      <c r="AH3" s="45"/>
      <c r="AI3" s="45"/>
      <c r="AJ3" s="45"/>
    </row>
    <row r="4" spans="1:36" x14ac:dyDescent="0.25">
      <c r="C4" t="s">
        <v>5</v>
      </c>
      <c r="P4" t="s">
        <v>123</v>
      </c>
      <c r="AD4" t="s">
        <v>176</v>
      </c>
      <c r="AE4" t="s">
        <v>175</v>
      </c>
    </row>
    <row r="5" spans="1:36" x14ac:dyDescent="0.25">
      <c r="K5" t="s">
        <v>12</v>
      </c>
      <c r="U5" t="s">
        <v>19</v>
      </c>
      <c r="V5">
        <f>2*V3</f>
        <v>523.26</v>
      </c>
      <c r="W5" t="s">
        <v>20</v>
      </c>
      <c r="X5" s="2" t="s">
        <v>141</v>
      </c>
      <c r="AD5" t="s">
        <v>177</v>
      </c>
      <c r="AE5" t="s">
        <v>174</v>
      </c>
    </row>
    <row r="6" spans="1:36" x14ac:dyDescent="0.25">
      <c r="A6" s="39" t="s">
        <v>308</v>
      </c>
      <c r="B6" s="39" t="s">
        <v>194</v>
      </c>
      <c r="C6" s="39" t="s">
        <v>309</v>
      </c>
      <c r="D6" s="39" t="s">
        <v>310</v>
      </c>
      <c r="E6" s="39" t="s">
        <v>311</v>
      </c>
      <c r="F6" s="39" t="s">
        <v>312</v>
      </c>
      <c r="G6" s="39" t="s">
        <v>26</v>
      </c>
      <c r="I6" t="s">
        <v>18</v>
      </c>
      <c r="K6" s="3">
        <v>261.63</v>
      </c>
      <c r="P6" t="s">
        <v>63</v>
      </c>
      <c r="Q6" t="s">
        <v>62</v>
      </c>
      <c r="R6" t="s">
        <v>27</v>
      </c>
      <c r="S6" s="8" t="s">
        <v>76</v>
      </c>
      <c r="T6" s="8"/>
      <c r="U6" t="s">
        <v>21</v>
      </c>
      <c r="V6" s="4">
        <f>3500000/V5</f>
        <v>6688.835378205863</v>
      </c>
      <c r="W6" s="4"/>
      <c r="X6" t="s">
        <v>142</v>
      </c>
    </row>
    <row r="7" spans="1:36" x14ac:dyDescent="0.25">
      <c r="A7">
        <v>1</v>
      </c>
      <c r="B7" s="3">
        <f>440*POWER(2,(A7-49)/12)</f>
        <v>27.5</v>
      </c>
      <c r="C7" s="3">
        <f t="shared" ref="C7:C44" si="0">440*POWER(2,(E7+40-49)/12)</f>
        <v>27.5</v>
      </c>
      <c r="D7">
        <f>69+12*LOG(B7/440,2)</f>
        <v>21</v>
      </c>
      <c r="E7">
        <f t="shared" ref="E7:E43" si="1">E8-1</f>
        <v>-39</v>
      </c>
      <c r="F7" s="3">
        <f t="shared" ref="F7:F38" si="2">345/B7*100</f>
        <v>1254.5454545454545</v>
      </c>
      <c r="R7" t="s">
        <v>136</v>
      </c>
      <c r="S7" t="s">
        <v>77</v>
      </c>
      <c r="U7" t="s">
        <v>140</v>
      </c>
      <c r="V7">
        <f>3500000/(2 * V6)</f>
        <v>261.63</v>
      </c>
      <c r="W7" t="s">
        <v>12</v>
      </c>
      <c r="X7" t="s">
        <v>143</v>
      </c>
    </row>
    <row r="8" spans="1:36" x14ac:dyDescent="0.25">
      <c r="A8">
        <v>2</v>
      </c>
      <c r="B8" s="3">
        <f t="shared" ref="B8:B71" si="3">440*POWER(2,(A8-49)/12)</f>
        <v>29.135235094880628</v>
      </c>
      <c r="C8" s="3">
        <f t="shared" si="0"/>
        <v>29.135235094880628</v>
      </c>
      <c r="D8">
        <f t="shared" ref="D8:D71" si="4">69+12*LOG(B8/440,2)</f>
        <v>22</v>
      </c>
      <c r="E8">
        <f t="shared" si="1"/>
        <v>-38</v>
      </c>
      <c r="F8" s="3">
        <f t="shared" si="2"/>
        <v>1184.1332286370334</v>
      </c>
      <c r="K8" t="s">
        <v>20</v>
      </c>
      <c r="R8" t="s">
        <v>28</v>
      </c>
      <c r="S8" t="s">
        <v>78</v>
      </c>
      <c r="W8" t="s">
        <v>135</v>
      </c>
      <c r="X8" t="s">
        <v>134</v>
      </c>
    </row>
    <row r="9" spans="1:36" x14ac:dyDescent="0.25">
      <c r="A9">
        <v>3</v>
      </c>
      <c r="B9" s="3">
        <f t="shared" si="3"/>
        <v>30.867706328507751</v>
      </c>
      <c r="C9" s="3">
        <f t="shared" si="0"/>
        <v>30.867706328507751</v>
      </c>
      <c r="D9">
        <f t="shared" si="4"/>
        <v>23</v>
      </c>
      <c r="E9">
        <f t="shared" si="1"/>
        <v>-37</v>
      </c>
      <c r="F9" s="3">
        <f t="shared" si="2"/>
        <v>1117.6729373033349</v>
      </c>
      <c r="I9" t="s">
        <v>19</v>
      </c>
      <c r="J9">
        <v>2</v>
      </c>
      <c r="K9" s="3">
        <f>J9*K6</f>
        <v>523.26</v>
      </c>
      <c r="R9" t="s">
        <v>28</v>
      </c>
      <c r="S9" t="s">
        <v>79</v>
      </c>
      <c r="U9" s="6" t="s">
        <v>126</v>
      </c>
      <c r="V9" s="17" t="s">
        <v>132</v>
      </c>
      <c r="W9">
        <f>V7</f>
        <v>261.63</v>
      </c>
      <c r="X9" t="str">
        <f>DEC2HEX(W9)</f>
        <v>105</v>
      </c>
    </row>
    <row r="10" spans="1:36" x14ac:dyDescent="0.25">
      <c r="A10">
        <v>4</v>
      </c>
      <c r="B10" s="3">
        <f t="shared" si="3"/>
        <v>32.703195662574828</v>
      </c>
      <c r="C10" s="3">
        <f t="shared" si="0"/>
        <v>32.703195662574828</v>
      </c>
      <c r="D10">
        <f t="shared" si="4"/>
        <v>24</v>
      </c>
      <c r="E10">
        <f t="shared" si="1"/>
        <v>-36</v>
      </c>
      <c r="F10" s="3">
        <f t="shared" si="2"/>
        <v>1054.9427755001145</v>
      </c>
      <c r="I10" t="s">
        <v>21</v>
      </c>
      <c r="K10" s="4">
        <f>K3/K9</f>
        <v>6688.835378205863</v>
      </c>
      <c r="L10">
        <f>K3/K10/2</f>
        <v>261.63</v>
      </c>
      <c r="M10" t="s">
        <v>12</v>
      </c>
      <c r="R10" t="s">
        <v>29</v>
      </c>
      <c r="S10" t="s">
        <v>80</v>
      </c>
      <c r="U10" s="6" t="s">
        <v>128</v>
      </c>
      <c r="V10" s="15" t="s">
        <v>129</v>
      </c>
      <c r="W10" s="3">
        <f>V6/4</f>
        <v>1672.2088445514657</v>
      </c>
      <c r="X10" s="24" t="str">
        <f>DEC2HEX(W10)</f>
        <v>688</v>
      </c>
    </row>
    <row r="11" spans="1:36" x14ac:dyDescent="0.25">
      <c r="A11">
        <v>5</v>
      </c>
      <c r="B11" s="3">
        <f t="shared" si="3"/>
        <v>34.647828872109017</v>
      </c>
      <c r="C11" s="3">
        <f t="shared" si="0"/>
        <v>34.647828872109017</v>
      </c>
      <c r="D11">
        <f t="shared" si="4"/>
        <v>25</v>
      </c>
      <c r="E11">
        <f t="shared" si="1"/>
        <v>-35</v>
      </c>
      <c r="F11" s="3">
        <f t="shared" si="2"/>
        <v>995.73338714368856</v>
      </c>
      <c r="R11" t="s">
        <v>30</v>
      </c>
      <c r="S11" t="s">
        <v>81</v>
      </c>
      <c r="V11" t="s">
        <v>146</v>
      </c>
      <c r="W11">
        <f>30.125</f>
        <v>30.125</v>
      </c>
      <c r="X11" s="24" t="str">
        <f>DEC2HEX(W11)</f>
        <v>1E</v>
      </c>
    </row>
    <row r="12" spans="1:36" x14ac:dyDescent="0.25">
      <c r="A12">
        <v>6</v>
      </c>
      <c r="B12" s="3">
        <f t="shared" si="3"/>
        <v>36.708095989675947</v>
      </c>
      <c r="C12" s="3">
        <f t="shared" si="0"/>
        <v>36.708095989675947</v>
      </c>
      <c r="D12">
        <f t="shared" si="4"/>
        <v>26</v>
      </c>
      <c r="E12">
        <f t="shared" si="1"/>
        <v>-34</v>
      </c>
      <c r="F12" s="3">
        <f t="shared" si="2"/>
        <v>939.84716640446391</v>
      </c>
      <c r="M12" s="1"/>
      <c r="N12" s="1"/>
      <c r="O12" s="1"/>
      <c r="R12" t="s">
        <v>31</v>
      </c>
      <c r="S12" t="s">
        <v>82</v>
      </c>
      <c r="W12" s="3">
        <f>W10-W11</f>
        <v>1642.0838445514657</v>
      </c>
      <c r="X12" s="24" t="str">
        <f>DEC2HEX(W12)</f>
        <v>66A</v>
      </c>
    </row>
    <row r="13" spans="1:36" x14ac:dyDescent="0.25">
      <c r="A13">
        <v>7</v>
      </c>
      <c r="B13" s="3">
        <f t="shared" si="3"/>
        <v>38.890872965260115</v>
      </c>
      <c r="C13" s="3">
        <f t="shared" si="0"/>
        <v>38.890872965260115</v>
      </c>
      <c r="D13">
        <f t="shared" si="4"/>
        <v>27</v>
      </c>
      <c r="E13">
        <f t="shared" si="1"/>
        <v>-33</v>
      </c>
      <c r="F13" s="3">
        <f t="shared" si="2"/>
        <v>887.09759821585055</v>
      </c>
      <c r="M13" s="1"/>
      <c r="N13" s="1"/>
      <c r="O13" s="1"/>
      <c r="P13" s="6"/>
      <c r="Q13" s="6"/>
      <c r="R13" t="s">
        <v>32</v>
      </c>
      <c r="AA13" s="6"/>
    </row>
    <row r="14" spans="1:36" x14ac:dyDescent="0.25">
      <c r="A14">
        <v>8</v>
      </c>
      <c r="B14" s="3">
        <f t="shared" si="3"/>
        <v>41.203444614108754</v>
      </c>
      <c r="C14" s="3">
        <f t="shared" si="0"/>
        <v>41.203444614108754</v>
      </c>
      <c r="D14">
        <f t="shared" si="4"/>
        <v>28</v>
      </c>
      <c r="E14">
        <f t="shared" si="1"/>
        <v>-32</v>
      </c>
      <c r="F14" s="3">
        <f t="shared" si="2"/>
        <v>837.30863579756681</v>
      </c>
      <c r="N14" s="1"/>
      <c r="O14" s="1"/>
      <c r="R14" s="9" t="s">
        <v>33</v>
      </c>
      <c r="S14" t="s">
        <v>83</v>
      </c>
      <c r="AA14" s="6"/>
    </row>
    <row r="15" spans="1:36" x14ac:dyDescent="0.25">
      <c r="A15">
        <v>9</v>
      </c>
      <c r="B15" s="3">
        <f t="shared" si="3"/>
        <v>43.653528929125486</v>
      </c>
      <c r="C15" s="3">
        <f t="shared" si="0"/>
        <v>43.653528929125486</v>
      </c>
      <c r="D15">
        <f t="shared" si="4"/>
        <v>29</v>
      </c>
      <c r="E15">
        <f t="shared" si="1"/>
        <v>-31</v>
      </c>
      <c r="F15" s="3">
        <f t="shared" si="2"/>
        <v>790.31411311587499</v>
      </c>
      <c r="R15" t="s">
        <v>34</v>
      </c>
      <c r="S15" t="s">
        <v>84</v>
      </c>
      <c r="AA15" s="6"/>
    </row>
    <row r="16" spans="1:36" x14ac:dyDescent="0.25">
      <c r="A16">
        <v>10</v>
      </c>
      <c r="B16" s="3">
        <f t="shared" si="3"/>
        <v>46.249302838954307</v>
      </c>
      <c r="C16" s="3">
        <f t="shared" si="0"/>
        <v>46.249302838954307</v>
      </c>
      <c r="D16">
        <f t="shared" si="4"/>
        <v>30</v>
      </c>
      <c r="E16">
        <f t="shared" si="1"/>
        <v>-30</v>
      </c>
      <c r="F16" s="3">
        <f t="shared" si="2"/>
        <v>745.95719031988858</v>
      </c>
      <c r="N16" s="4"/>
      <c r="O16" s="4"/>
      <c r="R16" t="s">
        <v>35</v>
      </c>
      <c r="S16" t="s">
        <v>85</v>
      </c>
      <c r="AA16" s="6"/>
    </row>
    <row r="17" spans="1:28" x14ac:dyDescent="0.25">
      <c r="A17">
        <v>11</v>
      </c>
      <c r="B17" s="3">
        <f t="shared" si="3"/>
        <v>48.99942949771868</v>
      </c>
      <c r="C17" s="3">
        <f t="shared" si="0"/>
        <v>48.99942949771868</v>
      </c>
      <c r="D17">
        <f t="shared" si="4"/>
        <v>31</v>
      </c>
      <c r="E17">
        <f t="shared" si="1"/>
        <v>-29</v>
      </c>
      <c r="F17" s="3">
        <f t="shared" si="2"/>
        <v>704.08983030315187</v>
      </c>
      <c r="N17" s="4"/>
      <c r="O17" s="4"/>
      <c r="R17" t="s">
        <v>36</v>
      </c>
      <c r="S17" t="s">
        <v>86</v>
      </c>
      <c r="AA17" s="6"/>
    </row>
    <row r="18" spans="1:28" x14ac:dyDescent="0.25">
      <c r="A18">
        <v>12</v>
      </c>
      <c r="B18" s="3">
        <f t="shared" si="3"/>
        <v>51.913087197493141</v>
      </c>
      <c r="C18" s="3">
        <f t="shared" si="0"/>
        <v>51.913087197493141</v>
      </c>
      <c r="D18">
        <f t="shared" si="4"/>
        <v>32</v>
      </c>
      <c r="E18">
        <f t="shared" si="1"/>
        <v>-28</v>
      </c>
      <c r="F18" s="3">
        <f t="shared" si="2"/>
        <v>664.57230464355791</v>
      </c>
      <c r="N18" s="7"/>
      <c r="O18" s="7"/>
      <c r="R18" t="s">
        <v>37</v>
      </c>
      <c r="S18" t="s">
        <v>87</v>
      </c>
      <c r="AA18" s="6"/>
      <c r="AB18" s="6"/>
    </row>
    <row r="19" spans="1:28" x14ac:dyDescent="0.25">
      <c r="A19">
        <v>13</v>
      </c>
      <c r="B19" s="3">
        <f t="shared" si="3"/>
        <v>55</v>
      </c>
      <c r="C19" s="3">
        <f t="shared" si="0"/>
        <v>55</v>
      </c>
      <c r="D19">
        <f t="shared" si="4"/>
        <v>33</v>
      </c>
      <c r="E19">
        <f t="shared" si="1"/>
        <v>-27</v>
      </c>
      <c r="F19" s="3">
        <f t="shared" si="2"/>
        <v>627.27272727272725</v>
      </c>
      <c r="N19" s="7"/>
      <c r="O19" s="7"/>
      <c r="R19" t="s">
        <v>37</v>
      </c>
      <c r="AA19" s="6"/>
      <c r="AB19" s="6"/>
    </row>
    <row r="20" spans="1:28" x14ac:dyDescent="0.25">
      <c r="A20">
        <v>14</v>
      </c>
      <c r="B20" s="3">
        <f t="shared" si="3"/>
        <v>58.270470189761255</v>
      </c>
      <c r="C20" s="3">
        <f t="shared" si="0"/>
        <v>58.270470189761255</v>
      </c>
      <c r="D20">
        <f t="shared" si="4"/>
        <v>34.000000000000007</v>
      </c>
      <c r="E20">
        <f t="shared" si="1"/>
        <v>-26</v>
      </c>
      <c r="F20" s="3">
        <f t="shared" si="2"/>
        <v>592.06661431851671</v>
      </c>
      <c r="N20" s="4"/>
      <c r="O20" s="4"/>
      <c r="R20" t="s">
        <v>37</v>
      </c>
      <c r="AA20" s="6"/>
      <c r="AB20" s="6"/>
    </row>
    <row r="21" spans="1:28" x14ac:dyDescent="0.25">
      <c r="A21">
        <v>15</v>
      </c>
      <c r="B21" s="3">
        <f t="shared" si="3"/>
        <v>61.735412657015516</v>
      </c>
      <c r="C21" s="3">
        <f t="shared" si="0"/>
        <v>61.735412657015516</v>
      </c>
      <c r="D21">
        <f t="shared" si="4"/>
        <v>35</v>
      </c>
      <c r="E21">
        <f t="shared" si="1"/>
        <v>-25</v>
      </c>
      <c r="F21" s="3">
        <f t="shared" si="2"/>
        <v>558.83646865166736</v>
      </c>
      <c r="N21" s="4"/>
      <c r="O21" s="4"/>
      <c r="R21" t="s">
        <v>38</v>
      </c>
      <c r="S21" t="s">
        <v>88</v>
      </c>
      <c r="AA21" s="6"/>
      <c r="AB21" s="6"/>
    </row>
    <row r="22" spans="1:28" x14ac:dyDescent="0.25">
      <c r="A22">
        <v>16</v>
      </c>
      <c r="B22" s="3">
        <f t="shared" si="3"/>
        <v>65.406391325149656</v>
      </c>
      <c r="C22" s="3">
        <f t="shared" si="0"/>
        <v>65.406391325149656</v>
      </c>
      <c r="D22">
        <f t="shared" si="4"/>
        <v>36</v>
      </c>
      <c r="E22">
        <f t="shared" si="1"/>
        <v>-24</v>
      </c>
      <c r="F22" s="3">
        <f t="shared" si="2"/>
        <v>527.47138775005726</v>
      </c>
      <c r="N22" s="4"/>
      <c r="O22" s="4"/>
      <c r="U22" s="18"/>
      <c r="V22" s="17" t="s">
        <v>134</v>
      </c>
      <c r="W22" t="s">
        <v>135</v>
      </c>
      <c r="AA22" s="6"/>
      <c r="AB22" s="6"/>
    </row>
    <row r="23" spans="1:28" x14ac:dyDescent="0.25">
      <c r="A23">
        <v>17</v>
      </c>
      <c r="B23" s="3">
        <f t="shared" si="3"/>
        <v>69.295657744218019</v>
      </c>
      <c r="C23" s="3">
        <f t="shared" si="0"/>
        <v>69.295657744218019</v>
      </c>
      <c r="D23">
        <f t="shared" si="4"/>
        <v>37</v>
      </c>
      <c r="E23">
        <f t="shared" si="1"/>
        <v>-23</v>
      </c>
      <c r="F23" s="3">
        <f t="shared" si="2"/>
        <v>497.86669357184445</v>
      </c>
      <c r="N23" s="4"/>
      <c r="O23" s="4"/>
      <c r="P23" t="s">
        <v>89</v>
      </c>
      <c r="U23" s="22" t="s">
        <v>126</v>
      </c>
      <c r="V23" s="20" t="s">
        <v>133</v>
      </c>
      <c r="W23">
        <f>HEX2DEC(V23)</f>
        <v>261</v>
      </c>
      <c r="AA23" s="6"/>
      <c r="AB23" s="6"/>
    </row>
    <row r="24" spans="1:28" x14ac:dyDescent="0.25">
      <c r="A24">
        <v>18</v>
      </c>
      <c r="B24" s="3">
        <f t="shared" si="3"/>
        <v>73.416191979351879</v>
      </c>
      <c r="C24" s="3">
        <f t="shared" si="0"/>
        <v>73.416191979351879</v>
      </c>
      <c r="D24">
        <f t="shared" si="4"/>
        <v>38</v>
      </c>
      <c r="E24">
        <f t="shared" si="1"/>
        <v>-22</v>
      </c>
      <c r="F24" s="3">
        <f t="shared" si="2"/>
        <v>469.92358320223201</v>
      </c>
      <c r="N24" s="4"/>
      <c r="O24" s="4"/>
      <c r="P24" t="s">
        <v>90</v>
      </c>
      <c r="U24" s="22"/>
      <c r="AA24" s="6"/>
      <c r="AB24" s="6"/>
    </row>
    <row r="25" spans="1:28" x14ac:dyDescent="0.25">
      <c r="A25">
        <v>19</v>
      </c>
      <c r="B25" s="3">
        <f t="shared" si="3"/>
        <v>77.781745930520216</v>
      </c>
      <c r="C25" s="3">
        <f t="shared" si="0"/>
        <v>77.781745930520216</v>
      </c>
      <c r="D25">
        <f t="shared" si="4"/>
        <v>39</v>
      </c>
      <c r="E25">
        <f t="shared" si="1"/>
        <v>-21</v>
      </c>
      <c r="F25" s="3">
        <f t="shared" si="2"/>
        <v>443.54879910792533</v>
      </c>
      <c r="N25" s="4"/>
      <c r="O25" s="4"/>
      <c r="T25" t="s">
        <v>11</v>
      </c>
      <c r="U25" s="22" t="s">
        <v>128</v>
      </c>
      <c r="V25" s="21" t="s">
        <v>144</v>
      </c>
      <c r="W25">
        <f>HEX2DEC(V25)</f>
        <v>1642</v>
      </c>
      <c r="X25" t="s">
        <v>21</v>
      </c>
      <c r="Y25" s="4">
        <f>4*(HEX2DEC(V25)+W11)</f>
        <v>6688.5</v>
      </c>
      <c r="AA25" s="6"/>
      <c r="AB25" s="6"/>
    </row>
    <row r="26" spans="1:28" x14ac:dyDescent="0.25">
      <c r="A26">
        <v>20</v>
      </c>
      <c r="B26" s="3">
        <f t="shared" si="3"/>
        <v>82.406889228217494</v>
      </c>
      <c r="C26" s="3">
        <f t="shared" si="0"/>
        <v>82.406889228217494</v>
      </c>
      <c r="D26">
        <f t="shared" si="4"/>
        <v>40</v>
      </c>
      <c r="E26">
        <f t="shared" si="1"/>
        <v>-20</v>
      </c>
      <c r="F26" s="3">
        <f t="shared" si="2"/>
        <v>418.65431789878346</v>
      </c>
      <c r="N26" s="4"/>
      <c r="O26" s="4"/>
      <c r="P26" s="9" t="s">
        <v>70</v>
      </c>
      <c r="Q26" s="14" t="s">
        <v>64</v>
      </c>
      <c r="R26" t="s">
        <v>39</v>
      </c>
      <c r="S26" t="s">
        <v>91</v>
      </c>
      <c r="T26">
        <v>4</v>
      </c>
      <c r="U26" s="23" t="s">
        <v>137</v>
      </c>
      <c r="V26" s="2" t="s">
        <v>138</v>
      </c>
      <c r="W26">
        <f>HEX2DEC(V26)</f>
        <v>6</v>
      </c>
      <c r="X26">
        <v>1024</v>
      </c>
      <c r="Y26">
        <f>W26*X26</f>
        <v>6144</v>
      </c>
      <c r="AA26" s="6"/>
      <c r="AB26" s="6"/>
    </row>
    <row r="27" spans="1:28" x14ac:dyDescent="0.25">
      <c r="A27">
        <v>21</v>
      </c>
      <c r="B27" s="3">
        <f t="shared" si="3"/>
        <v>87.307057858250957</v>
      </c>
      <c r="C27" s="3">
        <f t="shared" si="0"/>
        <v>87.307057858250957</v>
      </c>
      <c r="D27">
        <f t="shared" si="4"/>
        <v>41</v>
      </c>
      <c r="E27">
        <f t="shared" si="1"/>
        <v>-19</v>
      </c>
      <c r="F27" s="3">
        <f t="shared" si="2"/>
        <v>395.15705655793755</v>
      </c>
      <c r="N27" s="4"/>
      <c r="O27" s="4"/>
      <c r="P27" t="s">
        <v>71</v>
      </c>
      <c r="Q27" s="14" t="s">
        <v>65</v>
      </c>
      <c r="R27" t="s">
        <v>39</v>
      </c>
      <c r="S27" t="s">
        <v>92</v>
      </c>
      <c r="T27">
        <v>4</v>
      </c>
      <c r="U27" s="23" t="s">
        <v>127</v>
      </c>
      <c r="V27" s="2" t="s">
        <v>139</v>
      </c>
      <c r="W27">
        <f>HEX2DEC(V27)</f>
        <v>106</v>
      </c>
      <c r="X27">
        <v>4</v>
      </c>
      <c r="Y27">
        <f>W27*X27</f>
        <v>424</v>
      </c>
      <c r="AA27" s="6"/>
      <c r="AB27" s="6"/>
    </row>
    <row r="28" spans="1:28" x14ac:dyDescent="0.25">
      <c r="A28">
        <v>22</v>
      </c>
      <c r="B28" s="3">
        <f t="shared" si="3"/>
        <v>92.498605677908614</v>
      </c>
      <c r="C28" s="3">
        <f t="shared" si="0"/>
        <v>92.498605677908614</v>
      </c>
      <c r="D28">
        <f t="shared" si="4"/>
        <v>42.000000000000007</v>
      </c>
      <c r="E28">
        <f t="shared" si="1"/>
        <v>-18</v>
      </c>
      <c r="F28" s="3">
        <f t="shared" si="2"/>
        <v>372.97859515994429</v>
      </c>
      <c r="N28" s="4"/>
      <c r="O28" s="4"/>
      <c r="P28" t="s">
        <v>72</v>
      </c>
      <c r="Q28" s="14" t="s">
        <v>66</v>
      </c>
      <c r="R28" t="s">
        <v>39</v>
      </c>
      <c r="S28" t="s">
        <v>93</v>
      </c>
      <c r="T28">
        <v>4</v>
      </c>
      <c r="V28" s="15"/>
      <c r="Y28">
        <f>SUM(Y26:Y27)</f>
        <v>6568</v>
      </c>
      <c r="AA28" s="6"/>
      <c r="AB28" s="6"/>
    </row>
    <row r="29" spans="1:28" x14ac:dyDescent="0.25">
      <c r="A29">
        <v>23</v>
      </c>
      <c r="B29" s="3">
        <f t="shared" si="3"/>
        <v>97.998858995437345</v>
      </c>
      <c r="C29" s="3">
        <f t="shared" si="0"/>
        <v>97.998858995437345</v>
      </c>
      <c r="D29">
        <f t="shared" si="4"/>
        <v>43</v>
      </c>
      <c r="E29">
        <f t="shared" si="1"/>
        <v>-17</v>
      </c>
      <c r="F29" s="3">
        <f t="shared" si="2"/>
        <v>352.04491515157599</v>
      </c>
      <c r="N29" s="4"/>
      <c r="O29" s="4"/>
      <c r="P29" t="s">
        <v>73</v>
      </c>
      <c r="Q29" s="14" t="s">
        <v>67</v>
      </c>
      <c r="R29" t="s">
        <v>40</v>
      </c>
      <c r="S29" t="s">
        <v>94</v>
      </c>
      <c r="T29">
        <v>4</v>
      </c>
      <c r="Y29" s="4"/>
      <c r="AA29" s="6"/>
      <c r="AB29" s="6"/>
    </row>
    <row r="30" spans="1:28" x14ac:dyDescent="0.25">
      <c r="A30">
        <v>24</v>
      </c>
      <c r="B30" s="3">
        <f t="shared" si="3"/>
        <v>103.82617439498628</v>
      </c>
      <c r="C30" s="3">
        <f t="shared" si="0"/>
        <v>103.82617439498628</v>
      </c>
      <c r="D30">
        <f t="shared" si="4"/>
        <v>44</v>
      </c>
      <c r="E30">
        <f t="shared" si="1"/>
        <v>-16</v>
      </c>
      <c r="F30" s="3">
        <f t="shared" si="2"/>
        <v>332.28615232177896</v>
      </c>
      <c r="N30" s="4"/>
      <c r="O30" s="4"/>
      <c r="R30" t="s">
        <v>41</v>
      </c>
      <c r="S30" t="s">
        <v>95</v>
      </c>
      <c r="T30">
        <v>4</v>
      </c>
      <c r="U30" s="22" t="s">
        <v>128</v>
      </c>
      <c r="V30" s="21" t="s">
        <v>147</v>
      </c>
      <c r="W30">
        <f>HEX2DEC(V30)</f>
        <v>1562</v>
      </c>
      <c r="X30" t="s">
        <v>21</v>
      </c>
      <c r="Y30" s="4">
        <f>4*(HEX2DEC(V30)+W16)</f>
        <v>6248</v>
      </c>
      <c r="AA30" s="6"/>
      <c r="AB30" s="6"/>
    </row>
    <row r="31" spans="1:28" x14ac:dyDescent="0.25">
      <c r="A31">
        <v>25</v>
      </c>
      <c r="B31" s="3">
        <f t="shared" si="3"/>
        <v>110</v>
      </c>
      <c r="C31" s="3">
        <f t="shared" si="0"/>
        <v>110</v>
      </c>
      <c r="D31">
        <f t="shared" si="4"/>
        <v>45</v>
      </c>
      <c r="E31">
        <f t="shared" si="1"/>
        <v>-15</v>
      </c>
      <c r="F31" s="3">
        <f t="shared" si="2"/>
        <v>313.63636363636363</v>
      </c>
      <c r="N31" s="4"/>
      <c r="O31" s="4"/>
      <c r="U31" s="23" t="s">
        <v>137</v>
      </c>
      <c r="V31" s="2" t="s">
        <v>138</v>
      </c>
      <c r="W31">
        <f>HEX2DEC(V31)</f>
        <v>6</v>
      </c>
      <c r="X31">
        <v>1024</v>
      </c>
      <c r="Y31">
        <f>W31*X31</f>
        <v>6144</v>
      </c>
      <c r="AA31" s="6"/>
      <c r="AB31" s="6"/>
    </row>
    <row r="32" spans="1:28" x14ac:dyDescent="0.25">
      <c r="A32">
        <v>26</v>
      </c>
      <c r="B32" s="3">
        <f t="shared" si="3"/>
        <v>116.54094037952248</v>
      </c>
      <c r="C32" s="3">
        <f t="shared" si="0"/>
        <v>116.54094037952248</v>
      </c>
      <c r="D32">
        <f t="shared" si="4"/>
        <v>46</v>
      </c>
      <c r="E32">
        <f t="shared" si="1"/>
        <v>-14</v>
      </c>
      <c r="F32" s="3">
        <f t="shared" si="2"/>
        <v>296.03330715925841</v>
      </c>
      <c r="N32" s="4"/>
      <c r="O32" s="4"/>
      <c r="P32" t="s">
        <v>69</v>
      </c>
      <c r="Q32" s="11" t="s">
        <v>68</v>
      </c>
      <c r="R32" t="s">
        <v>42</v>
      </c>
      <c r="S32" t="s">
        <v>96</v>
      </c>
      <c r="T32">
        <v>4</v>
      </c>
      <c r="U32" s="23" t="s">
        <v>127</v>
      </c>
      <c r="V32" s="2" t="s">
        <v>148</v>
      </c>
      <c r="W32">
        <f>HEX2DEC(V32)</f>
        <v>26</v>
      </c>
      <c r="X32">
        <v>16</v>
      </c>
      <c r="Y32">
        <f>W32*X32</f>
        <v>416</v>
      </c>
      <c r="AA32" s="6"/>
      <c r="AB32" s="6"/>
    </row>
    <row r="33" spans="1:25" x14ac:dyDescent="0.25">
      <c r="A33">
        <v>27</v>
      </c>
      <c r="B33" s="3">
        <f t="shared" si="3"/>
        <v>123.47082531403106</v>
      </c>
      <c r="C33" s="3">
        <f t="shared" si="0"/>
        <v>123.47082531403106</v>
      </c>
      <c r="D33">
        <f t="shared" si="4"/>
        <v>47</v>
      </c>
      <c r="E33">
        <f t="shared" si="1"/>
        <v>-13</v>
      </c>
      <c r="F33" s="3">
        <f t="shared" si="2"/>
        <v>279.41823432583362</v>
      </c>
      <c r="N33" s="4"/>
      <c r="O33" s="4"/>
      <c r="R33" s="11" t="s">
        <v>43</v>
      </c>
      <c r="S33" t="s">
        <v>97</v>
      </c>
      <c r="T33">
        <v>7</v>
      </c>
      <c r="V33" s="15"/>
      <c r="Y33">
        <f>SUM(Y31:Y32)</f>
        <v>6560</v>
      </c>
    </row>
    <row r="34" spans="1:25" x14ac:dyDescent="0.25">
      <c r="A34">
        <v>28</v>
      </c>
      <c r="B34" s="3">
        <f t="shared" si="3"/>
        <v>130.81278265029931</v>
      </c>
      <c r="C34" s="3">
        <f t="shared" si="0"/>
        <v>130.81278265029931</v>
      </c>
      <c r="D34">
        <f t="shared" si="4"/>
        <v>48</v>
      </c>
      <c r="E34">
        <f t="shared" si="1"/>
        <v>-12</v>
      </c>
      <c r="F34" s="3">
        <f t="shared" si="2"/>
        <v>263.73569387502863</v>
      </c>
      <c r="N34" s="4"/>
      <c r="O34" s="4"/>
      <c r="R34" t="s">
        <v>44</v>
      </c>
      <c r="S34" t="s">
        <v>98</v>
      </c>
      <c r="T34">
        <v>7</v>
      </c>
    </row>
    <row r="35" spans="1:25" x14ac:dyDescent="0.25">
      <c r="A35">
        <v>29</v>
      </c>
      <c r="B35" s="3">
        <f t="shared" si="3"/>
        <v>138.59131548843604</v>
      </c>
      <c r="C35" s="3">
        <f t="shared" si="0"/>
        <v>138.59131548843604</v>
      </c>
      <c r="D35">
        <f t="shared" si="4"/>
        <v>49</v>
      </c>
      <c r="E35">
        <f t="shared" si="1"/>
        <v>-11</v>
      </c>
      <c r="F35" s="3">
        <f t="shared" si="2"/>
        <v>248.93334678592223</v>
      </c>
      <c r="N35" s="4"/>
      <c r="O35" s="4"/>
      <c r="R35" t="s">
        <v>45</v>
      </c>
      <c r="S35" t="s">
        <v>99</v>
      </c>
      <c r="T35">
        <v>4</v>
      </c>
    </row>
    <row r="36" spans="1:25" x14ac:dyDescent="0.25">
      <c r="A36">
        <v>30</v>
      </c>
      <c r="B36" s="3">
        <f t="shared" si="3"/>
        <v>146.83238395870382</v>
      </c>
      <c r="C36" s="3">
        <f t="shared" si="0"/>
        <v>146.83238395870382</v>
      </c>
      <c r="D36">
        <f t="shared" si="4"/>
        <v>50</v>
      </c>
      <c r="E36">
        <f t="shared" si="1"/>
        <v>-10</v>
      </c>
      <c r="F36" s="3">
        <f t="shared" si="2"/>
        <v>234.96179160111592</v>
      </c>
      <c r="N36" s="4"/>
      <c r="O36" s="4"/>
      <c r="R36" s="11" t="s">
        <v>43</v>
      </c>
      <c r="S36" t="s">
        <v>100</v>
      </c>
      <c r="T36">
        <v>7</v>
      </c>
    </row>
    <row r="37" spans="1:25" x14ac:dyDescent="0.25">
      <c r="A37">
        <v>31</v>
      </c>
      <c r="B37" s="3">
        <f t="shared" si="3"/>
        <v>155.56349186104046</v>
      </c>
      <c r="C37" s="3">
        <f t="shared" si="0"/>
        <v>155.56349186104046</v>
      </c>
      <c r="D37">
        <f t="shared" si="4"/>
        <v>51</v>
      </c>
      <c r="E37">
        <f t="shared" si="1"/>
        <v>-9</v>
      </c>
      <c r="F37" s="3">
        <f t="shared" si="2"/>
        <v>221.77439955396264</v>
      </c>
      <c r="N37" s="4"/>
      <c r="O37" s="4"/>
    </row>
    <row r="38" spans="1:25" x14ac:dyDescent="0.25">
      <c r="A38">
        <v>32</v>
      </c>
      <c r="B38" s="3">
        <f t="shared" si="3"/>
        <v>164.81377845643496</v>
      </c>
      <c r="C38" s="3">
        <f t="shared" si="0"/>
        <v>164.81377845643496</v>
      </c>
      <c r="D38">
        <f t="shared" si="4"/>
        <v>52</v>
      </c>
      <c r="E38">
        <f t="shared" si="1"/>
        <v>-8</v>
      </c>
      <c r="F38" s="3">
        <f t="shared" si="2"/>
        <v>209.32715894939179</v>
      </c>
      <c r="Q38" t="s">
        <v>102</v>
      </c>
    </row>
    <row r="39" spans="1:25" x14ac:dyDescent="0.25">
      <c r="A39">
        <v>33</v>
      </c>
      <c r="B39" s="3">
        <f t="shared" si="3"/>
        <v>174.61411571650197</v>
      </c>
      <c r="C39" s="3">
        <f t="shared" si="0"/>
        <v>174.61411571650197</v>
      </c>
      <c r="D39">
        <f t="shared" si="4"/>
        <v>53</v>
      </c>
      <c r="E39">
        <f t="shared" si="1"/>
        <v>-7</v>
      </c>
      <c r="F39" s="3">
        <f t="shared" ref="F39:F70" si="5">345/B39*100</f>
        <v>197.57852827896872</v>
      </c>
      <c r="G39">
        <v>-10</v>
      </c>
    </row>
    <row r="40" spans="1:25" x14ac:dyDescent="0.25">
      <c r="A40">
        <v>34</v>
      </c>
      <c r="B40" s="3">
        <f t="shared" si="3"/>
        <v>184.99721135581723</v>
      </c>
      <c r="C40" s="3">
        <f t="shared" si="0"/>
        <v>184.99721135581723</v>
      </c>
      <c r="D40">
        <f t="shared" si="4"/>
        <v>54</v>
      </c>
      <c r="E40">
        <f t="shared" si="1"/>
        <v>-6</v>
      </c>
      <c r="F40" s="3">
        <f t="shared" si="5"/>
        <v>186.48929757997215</v>
      </c>
      <c r="G40">
        <v>-9</v>
      </c>
      <c r="R40" t="s">
        <v>46</v>
      </c>
      <c r="S40" t="s">
        <v>101</v>
      </c>
      <c r="T40">
        <v>7</v>
      </c>
    </row>
    <row r="41" spans="1:25" x14ac:dyDescent="0.25">
      <c r="A41">
        <v>35</v>
      </c>
      <c r="B41" s="3">
        <f t="shared" si="3"/>
        <v>195.99771799087463</v>
      </c>
      <c r="C41" s="3">
        <f t="shared" si="0"/>
        <v>195.99771799087463</v>
      </c>
      <c r="D41">
        <f t="shared" si="4"/>
        <v>55</v>
      </c>
      <c r="E41">
        <f t="shared" si="1"/>
        <v>-5</v>
      </c>
      <c r="F41" s="3">
        <f t="shared" si="5"/>
        <v>176.02245757578805</v>
      </c>
      <c r="G41">
        <v>-8</v>
      </c>
      <c r="R41" t="s">
        <v>47</v>
      </c>
      <c r="S41" t="s">
        <v>103</v>
      </c>
      <c r="T41">
        <v>11</v>
      </c>
    </row>
    <row r="42" spans="1:25" x14ac:dyDescent="0.25">
      <c r="A42">
        <v>36</v>
      </c>
      <c r="B42" s="3">
        <f t="shared" si="3"/>
        <v>207.65234878997259</v>
      </c>
      <c r="C42" s="3">
        <f t="shared" si="0"/>
        <v>207.65234878997259</v>
      </c>
      <c r="D42">
        <f t="shared" si="4"/>
        <v>56</v>
      </c>
      <c r="E42">
        <f t="shared" si="1"/>
        <v>-4</v>
      </c>
      <c r="F42" s="3">
        <f t="shared" si="5"/>
        <v>166.14307616088945</v>
      </c>
      <c r="G42">
        <v>-7</v>
      </c>
      <c r="R42" t="s">
        <v>48</v>
      </c>
      <c r="S42" t="s">
        <v>104</v>
      </c>
      <c r="T42">
        <v>4</v>
      </c>
    </row>
    <row r="43" spans="1:25" x14ac:dyDescent="0.25">
      <c r="A43">
        <v>37</v>
      </c>
      <c r="B43" s="3">
        <f t="shared" si="3"/>
        <v>220</v>
      </c>
      <c r="C43" s="3">
        <f t="shared" si="0"/>
        <v>220</v>
      </c>
      <c r="D43">
        <f t="shared" si="4"/>
        <v>57</v>
      </c>
      <c r="E43">
        <f t="shared" si="1"/>
        <v>-3</v>
      </c>
      <c r="F43" s="3">
        <f t="shared" si="5"/>
        <v>156.81818181818181</v>
      </c>
      <c r="G43">
        <v>-6</v>
      </c>
      <c r="R43" t="s">
        <v>31</v>
      </c>
      <c r="S43" t="s">
        <v>105</v>
      </c>
      <c r="T43">
        <v>4</v>
      </c>
    </row>
    <row r="44" spans="1:25" x14ac:dyDescent="0.25">
      <c r="A44">
        <v>38</v>
      </c>
      <c r="B44" s="3">
        <f t="shared" si="3"/>
        <v>233.08188075904496</v>
      </c>
      <c r="C44" s="3">
        <f t="shared" si="0"/>
        <v>233.08188075904496</v>
      </c>
      <c r="D44">
        <f t="shared" si="4"/>
        <v>58</v>
      </c>
      <c r="E44">
        <v>-2</v>
      </c>
      <c r="F44" s="3">
        <f t="shared" si="5"/>
        <v>148.01665357962921</v>
      </c>
      <c r="G44">
        <v>-5</v>
      </c>
      <c r="R44" t="s">
        <v>49</v>
      </c>
      <c r="S44" t="s">
        <v>106</v>
      </c>
      <c r="T44">
        <v>8</v>
      </c>
    </row>
    <row r="45" spans="1:25" x14ac:dyDescent="0.25">
      <c r="A45">
        <v>39</v>
      </c>
      <c r="B45" s="3">
        <f t="shared" si="3"/>
        <v>246.94165062806206</v>
      </c>
      <c r="C45" s="3">
        <f>440*POWER(2,(E45+40-49)/12)</f>
        <v>246.94165062806206</v>
      </c>
      <c r="D45">
        <f t="shared" si="4"/>
        <v>59</v>
      </c>
      <c r="E45">
        <v>-1</v>
      </c>
      <c r="F45" s="3">
        <f t="shared" si="5"/>
        <v>139.70911716291684</v>
      </c>
      <c r="G45">
        <v>-4</v>
      </c>
      <c r="R45" s="12" t="s">
        <v>50</v>
      </c>
      <c r="S45" t="s">
        <v>107</v>
      </c>
      <c r="T45">
        <v>7</v>
      </c>
    </row>
    <row r="46" spans="1:25" x14ac:dyDescent="0.25">
      <c r="A46" s="1">
        <v>40</v>
      </c>
      <c r="B46" s="3">
        <f t="shared" si="3"/>
        <v>261.62556530059862</v>
      </c>
      <c r="C46" s="3">
        <f>440*POWER(2,(E46+40-49)/12)</f>
        <v>261.62556530059862</v>
      </c>
      <c r="D46" s="1">
        <f t="shared" si="4"/>
        <v>60</v>
      </c>
      <c r="E46">
        <v>0</v>
      </c>
      <c r="F46" s="3">
        <f t="shared" si="5"/>
        <v>131.86784693751432</v>
      </c>
      <c r="G46">
        <v>-3</v>
      </c>
    </row>
    <row r="47" spans="1:25" x14ac:dyDescent="0.25">
      <c r="A47">
        <v>41</v>
      </c>
      <c r="B47" s="3">
        <f t="shared" si="3"/>
        <v>277.18263097687208</v>
      </c>
      <c r="C47" s="3">
        <f t="shared" ref="C47:C94" si="6">440*POWER(2,(E47+40-49)/12)</f>
        <v>277.18263097687208</v>
      </c>
      <c r="D47">
        <f t="shared" si="4"/>
        <v>61</v>
      </c>
      <c r="E47">
        <v>1</v>
      </c>
      <c r="F47" s="3">
        <f t="shared" si="5"/>
        <v>124.46667339296111</v>
      </c>
      <c r="G47">
        <v>-2</v>
      </c>
      <c r="Q47" t="s">
        <v>108</v>
      </c>
    </row>
    <row r="48" spans="1:25" x14ac:dyDescent="0.25">
      <c r="A48">
        <v>42</v>
      </c>
      <c r="B48" s="3">
        <f t="shared" si="3"/>
        <v>293.66476791740757</v>
      </c>
      <c r="C48" s="3">
        <f t="shared" si="6"/>
        <v>293.66476791740757</v>
      </c>
      <c r="D48">
        <f t="shared" si="4"/>
        <v>62</v>
      </c>
      <c r="E48">
        <v>2</v>
      </c>
      <c r="F48" s="3">
        <f t="shared" si="5"/>
        <v>117.48089580055799</v>
      </c>
      <c r="G48">
        <v>-1</v>
      </c>
    </row>
    <row r="49" spans="1:20" x14ac:dyDescent="0.25">
      <c r="A49">
        <v>43</v>
      </c>
      <c r="B49" s="3">
        <f t="shared" si="3"/>
        <v>311.12698372208087</v>
      </c>
      <c r="C49" s="3">
        <f t="shared" si="6"/>
        <v>311.12698372208087</v>
      </c>
      <c r="D49">
        <f t="shared" si="4"/>
        <v>63</v>
      </c>
      <c r="E49">
        <v>3</v>
      </c>
      <c r="F49" s="3">
        <f t="shared" si="5"/>
        <v>110.88719977698133</v>
      </c>
      <c r="G49">
        <v>0</v>
      </c>
      <c r="R49" t="s">
        <v>51</v>
      </c>
      <c r="S49" t="s">
        <v>109</v>
      </c>
      <c r="T49">
        <v>4</v>
      </c>
    </row>
    <row r="50" spans="1:20" x14ac:dyDescent="0.25">
      <c r="A50">
        <v>44</v>
      </c>
      <c r="B50" s="3">
        <f t="shared" si="3"/>
        <v>329.62755691286992</v>
      </c>
      <c r="C50" s="3">
        <f t="shared" si="6"/>
        <v>329.62755691286992</v>
      </c>
      <c r="D50">
        <f t="shared" si="4"/>
        <v>64</v>
      </c>
      <c r="E50">
        <v>4</v>
      </c>
      <c r="F50" s="3">
        <f t="shared" si="5"/>
        <v>104.66357947469589</v>
      </c>
      <c r="G50">
        <v>1</v>
      </c>
      <c r="R50" t="s">
        <v>52</v>
      </c>
      <c r="S50" t="s">
        <v>110</v>
      </c>
      <c r="T50">
        <v>4</v>
      </c>
    </row>
    <row r="51" spans="1:20" x14ac:dyDescent="0.25">
      <c r="A51">
        <v>45</v>
      </c>
      <c r="B51" s="3">
        <f t="shared" si="3"/>
        <v>349.22823143300388</v>
      </c>
      <c r="C51" s="3">
        <f t="shared" si="6"/>
        <v>349.22823143300388</v>
      </c>
      <c r="D51">
        <f t="shared" si="4"/>
        <v>65</v>
      </c>
      <c r="E51">
        <v>5</v>
      </c>
      <c r="F51" s="3">
        <f t="shared" si="5"/>
        <v>98.789264139484374</v>
      </c>
      <c r="G51">
        <v>2</v>
      </c>
      <c r="R51" s="13" t="s">
        <v>53</v>
      </c>
      <c r="S51" t="s">
        <v>111</v>
      </c>
      <c r="T51">
        <v>7</v>
      </c>
    </row>
    <row r="52" spans="1:20" x14ac:dyDescent="0.25">
      <c r="A52">
        <v>46</v>
      </c>
      <c r="B52" s="3">
        <f t="shared" si="3"/>
        <v>369.99442271163446</v>
      </c>
      <c r="C52" s="3">
        <f t="shared" si="6"/>
        <v>369.99442271163446</v>
      </c>
      <c r="D52">
        <f t="shared" si="4"/>
        <v>66</v>
      </c>
      <c r="E52">
        <v>6</v>
      </c>
      <c r="F52" s="3">
        <f t="shared" si="5"/>
        <v>93.244648789986073</v>
      </c>
      <c r="G52">
        <v>3</v>
      </c>
      <c r="R52" t="s">
        <v>54</v>
      </c>
      <c r="S52" t="s">
        <v>112</v>
      </c>
      <c r="T52">
        <v>4</v>
      </c>
    </row>
    <row r="53" spans="1:20" x14ac:dyDescent="0.25">
      <c r="A53">
        <v>47</v>
      </c>
      <c r="B53" s="3">
        <f t="shared" si="3"/>
        <v>391.99543598174927</v>
      </c>
      <c r="C53" s="3">
        <f t="shared" si="6"/>
        <v>391.99543598174927</v>
      </c>
      <c r="D53">
        <f t="shared" si="4"/>
        <v>67</v>
      </c>
      <c r="E53">
        <v>7</v>
      </c>
      <c r="F53" s="3">
        <f t="shared" si="5"/>
        <v>88.011228787894026</v>
      </c>
      <c r="G53">
        <v>4</v>
      </c>
      <c r="P53" t="s">
        <v>74</v>
      </c>
      <c r="R53" t="s">
        <v>55</v>
      </c>
      <c r="S53" t="s">
        <v>113</v>
      </c>
      <c r="T53">
        <v>4</v>
      </c>
    </row>
    <row r="54" spans="1:20" x14ac:dyDescent="0.25">
      <c r="A54">
        <v>48</v>
      </c>
      <c r="B54" s="3">
        <f t="shared" si="3"/>
        <v>415.30469757994513</v>
      </c>
      <c r="C54" s="3">
        <f t="shared" si="6"/>
        <v>415.30469757994513</v>
      </c>
      <c r="D54">
        <f t="shared" si="4"/>
        <v>68</v>
      </c>
      <c r="E54">
        <v>8</v>
      </c>
      <c r="F54" s="3">
        <f t="shared" si="5"/>
        <v>83.071538080444739</v>
      </c>
      <c r="G54">
        <v>5</v>
      </c>
      <c r="R54" t="s">
        <v>56</v>
      </c>
      <c r="S54" t="s">
        <v>114</v>
      </c>
      <c r="T54">
        <v>4</v>
      </c>
    </row>
    <row r="55" spans="1:20" x14ac:dyDescent="0.25">
      <c r="A55" s="1">
        <v>49</v>
      </c>
      <c r="B55" s="3">
        <f t="shared" si="3"/>
        <v>440</v>
      </c>
      <c r="C55" s="3">
        <f t="shared" si="6"/>
        <v>440</v>
      </c>
      <c r="D55" s="1">
        <f t="shared" si="4"/>
        <v>69</v>
      </c>
      <c r="E55">
        <v>9</v>
      </c>
      <c r="F55" s="3">
        <f t="shared" si="5"/>
        <v>78.409090909090907</v>
      </c>
      <c r="G55">
        <v>6</v>
      </c>
      <c r="R55" s="14" t="s">
        <v>57</v>
      </c>
      <c r="S55" t="s">
        <v>115</v>
      </c>
      <c r="T55">
        <v>8</v>
      </c>
    </row>
    <row r="56" spans="1:20" x14ac:dyDescent="0.25">
      <c r="A56">
        <v>50</v>
      </c>
      <c r="B56" s="3">
        <f t="shared" si="3"/>
        <v>466.16376151808993</v>
      </c>
      <c r="C56" s="3">
        <f t="shared" si="6"/>
        <v>466.16376151808993</v>
      </c>
      <c r="D56">
        <f t="shared" si="4"/>
        <v>70</v>
      </c>
      <c r="E56">
        <v>10</v>
      </c>
      <c r="F56" s="3">
        <f t="shared" si="5"/>
        <v>74.008326789814603</v>
      </c>
      <c r="G56">
        <v>7</v>
      </c>
    </row>
    <row r="57" spans="1:20" x14ac:dyDescent="0.25">
      <c r="A57">
        <v>51</v>
      </c>
      <c r="B57" s="3">
        <f t="shared" si="3"/>
        <v>493.88330125612413</v>
      </c>
      <c r="C57" s="3">
        <f t="shared" si="6"/>
        <v>493.88330125612413</v>
      </c>
      <c r="D57">
        <f t="shared" si="4"/>
        <v>71</v>
      </c>
      <c r="E57">
        <v>11</v>
      </c>
      <c r="F57" s="3">
        <f t="shared" si="5"/>
        <v>69.85455858145842</v>
      </c>
      <c r="G57">
        <v>7</v>
      </c>
      <c r="P57" t="s">
        <v>75</v>
      </c>
      <c r="Q57" t="s">
        <v>116</v>
      </c>
    </row>
    <row r="58" spans="1:20" x14ac:dyDescent="0.25">
      <c r="A58">
        <v>52</v>
      </c>
      <c r="B58" s="3">
        <f t="shared" si="3"/>
        <v>523.25113060119725</v>
      </c>
      <c r="C58" s="3">
        <f t="shared" si="6"/>
        <v>523.25113060119725</v>
      </c>
      <c r="D58">
        <f t="shared" si="4"/>
        <v>72</v>
      </c>
      <c r="E58">
        <v>12</v>
      </c>
      <c r="F58" s="3">
        <f t="shared" si="5"/>
        <v>65.933923468757158</v>
      </c>
      <c r="G58">
        <v>8</v>
      </c>
    </row>
    <row r="59" spans="1:20" x14ac:dyDescent="0.25">
      <c r="A59">
        <v>53</v>
      </c>
      <c r="B59" s="3">
        <f t="shared" si="3"/>
        <v>554.36526195374415</v>
      </c>
      <c r="C59" s="3">
        <f t="shared" si="6"/>
        <v>554.36526195374415</v>
      </c>
      <c r="D59">
        <f t="shared" si="4"/>
        <v>73</v>
      </c>
      <c r="E59">
        <v>13</v>
      </c>
      <c r="F59" s="3">
        <f t="shared" si="5"/>
        <v>62.233336696480556</v>
      </c>
      <c r="Q59" s="12" t="s">
        <v>61</v>
      </c>
      <c r="R59" t="s">
        <v>55</v>
      </c>
      <c r="S59" t="s">
        <v>113</v>
      </c>
      <c r="T59">
        <v>4</v>
      </c>
    </row>
    <row r="60" spans="1:20" x14ac:dyDescent="0.25">
      <c r="A60">
        <v>54</v>
      </c>
      <c r="B60" s="3">
        <f t="shared" si="3"/>
        <v>587.32953583481515</v>
      </c>
      <c r="C60" s="3">
        <f t="shared" si="6"/>
        <v>587.32953583481515</v>
      </c>
      <c r="D60">
        <f t="shared" si="4"/>
        <v>74</v>
      </c>
      <c r="E60">
        <v>14</v>
      </c>
      <c r="F60" s="3">
        <f t="shared" si="5"/>
        <v>58.740447900278994</v>
      </c>
      <c r="R60" t="s">
        <v>41</v>
      </c>
      <c r="S60" t="s">
        <v>117</v>
      </c>
      <c r="T60">
        <v>4</v>
      </c>
    </row>
    <row r="61" spans="1:20" x14ac:dyDescent="0.25">
      <c r="A61">
        <v>55</v>
      </c>
      <c r="B61" s="3">
        <f t="shared" si="3"/>
        <v>622.25396744416184</v>
      </c>
      <c r="C61" s="3">
        <f t="shared" si="6"/>
        <v>622.25396744416184</v>
      </c>
      <c r="D61">
        <f t="shared" si="4"/>
        <v>75</v>
      </c>
      <c r="E61">
        <v>15</v>
      </c>
      <c r="F61" s="3">
        <f t="shared" si="5"/>
        <v>55.44359988849066</v>
      </c>
      <c r="R61" s="14" t="s">
        <v>57</v>
      </c>
      <c r="S61" t="s">
        <v>118</v>
      </c>
      <c r="T61">
        <v>8</v>
      </c>
    </row>
    <row r="62" spans="1:20" x14ac:dyDescent="0.25">
      <c r="A62">
        <v>56</v>
      </c>
      <c r="B62" s="3">
        <f t="shared" si="3"/>
        <v>659.25511382573984</v>
      </c>
      <c r="C62" s="3">
        <f t="shared" si="6"/>
        <v>659.25511382573984</v>
      </c>
      <c r="D62">
        <f t="shared" si="4"/>
        <v>76</v>
      </c>
      <c r="E62">
        <v>16</v>
      </c>
      <c r="F62" s="3">
        <f t="shared" si="5"/>
        <v>52.331789737347947</v>
      </c>
    </row>
    <row r="63" spans="1:20" x14ac:dyDescent="0.25">
      <c r="A63">
        <v>57</v>
      </c>
      <c r="B63" s="3">
        <f t="shared" si="3"/>
        <v>698.45646286600777</v>
      </c>
      <c r="C63" s="3">
        <f t="shared" si="6"/>
        <v>698.45646286600777</v>
      </c>
      <c r="D63">
        <f t="shared" si="4"/>
        <v>77</v>
      </c>
      <c r="E63">
        <v>17</v>
      </c>
      <c r="F63" s="3">
        <f t="shared" si="5"/>
        <v>49.394632069742187</v>
      </c>
      <c r="Q63" t="s">
        <v>121</v>
      </c>
    </row>
    <row r="64" spans="1:20" x14ac:dyDescent="0.25">
      <c r="A64">
        <v>58</v>
      </c>
      <c r="B64" s="3">
        <f t="shared" si="3"/>
        <v>739.9888454232688</v>
      </c>
      <c r="C64" s="3">
        <f t="shared" si="6"/>
        <v>739.9888454232688</v>
      </c>
      <c r="D64">
        <f t="shared" si="4"/>
        <v>78</v>
      </c>
      <c r="E64">
        <v>18</v>
      </c>
      <c r="F64" s="3">
        <f t="shared" si="5"/>
        <v>46.622324394993043</v>
      </c>
    </row>
    <row r="65" spans="1:19" x14ac:dyDescent="0.25">
      <c r="A65">
        <v>59</v>
      </c>
      <c r="B65" s="3">
        <f t="shared" si="3"/>
        <v>783.99087196349853</v>
      </c>
      <c r="C65" s="3">
        <f t="shared" si="6"/>
        <v>783.99087196349853</v>
      </c>
      <c r="D65">
        <f t="shared" si="4"/>
        <v>79</v>
      </c>
      <c r="E65">
        <v>19</v>
      </c>
      <c r="F65" s="3">
        <f t="shared" si="5"/>
        <v>44.005614393947013</v>
      </c>
      <c r="Q65" s="13" t="s">
        <v>60</v>
      </c>
      <c r="R65" t="s">
        <v>58</v>
      </c>
      <c r="S65" t="s">
        <v>119</v>
      </c>
    </row>
    <row r="66" spans="1:19" x14ac:dyDescent="0.25">
      <c r="A66">
        <v>60</v>
      </c>
      <c r="B66" s="3">
        <f t="shared" si="3"/>
        <v>830.60939515989025</v>
      </c>
      <c r="C66" s="3">
        <f t="shared" si="6"/>
        <v>830.60939515989025</v>
      </c>
      <c r="D66">
        <f t="shared" si="4"/>
        <v>80</v>
      </c>
      <c r="E66">
        <v>20</v>
      </c>
      <c r="F66" s="3">
        <f t="shared" si="5"/>
        <v>41.53576904022237</v>
      </c>
      <c r="R66" t="s">
        <v>59</v>
      </c>
      <c r="S66" t="s">
        <v>120</v>
      </c>
    </row>
    <row r="67" spans="1:19" x14ac:dyDescent="0.25">
      <c r="A67">
        <v>61</v>
      </c>
      <c r="B67" s="3">
        <f t="shared" si="3"/>
        <v>880</v>
      </c>
      <c r="C67" s="3">
        <f t="shared" si="6"/>
        <v>880</v>
      </c>
      <c r="D67">
        <f t="shared" si="4"/>
        <v>81</v>
      </c>
      <c r="E67">
        <v>21</v>
      </c>
      <c r="F67" s="3">
        <f t="shared" si="5"/>
        <v>39.204545454545453</v>
      </c>
    </row>
    <row r="68" spans="1:19" x14ac:dyDescent="0.25">
      <c r="A68">
        <v>62</v>
      </c>
      <c r="B68" s="3">
        <f t="shared" si="3"/>
        <v>932.32752303617963</v>
      </c>
      <c r="C68" s="3">
        <f t="shared" si="6"/>
        <v>932.32752303617963</v>
      </c>
      <c r="D68">
        <f t="shared" si="4"/>
        <v>82</v>
      </c>
      <c r="E68">
        <v>22</v>
      </c>
      <c r="F68" s="3">
        <f t="shared" si="5"/>
        <v>37.004163394907309</v>
      </c>
    </row>
    <row r="69" spans="1:19" x14ac:dyDescent="0.25">
      <c r="A69">
        <v>63</v>
      </c>
      <c r="B69" s="3">
        <f t="shared" si="3"/>
        <v>987.76660251224826</v>
      </c>
      <c r="C69" s="3">
        <f t="shared" si="6"/>
        <v>987.76660251224826</v>
      </c>
      <c r="D69">
        <f t="shared" si="4"/>
        <v>83</v>
      </c>
      <c r="E69">
        <v>23</v>
      </c>
      <c r="F69" s="3">
        <f t="shared" si="5"/>
        <v>34.92727929072921</v>
      </c>
    </row>
    <row r="70" spans="1:19" x14ac:dyDescent="0.25">
      <c r="A70">
        <v>64</v>
      </c>
      <c r="B70" s="3">
        <f t="shared" si="3"/>
        <v>1046.5022612023945</v>
      </c>
      <c r="C70" s="3">
        <f t="shared" si="6"/>
        <v>1046.5022612023945</v>
      </c>
      <c r="D70">
        <f t="shared" si="4"/>
        <v>84</v>
      </c>
      <c r="E70">
        <v>24</v>
      </c>
      <c r="F70" s="3">
        <f t="shared" si="5"/>
        <v>32.966961734378579</v>
      </c>
    </row>
    <row r="71" spans="1:19" x14ac:dyDescent="0.25">
      <c r="A71">
        <v>65</v>
      </c>
      <c r="B71" s="3">
        <f t="shared" si="3"/>
        <v>1108.7305239074883</v>
      </c>
      <c r="C71" s="3">
        <f t="shared" si="6"/>
        <v>1108.7305239074883</v>
      </c>
      <c r="D71">
        <f t="shared" si="4"/>
        <v>85</v>
      </c>
      <c r="E71">
        <v>25</v>
      </c>
      <c r="F71" s="3">
        <f t="shared" ref="F71:F94" si="7">345/B71*100</f>
        <v>31.116668348240278</v>
      </c>
    </row>
    <row r="72" spans="1:19" x14ac:dyDescent="0.25">
      <c r="A72">
        <v>66</v>
      </c>
      <c r="B72" s="3">
        <f t="shared" ref="B72:B94" si="8">440*POWER(2,(A72-49)/12)</f>
        <v>1174.6590716696303</v>
      </c>
      <c r="C72" s="3">
        <f t="shared" si="6"/>
        <v>1174.6590716696303</v>
      </c>
      <c r="D72">
        <f t="shared" ref="D72:D94" si="9">69+12*LOG(B72/440,2)</f>
        <v>86</v>
      </c>
      <c r="E72">
        <v>26</v>
      </c>
      <c r="F72" s="3">
        <f t="shared" si="7"/>
        <v>29.370223950139497</v>
      </c>
    </row>
    <row r="73" spans="1:19" x14ac:dyDescent="0.25">
      <c r="A73">
        <v>67</v>
      </c>
      <c r="B73" s="3">
        <f t="shared" si="8"/>
        <v>1244.5079348883235</v>
      </c>
      <c r="C73" s="3">
        <f t="shared" si="6"/>
        <v>1244.5079348883235</v>
      </c>
      <c r="D73">
        <f t="shared" si="9"/>
        <v>87</v>
      </c>
      <c r="E73">
        <v>27</v>
      </c>
      <c r="F73" s="3">
        <f t="shared" si="7"/>
        <v>27.721799944245333</v>
      </c>
    </row>
    <row r="74" spans="1:19" x14ac:dyDescent="0.25">
      <c r="A74">
        <v>68</v>
      </c>
      <c r="B74" s="3">
        <f t="shared" si="8"/>
        <v>1318.5102276514795</v>
      </c>
      <c r="C74" s="3">
        <f t="shared" si="6"/>
        <v>1318.5102276514795</v>
      </c>
      <c r="D74">
        <f t="shared" si="9"/>
        <v>88</v>
      </c>
      <c r="E74">
        <v>28</v>
      </c>
      <c r="F74" s="3">
        <f t="shared" si="7"/>
        <v>26.165894868673973</v>
      </c>
    </row>
    <row r="75" spans="1:19" x14ac:dyDescent="0.25">
      <c r="A75">
        <v>69</v>
      </c>
      <c r="B75" s="3">
        <f t="shared" si="8"/>
        <v>1396.9129257320155</v>
      </c>
      <c r="C75" s="3">
        <f t="shared" si="6"/>
        <v>1396.9129257320155</v>
      </c>
      <c r="D75">
        <f t="shared" si="9"/>
        <v>89</v>
      </c>
      <c r="E75">
        <v>29</v>
      </c>
      <c r="F75" s="3">
        <f t="shared" si="7"/>
        <v>24.697316034871093</v>
      </c>
    </row>
    <row r="76" spans="1:19" x14ac:dyDescent="0.25">
      <c r="A76">
        <v>70</v>
      </c>
      <c r="B76" s="3">
        <f t="shared" si="8"/>
        <v>1479.9776908465376</v>
      </c>
      <c r="C76" s="3">
        <f t="shared" si="6"/>
        <v>1479.9776908465376</v>
      </c>
      <c r="D76">
        <f t="shared" si="9"/>
        <v>90</v>
      </c>
      <c r="E76">
        <v>30</v>
      </c>
      <c r="F76" s="3">
        <f t="shared" si="7"/>
        <v>23.311162197496522</v>
      </c>
    </row>
    <row r="77" spans="1:19" x14ac:dyDescent="0.25">
      <c r="A77">
        <v>71</v>
      </c>
      <c r="B77" s="3">
        <f t="shared" si="8"/>
        <v>1567.9817439269968</v>
      </c>
      <c r="C77" s="3">
        <f t="shared" si="6"/>
        <v>1567.9817439269968</v>
      </c>
      <c r="D77">
        <f t="shared" si="9"/>
        <v>91</v>
      </c>
      <c r="E77">
        <v>31</v>
      </c>
      <c r="F77" s="3">
        <f t="shared" si="7"/>
        <v>22.00280719697351</v>
      </c>
    </row>
    <row r="78" spans="1:19" x14ac:dyDescent="0.25">
      <c r="A78">
        <v>72</v>
      </c>
      <c r="B78" s="3">
        <f t="shared" si="8"/>
        <v>1661.2187903197805</v>
      </c>
      <c r="C78" s="3">
        <f t="shared" si="6"/>
        <v>1661.2187903197805</v>
      </c>
      <c r="D78">
        <f t="shared" si="9"/>
        <v>92</v>
      </c>
      <c r="E78">
        <v>32</v>
      </c>
      <c r="F78" s="3">
        <f t="shared" si="7"/>
        <v>20.767884520111185</v>
      </c>
    </row>
    <row r="79" spans="1:19" x14ac:dyDescent="0.25">
      <c r="A79">
        <v>73</v>
      </c>
      <c r="B79" s="3">
        <f t="shared" si="8"/>
        <v>1760</v>
      </c>
      <c r="C79" s="3">
        <f t="shared" si="6"/>
        <v>1760</v>
      </c>
      <c r="D79">
        <f t="shared" si="9"/>
        <v>93</v>
      </c>
      <c r="E79">
        <v>33</v>
      </c>
      <c r="F79" s="3">
        <f t="shared" si="7"/>
        <v>19.602272727272727</v>
      </c>
    </row>
    <row r="80" spans="1:19" x14ac:dyDescent="0.25">
      <c r="A80">
        <v>74</v>
      </c>
      <c r="B80" s="3">
        <f t="shared" si="8"/>
        <v>1864.6550460723597</v>
      </c>
      <c r="C80" s="3">
        <f t="shared" si="6"/>
        <v>1864.6550460723597</v>
      </c>
      <c r="D80">
        <f t="shared" si="9"/>
        <v>94</v>
      </c>
      <c r="E80">
        <v>34</v>
      </c>
      <c r="F80" s="3">
        <f t="shared" si="7"/>
        <v>18.502081697453651</v>
      </c>
    </row>
    <row r="81" spans="1:6" x14ac:dyDescent="0.25">
      <c r="A81">
        <v>75</v>
      </c>
      <c r="B81" s="3">
        <f t="shared" si="8"/>
        <v>1975.5332050244961</v>
      </c>
      <c r="C81" s="3">
        <f t="shared" si="6"/>
        <v>1975.5332050244961</v>
      </c>
      <c r="D81">
        <f t="shared" si="9"/>
        <v>95</v>
      </c>
      <c r="E81">
        <v>35</v>
      </c>
      <c r="F81" s="3">
        <f t="shared" si="7"/>
        <v>17.463639645364609</v>
      </c>
    </row>
    <row r="82" spans="1:6" x14ac:dyDescent="0.25">
      <c r="A82">
        <v>76</v>
      </c>
      <c r="B82" s="3">
        <f t="shared" si="8"/>
        <v>2093.004522404789</v>
      </c>
      <c r="C82" s="3">
        <f t="shared" si="6"/>
        <v>2093.004522404789</v>
      </c>
      <c r="D82">
        <f t="shared" si="9"/>
        <v>96</v>
      </c>
      <c r="E82">
        <v>36</v>
      </c>
      <c r="F82" s="3">
        <f t="shared" si="7"/>
        <v>16.483480867189289</v>
      </c>
    </row>
    <row r="83" spans="1:6" x14ac:dyDescent="0.25">
      <c r="A83">
        <v>77</v>
      </c>
      <c r="B83" s="3">
        <f t="shared" si="8"/>
        <v>2217.4610478149771</v>
      </c>
      <c r="C83" s="3">
        <f t="shared" si="6"/>
        <v>2217.4610478149771</v>
      </c>
      <c r="D83">
        <f t="shared" si="9"/>
        <v>97</v>
      </c>
      <c r="E83">
        <v>37</v>
      </c>
      <c r="F83" s="3">
        <f t="shared" si="7"/>
        <v>15.558334174120134</v>
      </c>
    </row>
    <row r="84" spans="1:6" x14ac:dyDescent="0.25">
      <c r="A84">
        <v>78</v>
      </c>
      <c r="B84" s="3">
        <f t="shared" si="8"/>
        <v>2349.3181433392601</v>
      </c>
      <c r="C84" s="3">
        <f t="shared" si="6"/>
        <v>2349.3181433392601</v>
      </c>
      <c r="D84">
        <f t="shared" si="9"/>
        <v>98</v>
      </c>
      <c r="E84">
        <v>38</v>
      </c>
      <c r="F84" s="3">
        <f t="shared" si="7"/>
        <v>14.68511197506975</v>
      </c>
    </row>
    <row r="85" spans="1:6" x14ac:dyDescent="0.25">
      <c r="A85">
        <v>79</v>
      </c>
      <c r="B85" s="3">
        <f t="shared" si="8"/>
        <v>2489.0158697766474</v>
      </c>
      <c r="C85" s="3">
        <f t="shared" si="6"/>
        <v>2489.0158697766474</v>
      </c>
      <c r="D85">
        <f t="shared" si="9"/>
        <v>99</v>
      </c>
      <c r="E85">
        <v>39</v>
      </c>
      <c r="F85" s="3">
        <f t="shared" si="7"/>
        <v>13.860899972122665</v>
      </c>
    </row>
    <row r="86" spans="1:6" x14ac:dyDescent="0.25">
      <c r="A86">
        <v>80</v>
      </c>
      <c r="B86" s="3">
        <f t="shared" si="8"/>
        <v>2637.0204553029598</v>
      </c>
      <c r="C86" s="3">
        <f t="shared" si="6"/>
        <v>2637.0204553029598</v>
      </c>
      <c r="D86">
        <f t="shared" si="9"/>
        <v>100</v>
      </c>
      <c r="E86">
        <v>40</v>
      </c>
      <c r="F86" s="3">
        <f t="shared" si="7"/>
        <v>13.082947434336983</v>
      </c>
    </row>
    <row r="87" spans="1:6" x14ac:dyDescent="0.25">
      <c r="A87">
        <v>81</v>
      </c>
      <c r="B87" s="3">
        <f t="shared" si="8"/>
        <v>2793.8258514640311</v>
      </c>
      <c r="C87" s="3">
        <f t="shared" si="6"/>
        <v>2793.8258514640311</v>
      </c>
      <c r="D87">
        <f t="shared" si="9"/>
        <v>101</v>
      </c>
      <c r="E87">
        <v>41</v>
      </c>
      <c r="F87" s="3">
        <f t="shared" si="7"/>
        <v>12.348658017435547</v>
      </c>
    </row>
    <row r="88" spans="1:6" x14ac:dyDescent="0.25">
      <c r="A88">
        <v>82</v>
      </c>
      <c r="B88" s="3">
        <f t="shared" si="8"/>
        <v>2959.9553816930757</v>
      </c>
      <c r="C88" s="3">
        <f t="shared" si="6"/>
        <v>2959.9553816930757</v>
      </c>
      <c r="D88">
        <f t="shared" si="9"/>
        <v>102</v>
      </c>
      <c r="E88">
        <v>42</v>
      </c>
      <c r="F88" s="3">
        <f t="shared" si="7"/>
        <v>11.655581098748259</v>
      </c>
    </row>
    <row r="89" spans="1:6" x14ac:dyDescent="0.25">
      <c r="A89">
        <v>83</v>
      </c>
      <c r="B89" s="3">
        <f t="shared" si="8"/>
        <v>3135.9634878539941</v>
      </c>
      <c r="C89" s="3">
        <f t="shared" si="6"/>
        <v>3135.9634878539941</v>
      </c>
      <c r="D89">
        <f t="shared" si="9"/>
        <v>103</v>
      </c>
      <c r="E89">
        <v>43</v>
      </c>
      <c r="F89" s="3">
        <f t="shared" si="7"/>
        <v>11.001403598486753</v>
      </c>
    </row>
    <row r="90" spans="1:6" x14ac:dyDescent="0.25">
      <c r="A90">
        <v>84</v>
      </c>
      <c r="B90" s="3">
        <f t="shared" si="8"/>
        <v>3322.4375806395601</v>
      </c>
      <c r="C90" s="3">
        <f t="shared" si="6"/>
        <v>3322.4375806395601</v>
      </c>
      <c r="D90">
        <f t="shared" si="9"/>
        <v>104</v>
      </c>
      <c r="E90">
        <v>44</v>
      </c>
      <c r="F90" s="3">
        <f t="shared" si="7"/>
        <v>10.383942260055596</v>
      </c>
    </row>
    <row r="91" spans="1:6" x14ac:dyDescent="0.25">
      <c r="A91">
        <v>85</v>
      </c>
      <c r="B91" s="3">
        <f t="shared" si="8"/>
        <v>3520</v>
      </c>
      <c r="C91" s="3">
        <f t="shared" si="6"/>
        <v>3520</v>
      </c>
      <c r="D91">
        <f t="shared" si="9"/>
        <v>105</v>
      </c>
      <c r="E91">
        <v>45</v>
      </c>
      <c r="F91" s="3">
        <f t="shared" si="7"/>
        <v>9.8011363636363633</v>
      </c>
    </row>
    <row r="92" spans="1:6" x14ac:dyDescent="0.25">
      <c r="A92">
        <v>86</v>
      </c>
      <c r="B92" s="3">
        <f t="shared" si="8"/>
        <v>3729.3100921447194</v>
      </c>
      <c r="C92" s="3">
        <f t="shared" si="6"/>
        <v>3729.3100921447194</v>
      </c>
      <c r="D92">
        <f t="shared" si="9"/>
        <v>106</v>
      </c>
      <c r="E92">
        <v>46</v>
      </c>
      <c r="F92" s="3">
        <f t="shared" si="7"/>
        <v>9.2510408487268254</v>
      </c>
    </row>
    <row r="93" spans="1:6" x14ac:dyDescent="0.25">
      <c r="A93">
        <v>87</v>
      </c>
      <c r="B93" s="3">
        <f t="shared" si="8"/>
        <v>3951.0664100489917</v>
      </c>
      <c r="C93" s="3">
        <f t="shared" si="6"/>
        <v>3951.0664100489917</v>
      </c>
      <c r="D93">
        <f t="shared" si="9"/>
        <v>107</v>
      </c>
      <c r="E93">
        <v>47</v>
      </c>
      <c r="F93" s="3">
        <f t="shared" si="7"/>
        <v>8.7318198226823061</v>
      </c>
    </row>
    <row r="94" spans="1:6" x14ac:dyDescent="0.25">
      <c r="A94">
        <v>88</v>
      </c>
      <c r="B94" s="3">
        <f t="shared" si="8"/>
        <v>4186.0090448095771</v>
      </c>
      <c r="C94" s="3">
        <f t="shared" si="6"/>
        <v>4186.0090448095771</v>
      </c>
      <c r="D94">
        <f t="shared" si="9"/>
        <v>108</v>
      </c>
      <c r="E94">
        <v>48</v>
      </c>
      <c r="F94" s="3">
        <f t="shared" si="7"/>
        <v>8.2417404335946483</v>
      </c>
    </row>
    <row r="110" spans="19:20" x14ac:dyDescent="0.25">
      <c r="S110" s="3"/>
      <c r="T110" s="3"/>
    </row>
  </sheetData>
  <mergeCells count="2">
    <mergeCell ref="AA1:AJ1"/>
    <mergeCell ref="AG3:A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AticAtac</vt:lpstr>
      <vt:lpstr>Beep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2018-11-06T20:14:00Z</dcterms:created>
  <dcterms:modified xsi:type="dcterms:W3CDTF">2019-01-16T18:05:14Z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2018-11-06T20:56:35.2168026Z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