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 activeTab="1"/>
  </bookViews>
  <sheets>
    <sheet name="Contagem" sheetId="1" r:id="rId1"/>
    <sheet name="Funções" sheetId="2" r:id="rId2"/>
    <sheet name="Sumário" sheetId="3" r:id="rId3"/>
    <sheet name="PFs por Sprint" sheetId="4" r:id="rId4"/>
  </sheets>
  <definedNames>
    <definedName name="CF">Funções!$K$8:$K$117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45621"/>
</workbook>
</file>

<file path=xl/calcChain.xml><?xml version="1.0" encoding="utf-8"?>
<calcChain xmlns="http://schemas.openxmlformats.org/spreadsheetml/2006/main">
  <c r="B19" i="4" l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F58" i="3"/>
  <c r="E58" i="3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S117" i="2"/>
  <c r="R117" i="2"/>
  <c r="Q117" i="2"/>
  <c r="O117" i="2"/>
  <c r="N117" i="2"/>
  <c r="L117" i="2"/>
  <c r="M117" i="2" s="1"/>
  <c r="S116" i="2"/>
  <c r="R116" i="2"/>
  <c r="Q116" i="2"/>
  <c r="O116" i="2"/>
  <c r="N116" i="2"/>
  <c r="L116" i="2"/>
  <c r="M116" i="2" s="1"/>
  <c r="S115" i="2"/>
  <c r="R115" i="2"/>
  <c r="Q115" i="2"/>
  <c r="O115" i="2"/>
  <c r="N115" i="2"/>
  <c r="L115" i="2"/>
  <c r="M115" i="2" s="1"/>
  <c r="S114" i="2"/>
  <c r="R114" i="2"/>
  <c r="Q114" i="2"/>
  <c r="O114" i="2"/>
  <c r="N114" i="2"/>
  <c r="L114" i="2"/>
  <c r="M114" i="2" s="1"/>
  <c r="S113" i="2"/>
  <c r="R113" i="2"/>
  <c r="Q113" i="2"/>
  <c r="O113" i="2"/>
  <c r="N113" i="2"/>
  <c r="L113" i="2"/>
  <c r="M113" i="2" s="1"/>
  <c r="S112" i="2"/>
  <c r="R112" i="2"/>
  <c r="Q112" i="2"/>
  <c r="O112" i="2"/>
  <c r="N112" i="2"/>
  <c r="L112" i="2"/>
  <c r="M112" i="2" s="1"/>
  <c r="S111" i="2"/>
  <c r="R111" i="2"/>
  <c r="Q111" i="2"/>
  <c r="O111" i="2"/>
  <c r="N111" i="2"/>
  <c r="L111" i="2"/>
  <c r="M111" i="2" s="1"/>
  <c r="S110" i="2"/>
  <c r="R110" i="2"/>
  <c r="Q110" i="2"/>
  <c r="O110" i="2"/>
  <c r="N110" i="2"/>
  <c r="L110" i="2"/>
  <c r="M110" i="2" s="1"/>
  <c r="S109" i="2"/>
  <c r="R109" i="2"/>
  <c r="Q109" i="2"/>
  <c r="O109" i="2"/>
  <c r="N109" i="2"/>
  <c r="L109" i="2"/>
  <c r="M109" i="2" s="1"/>
  <c r="S108" i="2"/>
  <c r="R108" i="2"/>
  <c r="Q108" i="2"/>
  <c r="O108" i="2"/>
  <c r="N108" i="2"/>
  <c r="L108" i="2"/>
  <c r="M108" i="2" s="1"/>
  <c r="S107" i="2"/>
  <c r="R107" i="2"/>
  <c r="Q107" i="2"/>
  <c r="O107" i="2"/>
  <c r="N107" i="2"/>
  <c r="L107" i="2"/>
  <c r="M107" i="2" s="1"/>
  <c r="S106" i="2"/>
  <c r="R106" i="2"/>
  <c r="Q106" i="2"/>
  <c r="O106" i="2"/>
  <c r="N106" i="2"/>
  <c r="L106" i="2"/>
  <c r="M106" i="2" s="1"/>
  <c r="S105" i="2"/>
  <c r="R105" i="2"/>
  <c r="Q105" i="2"/>
  <c r="O105" i="2"/>
  <c r="N105" i="2"/>
  <c r="L105" i="2"/>
  <c r="M105" i="2" s="1"/>
  <c r="S104" i="2"/>
  <c r="R104" i="2"/>
  <c r="Q104" i="2"/>
  <c r="O104" i="2"/>
  <c r="N104" i="2"/>
  <c r="L104" i="2"/>
  <c r="M104" i="2" s="1"/>
  <c r="S103" i="2"/>
  <c r="R103" i="2"/>
  <c r="Q103" i="2"/>
  <c r="O103" i="2"/>
  <c r="N103" i="2"/>
  <c r="L103" i="2"/>
  <c r="S102" i="2"/>
  <c r="R102" i="2"/>
  <c r="Q102" i="2"/>
  <c r="O102" i="2"/>
  <c r="N102" i="2"/>
  <c r="L102" i="2"/>
  <c r="S101" i="2"/>
  <c r="R101" i="2"/>
  <c r="Q101" i="2"/>
  <c r="O101" i="2"/>
  <c r="N101" i="2"/>
  <c r="L101" i="2"/>
  <c r="S100" i="2"/>
  <c r="R100" i="2"/>
  <c r="Q100" i="2"/>
  <c r="O100" i="2"/>
  <c r="N100" i="2"/>
  <c r="L100" i="2"/>
  <c r="S99" i="2"/>
  <c r="R99" i="2"/>
  <c r="Q99" i="2"/>
  <c r="O99" i="2"/>
  <c r="N99" i="2"/>
  <c r="L99" i="2"/>
  <c r="S98" i="2"/>
  <c r="R98" i="2"/>
  <c r="Q98" i="2"/>
  <c r="O98" i="2"/>
  <c r="N98" i="2"/>
  <c r="L98" i="2"/>
  <c r="S97" i="2"/>
  <c r="R97" i="2"/>
  <c r="Q97" i="2"/>
  <c r="O97" i="2"/>
  <c r="N97" i="2"/>
  <c r="L97" i="2"/>
  <c r="S96" i="2"/>
  <c r="R96" i="2"/>
  <c r="Q96" i="2"/>
  <c r="O96" i="2"/>
  <c r="N96" i="2"/>
  <c r="L96" i="2"/>
  <c r="S95" i="2"/>
  <c r="R95" i="2"/>
  <c r="Q95" i="2"/>
  <c r="O95" i="2"/>
  <c r="N95" i="2"/>
  <c r="L95" i="2"/>
  <c r="S94" i="2"/>
  <c r="R94" i="2"/>
  <c r="Q94" i="2"/>
  <c r="O94" i="2"/>
  <c r="N94" i="2"/>
  <c r="L94" i="2"/>
  <c r="S93" i="2"/>
  <c r="R93" i="2"/>
  <c r="Q93" i="2"/>
  <c r="O93" i="2"/>
  <c r="N93" i="2"/>
  <c r="L93" i="2"/>
  <c r="S92" i="2"/>
  <c r="R92" i="2"/>
  <c r="Q92" i="2"/>
  <c r="O92" i="2"/>
  <c r="N92" i="2"/>
  <c r="L92" i="2"/>
  <c r="S91" i="2"/>
  <c r="R91" i="2"/>
  <c r="Q91" i="2"/>
  <c r="O91" i="2"/>
  <c r="N91" i="2"/>
  <c r="L91" i="2"/>
  <c r="S90" i="2"/>
  <c r="R90" i="2"/>
  <c r="Q90" i="2"/>
  <c r="O90" i="2"/>
  <c r="N90" i="2"/>
  <c r="L90" i="2"/>
  <c r="S89" i="2"/>
  <c r="R89" i="2"/>
  <c r="Q89" i="2"/>
  <c r="O89" i="2"/>
  <c r="N89" i="2"/>
  <c r="M89" i="2"/>
  <c r="L89" i="2"/>
  <c r="K89" i="2"/>
  <c r="S88" i="2"/>
  <c r="R88" i="2"/>
  <c r="Q88" i="2"/>
  <c r="O88" i="2"/>
  <c r="N88" i="2"/>
  <c r="M88" i="2"/>
  <c r="L88" i="2"/>
  <c r="K88" i="2"/>
  <c r="S87" i="2"/>
  <c r="R87" i="2"/>
  <c r="Q87" i="2"/>
  <c r="O87" i="2"/>
  <c r="N87" i="2"/>
  <c r="M87" i="2"/>
  <c r="L87" i="2"/>
  <c r="K87" i="2"/>
  <c r="S86" i="2"/>
  <c r="R86" i="2"/>
  <c r="Q86" i="2"/>
  <c r="O86" i="2"/>
  <c r="N86" i="2"/>
  <c r="M86" i="2"/>
  <c r="L86" i="2"/>
  <c r="K86" i="2"/>
  <c r="S85" i="2"/>
  <c r="R85" i="2"/>
  <c r="Q85" i="2"/>
  <c r="O85" i="2"/>
  <c r="N85" i="2"/>
  <c r="M85" i="2"/>
  <c r="L85" i="2"/>
  <c r="K85" i="2"/>
  <c r="S84" i="2"/>
  <c r="R84" i="2"/>
  <c r="Q84" i="2"/>
  <c r="O84" i="2"/>
  <c r="N84" i="2"/>
  <c r="M84" i="2"/>
  <c r="L84" i="2"/>
  <c r="K84" i="2"/>
  <c r="S83" i="2"/>
  <c r="R83" i="2"/>
  <c r="Q83" i="2"/>
  <c r="O83" i="2"/>
  <c r="N83" i="2"/>
  <c r="M83" i="2"/>
  <c r="L83" i="2"/>
  <c r="K83" i="2"/>
  <c r="S82" i="2"/>
  <c r="R82" i="2"/>
  <c r="Q82" i="2"/>
  <c r="O82" i="2"/>
  <c r="N82" i="2"/>
  <c r="M82" i="2"/>
  <c r="L82" i="2"/>
  <c r="K82" i="2"/>
  <c r="S81" i="2"/>
  <c r="R81" i="2"/>
  <c r="Q81" i="2"/>
  <c r="O81" i="2"/>
  <c r="N81" i="2"/>
  <c r="M81" i="2"/>
  <c r="L81" i="2"/>
  <c r="K81" i="2"/>
  <c r="S80" i="2"/>
  <c r="R80" i="2"/>
  <c r="Q80" i="2"/>
  <c r="O80" i="2"/>
  <c r="N80" i="2"/>
  <c r="M80" i="2"/>
  <c r="L80" i="2"/>
  <c r="K80" i="2"/>
  <c r="S79" i="2"/>
  <c r="R79" i="2"/>
  <c r="Q79" i="2"/>
  <c r="O79" i="2"/>
  <c r="N79" i="2"/>
  <c r="M79" i="2"/>
  <c r="L79" i="2"/>
  <c r="K79" i="2"/>
  <c r="S78" i="2"/>
  <c r="R78" i="2"/>
  <c r="Q78" i="2"/>
  <c r="O78" i="2"/>
  <c r="N78" i="2"/>
  <c r="M78" i="2"/>
  <c r="L78" i="2"/>
  <c r="K78" i="2"/>
  <c r="S77" i="2"/>
  <c r="R77" i="2"/>
  <c r="Q77" i="2"/>
  <c r="O77" i="2"/>
  <c r="N77" i="2"/>
  <c r="M77" i="2"/>
  <c r="L77" i="2"/>
  <c r="K77" i="2"/>
  <c r="S76" i="2"/>
  <c r="R76" i="2"/>
  <c r="Q76" i="2"/>
  <c r="O76" i="2"/>
  <c r="N76" i="2"/>
  <c r="M76" i="2"/>
  <c r="L76" i="2"/>
  <c r="K76" i="2"/>
  <c r="S75" i="2"/>
  <c r="R75" i="2"/>
  <c r="Q75" i="2"/>
  <c r="O75" i="2"/>
  <c r="N75" i="2"/>
  <c r="M75" i="2"/>
  <c r="L75" i="2"/>
  <c r="K75" i="2"/>
  <c r="S74" i="2"/>
  <c r="R74" i="2"/>
  <c r="Q74" i="2"/>
  <c r="O74" i="2"/>
  <c r="N74" i="2"/>
  <c r="M74" i="2"/>
  <c r="L74" i="2"/>
  <c r="K74" i="2"/>
  <c r="S73" i="2"/>
  <c r="R73" i="2"/>
  <c r="Q73" i="2"/>
  <c r="O73" i="2"/>
  <c r="N73" i="2"/>
  <c r="M73" i="2"/>
  <c r="L73" i="2"/>
  <c r="K73" i="2"/>
  <c r="S72" i="2"/>
  <c r="R72" i="2"/>
  <c r="Q72" i="2"/>
  <c r="O72" i="2"/>
  <c r="N72" i="2"/>
  <c r="M72" i="2"/>
  <c r="L72" i="2"/>
  <c r="K72" i="2"/>
  <c r="S71" i="2"/>
  <c r="R71" i="2"/>
  <c r="Q71" i="2"/>
  <c r="O71" i="2"/>
  <c r="N71" i="2"/>
  <c r="M71" i="2"/>
  <c r="L71" i="2"/>
  <c r="K71" i="2"/>
  <c r="S70" i="2"/>
  <c r="R70" i="2"/>
  <c r="Q70" i="2"/>
  <c r="O70" i="2"/>
  <c r="N70" i="2"/>
  <c r="M70" i="2"/>
  <c r="L70" i="2"/>
  <c r="K70" i="2"/>
  <c r="S69" i="2"/>
  <c r="R69" i="2"/>
  <c r="Q69" i="2"/>
  <c r="O69" i="2"/>
  <c r="N69" i="2"/>
  <c r="M69" i="2"/>
  <c r="L69" i="2"/>
  <c r="K69" i="2"/>
  <c r="S68" i="2"/>
  <c r="R68" i="2"/>
  <c r="Q68" i="2"/>
  <c r="O68" i="2"/>
  <c r="N68" i="2"/>
  <c r="M68" i="2"/>
  <c r="L68" i="2"/>
  <c r="K68" i="2"/>
  <c r="S67" i="2"/>
  <c r="R67" i="2"/>
  <c r="Q67" i="2"/>
  <c r="O67" i="2"/>
  <c r="N67" i="2"/>
  <c r="M67" i="2"/>
  <c r="L67" i="2"/>
  <c r="K67" i="2"/>
  <c r="S66" i="2"/>
  <c r="R66" i="2"/>
  <c r="Q66" i="2"/>
  <c r="O66" i="2"/>
  <c r="N66" i="2"/>
  <c r="M66" i="2"/>
  <c r="L66" i="2"/>
  <c r="K66" i="2"/>
  <c r="S65" i="2"/>
  <c r="R65" i="2"/>
  <c r="Q65" i="2"/>
  <c r="O65" i="2"/>
  <c r="N65" i="2"/>
  <c r="L65" i="2"/>
  <c r="M65" i="2" s="1"/>
  <c r="S64" i="2"/>
  <c r="R64" i="2"/>
  <c r="Q64" i="2"/>
  <c r="O64" i="2"/>
  <c r="N64" i="2"/>
  <c r="L64" i="2"/>
  <c r="M64" i="2" s="1"/>
  <c r="S63" i="2"/>
  <c r="R63" i="2"/>
  <c r="Q63" i="2"/>
  <c r="O63" i="2"/>
  <c r="N63" i="2"/>
  <c r="L63" i="2"/>
  <c r="M63" i="2" s="1"/>
  <c r="S62" i="2"/>
  <c r="R62" i="2"/>
  <c r="Q62" i="2"/>
  <c r="O62" i="2"/>
  <c r="N62" i="2"/>
  <c r="L62" i="2"/>
  <c r="M62" i="2" s="1"/>
  <c r="S61" i="2"/>
  <c r="R61" i="2"/>
  <c r="Q61" i="2"/>
  <c r="O61" i="2"/>
  <c r="N61" i="2"/>
  <c r="L61" i="2"/>
  <c r="M61" i="2" s="1"/>
  <c r="S60" i="2"/>
  <c r="R60" i="2"/>
  <c r="Q60" i="2"/>
  <c r="O60" i="2"/>
  <c r="N60" i="2"/>
  <c r="L60" i="2"/>
  <c r="M60" i="2" s="1"/>
  <c r="S59" i="2"/>
  <c r="R59" i="2"/>
  <c r="Q59" i="2"/>
  <c r="O59" i="2"/>
  <c r="N59" i="2"/>
  <c r="L59" i="2"/>
  <c r="M59" i="2" s="1"/>
  <c r="S58" i="2"/>
  <c r="R58" i="2"/>
  <c r="Q58" i="2"/>
  <c r="O58" i="2"/>
  <c r="N58" i="2"/>
  <c r="L58" i="2"/>
  <c r="M58" i="2" s="1"/>
  <c r="S57" i="2"/>
  <c r="R57" i="2"/>
  <c r="Q57" i="2"/>
  <c r="O57" i="2"/>
  <c r="N57" i="2"/>
  <c r="L57" i="2"/>
  <c r="M57" i="2" s="1"/>
  <c r="S56" i="2"/>
  <c r="R56" i="2"/>
  <c r="Q56" i="2"/>
  <c r="O56" i="2"/>
  <c r="N56" i="2"/>
  <c r="L56" i="2"/>
  <c r="M56" i="2" s="1"/>
  <c r="S55" i="2"/>
  <c r="R55" i="2"/>
  <c r="Q55" i="2"/>
  <c r="O55" i="2"/>
  <c r="N55" i="2"/>
  <c r="L55" i="2"/>
  <c r="M55" i="2" s="1"/>
  <c r="S54" i="2"/>
  <c r="R54" i="2"/>
  <c r="Q54" i="2"/>
  <c r="O54" i="2"/>
  <c r="N54" i="2"/>
  <c r="L54" i="2"/>
  <c r="M54" i="2" s="1"/>
  <c r="S53" i="2"/>
  <c r="R53" i="2"/>
  <c r="Q53" i="2"/>
  <c r="O53" i="2"/>
  <c r="N53" i="2"/>
  <c r="L53" i="2"/>
  <c r="M53" i="2" s="1"/>
  <c r="S52" i="2"/>
  <c r="R52" i="2"/>
  <c r="Q52" i="2"/>
  <c r="O52" i="2"/>
  <c r="N52" i="2"/>
  <c r="L52" i="2"/>
  <c r="M52" i="2" s="1"/>
  <c r="S51" i="2"/>
  <c r="R51" i="2"/>
  <c r="Q51" i="2"/>
  <c r="O51" i="2"/>
  <c r="N51" i="2"/>
  <c r="L51" i="2"/>
  <c r="M51" i="2" s="1"/>
  <c r="S50" i="2"/>
  <c r="R50" i="2"/>
  <c r="Q50" i="2"/>
  <c r="O50" i="2"/>
  <c r="N50" i="2"/>
  <c r="L50" i="2"/>
  <c r="M50" i="2" s="1"/>
  <c r="S49" i="2"/>
  <c r="R49" i="2"/>
  <c r="Q49" i="2"/>
  <c r="O49" i="2"/>
  <c r="N49" i="2"/>
  <c r="L49" i="2"/>
  <c r="M49" i="2" s="1"/>
  <c r="S48" i="2"/>
  <c r="R48" i="2"/>
  <c r="Q48" i="2"/>
  <c r="O48" i="2"/>
  <c r="N48" i="2"/>
  <c r="L48" i="2"/>
  <c r="M48" i="2" s="1"/>
  <c r="S47" i="2"/>
  <c r="R47" i="2"/>
  <c r="Q47" i="2"/>
  <c r="O47" i="2"/>
  <c r="N47" i="2"/>
  <c r="L47" i="2"/>
  <c r="M47" i="2" s="1"/>
  <c r="S46" i="2"/>
  <c r="R46" i="2"/>
  <c r="Q46" i="2"/>
  <c r="O46" i="2"/>
  <c r="N46" i="2"/>
  <c r="L46" i="2"/>
  <c r="M46" i="2" s="1"/>
  <c r="S45" i="2"/>
  <c r="R45" i="2"/>
  <c r="Q45" i="2"/>
  <c r="O45" i="2"/>
  <c r="N45" i="2"/>
  <c r="L45" i="2"/>
  <c r="M45" i="2" s="1"/>
  <c r="S44" i="2"/>
  <c r="R44" i="2"/>
  <c r="Q44" i="2"/>
  <c r="O44" i="2"/>
  <c r="N44" i="2"/>
  <c r="L44" i="2"/>
  <c r="M44" i="2" s="1"/>
  <c r="S43" i="2"/>
  <c r="R43" i="2"/>
  <c r="Q43" i="2"/>
  <c r="O43" i="2"/>
  <c r="N43" i="2"/>
  <c r="L43" i="2"/>
  <c r="S42" i="2"/>
  <c r="R42" i="2"/>
  <c r="Q42" i="2"/>
  <c r="O42" i="2"/>
  <c r="N42" i="2"/>
  <c r="L42" i="2"/>
  <c r="S41" i="2"/>
  <c r="R41" i="2"/>
  <c r="Q41" i="2"/>
  <c r="O41" i="2"/>
  <c r="N41" i="2"/>
  <c r="L41" i="2"/>
  <c r="S40" i="2"/>
  <c r="R40" i="2"/>
  <c r="Q40" i="2"/>
  <c r="O40" i="2"/>
  <c r="N40" i="2"/>
  <c r="L40" i="2"/>
  <c r="S39" i="2"/>
  <c r="R39" i="2"/>
  <c r="Q39" i="2"/>
  <c r="O39" i="2"/>
  <c r="N39" i="2"/>
  <c r="L39" i="2"/>
  <c r="S38" i="2"/>
  <c r="R38" i="2"/>
  <c r="Q38" i="2"/>
  <c r="O38" i="2"/>
  <c r="N38" i="2"/>
  <c r="L38" i="2"/>
  <c r="S37" i="2"/>
  <c r="R37" i="2"/>
  <c r="Q37" i="2"/>
  <c r="O37" i="2"/>
  <c r="N37" i="2"/>
  <c r="L37" i="2"/>
  <c r="S36" i="2"/>
  <c r="R36" i="2"/>
  <c r="Q36" i="2"/>
  <c r="O36" i="2"/>
  <c r="N36" i="2"/>
  <c r="L36" i="2"/>
  <c r="S35" i="2"/>
  <c r="R35" i="2"/>
  <c r="Q35" i="2"/>
  <c r="O35" i="2"/>
  <c r="N35" i="2"/>
  <c r="L35" i="2"/>
  <c r="S34" i="2"/>
  <c r="R34" i="2"/>
  <c r="Q34" i="2"/>
  <c r="O34" i="2"/>
  <c r="N34" i="2"/>
  <c r="L34" i="2"/>
  <c r="S33" i="2"/>
  <c r="R33" i="2"/>
  <c r="Q33" i="2"/>
  <c r="O33" i="2"/>
  <c r="N33" i="2"/>
  <c r="L33" i="2"/>
  <c r="S32" i="2"/>
  <c r="R32" i="2"/>
  <c r="Q32" i="2"/>
  <c r="O32" i="2"/>
  <c r="N32" i="2"/>
  <c r="L32" i="2"/>
  <c r="S31" i="2"/>
  <c r="R31" i="2"/>
  <c r="Q31" i="2"/>
  <c r="O31" i="2"/>
  <c r="N31" i="2"/>
  <c r="L31" i="2"/>
  <c r="S30" i="2"/>
  <c r="R30" i="2"/>
  <c r="Q30" i="2"/>
  <c r="O30" i="2"/>
  <c r="N30" i="2"/>
  <c r="L30" i="2"/>
  <c r="S29" i="2"/>
  <c r="R29" i="2"/>
  <c r="Q29" i="2"/>
  <c r="O29" i="2"/>
  <c r="N29" i="2"/>
  <c r="L29" i="2"/>
  <c r="S28" i="2"/>
  <c r="R28" i="2"/>
  <c r="Q28" i="2"/>
  <c r="O28" i="2"/>
  <c r="N28" i="2"/>
  <c r="L28" i="2"/>
  <c r="S27" i="2"/>
  <c r="R27" i="2"/>
  <c r="Q27" i="2"/>
  <c r="N27" i="2"/>
  <c r="O27" i="2" s="1"/>
  <c r="L27" i="2"/>
  <c r="S26" i="2"/>
  <c r="R26" i="2"/>
  <c r="Q26" i="2"/>
  <c r="L26" i="2"/>
  <c r="M26" i="2" s="1"/>
  <c r="S25" i="2"/>
  <c r="R25" i="2"/>
  <c r="Q25" i="2"/>
  <c r="L25" i="2"/>
  <c r="M25" i="2" s="1"/>
  <c r="S24" i="2"/>
  <c r="R24" i="2"/>
  <c r="Q24" i="2"/>
  <c r="L24" i="2"/>
  <c r="M24" i="2" s="1"/>
  <c r="S23" i="2"/>
  <c r="R23" i="2"/>
  <c r="Q23" i="2"/>
  <c r="L23" i="2"/>
  <c r="M23" i="2" s="1"/>
  <c r="S22" i="2"/>
  <c r="R22" i="2"/>
  <c r="Q22" i="2"/>
  <c r="O22" i="2"/>
  <c r="N22" i="2"/>
  <c r="L22" i="2"/>
  <c r="M22" i="2" s="1"/>
  <c r="S21" i="2"/>
  <c r="R21" i="2"/>
  <c r="Q21" i="2"/>
  <c r="O21" i="2"/>
  <c r="N21" i="2"/>
  <c r="L21" i="2"/>
  <c r="M21" i="2" s="1"/>
  <c r="S20" i="2"/>
  <c r="R20" i="2"/>
  <c r="Q20" i="2"/>
  <c r="O20" i="2"/>
  <c r="N20" i="2"/>
  <c r="L20" i="2"/>
  <c r="M20" i="2" s="1"/>
  <c r="S19" i="2"/>
  <c r="R19" i="2"/>
  <c r="Q19" i="2"/>
  <c r="L19" i="2"/>
  <c r="M19" i="2" s="1"/>
  <c r="S18" i="2"/>
  <c r="R18" i="2"/>
  <c r="Q18" i="2"/>
  <c r="L18" i="2"/>
  <c r="M18" i="2" s="1"/>
  <c r="S17" i="2"/>
  <c r="R17" i="2"/>
  <c r="Q17" i="2"/>
  <c r="L17" i="2"/>
  <c r="M17" i="2" s="1"/>
  <c r="S16" i="2"/>
  <c r="R16" i="2"/>
  <c r="Q16" i="2"/>
  <c r="L16" i="2"/>
  <c r="M16" i="2" s="1"/>
  <c r="S15" i="2"/>
  <c r="R15" i="2"/>
  <c r="Q15" i="2"/>
  <c r="L15" i="2"/>
  <c r="M15" i="2" s="1"/>
  <c r="S14" i="2"/>
  <c r="R14" i="2"/>
  <c r="Q14" i="2"/>
  <c r="L14" i="2"/>
  <c r="M14" i="2" s="1"/>
  <c r="S13" i="2"/>
  <c r="R13" i="2"/>
  <c r="Q13" i="2"/>
  <c r="L13" i="2"/>
  <c r="M13" i="2" s="1"/>
  <c r="S12" i="2"/>
  <c r="R12" i="2"/>
  <c r="Q12" i="2"/>
  <c r="L12" i="2"/>
  <c r="M12" i="2" s="1"/>
  <c r="S11" i="2"/>
  <c r="R11" i="2"/>
  <c r="Q11" i="2"/>
  <c r="L11" i="2"/>
  <c r="M11" i="2" s="1"/>
  <c r="S10" i="2"/>
  <c r="R10" i="2"/>
  <c r="Q10" i="2"/>
  <c r="L10" i="2"/>
  <c r="M10" i="2" s="1"/>
  <c r="S9" i="2"/>
  <c r="R9" i="2"/>
  <c r="Q9" i="2"/>
  <c r="O9" i="2"/>
  <c r="N9" i="2"/>
  <c r="L9" i="2"/>
  <c r="M9" i="2" s="1"/>
  <c r="S8" i="2"/>
  <c r="G50" i="3" s="1"/>
  <c r="R8" i="2"/>
  <c r="G51" i="3" s="1"/>
  <c r="Q8" i="2"/>
  <c r="O8" i="2"/>
  <c r="N8" i="2"/>
  <c r="L8" i="2"/>
  <c r="M8" i="2" s="1"/>
  <c r="T6" i="2"/>
  <c r="F6" i="2"/>
  <c r="A6" i="2"/>
  <c r="G5" i="2"/>
  <c r="A5" i="2"/>
  <c r="G4" i="2"/>
  <c r="A4" i="2"/>
  <c r="Y14" i="1"/>
  <c r="S14" i="1"/>
  <c r="G56" i="3" l="1"/>
  <c r="G57" i="3"/>
  <c r="G58" i="3"/>
  <c r="N11" i="2"/>
  <c r="O11" i="2" s="1"/>
  <c r="N18" i="2"/>
  <c r="O18" i="2" s="1"/>
  <c r="N19" i="2"/>
  <c r="O19" i="2" s="1"/>
  <c r="N23" i="2"/>
  <c r="O23" i="2" s="1"/>
  <c r="N24" i="2"/>
  <c r="O24" i="2" s="1"/>
  <c r="N25" i="2"/>
  <c r="O25" i="2" s="1"/>
  <c r="N26" i="2"/>
  <c r="O26" i="2" s="1"/>
  <c r="M28" i="2"/>
  <c r="K28" i="2"/>
  <c r="M29" i="2"/>
  <c r="K29" i="2"/>
  <c r="M30" i="2"/>
  <c r="K30" i="2"/>
  <c r="M31" i="2"/>
  <c r="K31" i="2"/>
  <c r="M32" i="2"/>
  <c r="K32" i="2"/>
  <c r="M33" i="2"/>
  <c r="K33" i="2"/>
  <c r="M34" i="2"/>
  <c r="K34" i="2"/>
  <c r="M35" i="2"/>
  <c r="K35" i="2"/>
  <c r="M36" i="2"/>
  <c r="K36" i="2"/>
  <c r="M37" i="2"/>
  <c r="K37" i="2"/>
  <c r="M38" i="2"/>
  <c r="K38" i="2"/>
  <c r="M39" i="2"/>
  <c r="K39" i="2"/>
  <c r="M40" i="2"/>
  <c r="K40" i="2"/>
  <c r="M41" i="2"/>
  <c r="K41" i="2"/>
  <c r="M42" i="2"/>
  <c r="K42" i="2"/>
  <c r="M43" i="2"/>
  <c r="K43" i="2"/>
  <c r="N10" i="2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M27" i="2"/>
  <c r="K27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M90" i="2"/>
  <c r="K90" i="2"/>
  <c r="M91" i="2"/>
  <c r="K91" i="2"/>
  <c r="M92" i="2"/>
  <c r="K92" i="2"/>
  <c r="M93" i="2"/>
  <c r="K93" i="2"/>
  <c r="M94" i="2"/>
  <c r="K94" i="2"/>
  <c r="M95" i="2"/>
  <c r="K95" i="2"/>
  <c r="M96" i="2"/>
  <c r="K96" i="2"/>
  <c r="M97" i="2"/>
  <c r="K97" i="2"/>
  <c r="M98" i="2"/>
  <c r="K98" i="2"/>
  <c r="M99" i="2"/>
  <c r="K99" i="2"/>
  <c r="M100" i="2"/>
  <c r="K100" i="2"/>
  <c r="M101" i="2"/>
  <c r="K101" i="2"/>
  <c r="M102" i="2"/>
  <c r="K102" i="2"/>
  <c r="M103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E55" i="3" l="1"/>
  <c r="O10" i="2"/>
  <c r="G49" i="3" s="1"/>
  <c r="U6" i="2" s="1"/>
  <c r="W5" i="1" s="1"/>
  <c r="C40" i="3"/>
  <c r="G40" i="3" s="1"/>
  <c r="C39" i="3"/>
  <c r="G39" i="3" s="1"/>
  <c r="C38" i="3"/>
  <c r="C26" i="3"/>
  <c r="G26" i="3" s="1"/>
  <c r="C25" i="3"/>
  <c r="G25" i="3" s="1"/>
  <c r="C24" i="3"/>
  <c r="C12" i="3"/>
  <c r="G12" i="3" s="1"/>
  <c r="C11" i="3"/>
  <c r="G11" i="3" s="1"/>
  <c r="C10" i="3"/>
  <c r="C33" i="3"/>
  <c r="G33" i="3" s="1"/>
  <c r="C32" i="3"/>
  <c r="G32" i="3" s="1"/>
  <c r="C31" i="3"/>
  <c r="C19" i="3"/>
  <c r="G19" i="3" s="1"/>
  <c r="C18" i="3"/>
  <c r="G18" i="3" s="1"/>
  <c r="C17" i="3"/>
  <c r="G17" i="3" l="1"/>
  <c r="G21" i="3" s="1"/>
  <c r="C21" i="3"/>
  <c r="G31" i="3"/>
  <c r="G35" i="3" s="1"/>
  <c r="G47" i="3"/>
  <c r="C35" i="3"/>
  <c r="C28" i="3"/>
  <c r="G24" i="3"/>
  <c r="G28" i="3" s="1"/>
  <c r="K6" i="3"/>
  <c r="W4" i="1"/>
  <c r="N6" i="2"/>
  <c r="G46" i="3"/>
  <c r="C14" i="3"/>
  <c r="G10" i="3"/>
  <c r="G14" i="3" s="1"/>
  <c r="C42" i="3"/>
  <c r="G38" i="3"/>
  <c r="G42" i="3" s="1"/>
  <c r="S11" i="1"/>
  <c r="Y11" i="1" s="1"/>
  <c r="G55" i="3"/>
  <c r="K56" i="3" s="1"/>
  <c r="G45" i="3" l="1"/>
  <c r="H6" i="3"/>
  <c r="H6" i="2"/>
  <c r="I42" i="3" l="1"/>
  <c r="I28" i="3"/>
  <c r="I14" i="3"/>
  <c r="I35" i="3"/>
  <c r="I21" i="3"/>
</calcChain>
</file>

<file path=xl/comments1.xml><?xml version="1.0" encoding="utf-8"?>
<comments xmlns="http://schemas.openxmlformats.org/spreadsheetml/2006/main">
  <authors>
    <author/>
  </authors>
  <commentList>
    <comment ref="U12" authorId="0">
      <text>
        <r>
          <rPr>
            <sz val="10"/>
            <color rgb="FF000000"/>
            <rFont val="Arial"/>
          </rPr>
          <t xml:space="preserve">Marcy Langer:
Segundo SISP2.0: 
- 50% para melhorias em funções alteradas e anteriormente desenvolvidas ou mantidas pela contratada;
- 75% melhorias em funções alteradas e anteriormente desenvolvidas ou mantidas por outra contrada (SEM necessidade de redocumentação);
- 90% melhorias em funções alteradas e anteriormente desenvolvidas ou mantidas por outra contrada (COM necessidade de redocumentação);
</t>
        </r>
      </text>
    </comment>
    <comment ref="U13" authorId="0">
      <text>
        <r>
          <rPr>
            <sz val="10"/>
            <color rgb="FF000000"/>
            <rFont val="Arial"/>
          </rPr>
          <t>Marcy Langer:
Segundo SISP2.0: 40% para funções excluídas.</t>
        </r>
      </text>
    </comment>
    <comment ref="K23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  <author>eits</author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P7" authorId="0">
      <text>
        <r>
          <rPr>
            <sz val="10"/>
            <color rgb="FF000000"/>
            <rFont val="Arial"/>
          </rPr>
          <t xml:space="preserve">Marcy Langer:
Número da sprint
</t>
        </r>
      </text>
    </comment>
    <comment ref="Q7" authorId="0">
      <text>
        <r>
          <rPr>
            <sz val="10"/>
            <color rgb="FF000000"/>
            <rFont val="Arial"/>
          </rPr>
          <t xml:space="preserve">Marcy Langer:
deflator
</t>
        </r>
      </text>
    </comment>
    <comment ref="R7" authorId="0">
      <text>
        <r>
          <rPr>
            <sz val="10"/>
            <color rgb="FF000000"/>
            <rFont val="Arial"/>
          </rPr>
          <t xml:space="preserve">Marcy Langer:
indicativa local
</t>
        </r>
      </text>
    </comment>
    <comment ref="S7" authorId="0">
      <text>
        <r>
          <rPr>
            <sz val="10"/>
            <color rgb="FF000000"/>
            <rFont val="Arial"/>
          </rPr>
          <t xml:space="preserve">Marcy Langer:
estimativa local
</t>
        </r>
      </text>
    </comment>
    <comment ref="I10" authorId="1">
      <text>
        <r>
          <rPr>
            <b/>
            <sz val="9"/>
            <color indexed="81"/>
            <rFont val="Tahoma"/>
            <charset val="1"/>
          </rPr>
          <t>eits:</t>
        </r>
        <r>
          <rPr>
            <sz val="9"/>
            <color indexed="81"/>
            <rFont val="Tahoma"/>
            <charset val="1"/>
          </rPr>
          <t xml:space="preserve">
1.TÍTULO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eits:</t>
        </r>
        <r>
          <rPr>
            <sz val="9"/>
            <color indexed="81"/>
            <rFont val="Tahoma"/>
            <charset val="1"/>
          </rPr>
          <t xml:space="preserve">
1. Solicitação de equipamento;
2.Categoria de equipamento;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  <comment ref="B50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51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<sst xmlns="http://schemas.openxmlformats.org/spreadsheetml/2006/main" count="164" uniqueCount="101">
  <si>
    <t>Sumário da Contagem</t>
  </si>
  <si>
    <t xml:space="preserve"> Planilha de contagem de ponto de função</t>
  </si>
  <si>
    <t>Identificação da Contagem</t>
  </si>
  <si>
    <t>Empresa</t>
  </si>
  <si>
    <t>Eits</t>
  </si>
  <si>
    <t>R$/PF</t>
  </si>
  <si>
    <t>Custo</t>
  </si>
  <si>
    <t>Aplicação</t>
  </si>
  <si>
    <t>Solicitação</t>
  </si>
  <si>
    <t>PF</t>
  </si>
  <si>
    <t>Projeto</t>
  </si>
  <si>
    <t>Sistema de gerenciamento de Troca de Equipamento</t>
  </si>
  <si>
    <t>Responsável</t>
  </si>
  <si>
    <t>Francielly P. Klein Chicoski</t>
  </si>
  <si>
    <t>Criação</t>
  </si>
  <si>
    <t>Revisor</t>
  </si>
  <si>
    <t>Revisão</t>
  </si>
  <si>
    <t>Tipo de contagem</t>
  </si>
  <si>
    <t>Sumário</t>
  </si>
  <si>
    <t>Tamanho Funcional (PF)</t>
  </si>
  <si>
    <t>Deflator</t>
  </si>
  <si>
    <t>PF Local</t>
  </si>
  <si>
    <t>Projeto de Desenvolvimento</t>
  </si>
  <si>
    <t>x</t>
  </si>
  <si>
    <t>ADD</t>
  </si>
  <si>
    <t>Projeto de Melhoria</t>
  </si>
  <si>
    <t>CHG</t>
  </si>
  <si>
    <t>Aplicação ( Baseline )</t>
  </si>
  <si>
    <t>DEL</t>
  </si>
  <si>
    <t>Nível de Detalhes</t>
  </si>
  <si>
    <t>Indicativa</t>
  </si>
  <si>
    <t>Estimativa</t>
  </si>
  <si>
    <t>Detalhada</t>
  </si>
  <si>
    <t>Propósito da Contagem</t>
  </si>
  <si>
    <t>Escopo da Contagem</t>
  </si>
  <si>
    <t>Tipo de Função</t>
  </si>
  <si>
    <t>Complexidade Funcional</t>
  </si>
  <si>
    <t>Total por Complexidade</t>
  </si>
  <si>
    <t xml:space="preserve">% 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</si>
  <si>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</si>
  <si>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</si>
  <si>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</si>
  <si>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</si>
  <si>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</si>
  <si>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</si>
  <si>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</si>
  <si>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</si>
  <si>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Origem (Sprint)</t>
  </si>
  <si>
    <t>Observações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</si>
  <si>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</si>
  <si>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</si>
  <si>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</si>
  <si>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</si>
  <si>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</si>
  <si>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</si>
  <si>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</si>
  <si>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</si>
  <si>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</si>
  <si>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</si>
  <si>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</si>
  <si>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</si>
  <si>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Manter Solicitações de troca de equipamento</t>
  </si>
  <si>
    <t>Registrar solicitação de troca de equipamento</t>
  </si>
  <si>
    <t>I</t>
  </si>
  <si>
    <t>ALI</t>
  </si>
  <si>
    <t>x 10</t>
  </si>
  <si>
    <t>x 15</t>
  </si>
  <si>
    <t>Alterar Solicitação de troca de equipamento</t>
  </si>
  <si>
    <t>Excluir solicitação de troca de equipamento</t>
  </si>
  <si>
    <t>AIE</t>
  </si>
  <si>
    <t>Consultar solicitação de troca de equipamento</t>
  </si>
  <si>
    <t>Visualizar detalhes da solicitação de troca de equipamento</t>
  </si>
  <si>
    <t>Total PF (contagem detalhada)</t>
  </si>
  <si>
    <t>Total PF (contagem estimativa)</t>
  </si>
  <si>
    <t>Aprovar solicitação detroca de equipamento</t>
  </si>
  <si>
    <t>Total PF (contagem indicativa)</t>
  </si>
  <si>
    <t>PF LOCAL</t>
  </si>
  <si>
    <t>Total PF LOCAL (contagem detalhada IFPUG)</t>
  </si>
  <si>
    <t>Recusar solicitação de troca de equipamento</t>
  </si>
  <si>
    <t>Total PF LOCAL (contagem estimativa)</t>
  </si>
  <si>
    <t>Total PF LOCAL (contagem indicativa)</t>
  </si>
  <si>
    <t>Cancelar solicitação de troca de equipamento</t>
  </si>
  <si>
    <t>Total de PF Local</t>
  </si>
  <si>
    <t>DFL</t>
  </si>
  <si>
    <t>INCLUSÃO (ADD)</t>
  </si>
  <si>
    <t>Concluir solicitação de troca de equipamento</t>
  </si>
  <si>
    <t>TOTAL</t>
  </si>
  <si>
    <t>ALTERAÇÃO (CHG)</t>
  </si>
  <si>
    <t>Visualizar tickets de solicitação de troca de equipamento</t>
  </si>
  <si>
    <t>EXCLUSÃO (DEL)</t>
  </si>
  <si>
    <t>TESTE (TST)</t>
  </si>
  <si>
    <t>Manter categoria</t>
  </si>
  <si>
    <t>Cadastrar categoria</t>
  </si>
  <si>
    <t>Alterar categoria</t>
  </si>
  <si>
    <t>Excluir categoria</t>
  </si>
  <si>
    <t>Consultar categorias</t>
  </si>
  <si>
    <t>Visualizar detalhes</t>
  </si>
  <si>
    <t>PFs por Sprint</t>
  </si>
  <si>
    <t>Sprint</t>
  </si>
  <si>
    <t>PFs</t>
  </si>
  <si>
    <t>RFU numeração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</si>
</sst>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8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u/>
      <sz val="10"/>
      <color rgb="FF0000FF"/>
      <name val="Arial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b/>
      <sz val="12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sz val="8"/>
      <name val="Source Sans Pro"/>
    </font>
    <font>
      <sz val="10"/>
      <name val="Arial"/>
    </font>
    <font>
      <u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3" fillId="0" borderId="15" xfId="0" applyNumberFormat="1" applyFont="1" applyBorder="1" applyAlignment="1">
      <alignment horizontal="right"/>
    </xf>
    <xf numFmtId="0" fontId="6" fillId="0" borderId="0" xfId="0" applyFont="1" applyAlignment="1"/>
    <xf numFmtId="0" fontId="8" fillId="0" borderId="1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7" fillId="0" borderId="0" xfId="0" applyFont="1" applyAlignment="1">
      <alignment horizontal="center" vertical="center" textRotation="90" wrapText="1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27" xfId="0" applyFont="1" applyFill="1" applyBorder="1" applyAlignment="1"/>
    <xf numFmtId="0" fontId="4" fillId="3" borderId="27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4" fontId="4" fillId="3" borderId="27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36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12" fillId="5" borderId="39" xfId="0" applyFont="1" applyFill="1" applyBorder="1" applyAlignment="1">
      <alignment horizontal="center"/>
    </xf>
    <xf numFmtId="0" fontId="3" fillId="0" borderId="30" xfId="0" applyFont="1" applyBorder="1" applyAlignment="1"/>
    <xf numFmtId="0" fontId="12" fillId="5" borderId="40" xfId="0" applyFont="1" applyFill="1" applyBorder="1" applyAlignment="1"/>
    <xf numFmtId="0" fontId="3" fillId="0" borderId="5" xfId="0" applyFont="1" applyBorder="1" applyAlignment="1"/>
    <xf numFmtId="0" fontId="3" fillId="0" borderId="34" xfId="0" applyFont="1" applyBorder="1" applyAlignment="1"/>
    <xf numFmtId="0" fontId="12" fillId="5" borderId="27" xfId="0" applyFont="1" applyFill="1" applyBorder="1" applyAlignment="1"/>
    <xf numFmtId="0" fontId="3" fillId="0" borderId="16" xfId="0" applyFont="1" applyBorder="1" applyAlignment="1"/>
    <xf numFmtId="0" fontId="13" fillId="0" borderId="43" xfId="0" applyFont="1" applyBorder="1" applyAlignment="1">
      <alignment horizontal="left" vertical="center"/>
    </xf>
    <xf numFmtId="0" fontId="3" fillId="0" borderId="10" xfId="0" applyFont="1" applyBorder="1" applyAlignment="1"/>
    <xf numFmtId="0" fontId="13" fillId="0" borderId="4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3" fillId="0" borderId="45" xfId="0" applyFont="1" applyBorder="1" applyAlignment="1">
      <alignment horizontal="left" vertical="center"/>
    </xf>
    <xf numFmtId="0" fontId="13" fillId="0" borderId="46" xfId="0" applyFont="1" applyBorder="1" applyAlignment="1">
      <alignment horizontal="center"/>
    </xf>
    <xf numFmtId="166" fontId="3" fillId="0" borderId="0" xfId="0" applyNumberFormat="1" applyFont="1" applyAlignment="1"/>
    <xf numFmtId="0" fontId="3" fillId="0" borderId="17" xfId="0" applyFont="1" applyBorder="1" applyAlignment="1"/>
    <xf numFmtId="10" fontId="3" fillId="0" borderId="17" xfId="0" applyNumberFormat="1" applyFont="1" applyBorder="1" applyAlignment="1"/>
    <xf numFmtId="0" fontId="8" fillId="0" borderId="0" xfId="0" applyFont="1" applyAlignment="1"/>
    <xf numFmtId="0" fontId="13" fillId="0" borderId="47" xfId="0" applyFont="1" applyBorder="1" applyAlignment="1">
      <alignment horizontal="center" wrapText="1"/>
    </xf>
    <xf numFmtId="166" fontId="3" fillId="6" borderId="27" xfId="0" applyNumberFormat="1" applyFont="1" applyFill="1" applyBorder="1" applyAlignment="1"/>
    <xf numFmtId="0" fontId="13" fillId="2" borderId="46" xfId="0" applyFont="1" applyFill="1" applyBorder="1" applyAlignment="1">
      <alignment horizontal="center" wrapText="1"/>
    </xf>
    <xf numFmtId="9" fontId="3" fillId="0" borderId="0" xfId="0" applyNumberFormat="1" applyFont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13" fillId="2" borderId="46" xfId="0" applyFont="1" applyFill="1" applyBorder="1" applyAlignment="1">
      <alignment horizontal="center"/>
    </xf>
    <xf numFmtId="4" fontId="13" fillId="2" borderId="46" xfId="0" applyNumberFormat="1" applyFont="1" applyFill="1" applyBorder="1" applyAlignment="1">
      <alignment horizontal="center"/>
    </xf>
    <xf numFmtId="2" fontId="13" fillId="0" borderId="44" xfId="0" applyNumberFormat="1" applyFont="1" applyBorder="1" applyAlignment="1">
      <alignment horizontal="center"/>
    </xf>
    <xf numFmtId="166" fontId="3" fillId="7" borderId="27" xfId="0" applyNumberFormat="1" applyFont="1" applyFill="1" applyBorder="1" applyAlignment="1"/>
    <xf numFmtId="0" fontId="13" fillId="0" borderId="44" xfId="0" applyFont="1" applyBorder="1" applyAlignment="1">
      <alignment horizontal="center"/>
    </xf>
    <xf numFmtId="0" fontId="13" fillId="0" borderId="0" xfId="0" applyFont="1" applyAlignment="1"/>
    <xf numFmtId="0" fontId="13" fillId="0" borderId="43" xfId="0" applyFont="1" applyBorder="1" applyAlignment="1">
      <alignment horizontal="left" vertical="center"/>
    </xf>
    <xf numFmtId="0" fontId="13" fillId="0" borderId="46" xfId="0" applyFont="1" applyBorder="1" applyAlignment="1">
      <alignment horizontal="center"/>
    </xf>
    <xf numFmtId="166" fontId="3" fillId="8" borderId="27" xfId="0" applyNumberFormat="1" applyFont="1" applyFill="1" applyBorder="1" applyAlignment="1"/>
    <xf numFmtId="0" fontId="13" fillId="0" borderId="44" xfId="0" applyFont="1" applyBorder="1" applyAlignment="1">
      <alignment horizontal="left" vertical="center"/>
    </xf>
    <xf numFmtId="166" fontId="3" fillId="9" borderId="27" xfId="0" applyNumberFormat="1" applyFont="1" applyFill="1" applyBorder="1" applyAlignment="1"/>
    <xf numFmtId="166" fontId="3" fillId="10" borderId="27" xfId="0" applyNumberFormat="1" applyFont="1" applyFill="1" applyBorder="1" applyAlignment="1"/>
    <xf numFmtId="0" fontId="3" fillId="0" borderId="4" xfId="0" applyFont="1" applyBorder="1" applyAlignment="1"/>
    <xf numFmtId="4" fontId="3" fillId="0" borderId="13" xfId="0" applyNumberFormat="1" applyFont="1" applyBorder="1" applyAlignment="1"/>
    <xf numFmtId="0" fontId="3" fillId="0" borderId="7" xfId="0" applyFont="1" applyBorder="1" applyAlignment="1"/>
    <xf numFmtId="0" fontId="3" fillId="0" borderId="9" xfId="0" applyFont="1" applyBorder="1" applyAlignment="1"/>
    <xf numFmtId="0" fontId="3" fillId="0" borderId="15" xfId="0" applyFont="1" applyBorder="1" applyAlignment="1">
      <alignment horizontal="center"/>
    </xf>
    <xf numFmtId="0" fontId="13" fillId="0" borderId="0" xfId="0" applyFont="1" applyAlignment="1"/>
    <xf numFmtId="2" fontId="3" fillId="2" borderId="15" xfId="0" applyNumberFormat="1" applyFont="1" applyFill="1" applyBorder="1" applyAlignment="1">
      <alignment horizontal="center"/>
    </xf>
    <xf numFmtId="2" fontId="3" fillId="0" borderId="0" xfId="0" applyNumberFormat="1" applyFont="1" applyAlignment="1"/>
    <xf numFmtId="2" fontId="3" fillId="0" borderId="15" xfId="0" applyNumberFormat="1" applyFont="1" applyBorder="1" applyAlignment="1">
      <alignment horizontal="center"/>
    </xf>
    <xf numFmtId="2" fontId="8" fillId="4" borderId="15" xfId="0" applyNumberFormat="1" applyFont="1" applyFill="1" applyBorder="1" applyAlignment="1"/>
    <xf numFmtId="0" fontId="3" fillId="0" borderId="48" xfId="0" applyFont="1" applyBorder="1" applyAlignment="1"/>
    <xf numFmtId="0" fontId="8" fillId="0" borderId="49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49" xfId="0" applyFont="1" applyBorder="1" applyAlignment="1"/>
    <xf numFmtId="2" fontId="3" fillId="0" borderId="49" xfId="0" applyNumberFormat="1" applyFont="1" applyBorder="1" applyAlignment="1">
      <alignment horizontal="center"/>
    </xf>
    <xf numFmtId="2" fontId="3" fillId="0" borderId="49" xfId="0" applyNumberFormat="1" applyFont="1" applyBorder="1" applyAlignment="1"/>
    <xf numFmtId="2" fontId="8" fillId="0" borderId="49" xfId="0" applyNumberFormat="1" applyFont="1" applyBorder="1" applyAlignment="1"/>
    <xf numFmtId="0" fontId="3" fillId="0" borderId="50" xfId="0" applyFont="1" applyBorder="1" applyAlignme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0" fontId="1" fillId="0" borderId="15" xfId="0" applyFont="1" applyBorder="1" applyAlignment="1">
      <alignment horizontal="center" vertical="center"/>
    </xf>
    <xf numFmtId="0" fontId="14" fillId="0" borderId="45" xfId="0" applyFont="1" applyBorder="1" applyAlignment="1">
      <alignment horizontal="right" vertical="center"/>
    </xf>
    <xf numFmtId="0" fontId="15" fillId="0" borderId="0" xfId="0" applyFont="1" applyAlignment="1"/>
    <xf numFmtId="2" fontId="3" fillId="0" borderId="12" xfId="0" applyNumberFormat="1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165" fontId="3" fillId="2" borderId="12" xfId="0" applyNumberFormat="1" applyFont="1" applyFill="1" applyBorder="1" applyAlignment="1"/>
    <xf numFmtId="0" fontId="5" fillId="0" borderId="12" xfId="0" applyFont="1" applyBorder="1" applyAlignment="1">
      <alignment horizontal="right"/>
    </xf>
    <xf numFmtId="0" fontId="3" fillId="0" borderId="12" xfId="0" applyFont="1" applyBorder="1" applyAlignment="1"/>
    <xf numFmtId="164" fontId="3" fillId="2" borderId="12" xfId="0" applyNumberFormat="1" applyFont="1" applyFill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0" fontId="4" fillId="0" borderId="4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right"/>
    </xf>
    <xf numFmtId="0" fontId="4" fillId="2" borderId="20" xfId="0" applyFont="1" applyFill="1" applyBorder="1" applyAlignment="1">
      <alignment horizontal="left" vertical="center"/>
    </xf>
    <xf numFmtId="0" fontId="2" fillId="0" borderId="21" xfId="0" applyFont="1" applyBorder="1"/>
    <xf numFmtId="0" fontId="4" fillId="2" borderId="12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2" fillId="0" borderId="16" xfId="0" applyFont="1" applyBorder="1"/>
    <xf numFmtId="0" fontId="2" fillId="0" borderId="18" xfId="0" applyFont="1" applyBorder="1"/>
    <xf numFmtId="0" fontId="4" fillId="2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28" xfId="0" applyFont="1" applyBorder="1"/>
    <xf numFmtId="0" fontId="2" fillId="0" borderId="29" xfId="0" applyFont="1" applyBorder="1"/>
    <xf numFmtId="0" fontId="12" fillId="5" borderId="20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/>
    </xf>
    <xf numFmtId="0" fontId="2" fillId="0" borderId="42" xfId="0" applyFont="1" applyBorder="1"/>
    <xf numFmtId="0" fontId="4" fillId="2" borderId="20" xfId="0" applyFont="1" applyFill="1" applyBorder="1" applyAlignment="1">
      <alignment vertical="center"/>
    </xf>
    <xf numFmtId="0" fontId="11" fillId="5" borderId="33" xfId="0" applyFont="1" applyFill="1" applyBorder="1" applyAlignment="1">
      <alignment horizontal="center" vertical="center" wrapText="1"/>
    </xf>
    <xf numFmtId="0" fontId="2" fillId="0" borderId="38" xfId="0" applyFont="1" applyBorder="1"/>
    <xf numFmtId="0" fontId="3" fillId="0" borderId="12" xfId="0" applyFont="1" applyBorder="1" applyAlignment="1">
      <alignment horizontal="left"/>
    </xf>
    <xf numFmtId="0" fontId="8" fillId="0" borderId="4" xfId="0" applyFont="1" applyBorder="1" applyAlignment="1">
      <alignment horizontal="center" vertical="center" textRotation="90" wrapText="1"/>
    </xf>
    <xf numFmtId="0" fontId="3" fillId="2" borderId="2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0" borderId="22" xfId="0" applyFont="1" applyBorder="1"/>
    <xf numFmtId="0" fontId="11" fillId="5" borderId="32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2" fillId="0" borderId="37" xfId="0" applyFont="1" applyBorder="1"/>
    <xf numFmtId="0" fontId="2" fillId="0" borderId="19" xfId="0" applyFont="1" applyBorder="1"/>
    <xf numFmtId="0" fontId="3" fillId="4" borderId="12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5" xfId="0" applyFont="1" applyBorder="1"/>
    <xf numFmtId="0" fontId="11" fillId="5" borderId="3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7" xfId="0" applyFont="1" applyBorder="1"/>
  </cellXfs>
  <cellStyles count="1">
    <cellStyle name="Normal" xfId="0" builtinId="0"/>
  </cellStyles>
  <dxfs count="3">
    <dxf>
      <font>
        <color rgb="FFDD0806"/>
      </font>
      <fill>
        <patternFill patternType="solid">
          <fgColor rgb="FFFFCC99"/>
          <bgColor rgb="FFFFCC99"/>
        </patternFill>
      </fill>
    </dxf>
    <dxf>
      <font>
        <color rgb="FFFF6600"/>
      </font>
      <fill>
        <patternFill patternType="solid">
          <fgColor rgb="FFFFFF99"/>
          <bgColor rgb="FFFFFF99"/>
        </patternFill>
      </fill>
    </dxf>
    <dxf>
      <font>
        <color rgb="FF006411"/>
      </font>
      <fill>
        <patternFill patternType="solid">
          <fgColor rgb="FFCCFFFF"/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37</xdr:col>
      <xdr:colOff>933450</xdr:colOff>
      <xdr:row>60</xdr:row>
      <xdr:rowOff>38100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866775</xdr:colOff>
      <xdr:row>42</xdr:row>
      <xdr:rowOff>190500</xdr:rowOff>
    </xdr:to>
    <xdr:sp macro="" textlink="">
      <xdr:nvSpPr>
        <xdr:cNvPr id="3082" name="Rectangl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381000</xdr:colOff>
      <xdr:row>66</xdr:row>
      <xdr:rowOff>104775</xdr:rowOff>
    </xdr:to>
    <xdr:sp macro="" textlink="">
      <xdr:nvSpPr>
        <xdr:cNvPr id="2058" name="Rectangle 10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00"/>
  <sheetViews>
    <sheetView showGridLines="0" workbookViewId="0">
      <selection sqref="A1:AB3"/>
    </sheetView>
  </sheetViews>
  <sheetFormatPr defaultColWidth="14.425781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35" width="2.7109375" customWidth="1"/>
  </cols>
  <sheetData>
    <row r="1" spans="1:35" ht="12" customHeight="1">
      <c r="A1" s="106" t="s">
        <v>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5"/>
      <c r="AC1" s="2"/>
      <c r="AD1" s="2"/>
      <c r="AE1" s="2"/>
      <c r="AF1" s="2"/>
      <c r="AG1" s="2"/>
      <c r="AH1" s="2"/>
      <c r="AI1" s="2"/>
    </row>
    <row r="2" spans="1:35" ht="12" customHeigh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8"/>
      <c r="AC2" s="2"/>
      <c r="AD2" s="2"/>
      <c r="AE2" s="2"/>
      <c r="AF2" s="2"/>
      <c r="AG2" s="2"/>
      <c r="AH2" s="2"/>
      <c r="AI2" s="2"/>
    </row>
    <row r="3" spans="1:35" ht="12" customHeight="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1"/>
      <c r="AC3" s="2"/>
      <c r="AD3" s="2"/>
      <c r="AE3" s="2"/>
      <c r="AF3" s="2"/>
      <c r="AG3" s="2"/>
      <c r="AH3" s="2"/>
      <c r="AI3" s="2"/>
    </row>
    <row r="4" spans="1:35" ht="13.5" customHeight="1">
      <c r="A4" s="104" t="s">
        <v>3</v>
      </c>
      <c r="B4" s="85"/>
      <c r="C4" s="85"/>
      <c r="D4" s="85"/>
      <c r="E4" s="85"/>
      <c r="F4" s="105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  <c r="R4" s="91" t="s">
        <v>5</v>
      </c>
      <c r="S4" s="86"/>
      <c r="T4" s="3">
        <v>0</v>
      </c>
      <c r="U4" s="91" t="s">
        <v>6</v>
      </c>
      <c r="V4" s="86"/>
      <c r="W4" s="90">
        <f>W5*T4</f>
        <v>0</v>
      </c>
      <c r="X4" s="85"/>
      <c r="Y4" s="85"/>
      <c r="Z4" s="85"/>
      <c r="AA4" s="85"/>
      <c r="AB4" s="86"/>
      <c r="AC4" s="2"/>
      <c r="AD4" s="2"/>
      <c r="AE4" s="2"/>
      <c r="AF4" s="2"/>
      <c r="AG4" s="2"/>
      <c r="AH4" s="2"/>
      <c r="AI4" s="2"/>
    </row>
    <row r="5" spans="1:35" ht="13.5" customHeight="1">
      <c r="A5" s="104" t="s">
        <v>7</v>
      </c>
      <c r="B5" s="85"/>
      <c r="C5" s="85"/>
      <c r="D5" s="85"/>
      <c r="E5" s="85"/>
      <c r="F5" s="89" t="s">
        <v>8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6"/>
      <c r="U5" s="91" t="s">
        <v>9</v>
      </c>
      <c r="V5" s="86"/>
      <c r="W5" s="87">
        <f>Funções!U6</f>
        <v>47</v>
      </c>
      <c r="X5" s="85"/>
      <c r="Y5" s="85"/>
      <c r="Z5" s="85"/>
      <c r="AA5" s="85"/>
      <c r="AB5" s="86"/>
      <c r="AC5" s="2"/>
      <c r="AD5" s="2"/>
      <c r="AE5" s="2"/>
      <c r="AF5" s="2"/>
      <c r="AG5" s="2"/>
      <c r="AH5" s="2"/>
      <c r="AI5" s="2"/>
    </row>
    <row r="6" spans="1:35" ht="13.5" customHeight="1">
      <c r="A6" s="104" t="s">
        <v>10</v>
      </c>
      <c r="B6" s="85"/>
      <c r="C6" s="85"/>
      <c r="D6" s="85"/>
      <c r="E6" s="85"/>
      <c r="F6" s="89" t="s">
        <v>11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6"/>
      <c r="AC6" s="2"/>
      <c r="AD6" s="2"/>
      <c r="AE6" s="2"/>
      <c r="AF6" s="2"/>
      <c r="AG6" s="2"/>
      <c r="AH6" s="2"/>
      <c r="AI6" s="2"/>
    </row>
    <row r="7" spans="1:35" ht="13.5" customHeight="1">
      <c r="A7" s="104" t="s">
        <v>12</v>
      </c>
      <c r="B7" s="85"/>
      <c r="C7" s="85"/>
      <c r="D7" s="85"/>
      <c r="E7" s="85"/>
      <c r="F7" s="89" t="s">
        <v>13</v>
      </c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6"/>
      <c r="U7" s="88" t="s">
        <v>14</v>
      </c>
      <c r="V7" s="85"/>
      <c r="W7" s="86"/>
      <c r="X7" s="107"/>
      <c r="Y7" s="85"/>
      <c r="Z7" s="85"/>
      <c r="AA7" s="85"/>
      <c r="AB7" s="86"/>
      <c r="AC7" s="2"/>
      <c r="AD7" s="2"/>
      <c r="AE7" s="2"/>
      <c r="AF7" s="2"/>
      <c r="AG7" s="2"/>
      <c r="AH7" s="2"/>
      <c r="AI7" s="2"/>
    </row>
    <row r="8" spans="1:35" ht="13.5" customHeight="1">
      <c r="A8" s="104" t="s">
        <v>15</v>
      </c>
      <c r="B8" s="85"/>
      <c r="C8" s="85"/>
      <c r="D8" s="85"/>
      <c r="E8" s="85"/>
      <c r="F8" s="89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6"/>
      <c r="U8" s="88" t="s">
        <v>16</v>
      </c>
      <c r="V8" s="85"/>
      <c r="W8" s="86"/>
      <c r="X8" s="107"/>
      <c r="Y8" s="85"/>
      <c r="Z8" s="85"/>
      <c r="AA8" s="85"/>
      <c r="AB8" s="86"/>
      <c r="AC8" s="2"/>
      <c r="AD8" s="2"/>
      <c r="AE8" s="2"/>
      <c r="AF8" s="2"/>
      <c r="AG8" s="2"/>
      <c r="AH8" s="2"/>
      <c r="AI8" s="2"/>
    </row>
    <row r="9" spans="1:35" ht="13.5" customHeight="1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3.5" customHeight="1">
      <c r="A10" s="103" t="s">
        <v>17</v>
      </c>
      <c r="B10" s="95"/>
      <c r="C10" s="92"/>
      <c r="D10" s="85"/>
      <c r="E10" s="85"/>
      <c r="F10" s="85"/>
      <c r="G10" s="85"/>
      <c r="H10" s="85"/>
      <c r="I10" s="85"/>
      <c r="J10" s="85"/>
      <c r="K10" s="86"/>
      <c r="L10" s="5"/>
      <c r="M10" s="1"/>
      <c r="N10" s="1"/>
      <c r="O10" s="103" t="s">
        <v>18</v>
      </c>
      <c r="P10" s="94"/>
      <c r="Q10" s="91" t="s">
        <v>19</v>
      </c>
      <c r="R10" s="85"/>
      <c r="S10" s="85"/>
      <c r="T10" s="86"/>
      <c r="U10" s="91" t="s">
        <v>20</v>
      </c>
      <c r="V10" s="85"/>
      <c r="W10" s="85"/>
      <c r="X10" s="86"/>
      <c r="Y10" s="91" t="s">
        <v>21</v>
      </c>
      <c r="Z10" s="85"/>
      <c r="AA10" s="85"/>
      <c r="AB10" s="86"/>
      <c r="AC10" s="6"/>
      <c r="AD10" s="6"/>
      <c r="AE10" s="2"/>
      <c r="AF10" s="2"/>
      <c r="AG10" s="2"/>
      <c r="AH10" s="2"/>
      <c r="AI10" s="2"/>
    </row>
    <row r="11" spans="1:35" ht="13.5" customHeight="1">
      <c r="A11" s="96"/>
      <c r="B11" s="98"/>
      <c r="C11" s="92" t="s">
        <v>22</v>
      </c>
      <c r="D11" s="85"/>
      <c r="E11" s="85"/>
      <c r="F11" s="85"/>
      <c r="G11" s="85"/>
      <c r="H11" s="85"/>
      <c r="I11" s="85"/>
      <c r="J11" s="85"/>
      <c r="K11" s="86"/>
      <c r="L11" s="7" t="s">
        <v>23</v>
      </c>
      <c r="M11" s="1"/>
      <c r="N11" s="1"/>
      <c r="O11" s="96"/>
      <c r="P11" s="97"/>
      <c r="Q11" s="88" t="s">
        <v>24</v>
      </c>
      <c r="R11" s="86"/>
      <c r="S11" s="87">
        <f>Sumário!E55</f>
        <v>47</v>
      </c>
      <c r="T11" s="86"/>
      <c r="U11" s="84">
        <v>1</v>
      </c>
      <c r="V11" s="85"/>
      <c r="W11" s="85"/>
      <c r="X11" s="86"/>
      <c r="Y11" s="87">
        <f t="shared" ref="Y11:Y14" si="0">S11*U11</f>
        <v>47</v>
      </c>
      <c r="Z11" s="85"/>
      <c r="AA11" s="85"/>
      <c r="AB11" s="86"/>
      <c r="AC11" s="2"/>
      <c r="AD11" s="2"/>
      <c r="AE11" s="2"/>
      <c r="AF11" s="2"/>
      <c r="AG11" s="2"/>
      <c r="AH11" s="2"/>
      <c r="AI11" s="2"/>
    </row>
    <row r="12" spans="1:35" ht="13.5" customHeight="1">
      <c r="A12" s="96"/>
      <c r="B12" s="98"/>
      <c r="C12" s="92" t="s">
        <v>25</v>
      </c>
      <c r="D12" s="85"/>
      <c r="E12" s="85"/>
      <c r="F12" s="85"/>
      <c r="G12" s="85"/>
      <c r="H12" s="85"/>
      <c r="I12" s="85"/>
      <c r="J12" s="85"/>
      <c r="K12" s="86"/>
      <c r="L12" s="5"/>
      <c r="M12" s="1"/>
      <c r="N12" s="1"/>
      <c r="O12" s="96"/>
      <c r="P12" s="97"/>
      <c r="Q12" s="88" t="s">
        <v>26</v>
      </c>
      <c r="R12" s="85"/>
      <c r="S12" s="87">
        <f>Sumário!E56</f>
        <v>0</v>
      </c>
      <c r="T12" s="86"/>
      <c r="U12" s="84">
        <v>0.5</v>
      </c>
      <c r="V12" s="85"/>
      <c r="W12" s="85"/>
      <c r="X12" s="86"/>
      <c r="Y12" s="87">
        <f t="shared" si="0"/>
        <v>0</v>
      </c>
      <c r="Z12" s="85"/>
      <c r="AA12" s="85"/>
      <c r="AB12" s="86"/>
      <c r="AC12" s="2"/>
      <c r="AD12" s="2"/>
      <c r="AE12" s="2"/>
      <c r="AF12" s="2"/>
      <c r="AG12" s="2"/>
      <c r="AH12" s="2"/>
      <c r="AI12" s="2"/>
    </row>
    <row r="13" spans="1:35" ht="13.5" customHeight="1">
      <c r="A13" s="96"/>
      <c r="B13" s="98"/>
      <c r="C13" s="92" t="s">
        <v>27</v>
      </c>
      <c r="D13" s="85"/>
      <c r="E13" s="85"/>
      <c r="F13" s="85"/>
      <c r="G13" s="85"/>
      <c r="H13" s="85"/>
      <c r="I13" s="85"/>
      <c r="J13" s="85"/>
      <c r="K13" s="86"/>
      <c r="L13" s="5"/>
      <c r="M13" s="1"/>
      <c r="N13" s="1"/>
      <c r="O13" s="96"/>
      <c r="P13" s="97"/>
      <c r="Q13" s="88" t="s">
        <v>28</v>
      </c>
      <c r="R13" s="85"/>
      <c r="S13" s="87">
        <f>Sumário!E57</f>
        <v>0</v>
      </c>
      <c r="T13" s="86"/>
      <c r="U13" s="84">
        <v>0.4</v>
      </c>
      <c r="V13" s="85"/>
      <c r="W13" s="85"/>
      <c r="X13" s="86"/>
      <c r="Y13" s="87">
        <f t="shared" si="0"/>
        <v>0</v>
      </c>
      <c r="Z13" s="85"/>
      <c r="AA13" s="85"/>
      <c r="AB13" s="86"/>
      <c r="AC13" s="2"/>
      <c r="AD13" s="2"/>
      <c r="AE13" s="2"/>
      <c r="AF13" s="2"/>
      <c r="AG13" s="2"/>
      <c r="AH13" s="2"/>
      <c r="AI13" s="2"/>
    </row>
    <row r="14" spans="1:35" ht="13.5" customHeight="1">
      <c r="A14" s="99"/>
      <c r="B14" s="101"/>
      <c r="C14" s="2"/>
      <c r="D14" s="2"/>
      <c r="E14" s="2"/>
      <c r="F14" s="2"/>
      <c r="G14" s="2"/>
      <c r="H14" s="2"/>
      <c r="I14" s="2"/>
      <c r="J14" s="2"/>
      <c r="K14" s="2"/>
      <c r="L14" s="2"/>
      <c r="M14" s="1"/>
      <c r="N14" s="1"/>
      <c r="O14" s="99"/>
      <c r="P14" s="100"/>
      <c r="Q14" s="88"/>
      <c r="R14" s="85"/>
      <c r="S14" s="87">
        <f>Sumário!E58</f>
        <v>0</v>
      </c>
      <c r="T14" s="86"/>
      <c r="U14" s="84"/>
      <c r="V14" s="85"/>
      <c r="W14" s="85"/>
      <c r="X14" s="86"/>
      <c r="Y14" s="87">
        <f t="shared" si="0"/>
        <v>0</v>
      </c>
      <c r="Z14" s="85"/>
      <c r="AA14" s="85"/>
      <c r="AB14" s="86"/>
      <c r="AC14" s="2"/>
      <c r="AD14" s="2"/>
      <c r="AE14" s="2"/>
      <c r="AF14" s="2"/>
      <c r="AG14" s="2"/>
      <c r="AH14" s="2"/>
      <c r="AI14" s="2"/>
    </row>
    <row r="15" spans="1:35" ht="13.5" customHeight="1">
      <c r="A15" s="8"/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1"/>
      <c r="N15" s="1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  <c r="AD15" s="2"/>
      <c r="AE15" s="2"/>
      <c r="AF15" s="2"/>
      <c r="AG15" s="2"/>
      <c r="AH15" s="2"/>
      <c r="AI15" s="2"/>
    </row>
    <row r="16" spans="1:35" ht="13.5" customHeight="1">
      <c r="A16" s="8"/>
      <c r="B16" s="8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"/>
      <c r="AD16" s="2"/>
      <c r="AE16" s="2"/>
      <c r="AF16" s="2"/>
      <c r="AG16" s="2"/>
      <c r="AH16" s="2"/>
      <c r="AI16" s="2"/>
    </row>
    <row r="17" spans="1:35" ht="13.5" customHeight="1">
      <c r="A17" s="103" t="s">
        <v>29</v>
      </c>
      <c r="B17" s="95"/>
      <c r="C17" s="92" t="s">
        <v>30</v>
      </c>
      <c r="D17" s="85"/>
      <c r="E17" s="85"/>
      <c r="F17" s="85"/>
      <c r="G17" s="85"/>
      <c r="H17" s="85"/>
      <c r="I17" s="85"/>
      <c r="J17" s="85"/>
      <c r="K17" s="86"/>
      <c r="L17" s="5"/>
      <c r="M17" s="1"/>
      <c r="N17" s="1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"/>
      <c r="AD17" s="2"/>
      <c r="AE17" s="2"/>
      <c r="AF17" s="2"/>
      <c r="AG17" s="2"/>
      <c r="AH17" s="2"/>
      <c r="AI17" s="2"/>
    </row>
    <row r="18" spans="1:35" ht="13.5" customHeight="1">
      <c r="A18" s="96"/>
      <c r="B18" s="98"/>
      <c r="C18" s="92" t="s">
        <v>31</v>
      </c>
      <c r="D18" s="85"/>
      <c r="E18" s="85"/>
      <c r="F18" s="85"/>
      <c r="G18" s="85"/>
      <c r="H18" s="85"/>
      <c r="I18" s="85"/>
      <c r="J18" s="85"/>
      <c r="K18" s="86"/>
      <c r="L18" s="5"/>
      <c r="M18" s="1"/>
      <c r="N18" s="1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2"/>
      <c r="AD18" s="2"/>
      <c r="AE18" s="2"/>
      <c r="AF18" s="2"/>
      <c r="AG18" s="2"/>
      <c r="AH18" s="2"/>
      <c r="AI18" s="2"/>
    </row>
    <row r="19" spans="1:35" ht="13.5" customHeight="1">
      <c r="A19" s="96"/>
      <c r="B19" s="98"/>
      <c r="C19" s="92" t="s">
        <v>32</v>
      </c>
      <c r="D19" s="85"/>
      <c r="E19" s="85"/>
      <c r="F19" s="85"/>
      <c r="G19" s="85"/>
      <c r="H19" s="85"/>
      <c r="I19" s="85"/>
      <c r="J19" s="85"/>
      <c r="K19" s="86"/>
      <c r="L19" s="7" t="s">
        <v>23</v>
      </c>
      <c r="M19" s="1"/>
      <c r="N19" s="1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2"/>
      <c r="AD19" s="2"/>
      <c r="AE19" s="2"/>
      <c r="AF19" s="2"/>
      <c r="AG19" s="2"/>
      <c r="AH19" s="2"/>
      <c r="AI19" s="2"/>
    </row>
    <row r="20" spans="1:35" ht="13.5" customHeight="1">
      <c r="A20" s="96"/>
      <c r="B20" s="98"/>
      <c r="C20" s="92"/>
      <c r="D20" s="85"/>
      <c r="E20" s="85"/>
      <c r="F20" s="85"/>
      <c r="G20" s="85"/>
      <c r="H20" s="85"/>
      <c r="I20" s="85"/>
      <c r="J20" s="85"/>
      <c r="K20" s="86"/>
      <c r="L20" s="5"/>
      <c r="M20" s="1"/>
      <c r="N20" s="1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2"/>
      <c r="AD20" s="2"/>
      <c r="AE20" s="2"/>
      <c r="AF20" s="2"/>
      <c r="AG20" s="2"/>
      <c r="AH20" s="2"/>
      <c r="AI20" s="2"/>
    </row>
    <row r="21" spans="1:35" ht="13.5" customHeight="1">
      <c r="A21" s="99"/>
      <c r="B21" s="101"/>
      <c r="C21" s="2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2"/>
      <c r="AD21" s="2"/>
      <c r="AE21" s="2"/>
      <c r="AF21" s="2"/>
      <c r="AG21" s="2"/>
      <c r="AH21" s="2"/>
      <c r="AI21" s="2"/>
    </row>
    <row r="22" spans="1:35" ht="1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2" customHeight="1">
      <c r="A23" s="2"/>
      <c r="B23" s="10"/>
      <c r="C23" s="10"/>
      <c r="D23" s="2"/>
      <c r="E23" s="2"/>
      <c r="F23" s="10"/>
      <c r="G23" s="10"/>
      <c r="H23" s="10"/>
      <c r="I23" s="10"/>
      <c r="J23" s="2"/>
      <c r="K23" s="102" t="s">
        <v>33</v>
      </c>
      <c r="L23" s="100"/>
      <c r="M23" s="100"/>
      <c r="N23" s="100"/>
      <c r="O23" s="100"/>
      <c r="P23" s="100"/>
      <c r="Q23" s="100"/>
      <c r="R23" s="100"/>
      <c r="S23" s="100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2" customHeight="1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5"/>
      <c r="AC24" s="2"/>
      <c r="AD24" s="2"/>
      <c r="AE24" s="2"/>
      <c r="AF24" s="2"/>
      <c r="AG24" s="2"/>
      <c r="AH24" s="2"/>
      <c r="AI24" s="2"/>
    </row>
    <row r="25" spans="1:35" ht="12" customHeight="1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8"/>
      <c r="AC25" s="2"/>
      <c r="AD25" s="2"/>
      <c r="AE25" s="2"/>
      <c r="AF25" s="2"/>
      <c r="AG25" s="2"/>
      <c r="AH25" s="2"/>
      <c r="AI25" s="2"/>
    </row>
    <row r="26" spans="1:35" ht="12" customHeight="1">
      <c r="A26" s="96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8"/>
      <c r="AC26" s="2"/>
      <c r="AD26" s="2"/>
      <c r="AE26" s="2"/>
      <c r="AF26" s="2"/>
      <c r="AG26" s="2"/>
      <c r="AH26" s="2"/>
      <c r="AI26" s="2"/>
    </row>
    <row r="27" spans="1:35" ht="12" customHeight="1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8"/>
      <c r="AC27" s="2"/>
      <c r="AD27" s="2"/>
      <c r="AE27" s="2"/>
      <c r="AF27" s="2"/>
      <c r="AG27" s="2"/>
      <c r="AH27" s="2"/>
      <c r="AI27" s="2"/>
    </row>
    <row r="28" spans="1:35" ht="12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8"/>
      <c r="AC28" s="2"/>
      <c r="AD28" s="2"/>
      <c r="AE28" s="2"/>
      <c r="AF28" s="2"/>
      <c r="AG28" s="2"/>
      <c r="AH28" s="2"/>
      <c r="AI28" s="2"/>
    </row>
    <row r="29" spans="1:35" ht="12" customHeight="1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8"/>
      <c r="AC29" s="2"/>
      <c r="AD29" s="2"/>
      <c r="AE29" s="2"/>
      <c r="AF29" s="2"/>
      <c r="AG29" s="2"/>
      <c r="AH29" s="2"/>
      <c r="AI29" s="2"/>
    </row>
    <row r="30" spans="1:35" ht="12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2"/>
      <c r="AD30" s="2"/>
      <c r="AE30" s="2"/>
      <c r="AF30" s="2"/>
      <c r="AG30" s="2"/>
      <c r="AH30" s="2"/>
      <c r="AI30" s="2"/>
    </row>
    <row r="31" spans="1:35" ht="12" customHeight="1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8"/>
      <c r="AC31" s="2"/>
      <c r="AD31" s="2"/>
      <c r="AE31" s="2"/>
      <c r="AF31" s="2"/>
      <c r="AG31" s="2"/>
      <c r="AH31" s="2"/>
      <c r="AI31" s="2"/>
    </row>
    <row r="32" spans="1:35" ht="12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8"/>
      <c r="AC32" s="2"/>
      <c r="AD32" s="2"/>
      <c r="AE32" s="2"/>
      <c r="AF32" s="2"/>
      <c r="AG32" s="2"/>
      <c r="AH32" s="2"/>
      <c r="AI32" s="2"/>
    </row>
    <row r="33" spans="1:35" ht="12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8"/>
      <c r="AC33" s="2"/>
      <c r="AD33" s="2"/>
      <c r="AE33" s="2"/>
      <c r="AF33" s="2"/>
      <c r="AG33" s="2"/>
      <c r="AH33" s="2"/>
      <c r="AI33" s="2"/>
    </row>
    <row r="34" spans="1:35" ht="12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8"/>
      <c r="AC34" s="2"/>
      <c r="AD34" s="2"/>
      <c r="AE34" s="2"/>
      <c r="AF34" s="2"/>
      <c r="AG34" s="2"/>
      <c r="AH34" s="2"/>
      <c r="AI34" s="2"/>
    </row>
    <row r="35" spans="1:35" ht="12" customHeight="1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8"/>
      <c r="AC35" s="2"/>
      <c r="AD35" s="2"/>
      <c r="AE35" s="2"/>
      <c r="AF35" s="2"/>
      <c r="AG35" s="2"/>
      <c r="AH35" s="2"/>
      <c r="AI35" s="2"/>
    </row>
    <row r="36" spans="1:35" ht="12" customHeight="1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8"/>
      <c r="AC36" s="2"/>
      <c r="AD36" s="2"/>
      <c r="AE36" s="2"/>
      <c r="AF36" s="2"/>
      <c r="AG36" s="2"/>
      <c r="AH36" s="2"/>
      <c r="AI36" s="2"/>
    </row>
    <row r="37" spans="1:35" ht="12" customHeight="1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8"/>
      <c r="AC37" s="2"/>
      <c r="AD37" s="2"/>
      <c r="AE37" s="2"/>
      <c r="AF37" s="2"/>
      <c r="AG37" s="2"/>
      <c r="AH37" s="2"/>
      <c r="AI37" s="2"/>
    </row>
    <row r="38" spans="1:35" ht="12" customHeight="1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8"/>
      <c r="AC38" s="2"/>
      <c r="AD38" s="2"/>
      <c r="AE38" s="2"/>
      <c r="AF38" s="2"/>
      <c r="AG38" s="2"/>
      <c r="AH38" s="2"/>
      <c r="AI38" s="2"/>
    </row>
    <row r="39" spans="1:35" ht="12" customHeight="1">
      <c r="A39" s="96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8"/>
      <c r="AC39" s="2"/>
      <c r="AD39" s="2"/>
      <c r="AE39" s="2"/>
      <c r="AF39" s="2"/>
      <c r="AG39" s="2"/>
      <c r="AH39" s="2"/>
      <c r="AI39" s="2"/>
    </row>
    <row r="40" spans="1:35" ht="12" customHeight="1">
      <c r="A40" s="96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8"/>
      <c r="AC40" s="2"/>
      <c r="AD40" s="2"/>
      <c r="AE40" s="2"/>
      <c r="AF40" s="2"/>
      <c r="AG40" s="2"/>
      <c r="AH40" s="2"/>
      <c r="AI40" s="2"/>
    </row>
    <row r="41" spans="1:35" ht="12" customHeight="1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8"/>
      <c r="AC41" s="2"/>
      <c r="AD41" s="2"/>
      <c r="AE41" s="2"/>
      <c r="AF41" s="2"/>
      <c r="AG41" s="2"/>
      <c r="AH41" s="2"/>
      <c r="AI41" s="2"/>
    </row>
    <row r="42" spans="1:35" ht="12" customHeight="1">
      <c r="A42" s="96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8"/>
      <c r="AC42" s="2"/>
      <c r="AD42" s="2"/>
      <c r="AE42" s="2"/>
      <c r="AF42" s="2"/>
      <c r="AG42" s="2"/>
      <c r="AH42" s="2"/>
      <c r="AI42" s="2"/>
    </row>
    <row r="43" spans="1:35" ht="12" customHeight="1">
      <c r="A43" s="96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8"/>
      <c r="AC43" s="2"/>
      <c r="AD43" s="2"/>
      <c r="AE43" s="2"/>
      <c r="AF43" s="2"/>
      <c r="AG43" s="2"/>
      <c r="AH43" s="2"/>
      <c r="AI43" s="2"/>
    </row>
    <row r="44" spans="1:35" ht="12" customHeight="1">
      <c r="A44" s="96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8"/>
      <c r="AC44" s="2"/>
      <c r="AD44" s="2"/>
      <c r="AE44" s="2"/>
      <c r="AF44" s="2"/>
      <c r="AG44" s="2"/>
      <c r="AH44" s="2"/>
      <c r="AI44" s="2"/>
    </row>
    <row r="45" spans="1:35" ht="12" customHeight="1">
      <c r="A45" s="99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1"/>
      <c r="AC45" s="2"/>
      <c r="AD45" s="2"/>
      <c r="AE45" s="2"/>
      <c r="AF45" s="2"/>
      <c r="AG45" s="2"/>
      <c r="AH45" s="2"/>
      <c r="AI45" s="2"/>
    </row>
    <row r="46" spans="1:35" ht="12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2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102" t="s">
        <v>34</v>
      </c>
      <c r="L47" s="100"/>
      <c r="M47" s="100"/>
      <c r="N47" s="100"/>
      <c r="O47" s="100"/>
      <c r="P47" s="100"/>
      <c r="Q47" s="100"/>
      <c r="R47" s="100"/>
      <c r="S47" s="100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2" customHeight="1">
      <c r="A48" s="93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5"/>
      <c r="AC48" s="2"/>
      <c r="AD48" s="2"/>
      <c r="AE48" s="2"/>
      <c r="AF48" s="2"/>
      <c r="AG48" s="2"/>
      <c r="AH48" s="2"/>
      <c r="AI48" s="2"/>
    </row>
    <row r="49" spans="1:35" ht="12" customHeight="1">
      <c r="A49" s="96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8"/>
      <c r="AC49" s="2"/>
      <c r="AD49" s="2"/>
      <c r="AE49" s="2"/>
      <c r="AF49" s="2"/>
      <c r="AG49" s="2"/>
      <c r="AH49" s="2"/>
      <c r="AI49" s="2"/>
    </row>
    <row r="50" spans="1:35" ht="12" customHeight="1">
      <c r="A50" s="96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8"/>
      <c r="AC50" s="2"/>
      <c r="AD50" s="2"/>
      <c r="AE50" s="2"/>
      <c r="AF50" s="2"/>
      <c r="AG50" s="2"/>
      <c r="AH50" s="2"/>
      <c r="AI50" s="2"/>
    </row>
    <row r="51" spans="1:35" ht="12" customHeight="1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8"/>
      <c r="AC51" s="2"/>
      <c r="AD51" s="2"/>
      <c r="AE51" s="2"/>
      <c r="AF51" s="2"/>
      <c r="AG51" s="2"/>
      <c r="AH51" s="2"/>
      <c r="AI51" s="2"/>
    </row>
    <row r="52" spans="1:35" ht="12" customHeight="1">
      <c r="A52" s="96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8"/>
      <c r="AC52" s="2"/>
      <c r="AD52" s="2"/>
      <c r="AE52" s="2"/>
      <c r="AF52" s="2"/>
      <c r="AG52" s="2"/>
      <c r="AH52" s="2"/>
      <c r="AI52" s="2"/>
    </row>
    <row r="53" spans="1:35" ht="12" customHeight="1">
      <c r="A53" s="96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8"/>
      <c r="AC53" s="2"/>
      <c r="AD53" s="2"/>
      <c r="AE53" s="2"/>
      <c r="AF53" s="2"/>
      <c r="AG53" s="2"/>
      <c r="AH53" s="2"/>
      <c r="AI53" s="2"/>
    </row>
    <row r="54" spans="1:35" ht="12" customHeight="1">
      <c r="A54" s="96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8"/>
      <c r="AC54" s="2"/>
      <c r="AD54" s="2"/>
      <c r="AE54" s="2"/>
      <c r="AF54" s="2"/>
      <c r="AG54" s="2"/>
      <c r="AH54" s="2"/>
      <c r="AI54" s="2"/>
    </row>
    <row r="55" spans="1:35" ht="12" customHeight="1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2"/>
      <c r="AD55" s="2"/>
      <c r="AE55" s="2"/>
      <c r="AF55" s="2"/>
      <c r="AG55" s="2"/>
      <c r="AH55" s="2"/>
      <c r="AI55" s="2"/>
    </row>
    <row r="56" spans="1:35" ht="12" customHeight="1">
      <c r="A56" s="96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8"/>
      <c r="AC56" s="2"/>
      <c r="AD56" s="2"/>
      <c r="AE56" s="2"/>
      <c r="AF56" s="2"/>
      <c r="AG56" s="2"/>
      <c r="AH56" s="2"/>
      <c r="AI56" s="2"/>
    </row>
    <row r="57" spans="1:35" ht="12" customHeight="1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8"/>
      <c r="AC57" s="2"/>
      <c r="AD57" s="2"/>
      <c r="AE57" s="2"/>
      <c r="AF57" s="2"/>
      <c r="AG57" s="2"/>
      <c r="AH57" s="2"/>
      <c r="AI57" s="2"/>
    </row>
    <row r="58" spans="1:35" ht="12" customHeight="1">
      <c r="A58" s="96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8"/>
      <c r="AC58" s="2"/>
      <c r="AD58" s="2"/>
      <c r="AE58" s="2"/>
      <c r="AF58" s="2"/>
      <c r="AG58" s="2"/>
      <c r="AH58" s="2"/>
      <c r="AI58" s="2"/>
    </row>
    <row r="59" spans="1:35" ht="12" customHeight="1">
      <c r="A59" s="96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8"/>
      <c r="AC59" s="2"/>
      <c r="AD59" s="2"/>
      <c r="AE59" s="2"/>
      <c r="AF59" s="2"/>
      <c r="AG59" s="2"/>
      <c r="AH59" s="2"/>
      <c r="AI59" s="2"/>
    </row>
    <row r="60" spans="1:35" ht="12" customHeight="1">
      <c r="A60" s="96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8"/>
      <c r="AC60" s="2"/>
      <c r="AD60" s="2"/>
      <c r="AE60" s="2"/>
      <c r="AF60" s="2"/>
      <c r="AG60" s="2"/>
      <c r="AH60" s="2"/>
      <c r="AI60" s="2"/>
    </row>
    <row r="61" spans="1:35" ht="12" customHeight="1">
      <c r="A61" s="96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8"/>
      <c r="AC61" s="2"/>
      <c r="AD61" s="2"/>
      <c r="AE61" s="2"/>
      <c r="AF61" s="2"/>
      <c r="AG61" s="2"/>
      <c r="AH61" s="2"/>
      <c r="AI61" s="2"/>
    </row>
    <row r="62" spans="1:35" ht="12" customHeight="1">
      <c r="A62" s="96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8"/>
      <c r="AC62" s="2"/>
      <c r="AD62" s="2"/>
      <c r="AE62" s="2"/>
      <c r="AF62" s="2"/>
      <c r="AG62" s="2"/>
      <c r="AH62" s="2"/>
      <c r="AI62" s="2"/>
    </row>
    <row r="63" spans="1:35" ht="12" customHeight="1">
      <c r="A63" s="96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8"/>
      <c r="AC63" s="2"/>
      <c r="AD63" s="2"/>
      <c r="AE63" s="2"/>
      <c r="AF63" s="2"/>
      <c r="AG63" s="2"/>
      <c r="AH63" s="2"/>
      <c r="AI63" s="2"/>
    </row>
    <row r="64" spans="1:35" ht="12" customHeight="1">
      <c r="A64" s="96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8"/>
      <c r="AC64" s="2"/>
      <c r="AD64" s="2"/>
      <c r="AE64" s="2"/>
      <c r="AF64" s="2"/>
      <c r="AG64" s="2"/>
      <c r="AH64" s="2"/>
      <c r="AI64" s="2"/>
    </row>
    <row r="65" spans="1:35" ht="12" customHeight="1">
      <c r="A65" s="96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8"/>
      <c r="AC65" s="2"/>
      <c r="AD65" s="2"/>
      <c r="AE65" s="2"/>
      <c r="AF65" s="2"/>
      <c r="AG65" s="2"/>
      <c r="AH65" s="2"/>
      <c r="AI65" s="2"/>
    </row>
    <row r="66" spans="1:35" ht="12" customHeight="1">
      <c r="A66" s="96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8"/>
      <c r="AC66" s="2"/>
      <c r="AD66" s="2"/>
      <c r="AE66" s="2"/>
      <c r="AF66" s="2"/>
      <c r="AG66" s="2"/>
      <c r="AH66" s="2"/>
      <c r="AI66" s="2"/>
    </row>
    <row r="67" spans="1:35" ht="12" customHeight="1">
      <c r="A67" s="99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1"/>
      <c r="AC67" s="2"/>
      <c r="AD67" s="2"/>
      <c r="AE67" s="2"/>
      <c r="AF67" s="2"/>
      <c r="AG67" s="2"/>
      <c r="AH67" s="2"/>
      <c r="AI67" s="2"/>
    </row>
    <row r="68" spans="1:35" ht="12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2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2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2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2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2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2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2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2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2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2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2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2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2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2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2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2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2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2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2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2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2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2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2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2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2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2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2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2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2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2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2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2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2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2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2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2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2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2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2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2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2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2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2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2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2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2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2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2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2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2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2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2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2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2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2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2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2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2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2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2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2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2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2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2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2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2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2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2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2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2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2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2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2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2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2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2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2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2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2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54">
    <mergeCell ref="R4:S4"/>
    <mergeCell ref="F4:Q4"/>
    <mergeCell ref="A4:E4"/>
    <mergeCell ref="A1:AB3"/>
    <mergeCell ref="A10:B14"/>
    <mergeCell ref="U10:X10"/>
    <mergeCell ref="C12:K12"/>
    <mergeCell ref="C11:K11"/>
    <mergeCell ref="Q13:R13"/>
    <mergeCell ref="C13:K13"/>
    <mergeCell ref="X8:AB8"/>
    <mergeCell ref="Y11:AB11"/>
    <mergeCell ref="Y10:AB10"/>
    <mergeCell ref="Y14:AB14"/>
    <mergeCell ref="Y13:AB13"/>
    <mergeCell ref="Y12:AB12"/>
    <mergeCell ref="A7:E7"/>
    <mergeCell ref="A8:E8"/>
    <mergeCell ref="F5:T5"/>
    <mergeCell ref="F6:AB6"/>
    <mergeCell ref="U5:V5"/>
    <mergeCell ref="W5:AB5"/>
    <mergeCell ref="X7:AB7"/>
    <mergeCell ref="U7:W7"/>
    <mergeCell ref="U8:W8"/>
    <mergeCell ref="W4:AB4"/>
    <mergeCell ref="U4:V4"/>
    <mergeCell ref="C20:K20"/>
    <mergeCell ref="A48:AB67"/>
    <mergeCell ref="K47:S47"/>
    <mergeCell ref="A24:AB45"/>
    <mergeCell ref="K23:S23"/>
    <mergeCell ref="S14:T14"/>
    <mergeCell ref="Q14:R14"/>
    <mergeCell ref="U14:X14"/>
    <mergeCell ref="A17:B21"/>
    <mergeCell ref="C19:K19"/>
    <mergeCell ref="C18:K18"/>
    <mergeCell ref="C17:K17"/>
    <mergeCell ref="A6:E6"/>
    <mergeCell ref="A5:E5"/>
    <mergeCell ref="Q12:R12"/>
    <mergeCell ref="S12:T12"/>
    <mergeCell ref="Q11:R11"/>
    <mergeCell ref="F7:T7"/>
    <mergeCell ref="F8:T8"/>
    <mergeCell ref="O10:P14"/>
    <mergeCell ref="C10:K10"/>
    <mergeCell ref="Q10:T10"/>
    <mergeCell ref="U12:X12"/>
    <mergeCell ref="U13:X13"/>
    <mergeCell ref="S13:T13"/>
    <mergeCell ref="U11:X11"/>
    <mergeCell ref="S11:T1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00"/>
  <sheetViews>
    <sheetView showGridLines="0" tabSelected="1" workbookViewId="0">
      <pane ySplit="7" topLeftCell="A8" activePane="bottomLeft" state="frozen"/>
      <selection pane="bottomLeft" activeCell="AA5" sqref="AA5"/>
    </sheetView>
  </sheetViews>
  <sheetFormatPr defaultColWidth="14.425781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6" width="15.140625" customWidth="1"/>
    <col min="17" max="18" width="12.85546875" hidden="1" customWidth="1"/>
    <col min="19" max="19" width="16.7109375" hidden="1" customWidth="1"/>
    <col min="20" max="20" width="14.5703125" customWidth="1"/>
    <col min="21" max="21" width="37.85546875" customWidth="1"/>
    <col min="22" max="22" width="16.7109375" hidden="1" customWidth="1"/>
    <col min="23" max="23" width="12.7109375" customWidth="1"/>
    <col min="24" max="31" width="9.140625" customWidth="1"/>
  </cols>
  <sheetData>
    <row r="1" spans="1:31" ht="15" customHeight="1">
      <c r="A1" s="111" t="s">
        <v>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11"/>
      <c r="W1" s="2"/>
      <c r="X1" s="2"/>
      <c r="Y1" s="2"/>
      <c r="Z1" s="2"/>
      <c r="AA1" s="2"/>
      <c r="AB1" s="2"/>
      <c r="AC1" s="2"/>
      <c r="AD1" s="2"/>
      <c r="AE1" s="2"/>
    </row>
    <row r="2" spans="1:31" ht="15" customHeight="1">
      <c r="A2" s="112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11"/>
      <c r="W2" s="2"/>
      <c r="X2" s="2"/>
      <c r="Y2" s="2"/>
      <c r="Z2" s="2"/>
      <c r="AA2" s="2"/>
      <c r="AB2" s="2"/>
      <c r="AC2" s="2"/>
      <c r="AD2" s="2"/>
      <c r="AE2" s="2"/>
    </row>
    <row r="3" spans="1:31" ht="15" customHeight="1">
      <c r="A3" s="113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1"/>
      <c r="W3" s="2"/>
      <c r="X3" s="2"/>
      <c r="Y3" s="2"/>
      <c r="Z3" s="2"/>
      <c r="AA3" s="2"/>
      <c r="AB3" s="2"/>
      <c r="AC3" s="2"/>
      <c r="AD3" s="2"/>
      <c r="AE3" s="2"/>
    </row>
    <row r="4" spans="1:31" ht="15" customHeight="1">
      <c r="A4" s="108" t="str">
        <f>Contagem!A5&amp;" : "&amp;Contagem!F5</f>
        <v>Aplicação : Solicitação</v>
      </c>
      <c r="B4" s="85"/>
      <c r="C4" s="85"/>
      <c r="D4" s="85"/>
      <c r="E4" s="85"/>
      <c r="F4" s="109"/>
      <c r="G4" s="110" t="str">
        <f>Contagem!A6&amp;" : "&amp;Contagem!F6</f>
        <v>Projeto : Sistema de gerenciamento de Troca de Equipamento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6"/>
      <c r="W4" s="2"/>
      <c r="X4" s="2"/>
      <c r="Y4" s="2"/>
      <c r="Z4" s="2"/>
      <c r="AA4" s="2"/>
      <c r="AB4" s="2"/>
      <c r="AC4" s="2"/>
      <c r="AD4" s="2"/>
      <c r="AE4" s="2"/>
    </row>
    <row r="5" spans="1:31" ht="15" customHeight="1">
      <c r="A5" s="121" t="str">
        <f>Contagem!A7&amp;" : "&amp;Contagem!F7</f>
        <v>Responsável : Francielly P. Klein Chicoski</v>
      </c>
      <c r="B5" s="85"/>
      <c r="C5" s="85"/>
      <c r="D5" s="85"/>
      <c r="E5" s="85"/>
      <c r="F5" s="109"/>
      <c r="G5" s="110" t="str">
        <f>Contagem!A8&amp;" : "&amp;Contagem!F8</f>
        <v xml:space="preserve">Revisor : 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6"/>
      <c r="W5" s="12"/>
      <c r="X5" s="12"/>
      <c r="Y5" s="12"/>
      <c r="Z5" s="12"/>
      <c r="AA5" s="12"/>
      <c r="AB5" s="12"/>
      <c r="AC5" s="12"/>
      <c r="AD5" s="12"/>
      <c r="AE5" s="12"/>
    </row>
    <row r="6" spans="1:31" ht="15" customHeight="1">
      <c r="A6" s="121" t="str">
        <f>Contagem!A4&amp;" : "&amp;Contagem!F4</f>
        <v>Empresa : Eits</v>
      </c>
      <c r="B6" s="85"/>
      <c r="C6" s="85"/>
      <c r="D6" s="85"/>
      <c r="E6" s="86"/>
      <c r="F6" s="110" t="str">
        <f>Contagem!R4&amp;" = "&amp;VALUE(Contagem!T4)</f>
        <v>R$/PF = 0</v>
      </c>
      <c r="G6" s="86"/>
      <c r="H6" s="114" t="str">
        <f>" Custo= "&amp;DOLLAR(Contagem!W4)</f>
        <v xml:space="preserve"> Custo= R$ 0,00</v>
      </c>
      <c r="I6" s="115"/>
      <c r="J6" s="115"/>
      <c r="K6" s="115"/>
      <c r="L6" s="115"/>
      <c r="M6" s="116"/>
      <c r="N6" s="114" t="str">
        <f>"PF  = "&amp;VALUE(Contagem!W5)</f>
        <v>PF  = 47</v>
      </c>
      <c r="O6" s="117"/>
      <c r="P6" s="16"/>
      <c r="Q6" s="12"/>
      <c r="R6" s="17"/>
      <c r="S6" s="17"/>
      <c r="T6" s="18" t="str">
        <f>" Total PF LOCAL= "</f>
        <v xml:space="preserve"> Total PF LOCAL= </v>
      </c>
      <c r="U6" s="19">
        <f>IF(Contagem!L17="x",Sumário!G51,IF(Contagem!L18="x",Sumário!G50,IF(Contagem!L19="x",Sumário!G49,0)))</f>
        <v>47</v>
      </c>
      <c r="V6" s="20"/>
      <c r="W6" s="12"/>
      <c r="X6" s="12"/>
      <c r="Y6" s="12"/>
      <c r="Z6" s="12"/>
      <c r="AA6" s="12"/>
      <c r="AB6" s="12"/>
      <c r="AC6" s="12"/>
      <c r="AD6" s="12"/>
      <c r="AE6" s="12"/>
    </row>
    <row r="7" spans="1:31" ht="15" customHeight="1">
      <c r="A7" s="118" t="s">
        <v>39</v>
      </c>
      <c r="B7" s="85"/>
      <c r="C7" s="85"/>
      <c r="D7" s="85"/>
      <c r="E7" s="85"/>
      <c r="F7" s="86"/>
      <c r="G7" s="21" t="s">
        <v>40</v>
      </c>
      <c r="H7" s="22" t="s">
        <v>41</v>
      </c>
      <c r="I7" s="23" t="s">
        <v>42</v>
      </c>
      <c r="J7" s="23" t="s">
        <v>43</v>
      </c>
      <c r="K7" s="23" t="s">
        <v>44</v>
      </c>
      <c r="L7" s="23" t="s">
        <v>45</v>
      </c>
      <c r="M7" s="23" t="s">
        <v>46</v>
      </c>
      <c r="N7" s="23" t="s">
        <v>9</v>
      </c>
      <c r="O7" s="24" t="s">
        <v>21</v>
      </c>
      <c r="P7" s="26" t="s">
        <v>47</v>
      </c>
      <c r="Q7" s="29"/>
      <c r="R7" s="29"/>
      <c r="S7" s="29"/>
      <c r="T7" s="119" t="s">
        <v>48</v>
      </c>
      <c r="U7" s="120"/>
      <c r="V7" s="26"/>
      <c r="W7" s="12"/>
      <c r="X7" s="12"/>
      <c r="Y7" s="12"/>
      <c r="Z7" s="12"/>
      <c r="AA7" s="12"/>
      <c r="AB7" s="12"/>
      <c r="AC7" s="12"/>
      <c r="AD7" s="12"/>
      <c r="AE7" s="12"/>
    </row>
    <row r="8" spans="1:31" ht="18" customHeight="1">
      <c r="A8" s="31"/>
      <c r="B8" s="33"/>
      <c r="C8" s="33"/>
      <c r="D8" s="33"/>
      <c r="E8" s="33"/>
      <c r="F8" s="35"/>
      <c r="G8" s="36"/>
      <c r="H8" s="36"/>
      <c r="I8" s="36"/>
      <c r="J8" s="36"/>
      <c r="K8" s="36" t="str">
        <f t="shared" ref="K8:K117" si="0">CONCATENATE(G8,L8)</f>
        <v/>
      </c>
      <c r="L8" s="41" t="str">
        <f t="shared" ref="L8:L11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43" t="str">
        <f t="shared" ref="M8:M117" si="2">IF(L8="L","Baixa",IF(L8="A","Média",IF(L8="","","Alta")))</f>
        <v/>
      </c>
      <c r="N8" s="47" t="str">
        <f t="shared" ref="N8:N117" si="3">IF(ISBLANK(G8),"",IF(G8="ALI",IF(L8="L",7,IF(L8="A",10,15)),IF(G8="AIE",IF(L8="L",5,IF(L8="A",7,10)),IF(G8="SE",IF(L8="L",4,IF(L8="A",5,7)),IF(OR(G8="EE",G8="CE"),IF(L8="L",3,IF(L8="A",4,6)))))))</f>
        <v/>
      </c>
      <c r="O8" s="48" t="str">
        <f>IF(H8="I",N8*Contagem!$U$11,IF(H8="E",N8*Contagem!$U$13,IF(H8="A",N8*Contagem!$U$12,IF(H8="T",N8*Contagem!$U$14,""))))</f>
        <v/>
      </c>
      <c r="P8" s="36"/>
      <c r="Q8" s="49">
        <f>IF(H8="I",Sumário!$F$55,IF(H8="A",Sumário!$F$56,Sumário!$F$57))</f>
        <v>0.4</v>
      </c>
      <c r="R8" s="51" t="b">
        <f t="shared" ref="R8:R117" si="4">IF(G8="ALI",35*Q8,IF(G8="AIE",15*Q8))</f>
        <v>0</v>
      </c>
      <c r="S8" s="33" t="b">
        <f t="shared" ref="S8:S117" si="5">IF(OR(G8="EE",G8="CE"),IF(H8="I",4,(4*Q8)),IF(G8="SE",IF(H8="I",5,5*Q8),IF(G8="ALI",IF(H8="I",7,7*Q8),IF(G8="AIE",IF(H8="I",5,5*Q8)))))</f>
        <v>0</v>
      </c>
      <c r="T8" s="33"/>
      <c r="U8" s="33"/>
      <c r="V8" s="33"/>
      <c r="W8" s="52"/>
      <c r="X8" s="52"/>
      <c r="Y8" s="52"/>
      <c r="Z8" s="52"/>
      <c r="AA8" s="52"/>
      <c r="AB8" s="52"/>
      <c r="AC8" s="52"/>
      <c r="AD8" s="52"/>
      <c r="AE8" s="52"/>
    </row>
    <row r="9" spans="1:31" ht="18" customHeight="1">
      <c r="A9" s="53" t="s">
        <v>61</v>
      </c>
      <c r="B9" s="33"/>
      <c r="C9" s="33"/>
      <c r="D9" s="33"/>
      <c r="E9" s="33"/>
      <c r="F9" s="35"/>
      <c r="G9" s="54"/>
      <c r="H9" s="36"/>
      <c r="I9" s="36"/>
      <c r="J9" s="36"/>
      <c r="K9" s="36" t="str">
        <f t="shared" si="0"/>
        <v/>
      </c>
      <c r="L9" s="41" t="str">
        <f t="shared" si="1"/>
        <v/>
      </c>
      <c r="M9" s="43" t="str">
        <f t="shared" si="2"/>
        <v/>
      </c>
      <c r="N9" s="47" t="str">
        <f t="shared" si="3"/>
        <v/>
      </c>
      <c r="O9" s="48" t="str">
        <f>IF(H9="I",N9*Contagem!$U$11,IF(H9="E",N9*Contagem!$U$13,IF(H9="A",N9*Contagem!$U$12,IF(H9="T",N9*Contagem!$U$14,""))))</f>
        <v/>
      </c>
      <c r="P9" s="36"/>
      <c r="Q9" s="49">
        <f>IF(H9="I",Sumário!$F$55,IF(H9="A",Sumário!$F$56,Sumário!$F$57))</f>
        <v>0.4</v>
      </c>
      <c r="R9" s="51" t="b">
        <f t="shared" si="4"/>
        <v>0</v>
      </c>
      <c r="S9" s="33" t="b">
        <f t="shared" si="5"/>
        <v>0</v>
      </c>
      <c r="T9" s="33"/>
      <c r="U9" s="33"/>
      <c r="V9" s="33"/>
      <c r="W9" s="52"/>
      <c r="X9" s="52"/>
      <c r="Y9" s="52"/>
      <c r="Z9" s="52"/>
      <c r="AA9" s="52"/>
      <c r="AB9" s="52"/>
      <c r="AC9" s="52"/>
      <c r="AD9" s="52"/>
      <c r="AE9" s="52"/>
    </row>
    <row r="10" spans="1:31" ht="18" customHeight="1">
      <c r="A10" s="53" t="s">
        <v>62</v>
      </c>
      <c r="B10" s="33"/>
      <c r="C10" s="33"/>
      <c r="D10" s="33"/>
      <c r="E10" s="33"/>
      <c r="F10" s="35"/>
      <c r="G10" s="54" t="s">
        <v>49</v>
      </c>
      <c r="H10" s="54" t="s">
        <v>63</v>
      </c>
      <c r="I10" s="54">
        <v>8</v>
      </c>
      <c r="J10" s="54">
        <v>2</v>
      </c>
      <c r="K10" s="36" t="str">
        <f t="shared" si="0"/>
        <v>EEA</v>
      </c>
      <c r="L10" s="41" t="str">
        <f t="shared" si="1"/>
        <v>A</v>
      </c>
      <c r="M10" s="43" t="str">
        <f t="shared" si="2"/>
        <v>Média</v>
      </c>
      <c r="N10" s="47">
        <f t="shared" si="3"/>
        <v>4</v>
      </c>
      <c r="O10" s="48">
        <f>IF(H10="I",N10*Contagem!$U$11,IF(H10="E",N10*Contagem!$U$13,IF(H10="A",N10*Contagem!$U$12,IF(H10="T",N10*Contagem!$U$14,""))))</f>
        <v>4</v>
      </c>
      <c r="P10" s="36"/>
      <c r="Q10" s="49">
        <f>IF(H10="I",Sumário!$F$55,IF(H10="A",Sumário!$F$56,Sumário!$F$57))</f>
        <v>1</v>
      </c>
      <c r="R10" s="51" t="b">
        <f t="shared" si="4"/>
        <v>0</v>
      </c>
      <c r="S10" s="33">
        <f t="shared" si="5"/>
        <v>4</v>
      </c>
      <c r="T10" s="56" t="s">
        <v>100</v>
      </c>
      <c r="U10" s="33"/>
      <c r="V10" s="33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8" customHeight="1">
      <c r="A11" s="53" t="s">
        <v>67</v>
      </c>
      <c r="B11" s="33"/>
      <c r="C11" s="33"/>
      <c r="D11" s="33"/>
      <c r="E11" s="33"/>
      <c r="F11" s="35"/>
      <c r="G11" s="54" t="s">
        <v>49</v>
      </c>
      <c r="H11" s="54" t="s">
        <v>63</v>
      </c>
      <c r="I11" s="54">
        <v>8</v>
      </c>
      <c r="J11" s="54">
        <v>1</v>
      </c>
      <c r="K11" s="36" t="str">
        <f t="shared" si="0"/>
        <v>EEL</v>
      </c>
      <c r="L11" s="41" t="str">
        <f t="shared" si="1"/>
        <v>L</v>
      </c>
      <c r="M11" s="43" t="str">
        <f t="shared" si="2"/>
        <v>Baixa</v>
      </c>
      <c r="N11" s="47">
        <f t="shared" si="3"/>
        <v>3</v>
      </c>
      <c r="O11" s="48">
        <f>IF(H11="I",N11*Contagem!$U$11,IF(H11="E",N11*Contagem!$U$13,IF(H11="A",N11*Contagem!$U$12,IF(H11="T",N11*Contagem!$U$14,""))))</f>
        <v>3</v>
      </c>
      <c r="P11" s="36"/>
      <c r="Q11" s="49">
        <f>IF(H11="I",Sumário!$F$55,IF(H11="A",Sumário!$F$56,Sumário!$F$57))</f>
        <v>1</v>
      </c>
      <c r="R11" s="51" t="b">
        <f t="shared" si="4"/>
        <v>0</v>
      </c>
      <c r="S11" s="33">
        <f t="shared" si="5"/>
        <v>4</v>
      </c>
      <c r="T11" s="33"/>
      <c r="U11" s="33"/>
      <c r="V11" s="33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ht="18" customHeight="1">
      <c r="A12" s="53" t="s">
        <v>68</v>
      </c>
      <c r="B12" s="33"/>
      <c r="C12" s="33"/>
      <c r="D12" s="33"/>
      <c r="E12" s="33"/>
      <c r="F12" s="35"/>
      <c r="G12" s="54" t="s">
        <v>49</v>
      </c>
      <c r="H12" s="54" t="s">
        <v>63</v>
      </c>
      <c r="I12" s="54">
        <v>5</v>
      </c>
      <c r="J12" s="54">
        <v>1</v>
      </c>
      <c r="K12" s="36" t="str">
        <f t="shared" si="0"/>
        <v>EEL</v>
      </c>
      <c r="L12" s="41" t="str">
        <f t="shared" si="1"/>
        <v>L</v>
      </c>
      <c r="M12" s="43" t="str">
        <f t="shared" si="2"/>
        <v>Baixa</v>
      </c>
      <c r="N12" s="47">
        <f t="shared" si="3"/>
        <v>3</v>
      </c>
      <c r="O12" s="48">
        <f>IF(H12="I",N12*Contagem!$U$11,IF(H12="E",N12*Contagem!$U$13,IF(H12="A",N12*Contagem!$U$12,IF(H12="T",N12*Contagem!$U$14,""))))</f>
        <v>3</v>
      </c>
      <c r="P12" s="36"/>
      <c r="Q12" s="49">
        <f>IF(H12="I",Sumário!$F$55,IF(H12="A",Sumário!$F$56,Sumário!$F$57))</f>
        <v>1</v>
      </c>
      <c r="R12" s="51" t="b">
        <f t="shared" si="4"/>
        <v>0</v>
      </c>
      <c r="S12" s="33">
        <f t="shared" si="5"/>
        <v>4</v>
      </c>
      <c r="T12" s="33"/>
      <c r="U12" s="33"/>
      <c r="V12" s="33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ht="18" customHeight="1">
      <c r="A13" s="53" t="s">
        <v>70</v>
      </c>
      <c r="B13" s="33"/>
      <c r="C13" s="33"/>
      <c r="D13" s="33"/>
      <c r="E13" s="33"/>
      <c r="F13" s="35"/>
      <c r="G13" s="54" t="s">
        <v>60</v>
      </c>
      <c r="H13" s="54" t="s">
        <v>63</v>
      </c>
      <c r="I13" s="54">
        <v>18</v>
      </c>
      <c r="J13" s="54">
        <v>1</v>
      </c>
      <c r="K13" s="36" t="str">
        <f t="shared" si="0"/>
        <v>CEL</v>
      </c>
      <c r="L13" s="41" t="str">
        <f t="shared" si="1"/>
        <v>L</v>
      </c>
      <c r="M13" s="43" t="str">
        <f t="shared" si="2"/>
        <v>Baixa</v>
      </c>
      <c r="N13" s="47">
        <f t="shared" si="3"/>
        <v>3</v>
      </c>
      <c r="O13" s="48">
        <f>IF(H13="I",N13*Contagem!$U$11,IF(H13="E",N13*Contagem!$U$13,IF(H13="A",N13*Contagem!$U$12,IF(H13="T",N13*Contagem!$U$14,""))))</f>
        <v>3</v>
      </c>
      <c r="P13" s="36"/>
      <c r="Q13" s="49">
        <f>IF(H13="I",Sumário!$F$55,IF(H13="A",Sumário!$F$56,Sumário!$F$57))</f>
        <v>1</v>
      </c>
      <c r="R13" s="51" t="b">
        <f t="shared" si="4"/>
        <v>0</v>
      </c>
      <c r="S13" s="33">
        <f t="shared" si="5"/>
        <v>4</v>
      </c>
      <c r="T13" s="33"/>
      <c r="U13" s="33"/>
      <c r="V13" s="33"/>
      <c r="W13" s="52"/>
      <c r="X13" s="52"/>
      <c r="Y13" s="52"/>
      <c r="Z13" s="52"/>
      <c r="AA13" s="52"/>
      <c r="AB13" s="52"/>
      <c r="AC13" s="52"/>
      <c r="AD13" s="52"/>
      <c r="AE13" s="52"/>
    </row>
    <row r="14" spans="1:31" ht="18" customHeight="1">
      <c r="A14" s="53" t="s">
        <v>71</v>
      </c>
      <c r="B14" s="33"/>
      <c r="C14" s="33"/>
      <c r="D14" s="33"/>
      <c r="E14" s="33"/>
      <c r="F14" s="35"/>
      <c r="G14" s="54" t="s">
        <v>60</v>
      </c>
      <c r="H14" s="54" t="s">
        <v>63</v>
      </c>
      <c r="I14" s="54">
        <v>12</v>
      </c>
      <c r="J14" s="54">
        <v>2</v>
      </c>
      <c r="K14" s="36" t="str">
        <f t="shared" si="0"/>
        <v>CEA</v>
      </c>
      <c r="L14" s="41" t="str">
        <f t="shared" si="1"/>
        <v>A</v>
      </c>
      <c r="M14" s="43" t="str">
        <f t="shared" si="2"/>
        <v>Média</v>
      </c>
      <c r="N14" s="47">
        <f t="shared" si="3"/>
        <v>4</v>
      </c>
      <c r="O14" s="48">
        <f>IF(H14="I",N14*Contagem!$U$11,IF(H14="E",N14*Contagem!$U$13,IF(H14="A",N14*Contagem!$U$12,IF(H14="T",N14*Contagem!$U$14,""))))</f>
        <v>4</v>
      </c>
      <c r="P14" s="36"/>
      <c r="Q14" s="49">
        <f>IF(H14="I",Sumário!$F$55,IF(H14="A",Sumário!$F$56,Sumário!$F$57))</f>
        <v>1</v>
      </c>
      <c r="R14" s="51" t="b">
        <f t="shared" si="4"/>
        <v>0</v>
      </c>
      <c r="S14" s="33">
        <f t="shared" si="5"/>
        <v>4</v>
      </c>
      <c r="T14" s="33"/>
      <c r="U14" s="33"/>
      <c r="V14" s="33"/>
      <c r="W14" s="52"/>
      <c r="X14" s="52"/>
      <c r="Y14" s="52"/>
      <c r="Z14" s="52"/>
      <c r="AA14" s="52"/>
      <c r="AB14" s="52"/>
      <c r="AC14" s="52"/>
      <c r="AD14" s="52"/>
      <c r="AE14" s="52"/>
    </row>
    <row r="15" spans="1:31" ht="18" customHeight="1">
      <c r="A15" s="53" t="s">
        <v>74</v>
      </c>
      <c r="B15" s="33"/>
      <c r="C15" s="33"/>
      <c r="D15" s="33"/>
      <c r="E15" s="33"/>
      <c r="F15" s="35"/>
      <c r="G15" s="54" t="s">
        <v>49</v>
      </c>
      <c r="H15" s="54" t="s">
        <v>63</v>
      </c>
      <c r="I15" s="54">
        <v>5</v>
      </c>
      <c r="J15" s="54">
        <v>1</v>
      </c>
      <c r="K15" s="36" t="str">
        <f t="shared" si="0"/>
        <v>EEL</v>
      </c>
      <c r="L15" s="41" t="str">
        <f t="shared" si="1"/>
        <v>L</v>
      </c>
      <c r="M15" s="43" t="str">
        <f t="shared" si="2"/>
        <v>Baixa</v>
      </c>
      <c r="N15" s="47">
        <f t="shared" si="3"/>
        <v>3</v>
      </c>
      <c r="O15" s="48">
        <f>IF(H15="I",N15*Contagem!$U$11,IF(H15="E",N15*Contagem!$U$13,IF(H15="A",N15*Contagem!$U$12,IF(H15="T",N15*Contagem!$U$14,""))))</f>
        <v>3</v>
      </c>
      <c r="P15" s="36"/>
      <c r="Q15" s="49">
        <f>IF(H15="I",Sumário!$F$55,IF(H15="A",Sumário!$F$56,Sumário!$F$57))</f>
        <v>1</v>
      </c>
      <c r="R15" s="51" t="b">
        <f t="shared" si="4"/>
        <v>0</v>
      </c>
      <c r="S15" s="33">
        <f t="shared" si="5"/>
        <v>4</v>
      </c>
      <c r="T15" s="33"/>
      <c r="U15" s="33"/>
      <c r="V15" s="33"/>
      <c r="W15" s="52"/>
      <c r="X15" s="52"/>
      <c r="Y15" s="52"/>
      <c r="Z15" s="52"/>
      <c r="AA15" s="52"/>
      <c r="AB15" s="52"/>
      <c r="AC15" s="52"/>
      <c r="AD15" s="52"/>
      <c r="AE15" s="52"/>
    </row>
    <row r="16" spans="1:31" ht="18" customHeight="1">
      <c r="A16" s="53" t="s">
        <v>78</v>
      </c>
      <c r="B16" s="33"/>
      <c r="C16" s="33"/>
      <c r="D16" s="33"/>
      <c r="E16" s="33"/>
      <c r="F16" s="35"/>
      <c r="G16" s="54" t="s">
        <v>49</v>
      </c>
      <c r="H16" s="54" t="s">
        <v>63</v>
      </c>
      <c r="I16" s="54">
        <v>3</v>
      </c>
      <c r="J16" s="54">
        <v>1</v>
      </c>
      <c r="K16" s="36" t="str">
        <f t="shared" si="0"/>
        <v>EEL</v>
      </c>
      <c r="L16" s="41" t="str">
        <f t="shared" si="1"/>
        <v>L</v>
      </c>
      <c r="M16" s="43" t="str">
        <f t="shared" si="2"/>
        <v>Baixa</v>
      </c>
      <c r="N16" s="47">
        <f t="shared" si="3"/>
        <v>3</v>
      </c>
      <c r="O16" s="48">
        <f>IF(H16="I",N16*Contagem!$U$11,IF(H16="E",N16*Contagem!$U$13,IF(H16="A",N16*Contagem!$U$12,IF(H16="T",N16*Contagem!$U$14,""))))</f>
        <v>3</v>
      </c>
      <c r="P16" s="36"/>
      <c r="Q16" s="49">
        <f>IF(H16="I",Sumário!$F$55,IF(H16="A",Sumário!$F$56,Sumário!$F$57))</f>
        <v>1</v>
      </c>
      <c r="R16" s="51" t="b">
        <f t="shared" si="4"/>
        <v>0</v>
      </c>
      <c r="S16" s="33">
        <f t="shared" si="5"/>
        <v>4</v>
      </c>
      <c r="T16" s="33"/>
      <c r="U16" s="33"/>
      <c r="V16" s="33"/>
      <c r="W16" s="52"/>
      <c r="X16" s="52"/>
      <c r="Y16" s="52"/>
      <c r="Z16" s="52"/>
      <c r="AA16" s="52"/>
      <c r="AB16" s="52"/>
      <c r="AC16" s="52"/>
      <c r="AD16" s="52"/>
      <c r="AE16" s="52"/>
    </row>
    <row r="17" spans="1:31" ht="18" customHeight="1">
      <c r="A17" s="53" t="s">
        <v>81</v>
      </c>
      <c r="B17" s="33"/>
      <c r="C17" s="33"/>
      <c r="D17" s="33"/>
      <c r="E17" s="33"/>
      <c r="F17" s="35"/>
      <c r="G17" s="54" t="s">
        <v>49</v>
      </c>
      <c r="H17" s="54" t="s">
        <v>63</v>
      </c>
      <c r="I17" s="54">
        <v>3</v>
      </c>
      <c r="J17" s="54">
        <v>1</v>
      </c>
      <c r="K17" s="36" t="str">
        <f t="shared" si="0"/>
        <v>EEL</v>
      </c>
      <c r="L17" s="41" t="str">
        <f t="shared" si="1"/>
        <v>L</v>
      </c>
      <c r="M17" s="43" t="str">
        <f t="shared" si="2"/>
        <v>Baixa</v>
      </c>
      <c r="N17" s="47">
        <f t="shared" si="3"/>
        <v>3</v>
      </c>
      <c r="O17" s="48">
        <f>IF(H17="I",N17*Contagem!$U$11,IF(H17="E",N17*Contagem!$U$13,IF(H17="A",N17*Contagem!$U$12,IF(H17="T",N17*Contagem!$U$14,""))))</f>
        <v>3</v>
      </c>
      <c r="P17" s="36"/>
      <c r="Q17" s="49">
        <f>IF(H17="I",Sumário!$F$55,IF(H17="A",Sumário!$F$56,Sumário!$F$57))</f>
        <v>1</v>
      </c>
      <c r="R17" s="51" t="b">
        <f t="shared" si="4"/>
        <v>0</v>
      </c>
      <c r="S17" s="33">
        <f t="shared" si="5"/>
        <v>4</v>
      </c>
      <c r="T17" s="33"/>
      <c r="U17" s="33"/>
      <c r="V17" s="33"/>
      <c r="W17" s="52"/>
      <c r="X17" s="52"/>
      <c r="Y17" s="52"/>
      <c r="Z17" s="52"/>
      <c r="AA17" s="52"/>
      <c r="AB17" s="52"/>
      <c r="AC17" s="52"/>
      <c r="AD17" s="52"/>
      <c r="AE17" s="52"/>
    </row>
    <row r="18" spans="1:31" ht="18" customHeight="1">
      <c r="A18" s="64" t="s">
        <v>85</v>
      </c>
      <c r="B18" s="33"/>
      <c r="C18" s="33"/>
      <c r="D18" s="33"/>
      <c r="E18" s="33"/>
      <c r="F18" s="35"/>
      <c r="G18" s="54" t="s">
        <v>49</v>
      </c>
      <c r="H18" s="54" t="s">
        <v>63</v>
      </c>
      <c r="I18" s="54">
        <v>3</v>
      </c>
      <c r="J18" s="54">
        <v>1</v>
      </c>
      <c r="K18" s="36" t="str">
        <f t="shared" si="0"/>
        <v>EEL</v>
      </c>
      <c r="L18" s="41" t="str">
        <f t="shared" si="1"/>
        <v>L</v>
      </c>
      <c r="M18" s="43" t="str">
        <f t="shared" si="2"/>
        <v>Baixa</v>
      </c>
      <c r="N18" s="47">
        <f t="shared" si="3"/>
        <v>3</v>
      </c>
      <c r="O18" s="48">
        <f>IF(H18="I",N18*Contagem!$U$11,IF(H18="E",N18*Contagem!$U$13,IF(H18="A",N18*Contagem!$U$12,IF(H18="T",N18*Contagem!$U$14,""))))</f>
        <v>3</v>
      </c>
      <c r="P18" s="36"/>
      <c r="Q18" s="49">
        <f>IF(H18="I",Sumário!$F$55,IF(H18="A",Sumário!$F$56,Sumário!$F$57))</f>
        <v>1</v>
      </c>
      <c r="R18" s="51" t="b">
        <f t="shared" si="4"/>
        <v>0</v>
      </c>
      <c r="S18" s="33">
        <f t="shared" si="5"/>
        <v>4</v>
      </c>
      <c r="T18" s="33"/>
      <c r="U18" s="33"/>
      <c r="V18" s="33"/>
      <c r="W18" s="52"/>
      <c r="X18" s="52"/>
      <c r="Y18" s="52"/>
      <c r="Z18" s="52"/>
      <c r="AA18" s="52"/>
      <c r="AB18" s="52"/>
      <c r="AC18" s="52"/>
      <c r="AD18" s="52"/>
      <c r="AE18" s="52"/>
    </row>
    <row r="19" spans="1:31" ht="18" customHeight="1">
      <c r="A19" s="53" t="s">
        <v>88</v>
      </c>
      <c r="B19" s="33"/>
      <c r="C19" s="33"/>
      <c r="D19" s="33"/>
      <c r="E19" s="33"/>
      <c r="F19" s="35"/>
      <c r="G19" s="54" t="s">
        <v>60</v>
      </c>
      <c r="H19" s="54" t="s">
        <v>63</v>
      </c>
      <c r="I19" s="54">
        <v>7</v>
      </c>
      <c r="J19" s="54">
        <v>1</v>
      </c>
      <c r="K19" s="36" t="str">
        <f t="shared" si="0"/>
        <v>CEL</v>
      </c>
      <c r="L19" s="41" t="str">
        <f t="shared" si="1"/>
        <v>L</v>
      </c>
      <c r="M19" s="43" t="str">
        <f t="shared" si="2"/>
        <v>Baixa</v>
      </c>
      <c r="N19" s="47">
        <f t="shared" si="3"/>
        <v>3</v>
      </c>
      <c r="O19" s="48">
        <f>IF(H19="I",N19*Contagem!$U$11,IF(H19="E",N19*Contagem!$U$13,IF(H19="A",N19*Contagem!$U$12,IF(H19="T",N19*Contagem!$U$14,""))))</f>
        <v>3</v>
      </c>
      <c r="P19" s="36"/>
      <c r="Q19" s="49">
        <f>IF(H19="I",Sumário!$F$55,IF(H19="A",Sumário!$F$56,Sumário!$F$57))</f>
        <v>1</v>
      </c>
      <c r="R19" s="51" t="b">
        <f t="shared" si="4"/>
        <v>0</v>
      </c>
      <c r="S19" s="33">
        <f t="shared" si="5"/>
        <v>4</v>
      </c>
      <c r="T19" s="33"/>
      <c r="U19" s="33"/>
      <c r="V19" s="33"/>
      <c r="W19" s="52"/>
      <c r="X19" s="52"/>
      <c r="Y19" s="52"/>
      <c r="Z19" s="52"/>
      <c r="AA19" s="52"/>
      <c r="AB19" s="52"/>
      <c r="AC19" s="52"/>
      <c r="AD19" s="52"/>
      <c r="AE19" s="52"/>
    </row>
    <row r="20" spans="1:31" ht="18" customHeight="1">
      <c r="A20" s="53"/>
      <c r="B20" s="33"/>
      <c r="C20" s="33"/>
      <c r="D20" s="33"/>
      <c r="E20" s="33"/>
      <c r="F20" s="35"/>
      <c r="G20" s="54"/>
      <c r="H20" s="54"/>
      <c r="I20" s="54"/>
      <c r="J20" s="54"/>
      <c r="K20" s="36" t="str">
        <f t="shared" si="0"/>
        <v/>
      </c>
      <c r="L20" s="41" t="str">
        <f t="shared" si="1"/>
        <v/>
      </c>
      <c r="M20" s="43" t="str">
        <f t="shared" si="2"/>
        <v/>
      </c>
      <c r="N20" s="47" t="str">
        <f t="shared" si="3"/>
        <v/>
      </c>
      <c r="O20" s="48" t="str">
        <f>IF(H20="I",N20*Contagem!$U$11,IF(H20="E",N20*Contagem!$U$13,IF(H20="A",N20*Contagem!$U$12,IF(H20="T",N20*Contagem!$U$14,""))))</f>
        <v/>
      </c>
      <c r="P20" s="36"/>
      <c r="Q20" s="49">
        <f>IF(H20="I",Sumário!$F$55,IF(H20="A",Sumário!$F$56,Sumário!$F$57))</f>
        <v>0.4</v>
      </c>
      <c r="R20" s="51" t="b">
        <f t="shared" si="4"/>
        <v>0</v>
      </c>
      <c r="S20" s="33" t="b">
        <f t="shared" si="5"/>
        <v>0</v>
      </c>
      <c r="T20" s="33"/>
      <c r="U20" s="33"/>
      <c r="V20" s="33"/>
      <c r="W20" s="52"/>
      <c r="X20" s="52"/>
      <c r="Y20" s="52"/>
      <c r="Z20" s="52"/>
      <c r="AA20" s="52"/>
      <c r="AB20" s="52"/>
      <c r="AC20" s="52"/>
      <c r="AD20" s="52"/>
      <c r="AE20" s="52"/>
    </row>
    <row r="21" spans="1:31" ht="18" customHeight="1">
      <c r="A21" s="31"/>
      <c r="B21" s="33"/>
      <c r="C21" s="33"/>
      <c r="D21" s="33"/>
      <c r="E21" s="33"/>
      <c r="F21" s="35"/>
      <c r="G21" s="36"/>
      <c r="H21" s="36"/>
      <c r="I21" s="36"/>
      <c r="J21" s="36"/>
      <c r="K21" s="36" t="str">
        <f t="shared" si="0"/>
        <v/>
      </c>
      <c r="L21" s="41" t="str">
        <f t="shared" si="1"/>
        <v/>
      </c>
      <c r="M21" s="43" t="str">
        <f t="shared" si="2"/>
        <v/>
      </c>
      <c r="N21" s="47" t="str">
        <f t="shared" si="3"/>
        <v/>
      </c>
      <c r="O21" s="48" t="str">
        <f>IF(H21="I",N21*Contagem!$U$11,IF(H21="E",N21*Contagem!$U$13,IF(H21="A",N21*Contagem!$U$12,IF(H21="T",N21*Contagem!$U$14,""))))</f>
        <v/>
      </c>
      <c r="P21" s="36"/>
      <c r="Q21" s="49">
        <f>IF(H21="I",Sumário!$F$55,IF(H21="A",Sumário!$F$56,Sumário!$F$57))</f>
        <v>0.4</v>
      </c>
      <c r="R21" s="51" t="b">
        <f t="shared" si="4"/>
        <v>0</v>
      </c>
      <c r="S21" s="33" t="b">
        <f t="shared" si="5"/>
        <v>0</v>
      </c>
      <c r="T21" s="33"/>
      <c r="U21" s="33"/>
      <c r="V21" s="33"/>
      <c r="W21" s="52"/>
      <c r="X21" s="52"/>
      <c r="Y21" s="52"/>
      <c r="Z21" s="52"/>
      <c r="AA21" s="52"/>
      <c r="AB21" s="52"/>
      <c r="AC21" s="52"/>
      <c r="AD21" s="52"/>
      <c r="AE21" s="52"/>
    </row>
    <row r="22" spans="1:31" ht="18" customHeight="1">
      <c r="A22" s="53" t="s">
        <v>91</v>
      </c>
      <c r="B22" s="33"/>
      <c r="C22" s="33"/>
      <c r="D22" s="33"/>
      <c r="E22" s="33"/>
      <c r="F22" s="35"/>
      <c r="G22" s="36"/>
      <c r="H22" s="36"/>
      <c r="I22" s="36"/>
      <c r="J22" s="36"/>
      <c r="K22" s="36" t="str">
        <f t="shared" si="0"/>
        <v/>
      </c>
      <c r="L22" s="41" t="str">
        <f t="shared" si="1"/>
        <v/>
      </c>
      <c r="M22" s="43" t="str">
        <f t="shared" si="2"/>
        <v/>
      </c>
      <c r="N22" s="47" t="str">
        <f t="shared" si="3"/>
        <v/>
      </c>
      <c r="O22" s="48" t="str">
        <f>IF(H22="I",N22*Contagem!$U$11,IF(H22="E",N22*Contagem!$U$13,IF(H22="A",N22*Contagem!$U$12,IF(H22="T",N22*Contagem!$U$14,""))))</f>
        <v/>
      </c>
      <c r="P22" s="36"/>
      <c r="Q22" s="49">
        <f>IF(H22="I",Sumário!$F$55,IF(H22="A",Sumário!$F$56,Sumário!$F$57))</f>
        <v>0.4</v>
      </c>
      <c r="R22" s="51" t="b">
        <f t="shared" si="4"/>
        <v>0</v>
      </c>
      <c r="S22" s="33" t="b">
        <f t="shared" si="5"/>
        <v>0</v>
      </c>
      <c r="T22" s="33"/>
      <c r="U22" s="33"/>
      <c r="V22" s="33"/>
      <c r="W22" s="52"/>
      <c r="X22" s="52"/>
      <c r="Y22" s="52"/>
      <c r="Z22" s="52"/>
      <c r="AA22" s="52"/>
      <c r="AB22" s="52"/>
      <c r="AC22" s="52"/>
      <c r="AD22" s="52"/>
      <c r="AE22" s="52"/>
    </row>
    <row r="23" spans="1:31" ht="18" customHeight="1">
      <c r="A23" s="53" t="s">
        <v>92</v>
      </c>
      <c r="B23" s="33"/>
      <c r="C23" s="33"/>
      <c r="D23" s="33"/>
      <c r="E23" s="33"/>
      <c r="F23" s="35"/>
      <c r="G23" s="54" t="s">
        <v>49</v>
      </c>
      <c r="H23" s="54" t="s">
        <v>63</v>
      </c>
      <c r="I23" s="54">
        <v>4</v>
      </c>
      <c r="J23" s="54">
        <v>1</v>
      </c>
      <c r="K23" s="36" t="str">
        <f t="shared" si="0"/>
        <v>EEL</v>
      </c>
      <c r="L23" s="41" t="str">
        <f t="shared" si="1"/>
        <v>L</v>
      </c>
      <c r="M23" s="43" t="str">
        <f t="shared" si="2"/>
        <v>Baixa</v>
      </c>
      <c r="N23" s="47">
        <f t="shared" si="3"/>
        <v>3</v>
      </c>
      <c r="O23" s="48">
        <f>IF(H23="I",N23*Contagem!$U$11,IF(H23="E",N23*Contagem!$U$13,IF(H23="A",N23*Contagem!$U$12,IF(H23="T",N23*Contagem!$U$14,""))))</f>
        <v>3</v>
      </c>
      <c r="P23" s="36"/>
      <c r="Q23" s="49">
        <f>IF(H23="I",Sumário!$F$55,IF(H23="A",Sumário!$F$56,Sumário!$F$57))</f>
        <v>1</v>
      </c>
      <c r="R23" s="51" t="b">
        <f t="shared" si="4"/>
        <v>0</v>
      </c>
      <c r="S23" s="33">
        <f t="shared" si="5"/>
        <v>4</v>
      </c>
      <c r="T23" s="33"/>
      <c r="U23" s="33"/>
      <c r="V23" s="33"/>
      <c r="W23" s="52"/>
      <c r="X23" s="52"/>
      <c r="Y23" s="52"/>
      <c r="Z23" s="52"/>
      <c r="AA23" s="52"/>
      <c r="AB23" s="52"/>
      <c r="AC23" s="52"/>
      <c r="AD23" s="52"/>
      <c r="AE23" s="52"/>
    </row>
    <row r="24" spans="1:31" ht="18" customHeight="1">
      <c r="A24" s="53" t="s">
        <v>93</v>
      </c>
      <c r="B24" s="33"/>
      <c r="C24" s="33"/>
      <c r="D24" s="33"/>
      <c r="E24" s="33"/>
      <c r="F24" s="35"/>
      <c r="G24" s="54" t="s">
        <v>49</v>
      </c>
      <c r="H24" s="54" t="s">
        <v>63</v>
      </c>
      <c r="I24" s="54">
        <v>4</v>
      </c>
      <c r="J24" s="54">
        <v>1</v>
      </c>
      <c r="K24" s="36" t="str">
        <f t="shared" si="0"/>
        <v>EEL</v>
      </c>
      <c r="L24" s="41" t="str">
        <f t="shared" si="1"/>
        <v>L</v>
      </c>
      <c r="M24" s="43" t="str">
        <f t="shared" si="2"/>
        <v>Baixa</v>
      </c>
      <c r="N24" s="47">
        <f t="shared" si="3"/>
        <v>3</v>
      </c>
      <c r="O24" s="48">
        <f>IF(H24="I",N24*Contagem!$U$11,IF(H24="E",N24*Contagem!$U$13,IF(H24="A",N24*Contagem!$U$12,IF(H24="T",N24*Contagem!$U$14,""))))</f>
        <v>3</v>
      </c>
      <c r="P24" s="36"/>
      <c r="Q24" s="49">
        <f>IF(H24="I",Sumário!$F$55,IF(H24="A",Sumário!$F$56,Sumário!$F$57))</f>
        <v>1</v>
      </c>
      <c r="R24" s="51" t="b">
        <f t="shared" si="4"/>
        <v>0</v>
      </c>
      <c r="S24" s="33">
        <f t="shared" si="5"/>
        <v>4</v>
      </c>
      <c r="T24" s="33"/>
      <c r="U24" s="33"/>
      <c r="V24" s="33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1" ht="18" customHeight="1">
      <c r="A25" s="53" t="s">
        <v>94</v>
      </c>
      <c r="B25" s="33"/>
      <c r="C25" s="33"/>
      <c r="D25" s="33"/>
      <c r="E25" s="33"/>
      <c r="F25" s="35"/>
      <c r="G25" s="54" t="s">
        <v>49</v>
      </c>
      <c r="H25" s="54" t="s">
        <v>63</v>
      </c>
      <c r="I25" s="54">
        <v>5</v>
      </c>
      <c r="J25" s="54">
        <v>1</v>
      </c>
      <c r="K25" s="36" t="str">
        <f t="shared" si="0"/>
        <v>EEL</v>
      </c>
      <c r="L25" s="41" t="str">
        <f t="shared" si="1"/>
        <v>L</v>
      </c>
      <c r="M25" s="43" t="str">
        <f t="shared" si="2"/>
        <v>Baixa</v>
      </c>
      <c r="N25" s="47">
        <f t="shared" si="3"/>
        <v>3</v>
      </c>
      <c r="O25" s="48">
        <f>IF(H25="I",N25*Contagem!$U$11,IF(H25="E",N25*Contagem!$U$13,IF(H25="A",N25*Contagem!$U$12,IF(H25="T",N25*Contagem!$U$14,""))))</f>
        <v>3</v>
      </c>
      <c r="P25" s="36"/>
      <c r="Q25" s="49">
        <f>IF(H25="I",Sumário!$F$55,IF(H25="A",Sumário!$F$56,Sumário!$F$57))</f>
        <v>1</v>
      </c>
      <c r="R25" s="51" t="b">
        <f t="shared" si="4"/>
        <v>0</v>
      </c>
      <c r="S25" s="33">
        <f t="shared" si="5"/>
        <v>4</v>
      </c>
      <c r="T25" s="33"/>
      <c r="U25" s="33"/>
      <c r="V25" s="33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1" ht="18" customHeight="1">
      <c r="A26" s="53" t="s">
        <v>95</v>
      </c>
      <c r="B26" s="33"/>
      <c r="C26" s="33"/>
      <c r="D26" s="33"/>
      <c r="E26" s="33"/>
      <c r="F26" s="35"/>
      <c r="G26" s="54" t="s">
        <v>60</v>
      </c>
      <c r="H26" s="54" t="s">
        <v>63</v>
      </c>
      <c r="I26" s="54">
        <v>9</v>
      </c>
      <c r="J26" s="54">
        <v>1</v>
      </c>
      <c r="K26" s="36" t="str">
        <f t="shared" si="0"/>
        <v>CEL</v>
      </c>
      <c r="L26" s="41" t="str">
        <f t="shared" si="1"/>
        <v>L</v>
      </c>
      <c r="M26" s="43" t="str">
        <f t="shared" si="2"/>
        <v>Baixa</v>
      </c>
      <c r="N26" s="47">
        <f t="shared" si="3"/>
        <v>3</v>
      </c>
      <c r="O26" s="48">
        <f>IF(H26="I",N26*Contagem!$U$11,IF(H26="E",N26*Contagem!$U$13,IF(H26="A",N26*Contagem!$U$12,IF(H26="T",N26*Contagem!$U$14,""))))</f>
        <v>3</v>
      </c>
      <c r="P26" s="36"/>
      <c r="Q26" s="49">
        <f>IF(H26="I",Sumário!$F$55,IF(H26="A",Sumário!$F$56,Sumário!$F$57))</f>
        <v>1</v>
      </c>
      <c r="R26" s="51" t="b">
        <f t="shared" si="4"/>
        <v>0</v>
      </c>
      <c r="S26" s="33">
        <f t="shared" si="5"/>
        <v>4</v>
      </c>
      <c r="T26" s="33"/>
      <c r="U26" s="33"/>
      <c r="V26" s="33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1" ht="18" customHeight="1">
      <c r="A27" s="53" t="s">
        <v>96</v>
      </c>
      <c r="B27" s="33"/>
      <c r="C27" s="33"/>
      <c r="D27" s="33"/>
      <c r="E27" s="33"/>
      <c r="F27" s="35"/>
      <c r="G27" s="54" t="s">
        <v>60</v>
      </c>
      <c r="H27" s="54" t="s">
        <v>63</v>
      </c>
      <c r="I27" s="54">
        <v>5</v>
      </c>
      <c r="J27" s="54">
        <v>1</v>
      </c>
      <c r="K27" s="36" t="str">
        <f t="shared" si="0"/>
        <v>CEL</v>
      </c>
      <c r="L27" s="41" t="str">
        <f t="shared" si="1"/>
        <v>L</v>
      </c>
      <c r="M27" s="43" t="str">
        <f t="shared" si="2"/>
        <v>Baixa</v>
      </c>
      <c r="N27" s="47">
        <f t="shared" si="3"/>
        <v>3</v>
      </c>
      <c r="O27" s="48">
        <f>IF(H27="I",N27*Contagem!$U$11,IF(H27="E",N27*Contagem!$U$13,IF(H27="A",N27*Contagem!$U$12,IF(H27="T",N27*Contagem!$U$14,""))))</f>
        <v>3</v>
      </c>
      <c r="P27" s="36"/>
      <c r="Q27" s="49">
        <f>IF(H27="I",Sumário!$F$55,IF(H27="A",Sumário!$F$56,Sumário!$F$57))</f>
        <v>1</v>
      </c>
      <c r="R27" s="51" t="b">
        <f t="shared" si="4"/>
        <v>0</v>
      </c>
      <c r="S27" s="33">
        <f t="shared" si="5"/>
        <v>4</v>
      </c>
      <c r="T27" s="33"/>
      <c r="U27" s="33"/>
      <c r="V27" s="33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1" ht="18" customHeight="1">
      <c r="A28" s="31"/>
      <c r="B28" s="33"/>
      <c r="C28" s="33"/>
      <c r="D28" s="33"/>
      <c r="E28" s="33"/>
      <c r="F28" s="35"/>
      <c r="G28" s="36"/>
      <c r="H28" s="36"/>
      <c r="I28" s="36"/>
      <c r="J28" s="36"/>
      <c r="K28" s="36" t="str">
        <f t="shared" si="0"/>
        <v/>
      </c>
      <c r="L28" s="41" t="str">
        <f t="shared" si="1"/>
        <v/>
      </c>
      <c r="M28" s="43" t="str">
        <f t="shared" si="2"/>
        <v/>
      </c>
      <c r="N28" s="47" t="str">
        <f t="shared" si="3"/>
        <v/>
      </c>
      <c r="O28" s="48" t="str">
        <f>IF(H28="I",N28*Contagem!$U$11,IF(H28="E",N28*Contagem!$U$13,IF(H28="A",N28*Contagem!$U$12,IF(H28="T",N28*Contagem!$U$14,""))))</f>
        <v/>
      </c>
      <c r="P28" s="36"/>
      <c r="Q28" s="49">
        <f>IF(H28="I",Sumário!$F$55,IF(H28="A",Sumário!$F$56,Sumário!$F$57))</f>
        <v>0.4</v>
      </c>
      <c r="R28" s="51" t="b">
        <f t="shared" si="4"/>
        <v>0</v>
      </c>
      <c r="S28" s="33" t="b">
        <f t="shared" si="5"/>
        <v>0</v>
      </c>
      <c r="T28" s="33"/>
      <c r="U28" s="33"/>
      <c r="V28" s="33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1" ht="18" customHeight="1">
      <c r="A29" s="31"/>
      <c r="B29" s="33"/>
      <c r="C29" s="33"/>
      <c r="D29" s="33"/>
      <c r="E29" s="33"/>
      <c r="F29" s="35"/>
      <c r="G29" s="36"/>
      <c r="H29" s="36"/>
      <c r="I29" s="36"/>
      <c r="J29" s="36"/>
      <c r="K29" s="36" t="str">
        <f t="shared" si="0"/>
        <v/>
      </c>
      <c r="L29" s="41" t="str">
        <f t="shared" si="1"/>
        <v/>
      </c>
      <c r="M29" s="43" t="str">
        <f t="shared" si="2"/>
        <v/>
      </c>
      <c r="N29" s="47" t="str">
        <f t="shared" si="3"/>
        <v/>
      </c>
      <c r="O29" s="48" t="str">
        <f>IF(H29="I",N29*Contagem!$U$11,IF(H29="E",N29*Contagem!$U$13,IF(H29="A",N29*Contagem!$U$12,IF(H29="T",N29*Contagem!$U$14,""))))</f>
        <v/>
      </c>
      <c r="P29" s="36"/>
      <c r="Q29" s="49">
        <f>IF(H29="I",Sumário!$F$55,IF(H29="A",Sumário!$F$56,Sumário!$F$57))</f>
        <v>0.4</v>
      </c>
      <c r="R29" s="51" t="b">
        <f t="shared" si="4"/>
        <v>0</v>
      </c>
      <c r="S29" s="33" t="b">
        <f t="shared" si="5"/>
        <v>0</v>
      </c>
      <c r="T29" s="33"/>
      <c r="U29" s="33"/>
      <c r="V29" s="33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1" ht="18" customHeight="1">
      <c r="A30" s="31"/>
      <c r="B30" s="33"/>
      <c r="C30" s="33"/>
      <c r="D30" s="33"/>
      <c r="E30" s="33"/>
      <c r="F30" s="35"/>
      <c r="G30" s="36"/>
      <c r="H30" s="36"/>
      <c r="I30" s="36"/>
      <c r="J30" s="36"/>
      <c r="K30" s="36" t="str">
        <f t="shared" si="0"/>
        <v/>
      </c>
      <c r="L30" s="41" t="str">
        <f t="shared" si="1"/>
        <v/>
      </c>
      <c r="M30" s="43" t="str">
        <f t="shared" si="2"/>
        <v/>
      </c>
      <c r="N30" s="47" t="str">
        <f t="shared" si="3"/>
        <v/>
      </c>
      <c r="O30" s="48" t="str">
        <f>IF(H30="I",N30*Contagem!$U$11,IF(H30="E",N30*Contagem!$U$13,IF(H30="A",N30*Contagem!$U$12,IF(H30="T",N30*Contagem!$U$14,""))))</f>
        <v/>
      </c>
      <c r="P30" s="36"/>
      <c r="Q30" s="49">
        <f>IF(H30="I",Sumário!$F$55,IF(H30="A",Sumário!$F$56,Sumário!$F$57))</f>
        <v>0.4</v>
      </c>
      <c r="R30" s="51" t="b">
        <f t="shared" si="4"/>
        <v>0</v>
      </c>
      <c r="S30" s="33" t="b">
        <f t="shared" si="5"/>
        <v>0</v>
      </c>
      <c r="T30" s="33"/>
      <c r="U30" s="33"/>
      <c r="V30" s="33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1" ht="18" customHeight="1">
      <c r="A31" s="31"/>
      <c r="B31" s="33"/>
      <c r="C31" s="33"/>
      <c r="D31" s="33"/>
      <c r="E31" s="33"/>
      <c r="F31" s="35"/>
      <c r="G31" s="36"/>
      <c r="H31" s="36"/>
      <c r="I31" s="36"/>
      <c r="J31" s="36"/>
      <c r="K31" s="36" t="str">
        <f t="shared" si="0"/>
        <v/>
      </c>
      <c r="L31" s="41" t="str">
        <f t="shared" si="1"/>
        <v/>
      </c>
      <c r="M31" s="43" t="str">
        <f t="shared" si="2"/>
        <v/>
      </c>
      <c r="N31" s="47" t="str">
        <f t="shared" si="3"/>
        <v/>
      </c>
      <c r="O31" s="48" t="str">
        <f>IF(H31="I",N31*Contagem!$U$11,IF(H31="E",N31*Contagem!$U$13,IF(H31="A",N31*Contagem!$U$12,IF(H31="T",N31*Contagem!$U$14,""))))</f>
        <v/>
      </c>
      <c r="P31" s="36"/>
      <c r="Q31" s="49">
        <f>IF(H31="I",Sumário!$F$55,IF(H31="A",Sumário!$F$56,Sumário!$F$57))</f>
        <v>0.4</v>
      </c>
      <c r="R31" s="51" t="b">
        <f t="shared" si="4"/>
        <v>0</v>
      </c>
      <c r="S31" s="33" t="b">
        <f t="shared" si="5"/>
        <v>0</v>
      </c>
      <c r="T31" s="33"/>
      <c r="U31" s="33"/>
      <c r="V31" s="33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1" ht="18" customHeight="1">
      <c r="A32" s="31"/>
      <c r="B32" s="33"/>
      <c r="C32" s="33"/>
      <c r="D32" s="33"/>
      <c r="E32" s="33"/>
      <c r="F32" s="35"/>
      <c r="G32" s="36"/>
      <c r="H32" s="36"/>
      <c r="I32" s="36"/>
      <c r="J32" s="36"/>
      <c r="K32" s="36" t="str">
        <f t="shared" si="0"/>
        <v/>
      </c>
      <c r="L32" s="41" t="str">
        <f t="shared" si="1"/>
        <v/>
      </c>
      <c r="M32" s="43" t="str">
        <f t="shared" si="2"/>
        <v/>
      </c>
      <c r="N32" s="47" t="str">
        <f t="shared" si="3"/>
        <v/>
      </c>
      <c r="O32" s="48" t="str">
        <f>IF(H32="I",N32*Contagem!$U$11,IF(H32="E",N32*Contagem!$U$13,IF(H32="A",N32*Contagem!$U$12,IF(H32="T",N32*Contagem!$U$14,""))))</f>
        <v/>
      </c>
      <c r="P32" s="36"/>
      <c r="Q32" s="49">
        <f>IF(H32="I",Sumário!$F$55,IF(H32="A",Sumário!$F$56,Sumário!$F$57))</f>
        <v>0.4</v>
      </c>
      <c r="R32" s="51" t="b">
        <f t="shared" si="4"/>
        <v>0</v>
      </c>
      <c r="S32" s="33" t="b">
        <f t="shared" si="5"/>
        <v>0</v>
      </c>
      <c r="T32" s="33"/>
      <c r="U32" s="33"/>
      <c r="V32" s="33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1" ht="18" customHeight="1">
      <c r="A33" s="31"/>
      <c r="B33" s="33"/>
      <c r="C33" s="33"/>
      <c r="D33" s="33"/>
      <c r="E33" s="33"/>
      <c r="F33" s="35"/>
      <c r="G33" s="36"/>
      <c r="H33" s="36"/>
      <c r="I33" s="36"/>
      <c r="J33" s="36"/>
      <c r="K33" s="36" t="str">
        <f t="shared" si="0"/>
        <v/>
      </c>
      <c r="L33" s="41" t="str">
        <f t="shared" si="1"/>
        <v/>
      </c>
      <c r="M33" s="43" t="str">
        <f t="shared" si="2"/>
        <v/>
      </c>
      <c r="N33" s="47" t="str">
        <f t="shared" si="3"/>
        <v/>
      </c>
      <c r="O33" s="48" t="str">
        <f>IF(H33="I",N33*Contagem!$U$11,IF(H33="E",N33*Contagem!$U$13,IF(H33="A",N33*Contagem!$U$12,IF(H33="T",N33*Contagem!$U$14,""))))</f>
        <v/>
      </c>
      <c r="P33" s="36"/>
      <c r="Q33" s="49">
        <f>IF(H33="I",Sumário!$F$55,IF(H33="A",Sumário!$F$56,Sumário!$F$57))</f>
        <v>0.4</v>
      </c>
      <c r="R33" s="51" t="b">
        <f t="shared" si="4"/>
        <v>0</v>
      </c>
      <c r="S33" s="33" t="b">
        <f t="shared" si="5"/>
        <v>0</v>
      </c>
      <c r="T33" s="33"/>
      <c r="U33" s="33"/>
      <c r="V33" s="33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1" ht="18" customHeight="1">
      <c r="A34" s="31"/>
      <c r="B34" s="33"/>
      <c r="C34" s="33"/>
      <c r="D34" s="33"/>
      <c r="E34" s="33"/>
      <c r="F34" s="35"/>
      <c r="G34" s="36"/>
      <c r="H34" s="36"/>
      <c r="I34" s="36"/>
      <c r="J34" s="36"/>
      <c r="K34" s="36" t="str">
        <f t="shared" si="0"/>
        <v/>
      </c>
      <c r="L34" s="41" t="str">
        <f t="shared" si="1"/>
        <v/>
      </c>
      <c r="M34" s="43" t="str">
        <f t="shared" si="2"/>
        <v/>
      </c>
      <c r="N34" s="47" t="str">
        <f t="shared" si="3"/>
        <v/>
      </c>
      <c r="O34" s="48" t="str">
        <f>IF(H34="I",N34*Contagem!$U$11,IF(H34="E",N34*Contagem!$U$13,IF(H34="A",N34*Contagem!$U$12,IF(H34="T",N34*Contagem!$U$14,""))))</f>
        <v/>
      </c>
      <c r="P34" s="36"/>
      <c r="Q34" s="49">
        <f>IF(H34="I",Sumário!$F$55,IF(H34="A",Sumário!$F$56,Sumário!$F$57))</f>
        <v>0.4</v>
      </c>
      <c r="R34" s="51" t="b">
        <f t="shared" si="4"/>
        <v>0</v>
      </c>
      <c r="S34" s="33" t="b">
        <f t="shared" si="5"/>
        <v>0</v>
      </c>
      <c r="T34" s="33"/>
      <c r="U34" s="33"/>
      <c r="V34" s="33"/>
      <c r="W34" s="52"/>
      <c r="X34" s="52"/>
      <c r="Y34" s="52"/>
      <c r="Z34" s="52"/>
      <c r="AA34" s="52"/>
      <c r="AB34" s="52"/>
      <c r="AC34" s="52"/>
      <c r="AD34" s="52"/>
      <c r="AE34" s="52"/>
    </row>
    <row r="35" spans="1:31" ht="18" customHeight="1">
      <c r="A35" s="31"/>
      <c r="B35" s="33"/>
      <c r="C35" s="33"/>
      <c r="D35" s="33"/>
      <c r="E35" s="33"/>
      <c r="F35" s="35"/>
      <c r="G35" s="36"/>
      <c r="H35" s="36"/>
      <c r="I35" s="36"/>
      <c r="J35" s="36"/>
      <c r="K35" s="36" t="str">
        <f t="shared" si="0"/>
        <v/>
      </c>
      <c r="L35" s="41" t="str">
        <f t="shared" si="1"/>
        <v/>
      </c>
      <c r="M35" s="43" t="str">
        <f t="shared" si="2"/>
        <v/>
      </c>
      <c r="N35" s="47" t="str">
        <f t="shared" si="3"/>
        <v/>
      </c>
      <c r="O35" s="48" t="str">
        <f>IF(H35="I",N35*Contagem!$U$11,IF(H35="E",N35*Contagem!$U$13,IF(H35="A",N35*Contagem!$U$12,IF(H35="T",N35*Contagem!$U$14,""))))</f>
        <v/>
      </c>
      <c r="P35" s="36"/>
      <c r="Q35" s="49">
        <f>IF(H35="I",Sumário!$F$55,IF(H35="A",Sumário!$F$56,Sumário!$F$57))</f>
        <v>0.4</v>
      </c>
      <c r="R35" s="51" t="b">
        <f t="shared" si="4"/>
        <v>0</v>
      </c>
      <c r="S35" s="33" t="b">
        <f t="shared" si="5"/>
        <v>0</v>
      </c>
      <c r="T35" s="33"/>
      <c r="U35" s="33"/>
      <c r="V35" s="33"/>
      <c r="W35" s="52"/>
      <c r="X35" s="52"/>
      <c r="Y35" s="52"/>
      <c r="Z35" s="52"/>
      <c r="AA35" s="52"/>
      <c r="AB35" s="52"/>
      <c r="AC35" s="52"/>
      <c r="AD35" s="52"/>
      <c r="AE35" s="52"/>
    </row>
    <row r="36" spans="1:31" ht="18" customHeight="1">
      <c r="A36" s="31"/>
      <c r="B36" s="33"/>
      <c r="C36" s="33"/>
      <c r="D36" s="33"/>
      <c r="E36" s="33"/>
      <c r="F36" s="35"/>
      <c r="G36" s="36"/>
      <c r="H36" s="36"/>
      <c r="I36" s="36"/>
      <c r="J36" s="36"/>
      <c r="K36" s="36" t="str">
        <f t="shared" si="0"/>
        <v/>
      </c>
      <c r="L36" s="41" t="str">
        <f t="shared" si="1"/>
        <v/>
      </c>
      <c r="M36" s="43" t="str">
        <f t="shared" si="2"/>
        <v/>
      </c>
      <c r="N36" s="47" t="str">
        <f t="shared" si="3"/>
        <v/>
      </c>
      <c r="O36" s="48" t="str">
        <f>IF(H36="I",N36*Contagem!$U$11,IF(H36="E",N36*Contagem!$U$13,IF(H36="A",N36*Contagem!$U$12,IF(H36="T",N36*Contagem!$U$14,""))))</f>
        <v/>
      </c>
      <c r="P36" s="36"/>
      <c r="Q36" s="49">
        <f>IF(H36="I",Sumário!$F$55,IF(H36="A",Sumário!$F$56,Sumário!$F$57))</f>
        <v>0.4</v>
      </c>
      <c r="R36" s="51" t="b">
        <f t="shared" si="4"/>
        <v>0</v>
      </c>
      <c r="S36" s="33" t="b">
        <f t="shared" si="5"/>
        <v>0</v>
      </c>
      <c r="T36" s="33"/>
      <c r="U36" s="33"/>
      <c r="V36" s="33"/>
      <c r="W36" s="52"/>
      <c r="X36" s="52"/>
      <c r="Y36" s="52"/>
      <c r="Z36" s="52"/>
      <c r="AA36" s="52"/>
      <c r="AB36" s="52"/>
      <c r="AC36" s="52"/>
      <c r="AD36" s="52"/>
      <c r="AE36" s="52"/>
    </row>
    <row r="37" spans="1:31" ht="18" customHeight="1">
      <c r="A37" s="31"/>
      <c r="B37" s="33"/>
      <c r="C37" s="33"/>
      <c r="D37" s="33"/>
      <c r="E37" s="33"/>
      <c r="F37" s="35"/>
      <c r="G37" s="36"/>
      <c r="H37" s="36"/>
      <c r="I37" s="36"/>
      <c r="J37" s="36"/>
      <c r="K37" s="36" t="str">
        <f t="shared" si="0"/>
        <v/>
      </c>
      <c r="L37" s="41" t="str">
        <f t="shared" si="1"/>
        <v/>
      </c>
      <c r="M37" s="43" t="str">
        <f t="shared" si="2"/>
        <v/>
      </c>
      <c r="N37" s="47" t="str">
        <f t="shared" si="3"/>
        <v/>
      </c>
      <c r="O37" s="48" t="str">
        <f>IF(H37="I",N37*Contagem!$U$11,IF(H37="E",N37*Contagem!$U$13,IF(H37="A",N37*Contagem!$U$12,IF(H37="T",N37*Contagem!$U$14,""))))</f>
        <v/>
      </c>
      <c r="P37" s="36"/>
      <c r="Q37" s="49">
        <f>IF(H37="I",Sumário!$F$55,IF(H37="A",Sumário!$F$56,Sumário!$F$57))</f>
        <v>0.4</v>
      </c>
      <c r="R37" s="51" t="b">
        <f t="shared" si="4"/>
        <v>0</v>
      </c>
      <c r="S37" s="33" t="b">
        <f t="shared" si="5"/>
        <v>0</v>
      </c>
      <c r="T37" s="33"/>
      <c r="U37" s="33"/>
      <c r="V37" s="33"/>
      <c r="W37" s="52"/>
      <c r="X37" s="52"/>
      <c r="Y37" s="52"/>
      <c r="Z37" s="52"/>
      <c r="AA37" s="52"/>
      <c r="AB37" s="52"/>
      <c r="AC37" s="52"/>
      <c r="AD37" s="52"/>
      <c r="AE37" s="52"/>
    </row>
    <row r="38" spans="1:31" ht="18" customHeight="1">
      <c r="A38" s="31"/>
      <c r="B38" s="33"/>
      <c r="C38" s="33"/>
      <c r="D38" s="33"/>
      <c r="E38" s="33"/>
      <c r="F38" s="35"/>
      <c r="G38" s="36"/>
      <c r="H38" s="36"/>
      <c r="I38" s="36"/>
      <c r="J38" s="36"/>
      <c r="K38" s="36" t="str">
        <f t="shared" si="0"/>
        <v/>
      </c>
      <c r="L38" s="41" t="str">
        <f t="shared" si="1"/>
        <v/>
      </c>
      <c r="M38" s="43" t="str">
        <f t="shared" si="2"/>
        <v/>
      </c>
      <c r="N38" s="47" t="str">
        <f t="shared" si="3"/>
        <v/>
      </c>
      <c r="O38" s="48" t="str">
        <f>IF(H38="I",N38*Contagem!$U$11,IF(H38="E",N38*Contagem!$U$13,IF(H38="A",N38*Contagem!$U$12,IF(H38="T",N38*Contagem!$U$14,""))))</f>
        <v/>
      </c>
      <c r="P38" s="36"/>
      <c r="Q38" s="49">
        <f>IF(H38="I",Sumário!$F$55,IF(H38="A",Sumário!$F$56,Sumário!$F$57))</f>
        <v>0.4</v>
      </c>
      <c r="R38" s="51" t="b">
        <f t="shared" si="4"/>
        <v>0</v>
      </c>
      <c r="S38" s="33" t="b">
        <f t="shared" si="5"/>
        <v>0</v>
      </c>
      <c r="T38" s="33"/>
      <c r="U38" s="33"/>
      <c r="V38" s="33"/>
      <c r="W38" s="52"/>
      <c r="X38" s="52"/>
      <c r="Y38" s="52"/>
      <c r="Z38" s="52"/>
      <c r="AA38" s="52"/>
      <c r="AB38" s="52"/>
      <c r="AC38" s="52"/>
      <c r="AD38" s="52"/>
      <c r="AE38" s="52"/>
    </row>
    <row r="39" spans="1:31" ht="18" customHeight="1">
      <c r="A39" s="31"/>
      <c r="B39" s="33"/>
      <c r="C39" s="33"/>
      <c r="D39" s="33"/>
      <c r="E39" s="33"/>
      <c r="F39" s="35"/>
      <c r="G39" s="36"/>
      <c r="H39" s="36"/>
      <c r="I39" s="36"/>
      <c r="J39" s="36"/>
      <c r="K39" s="36" t="str">
        <f t="shared" si="0"/>
        <v/>
      </c>
      <c r="L39" s="41" t="str">
        <f t="shared" si="1"/>
        <v/>
      </c>
      <c r="M39" s="43" t="str">
        <f t="shared" si="2"/>
        <v/>
      </c>
      <c r="N39" s="47" t="str">
        <f t="shared" si="3"/>
        <v/>
      </c>
      <c r="O39" s="48" t="str">
        <f>IF(H39="I",N39*Contagem!$U$11,IF(H39="E",N39*Contagem!$U$13,IF(H39="A",N39*Contagem!$U$12,IF(H39="T",N39*Contagem!$U$14,""))))</f>
        <v/>
      </c>
      <c r="P39" s="36"/>
      <c r="Q39" s="49">
        <f>IF(H39="I",Sumário!$F$55,IF(H39="A",Sumário!$F$56,Sumário!$F$57))</f>
        <v>0.4</v>
      </c>
      <c r="R39" s="51" t="b">
        <f t="shared" si="4"/>
        <v>0</v>
      </c>
      <c r="S39" s="33" t="b">
        <f t="shared" si="5"/>
        <v>0</v>
      </c>
      <c r="T39" s="33"/>
      <c r="U39" s="33"/>
      <c r="V39" s="33"/>
      <c r="W39" s="52"/>
      <c r="X39" s="52"/>
      <c r="Y39" s="52"/>
      <c r="Z39" s="52"/>
      <c r="AA39" s="52"/>
      <c r="AB39" s="52"/>
      <c r="AC39" s="52"/>
      <c r="AD39" s="52"/>
      <c r="AE39" s="52"/>
    </row>
    <row r="40" spans="1:31" ht="18" customHeight="1">
      <c r="A40" s="31"/>
      <c r="B40" s="33"/>
      <c r="C40" s="33"/>
      <c r="D40" s="33"/>
      <c r="E40" s="33"/>
      <c r="F40" s="35"/>
      <c r="G40" s="36"/>
      <c r="H40" s="36"/>
      <c r="I40" s="36"/>
      <c r="J40" s="36"/>
      <c r="K40" s="36" t="str">
        <f t="shared" si="0"/>
        <v/>
      </c>
      <c r="L40" s="41" t="str">
        <f t="shared" si="1"/>
        <v/>
      </c>
      <c r="M40" s="43" t="str">
        <f t="shared" si="2"/>
        <v/>
      </c>
      <c r="N40" s="47" t="str">
        <f t="shared" si="3"/>
        <v/>
      </c>
      <c r="O40" s="48" t="str">
        <f>IF(H40="I",N40*Contagem!$U$11,IF(H40="E",N40*Contagem!$U$13,IF(H40="A",N40*Contagem!$U$12,IF(H40="T",N40*Contagem!$U$14,""))))</f>
        <v/>
      </c>
      <c r="P40" s="36"/>
      <c r="Q40" s="49">
        <f>IF(H40="I",Sumário!$F$55,IF(H40="A",Sumário!$F$56,Sumário!$F$57))</f>
        <v>0.4</v>
      </c>
      <c r="R40" s="51" t="b">
        <f t="shared" si="4"/>
        <v>0</v>
      </c>
      <c r="S40" s="33" t="b">
        <f t="shared" si="5"/>
        <v>0</v>
      </c>
      <c r="T40" s="33"/>
      <c r="U40" s="33"/>
      <c r="V40" s="33"/>
      <c r="W40" s="52"/>
      <c r="X40" s="52"/>
      <c r="Y40" s="52"/>
      <c r="Z40" s="52"/>
      <c r="AA40" s="52"/>
      <c r="AB40" s="52"/>
      <c r="AC40" s="52"/>
      <c r="AD40" s="52"/>
      <c r="AE40" s="52"/>
    </row>
    <row r="41" spans="1:31" ht="18" customHeight="1">
      <c r="A41" s="31"/>
      <c r="B41" s="33"/>
      <c r="C41" s="33"/>
      <c r="D41" s="33"/>
      <c r="E41" s="33"/>
      <c r="F41" s="35"/>
      <c r="G41" s="36"/>
      <c r="H41" s="36"/>
      <c r="I41" s="36"/>
      <c r="J41" s="36"/>
      <c r="K41" s="36" t="str">
        <f t="shared" si="0"/>
        <v/>
      </c>
      <c r="L41" s="41" t="str">
        <f t="shared" si="1"/>
        <v/>
      </c>
      <c r="M41" s="43" t="str">
        <f t="shared" si="2"/>
        <v/>
      </c>
      <c r="N41" s="47" t="str">
        <f t="shared" si="3"/>
        <v/>
      </c>
      <c r="O41" s="48" t="str">
        <f>IF(H41="I",N41*Contagem!$U$11,IF(H41="E",N41*Contagem!$U$13,IF(H41="A",N41*Contagem!$U$12,IF(H41="T",N41*Contagem!$U$14,""))))</f>
        <v/>
      </c>
      <c r="P41" s="36"/>
      <c r="Q41" s="49">
        <f>IF(H41="I",Sumário!$F$55,IF(H41="A",Sumário!$F$56,Sumário!$F$57))</f>
        <v>0.4</v>
      </c>
      <c r="R41" s="51" t="b">
        <f t="shared" si="4"/>
        <v>0</v>
      </c>
      <c r="S41" s="33" t="b">
        <f t="shared" si="5"/>
        <v>0</v>
      </c>
      <c r="T41" s="33"/>
      <c r="U41" s="33"/>
      <c r="V41" s="33"/>
      <c r="W41" s="52"/>
      <c r="X41" s="52"/>
      <c r="Y41" s="52"/>
      <c r="Z41" s="52"/>
      <c r="AA41" s="52"/>
      <c r="AB41" s="52"/>
      <c r="AC41" s="52"/>
      <c r="AD41" s="52"/>
      <c r="AE41" s="52"/>
    </row>
    <row r="42" spans="1:31" ht="18" customHeight="1">
      <c r="A42" s="31"/>
      <c r="B42" s="33"/>
      <c r="C42" s="33"/>
      <c r="D42" s="33"/>
      <c r="E42" s="33"/>
      <c r="F42" s="35"/>
      <c r="G42" s="36"/>
      <c r="H42" s="36"/>
      <c r="I42" s="36"/>
      <c r="J42" s="36"/>
      <c r="K42" s="36" t="str">
        <f t="shared" si="0"/>
        <v/>
      </c>
      <c r="L42" s="41" t="str">
        <f t="shared" si="1"/>
        <v/>
      </c>
      <c r="M42" s="43" t="str">
        <f t="shared" si="2"/>
        <v/>
      </c>
      <c r="N42" s="47" t="str">
        <f t="shared" si="3"/>
        <v/>
      </c>
      <c r="O42" s="48" t="str">
        <f>IF(H42="I",N42*Contagem!$U$11,IF(H42="E",N42*Contagem!$U$13,IF(H42="A",N42*Contagem!$U$12,IF(H42="T",N42*Contagem!$U$14,""))))</f>
        <v/>
      </c>
      <c r="P42" s="36"/>
      <c r="Q42" s="49">
        <f>IF(H42="I",Sumário!$F$55,IF(H42="A",Sumário!$F$56,Sumário!$F$57))</f>
        <v>0.4</v>
      </c>
      <c r="R42" s="51" t="b">
        <f t="shared" si="4"/>
        <v>0</v>
      </c>
      <c r="S42" s="33" t="b">
        <f t="shared" si="5"/>
        <v>0</v>
      </c>
      <c r="T42" s="33"/>
      <c r="U42" s="33"/>
      <c r="V42" s="33"/>
      <c r="W42" s="52"/>
      <c r="X42" s="52"/>
      <c r="Y42" s="52"/>
      <c r="Z42" s="52"/>
      <c r="AA42" s="52"/>
      <c r="AB42" s="52"/>
      <c r="AC42" s="52"/>
      <c r="AD42" s="52"/>
      <c r="AE42" s="52"/>
    </row>
    <row r="43" spans="1:31" ht="18" customHeight="1">
      <c r="A43" s="31"/>
      <c r="B43" s="33"/>
      <c r="C43" s="33"/>
      <c r="D43" s="33"/>
      <c r="E43" s="33"/>
      <c r="F43" s="35"/>
      <c r="G43" s="36"/>
      <c r="H43" s="36"/>
      <c r="I43" s="36"/>
      <c r="J43" s="36"/>
      <c r="K43" s="36" t="str">
        <f t="shared" si="0"/>
        <v/>
      </c>
      <c r="L43" s="41" t="str">
        <f t="shared" si="1"/>
        <v/>
      </c>
      <c r="M43" s="43" t="str">
        <f t="shared" si="2"/>
        <v/>
      </c>
      <c r="N43" s="47" t="str">
        <f t="shared" si="3"/>
        <v/>
      </c>
      <c r="O43" s="48" t="str">
        <f>IF(H43="I",N43*Contagem!$U$11,IF(H43="E",N43*Contagem!$U$13,IF(H43="A",N43*Contagem!$U$12,IF(H43="T",N43*Contagem!$U$14,""))))</f>
        <v/>
      </c>
      <c r="P43" s="36"/>
      <c r="Q43" s="49">
        <f>IF(H43="I",Sumário!$F$55,IF(H43="A",Sumário!$F$56,Sumário!$F$57))</f>
        <v>0.4</v>
      </c>
      <c r="R43" s="51" t="b">
        <f t="shared" si="4"/>
        <v>0</v>
      </c>
      <c r="S43" s="33" t="b">
        <f t="shared" si="5"/>
        <v>0</v>
      </c>
      <c r="T43" s="33"/>
      <c r="U43" s="33"/>
      <c r="V43" s="33"/>
      <c r="W43" s="52"/>
      <c r="X43" s="52"/>
      <c r="Y43" s="52"/>
      <c r="Z43" s="52"/>
      <c r="AA43" s="52"/>
      <c r="AB43" s="52"/>
      <c r="AC43" s="52"/>
      <c r="AD43" s="52"/>
      <c r="AE43" s="52"/>
    </row>
    <row r="44" spans="1:31" ht="18" customHeight="1">
      <c r="A44" s="31"/>
      <c r="B44" s="33"/>
      <c r="C44" s="33"/>
      <c r="D44" s="33"/>
      <c r="E44" s="33"/>
      <c r="F44" s="35"/>
      <c r="G44" s="36"/>
      <c r="H44" s="36"/>
      <c r="I44" s="36"/>
      <c r="J44" s="36"/>
      <c r="K44" s="36" t="str">
        <f t="shared" si="0"/>
        <v/>
      </c>
      <c r="L44" s="41" t="str">
        <f t="shared" si="1"/>
        <v/>
      </c>
      <c r="M44" s="43" t="str">
        <f t="shared" si="2"/>
        <v/>
      </c>
      <c r="N44" s="47" t="str">
        <f t="shared" si="3"/>
        <v/>
      </c>
      <c r="O44" s="48" t="str">
        <f>IF(H44="I",N44*Contagem!$U$11,IF(H44="E",N44*Contagem!$U$13,IF(H44="A",N44*Contagem!$U$12,IF(H44="T",N44*Contagem!$U$14,""))))</f>
        <v/>
      </c>
      <c r="P44" s="36"/>
      <c r="Q44" s="49">
        <f>IF(H44="I",Sumário!$F$55,IF(H44="A",Sumário!$F$56,Sumário!$F$57))</f>
        <v>0.4</v>
      </c>
      <c r="R44" s="51" t="b">
        <f t="shared" si="4"/>
        <v>0</v>
      </c>
      <c r="S44" s="33" t="b">
        <f t="shared" si="5"/>
        <v>0</v>
      </c>
      <c r="T44" s="33"/>
      <c r="U44" s="33"/>
      <c r="V44" s="33"/>
      <c r="W44" s="52"/>
      <c r="X44" s="52"/>
      <c r="Y44" s="52"/>
      <c r="Z44" s="52"/>
      <c r="AA44" s="52"/>
      <c r="AB44" s="52"/>
      <c r="AC44" s="52"/>
      <c r="AD44" s="52"/>
      <c r="AE44" s="52"/>
    </row>
    <row r="45" spans="1:31" ht="18" customHeight="1">
      <c r="A45" s="31"/>
      <c r="B45" s="33"/>
      <c r="C45" s="33"/>
      <c r="D45" s="33"/>
      <c r="E45" s="33"/>
      <c r="F45" s="35"/>
      <c r="G45" s="36"/>
      <c r="H45" s="36"/>
      <c r="I45" s="36"/>
      <c r="J45" s="36"/>
      <c r="K45" s="36" t="str">
        <f t="shared" si="0"/>
        <v/>
      </c>
      <c r="L45" s="41" t="str">
        <f t="shared" si="1"/>
        <v/>
      </c>
      <c r="M45" s="43" t="str">
        <f t="shared" si="2"/>
        <v/>
      </c>
      <c r="N45" s="47" t="str">
        <f t="shared" si="3"/>
        <v/>
      </c>
      <c r="O45" s="48" t="str">
        <f>IF(H45="I",N45*Contagem!$U$11,IF(H45="E",N45*Contagem!$U$13,IF(H45="A",N45*Contagem!$U$12,IF(H45="T",N45*Contagem!$U$14,""))))</f>
        <v/>
      </c>
      <c r="P45" s="36"/>
      <c r="Q45" s="49">
        <f>IF(H45="I",Sumário!$F$55,IF(H45="A",Sumário!$F$56,Sumário!$F$57))</f>
        <v>0.4</v>
      </c>
      <c r="R45" s="51" t="b">
        <f t="shared" si="4"/>
        <v>0</v>
      </c>
      <c r="S45" s="33" t="b">
        <f t="shared" si="5"/>
        <v>0</v>
      </c>
      <c r="T45" s="33"/>
      <c r="U45" s="33"/>
      <c r="V45" s="33"/>
      <c r="W45" s="52"/>
      <c r="X45" s="52"/>
      <c r="Y45" s="52"/>
      <c r="Z45" s="52"/>
      <c r="AA45" s="52"/>
      <c r="AB45" s="52"/>
      <c r="AC45" s="52"/>
      <c r="AD45" s="52"/>
      <c r="AE45" s="52"/>
    </row>
    <row r="46" spans="1:31" ht="18" customHeight="1">
      <c r="A46" s="31"/>
      <c r="B46" s="33"/>
      <c r="C46" s="33"/>
      <c r="D46" s="33"/>
      <c r="E46" s="33"/>
      <c r="F46" s="35"/>
      <c r="G46" s="36"/>
      <c r="H46" s="36"/>
      <c r="I46" s="36"/>
      <c r="J46" s="36"/>
      <c r="K46" s="36" t="str">
        <f t="shared" si="0"/>
        <v/>
      </c>
      <c r="L46" s="41" t="str">
        <f t="shared" si="1"/>
        <v/>
      </c>
      <c r="M46" s="43" t="str">
        <f t="shared" si="2"/>
        <v/>
      </c>
      <c r="N46" s="47" t="str">
        <f t="shared" si="3"/>
        <v/>
      </c>
      <c r="O46" s="48" t="str">
        <f>IF(H46="I",N46*Contagem!$U$11,IF(H46="E",N46*Contagem!$U$13,IF(H46="A",N46*Contagem!$U$12,IF(H46="T",N46*Contagem!$U$14,""))))</f>
        <v/>
      </c>
      <c r="P46" s="36"/>
      <c r="Q46" s="49">
        <f>IF(H46="I",Sumário!$F$55,IF(H46="A",Sumário!$F$56,Sumário!$F$57))</f>
        <v>0.4</v>
      </c>
      <c r="R46" s="51" t="b">
        <f t="shared" si="4"/>
        <v>0</v>
      </c>
      <c r="S46" s="33" t="b">
        <f t="shared" si="5"/>
        <v>0</v>
      </c>
      <c r="T46" s="33"/>
      <c r="U46" s="33"/>
      <c r="V46" s="33"/>
      <c r="W46" s="52"/>
      <c r="X46" s="52"/>
      <c r="Y46" s="52"/>
      <c r="Z46" s="52"/>
      <c r="AA46" s="52"/>
      <c r="AB46" s="52"/>
      <c r="AC46" s="52"/>
      <c r="AD46" s="52"/>
      <c r="AE46" s="52"/>
    </row>
    <row r="47" spans="1:31" ht="18" customHeight="1">
      <c r="A47" s="31"/>
      <c r="B47" s="33"/>
      <c r="C47" s="33"/>
      <c r="D47" s="33"/>
      <c r="E47" s="33"/>
      <c r="F47" s="35"/>
      <c r="G47" s="36"/>
      <c r="H47" s="36"/>
      <c r="I47" s="36"/>
      <c r="J47" s="36"/>
      <c r="K47" s="36" t="str">
        <f t="shared" si="0"/>
        <v/>
      </c>
      <c r="L47" s="41" t="str">
        <f t="shared" si="1"/>
        <v/>
      </c>
      <c r="M47" s="43" t="str">
        <f t="shared" si="2"/>
        <v/>
      </c>
      <c r="N47" s="47" t="str">
        <f t="shared" si="3"/>
        <v/>
      </c>
      <c r="O47" s="48" t="str">
        <f>IF(H47="I",N47*Contagem!$U$11,IF(H47="E",N47*Contagem!$U$13,IF(H47="A",N47*Contagem!$U$12,IF(H47="T",N47*Contagem!$U$14,""))))</f>
        <v/>
      </c>
      <c r="P47" s="36"/>
      <c r="Q47" s="49">
        <f>IF(H47="I",Sumário!$F$55,IF(H47="A",Sumário!$F$56,Sumário!$F$57))</f>
        <v>0.4</v>
      </c>
      <c r="R47" s="51" t="b">
        <f t="shared" si="4"/>
        <v>0</v>
      </c>
      <c r="S47" s="33" t="b">
        <f t="shared" si="5"/>
        <v>0</v>
      </c>
      <c r="T47" s="33"/>
      <c r="U47" s="33"/>
      <c r="V47" s="33"/>
      <c r="W47" s="52"/>
      <c r="X47" s="52"/>
      <c r="Y47" s="52"/>
      <c r="Z47" s="52"/>
      <c r="AA47" s="52"/>
      <c r="AB47" s="52"/>
      <c r="AC47" s="52"/>
      <c r="AD47" s="52"/>
      <c r="AE47" s="52"/>
    </row>
    <row r="48" spans="1:31" ht="18" customHeight="1">
      <c r="A48" s="31"/>
      <c r="B48" s="33"/>
      <c r="C48" s="33"/>
      <c r="D48" s="33"/>
      <c r="E48" s="33"/>
      <c r="F48" s="35"/>
      <c r="G48" s="36"/>
      <c r="H48" s="36"/>
      <c r="I48" s="36"/>
      <c r="J48" s="36"/>
      <c r="K48" s="36" t="str">
        <f t="shared" si="0"/>
        <v/>
      </c>
      <c r="L48" s="41" t="str">
        <f t="shared" si="1"/>
        <v/>
      </c>
      <c r="M48" s="43" t="str">
        <f t="shared" si="2"/>
        <v/>
      </c>
      <c r="N48" s="47" t="str">
        <f t="shared" si="3"/>
        <v/>
      </c>
      <c r="O48" s="48" t="str">
        <f>IF(H48="I",N48*Contagem!$U$11,IF(H48="E",N48*Contagem!$U$13,IF(H48="A",N48*Contagem!$U$12,IF(H48="T",N48*Contagem!$U$14,""))))</f>
        <v/>
      </c>
      <c r="P48" s="36"/>
      <c r="Q48" s="49">
        <f>IF(H48="I",Sumário!$F$55,IF(H48="A",Sumário!$F$56,Sumário!$F$57))</f>
        <v>0.4</v>
      </c>
      <c r="R48" s="51" t="b">
        <f t="shared" si="4"/>
        <v>0</v>
      </c>
      <c r="S48" s="33" t="b">
        <f t="shared" si="5"/>
        <v>0</v>
      </c>
      <c r="T48" s="33"/>
      <c r="U48" s="33"/>
      <c r="V48" s="33"/>
      <c r="W48" s="52"/>
      <c r="X48" s="52"/>
      <c r="Y48" s="52"/>
      <c r="Z48" s="52"/>
      <c r="AA48" s="52"/>
      <c r="AB48" s="52"/>
      <c r="AC48" s="52"/>
      <c r="AD48" s="52"/>
      <c r="AE48" s="52"/>
    </row>
    <row r="49" spans="1:31" ht="18" customHeight="1">
      <c r="A49" s="31"/>
      <c r="B49" s="33"/>
      <c r="C49" s="33"/>
      <c r="D49" s="33"/>
      <c r="E49" s="33"/>
      <c r="F49" s="35"/>
      <c r="G49" s="36"/>
      <c r="H49" s="36"/>
      <c r="I49" s="36"/>
      <c r="J49" s="36"/>
      <c r="K49" s="36" t="str">
        <f t="shared" si="0"/>
        <v/>
      </c>
      <c r="L49" s="41" t="str">
        <f t="shared" si="1"/>
        <v/>
      </c>
      <c r="M49" s="43" t="str">
        <f t="shared" si="2"/>
        <v/>
      </c>
      <c r="N49" s="47" t="str">
        <f t="shared" si="3"/>
        <v/>
      </c>
      <c r="O49" s="48" t="str">
        <f>IF(H49="I",N49*Contagem!$U$11,IF(H49="E",N49*Contagem!$U$13,IF(H49="A",N49*Contagem!$U$12,IF(H49="T",N49*Contagem!$U$14,""))))</f>
        <v/>
      </c>
      <c r="P49" s="36"/>
      <c r="Q49" s="49">
        <f>IF(H49="I",Sumário!$F$55,IF(H49="A",Sumário!$F$56,Sumário!$F$57))</f>
        <v>0.4</v>
      </c>
      <c r="R49" s="51" t="b">
        <f t="shared" si="4"/>
        <v>0</v>
      </c>
      <c r="S49" s="33" t="b">
        <f t="shared" si="5"/>
        <v>0</v>
      </c>
      <c r="T49" s="33"/>
      <c r="U49" s="33"/>
      <c r="V49" s="33"/>
      <c r="W49" s="52"/>
      <c r="X49" s="52"/>
      <c r="Y49" s="52"/>
      <c r="Z49" s="52"/>
      <c r="AA49" s="52"/>
      <c r="AB49" s="52"/>
      <c r="AC49" s="52"/>
      <c r="AD49" s="52"/>
      <c r="AE49" s="52"/>
    </row>
    <row r="50" spans="1:31" ht="18" customHeight="1">
      <c r="A50" s="31"/>
      <c r="B50" s="33"/>
      <c r="C50" s="33"/>
      <c r="D50" s="33"/>
      <c r="E50" s="33"/>
      <c r="F50" s="35"/>
      <c r="G50" s="36"/>
      <c r="H50" s="36"/>
      <c r="I50" s="36"/>
      <c r="J50" s="36"/>
      <c r="K50" s="36" t="str">
        <f t="shared" si="0"/>
        <v/>
      </c>
      <c r="L50" s="41" t="str">
        <f t="shared" si="1"/>
        <v/>
      </c>
      <c r="M50" s="43" t="str">
        <f t="shared" si="2"/>
        <v/>
      </c>
      <c r="N50" s="47" t="str">
        <f t="shared" si="3"/>
        <v/>
      </c>
      <c r="O50" s="48" t="str">
        <f>IF(H50="I",N50*Contagem!$U$11,IF(H50="E",N50*Contagem!$U$13,IF(H50="A",N50*Contagem!$U$12,IF(H50="T",N50*Contagem!$U$14,""))))</f>
        <v/>
      </c>
      <c r="P50" s="36"/>
      <c r="Q50" s="49">
        <f>IF(H50="I",Sumário!$F$55,IF(H50="A",Sumário!$F$56,Sumário!$F$57))</f>
        <v>0.4</v>
      </c>
      <c r="R50" s="51" t="b">
        <f t="shared" si="4"/>
        <v>0</v>
      </c>
      <c r="S50" s="33" t="b">
        <f t="shared" si="5"/>
        <v>0</v>
      </c>
      <c r="T50" s="33"/>
      <c r="U50" s="33"/>
      <c r="V50" s="33"/>
      <c r="W50" s="52"/>
      <c r="X50" s="52"/>
      <c r="Y50" s="52"/>
      <c r="Z50" s="52"/>
      <c r="AA50" s="52"/>
      <c r="AB50" s="52"/>
      <c r="AC50" s="52"/>
      <c r="AD50" s="52"/>
      <c r="AE50" s="52"/>
    </row>
    <row r="51" spans="1:31" ht="18" customHeight="1">
      <c r="A51" s="31"/>
      <c r="B51" s="33"/>
      <c r="C51" s="33"/>
      <c r="D51" s="33"/>
      <c r="E51" s="33"/>
      <c r="F51" s="35"/>
      <c r="G51" s="36"/>
      <c r="H51" s="36"/>
      <c r="I51" s="36"/>
      <c r="J51" s="36"/>
      <c r="K51" s="36" t="str">
        <f t="shared" si="0"/>
        <v/>
      </c>
      <c r="L51" s="41" t="str">
        <f t="shared" si="1"/>
        <v/>
      </c>
      <c r="M51" s="43" t="str">
        <f t="shared" si="2"/>
        <v/>
      </c>
      <c r="N51" s="47" t="str">
        <f t="shared" si="3"/>
        <v/>
      </c>
      <c r="O51" s="48" t="str">
        <f>IF(H51="I",N51*Contagem!$U$11,IF(H51="E",N51*Contagem!$U$13,IF(H51="A",N51*Contagem!$U$12,IF(H51="T",N51*Contagem!$U$14,""))))</f>
        <v/>
      </c>
      <c r="P51" s="36"/>
      <c r="Q51" s="49">
        <f>IF(H51="I",Sumário!$F$55,IF(H51="A",Sumário!$F$56,Sumário!$F$57))</f>
        <v>0.4</v>
      </c>
      <c r="R51" s="51" t="b">
        <f t="shared" si="4"/>
        <v>0</v>
      </c>
      <c r="S51" s="33" t="b">
        <f t="shared" si="5"/>
        <v>0</v>
      </c>
      <c r="T51" s="33"/>
      <c r="U51" s="33"/>
      <c r="V51" s="33"/>
      <c r="W51" s="52"/>
      <c r="X51" s="52"/>
      <c r="Y51" s="52"/>
      <c r="Z51" s="52"/>
      <c r="AA51" s="52"/>
      <c r="AB51" s="52"/>
      <c r="AC51" s="52"/>
      <c r="AD51" s="52"/>
      <c r="AE51" s="52"/>
    </row>
    <row r="52" spans="1:31" ht="18" customHeight="1">
      <c r="A52" s="31"/>
      <c r="B52" s="33"/>
      <c r="C52" s="33"/>
      <c r="D52" s="33"/>
      <c r="E52" s="33"/>
      <c r="F52" s="35"/>
      <c r="G52" s="36"/>
      <c r="H52" s="36"/>
      <c r="I52" s="36"/>
      <c r="J52" s="36"/>
      <c r="K52" s="36" t="str">
        <f t="shared" si="0"/>
        <v/>
      </c>
      <c r="L52" s="41" t="str">
        <f t="shared" si="1"/>
        <v/>
      </c>
      <c r="M52" s="43" t="str">
        <f t="shared" si="2"/>
        <v/>
      </c>
      <c r="N52" s="47" t="str">
        <f t="shared" si="3"/>
        <v/>
      </c>
      <c r="O52" s="48" t="str">
        <f>IF(H52="I",N52*Contagem!$U$11,IF(H52="E",N52*Contagem!$U$13,IF(H52="A",N52*Contagem!$U$12,IF(H52="T",N52*Contagem!$U$14,""))))</f>
        <v/>
      </c>
      <c r="P52" s="36"/>
      <c r="Q52" s="49">
        <f>IF(H52="I",Sumário!$F$55,IF(H52="A",Sumário!$F$56,Sumário!$F$57))</f>
        <v>0.4</v>
      </c>
      <c r="R52" s="51" t="b">
        <f t="shared" si="4"/>
        <v>0</v>
      </c>
      <c r="S52" s="33" t="b">
        <f t="shared" si="5"/>
        <v>0</v>
      </c>
      <c r="T52" s="33"/>
      <c r="U52" s="33"/>
      <c r="V52" s="33"/>
      <c r="W52" s="52"/>
      <c r="X52" s="52"/>
      <c r="Y52" s="52"/>
      <c r="Z52" s="52"/>
      <c r="AA52" s="52"/>
      <c r="AB52" s="52"/>
      <c r="AC52" s="52"/>
      <c r="AD52" s="52"/>
      <c r="AE52" s="52"/>
    </row>
    <row r="53" spans="1:31" ht="18" customHeight="1">
      <c r="A53" s="31"/>
      <c r="B53" s="33"/>
      <c r="C53" s="33"/>
      <c r="D53" s="33"/>
      <c r="E53" s="33"/>
      <c r="F53" s="35"/>
      <c r="G53" s="36"/>
      <c r="H53" s="36"/>
      <c r="I53" s="36"/>
      <c r="J53" s="36"/>
      <c r="K53" s="36" t="str">
        <f t="shared" si="0"/>
        <v/>
      </c>
      <c r="L53" s="41" t="str">
        <f t="shared" si="1"/>
        <v/>
      </c>
      <c r="M53" s="43" t="str">
        <f t="shared" si="2"/>
        <v/>
      </c>
      <c r="N53" s="47" t="str">
        <f t="shared" si="3"/>
        <v/>
      </c>
      <c r="O53" s="48" t="str">
        <f>IF(H53="I",N53*Contagem!$U$11,IF(H53="E",N53*Contagem!$U$13,IF(H53="A",N53*Contagem!$U$12,IF(H53="T",N53*Contagem!$U$14,""))))</f>
        <v/>
      </c>
      <c r="P53" s="36"/>
      <c r="Q53" s="49">
        <f>IF(H53="I",Sumário!$F$55,IF(H53="A",Sumário!$F$56,Sumário!$F$57))</f>
        <v>0.4</v>
      </c>
      <c r="R53" s="51" t="b">
        <f t="shared" si="4"/>
        <v>0</v>
      </c>
      <c r="S53" s="33" t="b">
        <f t="shared" si="5"/>
        <v>0</v>
      </c>
      <c r="T53" s="33"/>
      <c r="U53" s="33"/>
      <c r="V53" s="33"/>
      <c r="W53" s="52"/>
      <c r="X53" s="52"/>
      <c r="Y53" s="52"/>
      <c r="Z53" s="52"/>
      <c r="AA53" s="52"/>
      <c r="AB53" s="52"/>
      <c r="AC53" s="52"/>
      <c r="AD53" s="52"/>
      <c r="AE53" s="52"/>
    </row>
    <row r="54" spans="1:31" ht="18" customHeight="1">
      <c r="A54" s="31"/>
      <c r="B54" s="33"/>
      <c r="C54" s="33"/>
      <c r="D54" s="33"/>
      <c r="E54" s="33"/>
      <c r="F54" s="35"/>
      <c r="G54" s="36"/>
      <c r="H54" s="36"/>
      <c r="I54" s="36"/>
      <c r="J54" s="36"/>
      <c r="K54" s="36" t="str">
        <f t="shared" si="0"/>
        <v/>
      </c>
      <c r="L54" s="41" t="str">
        <f t="shared" si="1"/>
        <v/>
      </c>
      <c r="M54" s="43" t="str">
        <f t="shared" si="2"/>
        <v/>
      </c>
      <c r="N54" s="47" t="str">
        <f t="shared" si="3"/>
        <v/>
      </c>
      <c r="O54" s="48" t="str">
        <f>IF(H54="I",N54*Contagem!$U$11,IF(H54="E",N54*Contagem!$U$13,IF(H54="A",N54*Contagem!$U$12,IF(H54="T",N54*Contagem!$U$14,""))))</f>
        <v/>
      </c>
      <c r="P54" s="36"/>
      <c r="Q54" s="49">
        <f>IF(H54="I",Sumário!$F$55,IF(H54="A",Sumário!$F$56,Sumário!$F$57))</f>
        <v>0.4</v>
      </c>
      <c r="R54" s="51" t="b">
        <f t="shared" si="4"/>
        <v>0</v>
      </c>
      <c r="S54" s="33" t="b">
        <f t="shared" si="5"/>
        <v>0</v>
      </c>
      <c r="T54" s="33"/>
      <c r="U54" s="33"/>
      <c r="V54" s="33"/>
      <c r="W54" s="52"/>
      <c r="X54" s="52"/>
      <c r="Y54" s="52"/>
      <c r="Z54" s="52"/>
      <c r="AA54" s="52"/>
      <c r="AB54" s="52"/>
      <c r="AC54" s="52"/>
      <c r="AD54" s="52"/>
      <c r="AE54" s="52"/>
    </row>
    <row r="55" spans="1:31" ht="18" customHeight="1">
      <c r="A55" s="31"/>
      <c r="B55" s="33"/>
      <c r="C55" s="33"/>
      <c r="D55" s="33"/>
      <c r="E55" s="33"/>
      <c r="F55" s="35"/>
      <c r="G55" s="36"/>
      <c r="H55" s="36"/>
      <c r="I55" s="36"/>
      <c r="J55" s="36"/>
      <c r="K55" s="36" t="str">
        <f t="shared" si="0"/>
        <v/>
      </c>
      <c r="L55" s="41" t="str">
        <f t="shared" si="1"/>
        <v/>
      </c>
      <c r="M55" s="43" t="str">
        <f t="shared" si="2"/>
        <v/>
      </c>
      <c r="N55" s="47" t="str">
        <f t="shared" si="3"/>
        <v/>
      </c>
      <c r="O55" s="48" t="str">
        <f>IF(H55="I",N55*Contagem!$U$11,IF(H55="E",N55*Contagem!$U$13,IF(H55="A",N55*Contagem!$U$12,IF(H55="T",N55*Contagem!$U$14,""))))</f>
        <v/>
      </c>
      <c r="P55" s="36"/>
      <c r="Q55" s="49">
        <f>IF(H55="I",Sumário!$F$55,IF(H55="A",Sumário!$F$56,Sumário!$F$57))</f>
        <v>0.4</v>
      </c>
      <c r="R55" s="51" t="b">
        <f t="shared" si="4"/>
        <v>0</v>
      </c>
      <c r="S55" s="33" t="b">
        <f t="shared" si="5"/>
        <v>0</v>
      </c>
      <c r="T55" s="33"/>
      <c r="U55" s="33"/>
      <c r="V55" s="33"/>
      <c r="W55" s="52"/>
      <c r="X55" s="52"/>
      <c r="Y55" s="52"/>
      <c r="Z55" s="52"/>
      <c r="AA55" s="52"/>
      <c r="AB55" s="52"/>
      <c r="AC55" s="52"/>
      <c r="AD55" s="52"/>
      <c r="AE55" s="52"/>
    </row>
    <row r="56" spans="1:31" ht="18" customHeight="1">
      <c r="A56" s="31"/>
      <c r="B56" s="33"/>
      <c r="C56" s="33"/>
      <c r="D56" s="33"/>
      <c r="E56" s="33"/>
      <c r="F56" s="35"/>
      <c r="G56" s="36"/>
      <c r="H56" s="36"/>
      <c r="I56" s="36"/>
      <c r="J56" s="36"/>
      <c r="K56" s="36" t="str">
        <f t="shared" si="0"/>
        <v/>
      </c>
      <c r="L56" s="41" t="str">
        <f t="shared" si="1"/>
        <v/>
      </c>
      <c r="M56" s="43" t="str">
        <f t="shared" si="2"/>
        <v/>
      </c>
      <c r="N56" s="47" t="str">
        <f t="shared" si="3"/>
        <v/>
      </c>
      <c r="O56" s="48" t="str">
        <f>IF(H56="I",N56*Contagem!$U$11,IF(H56="E",N56*Contagem!$U$13,IF(H56="A",N56*Contagem!$U$12,IF(H56="T",N56*Contagem!$U$14,""))))</f>
        <v/>
      </c>
      <c r="P56" s="36"/>
      <c r="Q56" s="49">
        <f>IF(H56="I",Sumário!$F$55,IF(H56="A",Sumário!$F$56,Sumário!$F$57))</f>
        <v>0.4</v>
      </c>
      <c r="R56" s="51" t="b">
        <f t="shared" si="4"/>
        <v>0</v>
      </c>
      <c r="S56" s="33" t="b">
        <f t="shared" si="5"/>
        <v>0</v>
      </c>
      <c r="T56" s="33"/>
      <c r="U56" s="33"/>
      <c r="V56" s="33"/>
      <c r="W56" s="52"/>
      <c r="X56" s="52"/>
      <c r="Y56" s="52"/>
      <c r="Z56" s="52"/>
      <c r="AA56" s="52"/>
      <c r="AB56" s="52"/>
      <c r="AC56" s="52"/>
      <c r="AD56" s="52"/>
      <c r="AE56" s="52"/>
    </row>
    <row r="57" spans="1:31" ht="18" customHeight="1">
      <c r="A57" s="31"/>
      <c r="B57" s="33"/>
      <c r="C57" s="33"/>
      <c r="D57" s="33"/>
      <c r="E57" s="33"/>
      <c r="F57" s="35"/>
      <c r="G57" s="36"/>
      <c r="H57" s="36"/>
      <c r="I57" s="36"/>
      <c r="J57" s="36"/>
      <c r="K57" s="36" t="str">
        <f t="shared" si="0"/>
        <v/>
      </c>
      <c r="L57" s="41" t="str">
        <f t="shared" si="1"/>
        <v/>
      </c>
      <c r="M57" s="43" t="str">
        <f t="shared" si="2"/>
        <v/>
      </c>
      <c r="N57" s="47" t="str">
        <f t="shared" si="3"/>
        <v/>
      </c>
      <c r="O57" s="48" t="str">
        <f>IF(H57="I",N57*Contagem!$U$11,IF(H57="E",N57*Contagem!$U$13,IF(H57="A",N57*Contagem!$U$12,IF(H57="T",N57*Contagem!$U$14,""))))</f>
        <v/>
      </c>
      <c r="P57" s="36"/>
      <c r="Q57" s="49">
        <f>IF(H57="I",Sumário!$F$55,IF(H57="A",Sumário!$F$56,Sumário!$F$57))</f>
        <v>0.4</v>
      </c>
      <c r="R57" s="51" t="b">
        <f t="shared" si="4"/>
        <v>0</v>
      </c>
      <c r="S57" s="33" t="b">
        <f t="shared" si="5"/>
        <v>0</v>
      </c>
      <c r="T57" s="33"/>
      <c r="U57" s="33"/>
      <c r="V57" s="33"/>
      <c r="W57" s="52"/>
      <c r="X57" s="52"/>
      <c r="Y57" s="52"/>
      <c r="Z57" s="52"/>
      <c r="AA57" s="52"/>
      <c r="AB57" s="52"/>
      <c r="AC57" s="52"/>
      <c r="AD57" s="52"/>
      <c r="AE57" s="52"/>
    </row>
    <row r="58" spans="1:31" ht="18" customHeight="1">
      <c r="A58" s="31"/>
      <c r="B58" s="33"/>
      <c r="C58" s="33"/>
      <c r="D58" s="33"/>
      <c r="E58" s="33"/>
      <c r="F58" s="35"/>
      <c r="G58" s="36"/>
      <c r="H58" s="36"/>
      <c r="I58" s="36"/>
      <c r="J58" s="36"/>
      <c r="K58" s="36" t="str">
        <f t="shared" si="0"/>
        <v/>
      </c>
      <c r="L58" s="41" t="str">
        <f t="shared" si="1"/>
        <v/>
      </c>
      <c r="M58" s="43" t="str">
        <f t="shared" si="2"/>
        <v/>
      </c>
      <c r="N58" s="47" t="str">
        <f t="shared" si="3"/>
        <v/>
      </c>
      <c r="O58" s="48" t="str">
        <f>IF(H58="I",N58*Contagem!$U$11,IF(H58="E",N58*Contagem!$U$13,IF(H58="A",N58*Contagem!$U$12,IF(H58="T",N58*Contagem!$U$14,""))))</f>
        <v/>
      </c>
      <c r="P58" s="36"/>
      <c r="Q58" s="49">
        <f>IF(H58="I",Sumário!$F$55,IF(H58="A",Sumário!$F$56,Sumário!$F$57))</f>
        <v>0.4</v>
      </c>
      <c r="R58" s="51" t="b">
        <f t="shared" si="4"/>
        <v>0</v>
      </c>
      <c r="S58" s="33" t="b">
        <f t="shared" si="5"/>
        <v>0</v>
      </c>
      <c r="T58" s="33"/>
      <c r="U58" s="33"/>
      <c r="V58" s="33"/>
      <c r="W58" s="52"/>
      <c r="X58" s="52"/>
      <c r="Y58" s="52"/>
      <c r="Z58" s="52"/>
      <c r="AA58" s="52"/>
      <c r="AB58" s="52"/>
      <c r="AC58" s="52"/>
      <c r="AD58" s="52"/>
      <c r="AE58" s="52"/>
    </row>
    <row r="59" spans="1:31" ht="18" customHeight="1">
      <c r="A59" s="31"/>
      <c r="B59" s="33"/>
      <c r="C59" s="33"/>
      <c r="D59" s="33"/>
      <c r="E59" s="33"/>
      <c r="F59" s="35"/>
      <c r="G59" s="36"/>
      <c r="H59" s="36"/>
      <c r="I59" s="36"/>
      <c r="J59" s="36"/>
      <c r="K59" s="36" t="str">
        <f t="shared" si="0"/>
        <v/>
      </c>
      <c r="L59" s="41" t="str">
        <f t="shared" si="1"/>
        <v/>
      </c>
      <c r="M59" s="43" t="str">
        <f t="shared" si="2"/>
        <v/>
      </c>
      <c r="N59" s="47" t="str">
        <f t="shared" si="3"/>
        <v/>
      </c>
      <c r="O59" s="48" t="str">
        <f>IF(H59="I",N59*Contagem!$U$11,IF(H59="E",N59*Contagem!$U$13,IF(H59="A",N59*Contagem!$U$12,IF(H59="T",N59*Contagem!$U$14,""))))</f>
        <v/>
      </c>
      <c r="P59" s="36"/>
      <c r="Q59" s="49">
        <f>IF(H59="I",Sumário!$F$55,IF(H59="A",Sumário!$F$56,Sumário!$F$57))</f>
        <v>0.4</v>
      </c>
      <c r="R59" s="51" t="b">
        <f t="shared" si="4"/>
        <v>0</v>
      </c>
      <c r="S59" s="33" t="b">
        <f t="shared" si="5"/>
        <v>0</v>
      </c>
      <c r="T59" s="33"/>
      <c r="U59" s="33"/>
      <c r="V59" s="33"/>
      <c r="W59" s="52"/>
      <c r="X59" s="52"/>
      <c r="Y59" s="52"/>
      <c r="Z59" s="52"/>
      <c r="AA59" s="52"/>
      <c r="AB59" s="52"/>
      <c r="AC59" s="52"/>
      <c r="AD59" s="52"/>
      <c r="AE59" s="52"/>
    </row>
    <row r="60" spans="1:31" ht="18" customHeight="1">
      <c r="A60" s="31"/>
      <c r="B60" s="33"/>
      <c r="C60" s="33"/>
      <c r="D60" s="33"/>
      <c r="E60" s="33"/>
      <c r="F60" s="35"/>
      <c r="G60" s="36"/>
      <c r="H60" s="36"/>
      <c r="I60" s="36"/>
      <c r="J60" s="36"/>
      <c r="K60" s="36" t="str">
        <f t="shared" si="0"/>
        <v/>
      </c>
      <c r="L60" s="41" t="str">
        <f t="shared" si="1"/>
        <v/>
      </c>
      <c r="M60" s="43" t="str">
        <f t="shared" si="2"/>
        <v/>
      </c>
      <c r="N60" s="47" t="str">
        <f t="shared" si="3"/>
        <v/>
      </c>
      <c r="O60" s="48" t="str">
        <f>IF(H60="I",N60*Contagem!$U$11,IF(H60="E",N60*Contagem!$U$13,IF(H60="A",N60*Contagem!$U$12,IF(H60="T",N60*Contagem!$U$14,""))))</f>
        <v/>
      </c>
      <c r="P60" s="36"/>
      <c r="Q60" s="49">
        <f>IF(H60="I",Sumário!$F$55,IF(H60="A",Sumário!$F$56,Sumário!$F$57))</f>
        <v>0.4</v>
      </c>
      <c r="R60" s="51" t="b">
        <f t="shared" si="4"/>
        <v>0</v>
      </c>
      <c r="S60" s="33" t="b">
        <f t="shared" si="5"/>
        <v>0</v>
      </c>
      <c r="T60" s="33"/>
      <c r="U60" s="33"/>
      <c r="V60" s="33"/>
      <c r="W60" s="52"/>
      <c r="X60" s="52"/>
      <c r="Y60" s="52"/>
      <c r="Z60" s="52"/>
      <c r="AA60" s="52"/>
      <c r="AB60" s="52"/>
      <c r="AC60" s="52"/>
      <c r="AD60" s="52"/>
      <c r="AE60" s="52"/>
    </row>
    <row r="61" spans="1:31" ht="18" customHeight="1">
      <c r="A61" s="31"/>
      <c r="B61" s="33"/>
      <c r="C61" s="33"/>
      <c r="D61" s="33"/>
      <c r="E61" s="33"/>
      <c r="F61" s="35"/>
      <c r="G61" s="36"/>
      <c r="H61" s="36"/>
      <c r="I61" s="36"/>
      <c r="J61" s="36"/>
      <c r="K61" s="36" t="str">
        <f t="shared" si="0"/>
        <v/>
      </c>
      <c r="L61" s="41" t="str">
        <f t="shared" si="1"/>
        <v/>
      </c>
      <c r="M61" s="43" t="str">
        <f t="shared" si="2"/>
        <v/>
      </c>
      <c r="N61" s="47" t="str">
        <f t="shared" si="3"/>
        <v/>
      </c>
      <c r="O61" s="48" t="str">
        <f>IF(H61="I",N61*Contagem!$U$11,IF(H61="E",N61*Contagem!$U$13,IF(H61="A",N61*Contagem!$U$12,IF(H61="T",N61*Contagem!$U$14,""))))</f>
        <v/>
      </c>
      <c r="P61" s="36"/>
      <c r="Q61" s="49">
        <f>IF(H61="I",Sumário!$F$55,IF(H61="A",Sumário!$F$56,Sumário!$F$57))</f>
        <v>0.4</v>
      </c>
      <c r="R61" s="51" t="b">
        <f t="shared" si="4"/>
        <v>0</v>
      </c>
      <c r="S61" s="33" t="b">
        <f t="shared" si="5"/>
        <v>0</v>
      </c>
      <c r="T61" s="33"/>
      <c r="U61" s="33"/>
      <c r="V61" s="33"/>
      <c r="W61" s="52"/>
      <c r="X61" s="52"/>
      <c r="Y61" s="52"/>
      <c r="Z61" s="52"/>
      <c r="AA61" s="52"/>
      <c r="AB61" s="52"/>
      <c r="AC61" s="52"/>
      <c r="AD61" s="52"/>
      <c r="AE61" s="52"/>
    </row>
    <row r="62" spans="1:31" ht="18" customHeight="1">
      <c r="A62" s="31"/>
      <c r="B62" s="33"/>
      <c r="C62" s="33"/>
      <c r="D62" s="33"/>
      <c r="E62" s="33"/>
      <c r="F62" s="35"/>
      <c r="G62" s="36"/>
      <c r="H62" s="36"/>
      <c r="I62" s="36"/>
      <c r="J62" s="36"/>
      <c r="K62" s="36" t="str">
        <f t="shared" si="0"/>
        <v/>
      </c>
      <c r="L62" s="41" t="str">
        <f t="shared" si="1"/>
        <v/>
      </c>
      <c r="M62" s="43" t="str">
        <f t="shared" si="2"/>
        <v/>
      </c>
      <c r="N62" s="47" t="str">
        <f t="shared" si="3"/>
        <v/>
      </c>
      <c r="O62" s="48" t="str">
        <f>IF(H62="I",N62*Contagem!$U$11,IF(H62="E",N62*Contagem!$U$13,IF(H62="A",N62*Contagem!$U$12,IF(H62="T",N62*Contagem!$U$14,""))))</f>
        <v/>
      </c>
      <c r="P62" s="36"/>
      <c r="Q62" s="49">
        <f>IF(H62="I",Sumário!$F$55,IF(H62="A",Sumário!$F$56,Sumário!$F$57))</f>
        <v>0.4</v>
      </c>
      <c r="R62" s="51" t="b">
        <f t="shared" si="4"/>
        <v>0</v>
      </c>
      <c r="S62" s="33" t="b">
        <f t="shared" si="5"/>
        <v>0</v>
      </c>
      <c r="T62" s="33"/>
      <c r="U62" s="33"/>
      <c r="V62" s="33"/>
      <c r="W62" s="52"/>
      <c r="X62" s="52"/>
      <c r="Y62" s="52"/>
      <c r="Z62" s="52"/>
      <c r="AA62" s="52"/>
      <c r="AB62" s="52"/>
      <c r="AC62" s="52"/>
      <c r="AD62" s="52"/>
      <c r="AE62" s="52"/>
    </row>
    <row r="63" spans="1:31" ht="18" customHeight="1">
      <c r="A63" s="31"/>
      <c r="B63" s="33"/>
      <c r="C63" s="33"/>
      <c r="D63" s="33"/>
      <c r="E63" s="33"/>
      <c r="F63" s="35"/>
      <c r="G63" s="36"/>
      <c r="H63" s="36"/>
      <c r="I63" s="36"/>
      <c r="J63" s="36"/>
      <c r="K63" s="36" t="str">
        <f t="shared" si="0"/>
        <v/>
      </c>
      <c r="L63" s="41" t="str">
        <f t="shared" si="1"/>
        <v/>
      </c>
      <c r="M63" s="43" t="str">
        <f t="shared" si="2"/>
        <v/>
      </c>
      <c r="N63" s="47" t="str">
        <f t="shared" si="3"/>
        <v/>
      </c>
      <c r="O63" s="48" t="str">
        <f>IF(H63="I",N63*Contagem!$U$11,IF(H63="E",N63*Contagem!$U$13,IF(H63="A",N63*Contagem!$U$12,IF(H63="T",N63*Contagem!$U$14,""))))</f>
        <v/>
      </c>
      <c r="P63" s="36"/>
      <c r="Q63" s="49">
        <f>IF(H63="I",Sumário!$F$55,IF(H63="A",Sumário!$F$56,Sumário!$F$57))</f>
        <v>0.4</v>
      </c>
      <c r="R63" s="51" t="b">
        <f t="shared" si="4"/>
        <v>0</v>
      </c>
      <c r="S63" s="33" t="b">
        <f t="shared" si="5"/>
        <v>0</v>
      </c>
      <c r="T63" s="33"/>
      <c r="U63" s="33"/>
      <c r="V63" s="33"/>
      <c r="W63" s="52"/>
      <c r="X63" s="52"/>
      <c r="Y63" s="52"/>
      <c r="Z63" s="52"/>
      <c r="AA63" s="52"/>
      <c r="AB63" s="52"/>
      <c r="AC63" s="52"/>
      <c r="AD63" s="52"/>
      <c r="AE63" s="52"/>
    </row>
    <row r="64" spans="1:31" ht="18" customHeight="1">
      <c r="A64" s="31"/>
      <c r="B64" s="33"/>
      <c r="C64" s="33"/>
      <c r="D64" s="33"/>
      <c r="E64" s="33"/>
      <c r="F64" s="35"/>
      <c r="G64" s="36"/>
      <c r="H64" s="36"/>
      <c r="I64" s="36"/>
      <c r="J64" s="36"/>
      <c r="K64" s="36" t="str">
        <f t="shared" si="0"/>
        <v/>
      </c>
      <c r="L64" s="41" t="str">
        <f t="shared" si="1"/>
        <v/>
      </c>
      <c r="M64" s="43" t="str">
        <f t="shared" si="2"/>
        <v/>
      </c>
      <c r="N64" s="47" t="str">
        <f t="shared" si="3"/>
        <v/>
      </c>
      <c r="O64" s="48" t="str">
        <f>IF(H64="I",N64*Contagem!$U$11,IF(H64="E",N64*Contagem!$U$13,IF(H64="A",N64*Contagem!$U$12,IF(H64="T",N64*Contagem!$U$14,""))))</f>
        <v/>
      </c>
      <c r="P64" s="36"/>
      <c r="Q64" s="49">
        <f>IF(H64="I",Sumário!$F$55,IF(H64="A",Sumário!$F$56,Sumário!$F$57))</f>
        <v>0.4</v>
      </c>
      <c r="R64" s="51" t="b">
        <f t="shared" si="4"/>
        <v>0</v>
      </c>
      <c r="S64" s="33" t="b">
        <f t="shared" si="5"/>
        <v>0</v>
      </c>
      <c r="T64" s="33"/>
      <c r="U64" s="33"/>
      <c r="V64" s="33"/>
      <c r="W64" s="52"/>
      <c r="X64" s="52"/>
      <c r="Y64" s="52"/>
      <c r="Z64" s="52"/>
      <c r="AA64" s="52"/>
      <c r="AB64" s="52"/>
      <c r="AC64" s="52"/>
      <c r="AD64" s="52"/>
      <c r="AE64" s="52"/>
    </row>
    <row r="65" spans="1:31" ht="18" customHeight="1">
      <c r="A65" s="31"/>
      <c r="B65" s="33"/>
      <c r="C65" s="33"/>
      <c r="D65" s="33"/>
      <c r="E65" s="33"/>
      <c r="F65" s="35"/>
      <c r="G65" s="36"/>
      <c r="H65" s="36"/>
      <c r="I65" s="36"/>
      <c r="J65" s="36"/>
      <c r="K65" s="36" t="str">
        <f t="shared" si="0"/>
        <v/>
      </c>
      <c r="L65" s="41" t="str">
        <f t="shared" si="1"/>
        <v/>
      </c>
      <c r="M65" s="43" t="str">
        <f t="shared" si="2"/>
        <v/>
      </c>
      <c r="N65" s="47" t="str">
        <f t="shared" si="3"/>
        <v/>
      </c>
      <c r="O65" s="48" t="str">
        <f>IF(H65="I",N65*Contagem!$U$11,IF(H65="E",N65*Contagem!$U$13,IF(H65="A",N65*Contagem!$U$12,IF(H65="T",N65*Contagem!$U$14,""))))</f>
        <v/>
      </c>
      <c r="P65" s="36"/>
      <c r="Q65" s="49">
        <f>IF(H65="I",Sumário!$F$55,IF(H65="A",Sumário!$F$56,Sumário!$F$57))</f>
        <v>0.4</v>
      </c>
      <c r="R65" s="51" t="b">
        <f t="shared" si="4"/>
        <v>0</v>
      </c>
      <c r="S65" s="33" t="b">
        <f t="shared" si="5"/>
        <v>0</v>
      </c>
      <c r="T65" s="33"/>
      <c r="U65" s="33"/>
      <c r="V65" s="33"/>
      <c r="W65" s="52"/>
      <c r="X65" s="52"/>
      <c r="Y65" s="52"/>
      <c r="Z65" s="52"/>
      <c r="AA65" s="52"/>
      <c r="AB65" s="52"/>
      <c r="AC65" s="52"/>
      <c r="AD65" s="52"/>
      <c r="AE65" s="52"/>
    </row>
    <row r="66" spans="1:31" ht="18" customHeight="1">
      <c r="A66" s="31"/>
      <c r="B66" s="33"/>
      <c r="C66" s="33"/>
      <c r="D66" s="33"/>
      <c r="E66" s="33"/>
      <c r="F66" s="35"/>
      <c r="G66" s="36"/>
      <c r="H66" s="36"/>
      <c r="I66" s="36"/>
      <c r="J66" s="36"/>
      <c r="K66" s="36" t="str">
        <f t="shared" si="0"/>
        <v/>
      </c>
      <c r="L66" s="41" t="str">
        <f t="shared" si="1"/>
        <v/>
      </c>
      <c r="M66" s="43" t="str">
        <f t="shared" si="2"/>
        <v/>
      </c>
      <c r="N66" s="47" t="str">
        <f t="shared" si="3"/>
        <v/>
      </c>
      <c r="O66" s="48" t="str">
        <f>IF(H66="I",N66*Contagem!$U$11,IF(H66="E",N66*Contagem!$U$13,IF(H66="A",N66*Contagem!$U$12,IF(H66="T",N66*Contagem!$U$14,""))))</f>
        <v/>
      </c>
      <c r="P66" s="36"/>
      <c r="Q66" s="49">
        <f>IF(H66="I",Sumário!$F$55,IF(H66="A",Sumário!$F$56,Sumário!$F$57))</f>
        <v>0.4</v>
      </c>
      <c r="R66" s="51" t="b">
        <f t="shared" si="4"/>
        <v>0</v>
      </c>
      <c r="S66" s="33" t="b">
        <f t="shared" si="5"/>
        <v>0</v>
      </c>
      <c r="T66" s="33"/>
      <c r="U66" s="33"/>
      <c r="V66" s="33"/>
      <c r="W66" s="52"/>
      <c r="X66" s="52"/>
      <c r="Y66" s="52"/>
      <c r="Z66" s="52"/>
      <c r="AA66" s="52"/>
      <c r="AB66" s="52"/>
      <c r="AC66" s="52"/>
      <c r="AD66" s="52"/>
      <c r="AE66" s="52"/>
    </row>
    <row r="67" spans="1:31" ht="18" customHeight="1">
      <c r="A67" s="31"/>
      <c r="B67" s="33"/>
      <c r="C67" s="33"/>
      <c r="D67" s="33"/>
      <c r="E67" s="33"/>
      <c r="F67" s="35"/>
      <c r="G67" s="36"/>
      <c r="H67" s="36"/>
      <c r="I67" s="36"/>
      <c r="J67" s="36"/>
      <c r="K67" s="36" t="str">
        <f t="shared" si="0"/>
        <v/>
      </c>
      <c r="L67" s="41" t="str">
        <f t="shared" si="1"/>
        <v/>
      </c>
      <c r="M67" s="43" t="str">
        <f t="shared" si="2"/>
        <v/>
      </c>
      <c r="N67" s="47" t="str">
        <f t="shared" si="3"/>
        <v/>
      </c>
      <c r="O67" s="48" t="str">
        <f>IF(H67="I",N67*Contagem!$U$11,IF(H67="E",N67*Contagem!$U$13,IF(H67="A",N67*Contagem!$U$12,IF(H67="T",N67*Contagem!$U$14,""))))</f>
        <v/>
      </c>
      <c r="P67" s="36"/>
      <c r="Q67" s="49">
        <f>IF(H67="I",Sumário!$F$55,IF(H67="A",Sumário!$F$56,Sumário!$F$57))</f>
        <v>0.4</v>
      </c>
      <c r="R67" s="51" t="b">
        <f t="shared" si="4"/>
        <v>0</v>
      </c>
      <c r="S67" s="33" t="b">
        <f t="shared" si="5"/>
        <v>0</v>
      </c>
      <c r="T67" s="33"/>
      <c r="U67" s="33"/>
      <c r="V67" s="33"/>
      <c r="W67" s="52"/>
      <c r="X67" s="52"/>
      <c r="Y67" s="52"/>
      <c r="Z67" s="52"/>
      <c r="AA67" s="52"/>
      <c r="AB67" s="52"/>
      <c r="AC67" s="52"/>
      <c r="AD67" s="52"/>
      <c r="AE67" s="52"/>
    </row>
    <row r="68" spans="1:31" ht="18" customHeight="1">
      <c r="A68" s="31"/>
      <c r="B68" s="33"/>
      <c r="C68" s="33"/>
      <c r="D68" s="33"/>
      <c r="E68" s="33"/>
      <c r="F68" s="35"/>
      <c r="G68" s="36"/>
      <c r="H68" s="36"/>
      <c r="I68" s="36"/>
      <c r="J68" s="36"/>
      <c r="K68" s="36" t="str">
        <f t="shared" si="0"/>
        <v/>
      </c>
      <c r="L68" s="41" t="str">
        <f t="shared" si="1"/>
        <v/>
      </c>
      <c r="M68" s="43" t="str">
        <f t="shared" si="2"/>
        <v/>
      </c>
      <c r="N68" s="47" t="str">
        <f t="shared" si="3"/>
        <v/>
      </c>
      <c r="O68" s="48" t="str">
        <f>IF(H68="I",N68*Contagem!$U$11,IF(H68="E",N68*Contagem!$U$13,IF(H68="A",N68*Contagem!$U$12,IF(H68="T",N68*Contagem!$U$14,""))))</f>
        <v/>
      </c>
      <c r="P68" s="36"/>
      <c r="Q68" s="49">
        <f>IF(H68="I",Sumário!$F$55,IF(H68="A",Sumário!$F$56,Sumário!$F$57))</f>
        <v>0.4</v>
      </c>
      <c r="R68" s="51" t="b">
        <f t="shared" si="4"/>
        <v>0</v>
      </c>
      <c r="S68" s="33" t="b">
        <f t="shared" si="5"/>
        <v>0</v>
      </c>
      <c r="T68" s="33"/>
      <c r="U68" s="33"/>
      <c r="V68" s="33"/>
      <c r="W68" s="52"/>
      <c r="X68" s="52"/>
      <c r="Y68" s="52"/>
      <c r="Z68" s="52"/>
      <c r="AA68" s="52"/>
      <c r="AB68" s="52"/>
      <c r="AC68" s="52"/>
      <c r="AD68" s="52"/>
      <c r="AE68" s="52"/>
    </row>
    <row r="69" spans="1:31" ht="18" customHeight="1">
      <c r="A69" s="31"/>
      <c r="B69" s="33"/>
      <c r="C69" s="33"/>
      <c r="D69" s="33"/>
      <c r="E69" s="33"/>
      <c r="F69" s="35"/>
      <c r="G69" s="36"/>
      <c r="H69" s="36"/>
      <c r="I69" s="36"/>
      <c r="J69" s="36"/>
      <c r="K69" s="36" t="str">
        <f t="shared" si="0"/>
        <v/>
      </c>
      <c r="L69" s="41" t="str">
        <f t="shared" si="1"/>
        <v/>
      </c>
      <c r="M69" s="43" t="str">
        <f t="shared" si="2"/>
        <v/>
      </c>
      <c r="N69" s="47" t="str">
        <f t="shared" si="3"/>
        <v/>
      </c>
      <c r="O69" s="48" t="str">
        <f>IF(H69="I",N69*Contagem!$U$11,IF(H69="E",N69*Contagem!$U$13,IF(H69="A",N69*Contagem!$U$12,IF(H69="T",N69*Contagem!$U$14,""))))</f>
        <v/>
      </c>
      <c r="P69" s="36"/>
      <c r="Q69" s="49">
        <f>IF(H69="I",Sumário!$F$55,IF(H69="A",Sumário!$F$56,Sumário!$F$57))</f>
        <v>0.4</v>
      </c>
      <c r="R69" s="51" t="b">
        <f t="shared" si="4"/>
        <v>0</v>
      </c>
      <c r="S69" s="33" t="b">
        <f t="shared" si="5"/>
        <v>0</v>
      </c>
      <c r="T69" s="33"/>
      <c r="U69" s="33"/>
      <c r="V69" s="33"/>
      <c r="W69" s="52"/>
      <c r="X69" s="52"/>
      <c r="Y69" s="52"/>
      <c r="Z69" s="52"/>
      <c r="AA69" s="52"/>
      <c r="AB69" s="52"/>
      <c r="AC69" s="52"/>
      <c r="AD69" s="52"/>
      <c r="AE69" s="52"/>
    </row>
    <row r="70" spans="1:31" ht="18" customHeight="1">
      <c r="A70" s="31"/>
      <c r="B70" s="33"/>
      <c r="C70" s="33"/>
      <c r="D70" s="33"/>
      <c r="E70" s="33"/>
      <c r="F70" s="35"/>
      <c r="G70" s="36"/>
      <c r="H70" s="36"/>
      <c r="I70" s="36"/>
      <c r="J70" s="36"/>
      <c r="K70" s="36" t="str">
        <f t="shared" si="0"/>
        <v/>
      </c>
      <c r="L70" s="41" t="str">
        <f t="shared" si="1"/>
        <v/>
      </c>
      <c r="M70" s="43" t="str">
        <f t="shared" si="2"/>
        <v/>
      </c>
      <c r="N70" s="47" t="str">
        <f t="shared" si="3"/>
        <v/>
      </c>
      <c r="O70" s="48" t="str">
        <f>IF(H70="I",N70*Contagem!$U$11,IF(H70="E",N70*Contagem!$U$13,IF(H70="A",N70*Contagem!$U$12,IF(H70="T",N70*Contagem!$U$14,""))))</f>
        <v/>
      </c>
      <c r="P70" s="36"/>
      <c r="Q70" s="49">
        <f>IF(H70="I",Sumário!$F$55,IF(H70="A",Sumário!$F$56,Sumário!$F$57))</f>
        <v>0.4</v>
      </c>
      <c r="R70" s="51" t="b">
        <f t="shared" si="4"/>
        <v>0</v>
      </c>
      <c r="S70" s="33" t="b">
        <f t="shared" si="5"/>
        <v>0</v>
      </c>
      <c r="T70" s="33"/>
      <c r="U70" s="33"/>
      <c r="V70" s="33"/>
      <c r="W70" s="52"/>
      <c r="X70" s="52"/>
      <c r="Y70" s="52"/>
      <c r="Z70" s="52"/>
      <c r="AA70" s="52"/>
      <c r="AB70" s="52"/>
      <c r="AC70" s="52"/>
      <c r="AD70" s="52"/>
      <c r="AE70" s="52"/>
    </row>
    <row r="71" spans="1:31" ht="18" customHeight="1">
      <c r="A71" s="31"/>
      <c r="B71" s="33"/>
      <c r="C71" s="33"/>
      <c r="D71" s="33"/>
      <c r="E71" s="33"/>
      <c r="F71" s="35"/>
      <c r="G71" s="36"/>
      <c r="H71" s="36"/>
      <c r="I71" s="36"/>
      <c r="J71" s="36"/>
      <c r="K71" s="36" t="str">
        <f t="shared" si="0"/>
        <v/>
      </c>
      <c r="L71" s="41" t="str">
        <f t="shared" si="1"/>
        <v/>
      </c>
      <c r="M71" s="43" t="str">
        <f t="shared" si="2"/>
        <v/>
      </c>
      <c r="N71" s="47" t="str">
        <f t="shared" si="3"/>
        <v/>
      </c>
      <c r="O71" s="48" t="str">
        <f>IF(H71="I",N71*Contagem!$U$11,IF(H71="E",N71*Contagem!$U$13,IF(H71="A",N71*Contagem!$U$12,IF(H71="T",N71*Contagem!$U$14,""))))</f>
        <v/>
      </c>
      <c r="P71" s="36"/>
      <c r="Q71" s="49">
        <f>IF(H71="I",Sumário!$F$55,IF(H71="A",Sumário!$F$56,Sumário!$F$57))</f>
        <v>0.4</v>
      </c>
      <c r="R71" s="51" t="b">
        <f t="shared" si="4"/>
        <v>0</v>
      </c>
      <c r="S71" s="33" t="b">
        <f t="shared" si="5"/>
        <v>0</v>
      </c>
      <c r="T71" s="33"/>
      <c r="U71" s="33"/>
      <c r="V71" s="33"/>
      <c r="W71" s="52"/>
      <c r="X71" s="52"/>
      <c r="Y71" s="52"/>
      <c r="Z71" s="52"/>
      <c r="AA71" s="52"/>
      <c r="AB71" s="52"/>
      <c r="AC71" s="52"/>
      <c r="AD71" s="52"/>
      <c r="AE71" s="52"/>
    </row>
    <row r="72" spans="1:31" ht="18" customHeight="1">
      <c r="A72" s="31"/>
      <c r="B72" s="33"/>
      <c r="C72" s="33"/>
      <c r="D72" s="33"/>
      <c r="E72" s="33"/>
      <c r="F72" s="35"/>
      <c r="G72" s="36"/>
      <c r="H72" s="36"/>
      <c r="I72" s="36"/>
      <c r="J72" s="36"/>
      <c r="K72" s="36" t="str">
        <f t="shared" si="0"/>
        <v/>
      </c>
      <c r="L72" s="41" t="str">
        <f t="shared" si="1"/>
        <v/>
      </c>
      <c r="M72" s="43" t="str">
        <f t="shared" si="2"/>
        <v/>
      </c>
      <c r="N72" s="47" t="str">
        <f t="shared" si="3"/>
        <v/>
      </c>
      <c r="O72" s="48" t="str">
        <f>IF(H72="I",N72*Contagem!$U$11,IF(H72="E",N72*Contagem!$U$13,IF(H72="A",N72*Contagem!$U$12,IF(H72="T",N72*Contagem!$U$14,""))))</f>
        <v/>
      </c>
      <c r="P72" s="36"/>
      <c r="Q72" s="49">
        <f>IF(H72="I",Sumário!$F$55,IF(H72="A",Sumário!$F$56,Sumário!$F$57))</f>
        <v>0.4</v>
      </c>
      <c r="R72" s="51" t="b">
        <f t="shared" si="4"/>
        <v>0</v>
      </c>
      <c r="S72" s="33" t="b">
        <f t="shared" si="5"/>
        <v>0</v>
      </c>
      <c r="T72" s="33"/>
      <c r="U72" s="33"/>
      <c r="V72" s="33"/>
      <c r="W72" s="52"/>
      <c r="X72" s="52"/>
      <c r="Y72" s="52"/>
      <c r="Z72" s="52"/>
      <c r="AA72" s="52"/>
      <c r="AB72" s="52"/>
      <c r="AC72" s="52"/>
      <c r="AD72" s="52"/>
      <c r="AE72" s="52"/>
    </row>
    <row r="73" spans="1:31" ht="18" customHeight="1">
      <c r="A73" s="31"/>
      <c r="B73" s="33"/>
      <c r="C73" s="33"/>
      <c r="D73" s="33"/>
      <c r="E73" s="33"/>
      <c r="F73" s="35"/>
      <c r="G73" s="36"/>
      <c r="H73" s="36"/>
      <c r="I73" s="36"/>
      <c r="J73" s="36"/>
      <c r="K73" s="36" t="str">
        <f t="shared" si="0"/>
        <v/>
      </c>
      <c r="L73" s="41" t="str">
        <f t="shared" si="1"/>
        <v/>
      </c>
      <c r="M73" s="43" t="str">
        <f t="shared" si="2"/>
        <v/>
      </c>
      <c r="N73" s="47" t="str">
        <f t="shared" si="3"/>
        <v/>
      </c>
      <c r="O73" s="48" t="str">
        <f>IF(H73="I",N73*Contagem!$U$11,IF(H73="E",N73*Contagem!$U$13,IF(H73="A",N73*Contagem!$U$12,IF(H73="T",N73*Contagem!$U$14,""))))</f>
        <v/>
      </c>
      <c r="P73" s="36"/>
      <c r="Q73" s="49">
        <f>IF(H73="I",Sumário!$F$55,IF(H73="A",Sumário!$F$56,Sumário!$F$57))</f>
        <v>0.4</v>
      </c>
      <c r="R73" s="51" t="b">
        <f t="shared" si="4"/>
        <v>0</v>
      </c>
      <c r="S73" s="33" t="b">
        <f t="shared" si="5"/>
        <v>0</v>
      </c>
      <c r="T73" s="33"/>
      <c r="U73" s="33"/>
      <c r="V73" s="33"/>
      <c r="W73" s="52"/>
      <c r="X73" s="52"/>
      <c r="Y73" s="52"/>
      <c r="Z73" s="52"/>
      <c r="AA73" s="52"/>
      <c r="AB73" s="52"/>
      <c r="AC73" s="52"/>
      <c r="AD73" s="52"/>
      <c r="AE73" s="52"/>
    </row>
    <row r="74" spans="1:31" ht="18" customHeight="1">
      <c r="A74" s="31"/>
      <c r="B74" s="33"/>
      <c r="C74" s="33"/>
      <c r="D74" s="33"/>
      <c r="E74" s="33"/>
      <c r="F74" s="35"/>
      <c r="G74" s="36"/>
      <c r="H74" s="36"/>
      <c r="I74" s="36"/>
      <c r="J74" s="36"/>
      <c r="K74" s="36" t="str">
        <f t="shared" si="0"/>
        <v/>
      </c>
      <c r="L74" s="41" t="str">
        <f t="shared" si="1"/>
        <v/>
      </c>
      <c r="M74" s="43" t="str">
        <f t="shared" si="2"/>
        <v/>
      </c>
      <c r="N74" s="47" t="str">
        <f t="shared" si="3"/>
        <v/>
      </c>
      <c r="O74" s="48" t="str">
        <f>IF(H74="I",N74*Contagem!$U$11,IF(H74="E",N74*Contagem!$U$13,IF(H74="A",N74*Contagem!$U$12,IF(H74="T",N74*Contagem!$U$14,""))))</f>
        <v/>
      </c>
      <c r="P74" s="36"/>
      <c r="Q74" s="49">
        <f>IF(H74="I",Sumário!$F$55,IF(H74="A",Sumário!$F$56,Sumário!$F$57))</f>
        <v>0.4</v>
      </c>
      <c r="R74" s="51" t="b">
        <f t="shared" si="4"/>
        <v>0</v>
      </c>
      <c r="S74" s="33" t="b">
        <f t="shared" si="5"/>
        <v>0</v>
      </c>
      <c r="T74" s="33"/>
      <c r="U74" s="33"/>
      <c r="V74" s="33"/>
      <c r="W74" s="52"/>
      <c r="X74" s="52"/>
      <c r="Y74" s="52"/>
      <c r="Z74" s="52"/>
      <c r="AA74" s="52"/>
      <c r="AB74" s="52"/>
      <c r="AC74" s="52"/>
      <c r="AD74" s="52"/>
      <c r="AE74" s="52"/>
    </row>
    <row r="75" spans="1:31" ht="18" customHeight="1">
      <c r="A75" s="31"/>
      <c r="B75" s="33"/>
      <c r="C75" s="33"/>
      <c r="D75" s="33"/>
      <c r="E75" s="33"/>
      <c r="F75" s="35"/>
      <c r="G75" s="36"/>
      <c r="H75" s="36"/>
      <c r="I75" s="36"/>
      <c r="J75" s="36"/>
      <c r="K75" s="36" t="str">
        <f t="shared" si="0"/>
        <v/>
      </c>
      <c r="L75" s="41" t="str">
        <f t="shared" si="1"/>
        <v/>
      </c>
      <c r="M75" s="43" t="str">
        <f t="shared" si="2"/>
        <v/>
      </c>
      <c r="N75" s="47" t="str">
        <f t="shared" si="3"/>
        <v/>
      </c>
      <c r="O75" s="48" t="str">
        <f>IF(H75="I",N75*Contagem!$U$11,IF(H75="E",N75*Contagem!$U$13,IF(H75="A",N75*Contagem!$U$12,IF(H75="T",N75*Contagem!$U$14,""))))</f>
        <v/>
      </c>
      <c r="P75" s="36"/>
      <c r="Q75" s="49">
        <f>IF(H75="I",Sumário!$F$55,IF(H75="A",Sumário!$F$56,Sumário!$F$57))</f>
        <v>0.4</v>
      </c>
      <c r="R75" s="51" t="b">
        <f t="shared" si="4"/>
        <v>0</v>
      </c>
      <c r="S75" s="33" t="b">
        <f t="shared" si="5"/>
        <v>0</v>
      </c>
      <c r="T75" s="33"/>
      <c r="U75" s="33"/>
      <c r="V75" s="33"/>
      <c r="W75" s="52"/>
      <c r="X75" s="52"/>
      <c r="Y75" s="52"/>
      <c r="Z75" s="52"/>
      <c r="AA75" s="52"/>
      <c r="AB75" s="52"/>
      <c r="AC75" s="52"/>
      <c r="AD75" s="52"/>
      <c r="AE75" s="52"/>
    </row>
    <row r="76" spans="1:31" ht="18" customHeight="1">
      <c r="A76" s="31"/>
      <c r="B76" s="33"/>
      <c r="C76" s="33"/>
      <c r="D76" s="33"/>
      <c r="E76" s="33"/>
      <c r="F76" s="35"/>
      <c r="G76" s="36"/>
      <c r="H76" s="36"/>
      <c r="I76" s="36"/>
      <c r="J76" s="36"/>
      <c r="K76" s="36" t="str">
        <f t="shared" si="0"/>
        <v/>
      </c>
      <c r="L76" s="41" t="str">
        <f t="shared" si="1"/>
        <v/>
      </c>
      <c r="M76" s="43" t="str">
        <f t="shared" si="2"/>
        <v/>
      </c>
      <c r="N76" s="47" t="str">
        <f t="shared" si="3"/>
        <v/>
      </c>
      <c r="O76" s="48" t="str">
        <f>IF(H76="I",N76*Contagem!$U$11,IF(H76="E",N76*Contagem!$U$13,IF(H76="A",N76*Contagem!$U$12,IF(H76="T",N76*Contagem!$U$14,""))))</f>
        <v/>
      </c>
      <c r="P76" s="36"/>
      <c r="Q76" s="49">
        <f>IF(H76="I",Sumário!$F$55,IF(H76="A",Sumário!$F$56,Sumário!$F$57))</f>
        <v>0.4</v>
      </c>
      <c r="R76" s="51" t="b">
        <f t="shared" si="4"/>
        <v>0</v>
      </c>
      <c r="S76" s="33" t="b">
        <f t="shared" si="5"/>
        <v>0</v>
      </c>
      <c r="T76" s="33"/>
      <c r="U76" s="33"/>
      <c r="V76" s="33"/>
      <c r="W76" s="52"/>
      <c r="X76" s="52"/>
      <c r="Y76" s="52"/>
      <c r="Z76" s="52"/>
      <c r="AA76" s="52"/>
      <c r="AB76" s="52"/>
      <c r="AC76" s="52"/>
      <c r="AD76" s="52"/>
      <c r="AE76" s="52"/>
    </row>
    <row r="77" spans="1:31" ht="18" customHeight="1">
      <c r="A77" s="31"/>
      <c r="B77" s="33"/>
      <c r="C77" s="33"/>
      <c r="D77" s="33"/>
      <c r="E77" s="33"/>
      <c r="F77" s="35"/>
      <c r="G77" s="36"/>
      <c r="H77" s="36"/>
      <c r="I77" s="36"/>
      <c r="J77" s="36"/>
      <c r="K77" s="36" t="str">
        <f t="shared" si="0"/>
        <v/>
      </c>
      <c r="L77" s="41" t="str">
        <f t="shared" si="1"/>
        <v/>
      </c>
      <c r="M77" s="43" t="str">
        <f t="shared" si="2"/>
        <v/>
      </c>
      <c r="N77" s="47" t="str">
        <f t="shared" si="3"/>
        <v/>
      </c>
      <c r="O77" s="48" t="str">
        <f>IF(H77="I",N77*Contagem!$U$11,IF(H77="E",N77*Contagem!$U$13,IF(H77="A",N77*Contagem!$U$12,IF(H77="T",N77*Contagem!$U$14,""))))</f>
        <v/>
      </c>
      <c r="P77" s="36"/>
      <c r="Q77" s="49">
        <f>IF(H77="I",Sumário!$F$55,IF(H77="A",Sumário!$F$56,Sumário!$F$57))</f>
        <v>0.4</v>
      </c>
      <c r="R77" s="51" t="b">
        <f t="shared" si="4"/>
        <v>0</v>
      </c>
      <c r="S77" s="33" t="b">
        <f t="shared" si="5"/>
        <v>0</v>
      </c>
      <c r="T77" s="33"/>
      <c r="U77" s="33"/>
      <c r="V77" s="33"/>
      <c r="W77" s="52"/>
      <c r="X77" s="52"/>
      <c r="Y77" s="52"/>
      <c r="Z77" s="52"/>
      <c r="AA77" s="52"/>
      <c r="AB77" s="52"/>
      <c r="AC77" s="52"/>
      <c r="AD77" s="52"/>
      <c r="AE77" s="52"/>
    </row>
    <row r="78" spans="1:31" ht="18" customHeight="1">
      <c r="A78" s="31"/>
      <c r="B78" s="33"/>
      <c r="C78" s="33"/>
      <c r="D78" s="33"/>
      <c r="E78" s="33"/>
      <c r="F78" s="35"/>
      <c r="G78" s="36"/>
      <c r="H78" s="36"/>
      <c r="I78" s="36"/>
      <c r="J78" s="36"/>
      <c r="K78" s="36" t="str">
        <f t="shared" si="0"/>
        <v/>
      </c>
      <c r="L78" s="41" t="str">
        <f t="shared" si="1"/>
        <v/>
      </c>
      <c r="M78" s="43" t="str">
        <f t="shared" si="2"/>
        <v/>
      </c>
      <c r="N78" s="47" t="str">
        <f t="shared" si="3"/>
        <v/>
      </c>
      <c r="O78" s="48" t="str">
        <f>IF(H78="I",N78*Contagem!$U$11,IF(H78="E",N78*Contagem!$U$13,IF(H78="A",N78*Contagem!$U$12,IF(H78="T",N78*Contagem!$U$14,""))))</f>
        <v/>
      </c>
      <c r="P78" s="36"/>
      <c r="Q78" s="49">
        <f>IF(H78="I",Sumário!$F$55,IF(H78="A",Sumário!$F$56,Sumário!$F$57))</f>
        <v>0.4</v>
      </c>
      <c r="R78" s="51" t="b">
        <f t="shared" si="4"/>
        <v>0</v>
      </c>
      <c r="S78" s="33" t="b">
        <f t="shared" si="5"/>
        <v>0</v>
      </c>
      <c r="T78" s="33"/>
      <c r="U78" s="33"/>
      <c r="V78" s="33"/>
      <c r="W78" s="52"/>
      <c r="X78" s="52"/>
      <c r="Y78" s="52"/>
      <c r="Z78" s="52"/>
      <c r="AA78" s="52"/>
      <c r="AB78" s="52"/>
      <c r="AC78" s="52"/>
      <c r="AD78" s="52"/>
      <c r="AE78" s="52"/>
    </row>
    <row r="79" spans="1:31" ht="18" customHeight="1">
      <c r="A79" s="31"/>
      <c r="B79" s="33"/>
      <c r="C79" s="33"/>
      <c r="D79" s="33"/>
      <c r="E79" s="33"/>
      <c r="F79" s="35"/>
      <c r="G79" s="36"/>
      <c r="H79" s="36"/>
      <c r="I79" s="36"/>
      <c r="J79" s="36"/>
      <c r="K79" s="36" t="str">
        <f t="shared" si="0"/>
        <v/>
      </c>
      <c r="L79" s="41" t="str">
        <f t="shared" si="1"/>
        <v/>
      </c>
      <c r="M79" s="43" t="str">
        <f t="shared" si="2"/>
        <v/>
      </c>
      <c r="N79" s="47" t="str">
        <f t="shared" si="3"/>
        <v/>
      </c>
      <c r="O79" s="48" t="str">
        <f>IF(H79="I",N79*Contagem!$U$11,IF(H79="E",N79*Contagem!$U$13,IF(H79="A",N79*Contagem!$U$12,IF(H79="T",N79*Contagem!$U$14,""))))</f>
        <v/>
      </c>
      <c r="P79" s="36"/>
      <c r="Q79" s="49">
        <f>IF(H79="I",Sumário!$F$55,IF(H79="A",Sumário!$F$56,Sumário!$F$57))</f>
        <v>0.4</v>
      </c>
      <c r="R79" s="51" t="b">
        <f t="shared" si="4"/>
        <v>0</v>
      </c>
      <c r="S79" s="33" t="b">
        <f t="shared" si="5"/>
        <v>0</v>
      </c>
      <c r="T79" s="33"/>
      <c r="U79" s="33"/>
      <c r="V79" s="33"/>
      <c r="W79" s="52"/>
      <c r="X79" s="52"/>
      <c r="Y79" s="52"/>
      <c r="Z79" s="52"/>
      <c r="AA79" s="52"/>
      <c r="AB79" s="52"/>
      <c r="AC79" s="52"/>
      <c r="AD79" s="52"/>
      <c r="AE79" s="52"/>
    </row>
    <row r="80" spans="1:31" ht="18" customHeight="1">
      <c r="A80" s="31"/>
      <c r="B80" s="33"/>
      <c r="C80" s="33"/>
      <c r="D80" s="33"/>
      <c r="E80" s="33"/>
      <c r="F80" s="35"/>
      <c r="G80" s="36"/>
      <c r="H80" s="36"/>
      <c r="I80" s="36"/>
      <c r="J80" s="36"/>
      <c r="K80" s="36" t="str">
        <f t="shared" si="0"/>
        <v/>
      </c>
      <c r="L80" s="41" t="str">
        <f t="shared" si="1"/>
        <v/>
      </c>
      <c r="M80" s="43" t="str">
        <f t="shared" si="2"/>
        <v/>
      </c>
      <c r="N80" s="47" t="str">
        <f t="shared" si="3"/>
        <v/>
      </c>
      <c r="O80" s="48" t="str">
        <f>IF(H80="I",N80*Contagem!$U$11,IF(H80="E",N80*Contagem!$U$13,IF(H80="A",N80*Contagem!$U$12,IF(H80="T",N80*Contagem!$U$14,""))))</f>
        <v/>
      </c>
      <c r="P80" s="36"/>
      <c r="Q80" s="49">
        <f>IF(H80="I",Sumário!$F$55,IF(H80="A",Sumário!$F$56,Sumário!$F$57))</f>
        <v>0.4</v>
      </c>
      <c r="R80" s="51" t="b">
        <f t="shared" si="4"/>
        <v>0</v>
      </c>
      <c r="S80" s="33" t="b">
        <f t="shared" si="5"/>
        <v>0</v>
      </c>
      <c r="T80" s="33"/>
      <c r="U80" s="33"/>
      <c r="V80" s="33"/>
      <c r="W80" s="52"/>
      <c r="X80" s="52"/>
      <c r="Y80" s="52"/>
      <c r="Z80" s="52"/>
      <c r="AA80" s="52"/>
      <c r="AB80" s="52"/>
      <c r="AC80" s="52"/>
      <c r="AD80" s="52"/>
      <c r="AE80" s="52"/>
    </row>
    <row r="81" spans="1:31" ht="18" customHeight="1">
      <c r="A81" s="31"/>
      <c r="B81" s="33"/>
      <c r="C81" s="33"/>
      <c r="D81" s="33"/>
      <c r="E81" s="33"/>
      <c r="F81" s="35"/>
      <c r="G81" s="36"/>
      <c r="H81" s="36"/>
      <c r="I81" s="36"/>
      <c r="J81" s="36"/>
      <c r="K81" s="36" t="str">
        <f t="shared" si="0"/>
        <v/>
      </c>
      <c r="L81" s="41" t="str">
        <f t="shared" si="1"/>
        <v/>
      </c>
      <c r="M81" s="43" t="str">
        <f t="shared" si="2"/>
        <v/>
      </c>
      <c r="N81" s="47" t="str">
        <f t="shared" si="3"/>
        <v/>
      </c>
      <c r="O81" s="48" t="str">
        <f>IF(H81="I",N81*Contagem!$U$11,IF(H81="E",N81*Contagem!$U$13,IF(H81="A",N81*Contagem!$U$12,IF(H81="T",N81*Contagem!$U$14,""))))</f>
        <v/>
      </c>
      <c r="P81" s="36"/>
      <c r="Q81" s="49">
        <f>IF(H81="I",Sumário!$F$55,IF(H81="A",Sumário!$F$56,Sumário!$F$57))</f>
        <v>0.4</v>
      </c>
      <c r="R81" s="51" t="b">
        <f t="shared" si="4"/>
        <v>0</v>
      </c>
      <c r="S81" s="33" t="b">
        <f t="shared" si="5"/>
        <v>0</v>
      </c>
      <c r="T81" s="33"/>
      <c r="U81" s="33"/>
      <c r="V81" s="33"/>
      <c r="W81" s="52"/>
      <c r="X81" s="52"/>
      <c r="Y81" s="52"/>
      <c r="Z81" s="52"/>
      <c r="AA81" s="52"/>
      <c r="AB81" s="52"/>
      <c r="AC81" s="52"/>
      <c r="AD81" s="52"/>
      <c r="AE81" s="52"/>
    </row>
    <row r="82" spans="1:31" ht="18" customHeight="1">
      <c r="A82" s="31"/>
      <c r="B82" s="33"/>
      <c r="C82" s="33"/>
      <c r="D82" s="33"/>
      <c r="E82" s="33"/>
      <c r="F82" s="35"/>
      <c r="G82" s="36"/>
      <c r="H82" s="36"/>
      <c r="I82" s="36"/>
      <c r="J82" s="36"/>
      <c r="K82" s="36" t="str">
        <f t="shared" si="0"/>
        <v/>
      </c>
      <c r="L82" s="41" t="str">
        <f t="shared" si="1"/>
        <v/>
      </c>
      <c r="M82" s="43" t="str">
        <f t="shared" si="2"/>
        <v/>
      </c>
      <c r="N82" s="47" t="str">
        <f t="shared" si="3"/>
        <v/>
      </c>
      <c r="O82" s="48" t="str">
        <f>IF(H82="I",N82*Contagem!$U$11,IF(H82="E",N82*Contagem!$U$13,IF(H82="A",N82*Contagem!$U$12,IF(H82="T",N82*Contagem!$U$14,""))))</f>
        <v/>
      </c>
      <c r="P82" s="36"/>
      <c r="Q82" s="49">
        <f>IF(H82="I",Sumário!$F$55,IF(H82="A",Sumário!$F$56,Sumário!$F$57))</f>
        <v>0.4</v>
      </c>
      <c r="R82" s="51" t="b">
        <f t="shared" si="4"/>
        <v>0</v>
      </c>
      <c r="S82" s="33" t="b">
        <f t="shared" si="5"/>
        <v>0</v>
      </c>
      <c r="T82" s="33"/>
      <c r="U82" s="33"/>
      <c r="V82" s="33"/>
      <c r="W82" s="52"/>
      <c r="X82" s="52"/>
      <c r="Y82" s="52"/>
      <c r="Z82" s="52"/>
      <c r="AA82" s="52"/>
      <c r="AB82" s="52"/>
      <c r="AC82" s="52"/>
      <c r="AD82" s="52"/>
      <c r="AE82" s="52"/>
    </row>
    <row r="83" spans="1:31" ht="18" customHeight="1">
      <c r="A83" s="31"/>
      <c r="B83" s="33"/>
      <c r="C83" s="33"/>
      <c r="D83" s="33"/>
      <c r="E83" s="33"/>
      <c r="F83" s="35"/>
      <c r="G83" s="36"/>
      <c r="H83" s="36"/>
      <c r="I83" s="36"/>
      <c r="J83" s="36"/>
      <c r="K83" s="36" t="str">
        <f t="shared" si="0"/>
        <v/>
      </c>
      <c r="L83" s="41" t="str">
        <f t="shared" si="1"/>
        <v/>
      </c>
      <c r="M83" s="43" t="str">
        <f t="shared" si="2"/>
        <v/>
      </c>
      <c r="N83" s="47" t="str">
        <f t="shared" si="3"/>
        <v/>
      </c>
      <c r="O83" s="48" t="str">
        <f>IF(H83="I",N83*Contagem!$U$11,IF(H83="E",N83*Contagem!$U$13,IF(H83="A",N83*Contagem!$U$12,IF(H83="T",N83*Contagem!$U$14,""))))</f>
        <v/>
      </c>
      <c r="P83" s="36"/>
      <c r="Q83" s="49">
        <f>IF(H83="I",Sumário!$F$55,IF(H83="A",Sumário!$F$56,Sumário!$F$57))</f>
        <v>0.4</v>
      </c>
      <c r="R83" s="51" t="b">
        <f t="shared" si="4"/>
        <v>0</v>
      </c>
      <c r="S83" s="33" t="b">
        <f t="shared" si="5"/>
        <v>0</v>
      </c>
      <c r="T83" s="33"/>
      <c r="U83" s="33"/>
      <c r="V83" s="33"/>
      <c r="W83" s="52"/>
      <c r="X83" s="52"/>
      <c r="Y83" s="52"/>
      <c r="Z83" s="52"/>
      <c r="AA83" s="52"/>
      <c r="AB83" s="52"/>
      <c r="AC83" s="52"/>
      <c r="AD83" s="52"/>
      <c r="AE83" s="52"/>
    </row>
    <row r="84" spans="1:31" ht="18" customHeight="1">
      <c r="A84" s="31"/>
      <c r="B84" s="33"/>
      <c r="C84" s="33"/>
      <c r="D84" s="33"/>
      <c r="E84" s="33"/>
      <c r="F84" s="35"/>
      <c r="G84" s="36"/>
      <c r="H84" s="36"/>
      <c r="I84" s="36"/>
      <c r="J84" s="36"/>
      <c r="K84" s="36" t="str">
        <f t="shared" si="0"/>
        <v/>
      </c>
      <c r="L84" s="41" t="str">
        <f t="shared" si="1"/>
        <v/>
      </c>
      <c r="M84" s="43" t="str">
        <f t="shared" si="2"/>
        <v/>
      </c>
      <c r="N84" s="47" t="str">
        <f t="shared" si="3"/>
        <v/>
      </c>
      <c r="O84" s="48" t="str">
        <f>IF(H84="I",N84*Contagem!$U$11,IF(H84="E",N84*Contagem!$U$13,IF(H84="A",N84*Contagem!$U$12,IF(H84="T",N84*Contagem!$U$14,""))))</f>
        <v/>
      </c>
      <c r="P84" s="36"/>
      <c r="Q84" s="49">
        <f>IF(H84="I",Sumário!$F$55,IF(H84="A",Sumário!$F$56,Sumário!$F$57))</f>
        <v>0.4</v>
      </c>
      <c r="R84" s="51" t="b">
        <f t="shared" si="4"/>
        <v>0</v>
      </c>
      <c r="S84" s="33" t="b">
        <f t="shared" si="5"/>
        <v>0</v>
      </c>
      <c r="T84" s="33"/>
      <c r="U84" s="33"/>
      <c r="V84" s="33"/>
      <c r="W84" s="52"/>
      <c r="X84" s="52"/>
      <c r="Y84" s="52"/>
      <c r="Z84" s="52"/>
      <c r="AA84" s="52"/>
      <c r="AB84" s="52"/>
      <c r="AC84" s="52"/>
      <c r="AD84" s="52"/>
      <c r="AE84" s="52"/>
    </row>
    <row r="85" spans="1:31" ht="18" customHeight="1">
      <c r="A85" s="31"/>
      <c r="B85" s="33"/>
      <c r="C85" s="33"/>
      <c r="D85" s="33"/>
      <c r="E85" s="33"/>
      <c r="F85" s="35"/>
      <c r="G85" s="36"/>
      <c r="H85" s="36"/>
      <c r="I85" s="36"/>
      <c r="J85" s="36"/>
      <c r="K85" s="36" t="str">
        <f t="shared" si="0"/>
        <v/>
      </c>
      <c r="L85" s="41" t="str">
        <f t="shared" si="1"/>
        <v/>
      </c>
      <c r="M85" s="43" t="str">
        <f t="shared" si="2"/>
        <v/>
      </c>
      <c r="N85" s="47" t="str">
        <f t="shared" si="3"/>
        <v/>
      </c>
      <c r="O85" s="48" t="str">
        <f>IF(H85="I",N85*Contagem!$U$11,IF(H85="E",N85*Contagem!$U$13,IF(H85="A",N85*Contagem!$U$12,IF(H85="T",N85*Contagem!$U$14,""))))</f>
        <v/>
      </c>
      <c r="P85" s="36"/>
      <c r="Q85" s="49">
        <f>IF(H85="I",Sumário!$F$55,IF(H85="A",Sumário!$F$56,Sumário!$F$57))</f>
        <v>0.4</v>
      </c>
      <c r="R85" s="51" t="b">
        <f t="shared" si="4"/>
        <v>0</v>
      </c>
      <c r="S85" s="33" t="b">
        <f t="shared" si="5"/>
        <v>0</v>
      </c>
      <c r="T85" s="33"/>
      <c r="U85" s="33"/>
      <c r="V85" s="33"/>
      <c r="W85" s="52"/>
      <c r="X85" s="52"/>
      <c r="Y85" s="52"/>
      <c r="Z85" s="52"/>
      <c r="AA85" s="52"/>
      <c r="AB85" s="52"/>
      <c r="AC85" s="52"/>
      <c r="AD85" s="52"/>
      <c r="AE85" s="52"/>
    </row>
    <row r="86" spans="1:31" ht="18" customHeight="1">
      <c r="A86" s="31"/>
      <c r="B86" s="33"/>
      <c r="C86" s="33"/>
      <c r="D86" s="33"/>
      <c r="E86" s="33"/>
      <c r="F86" s="35"/>
      <c r="G86" s="36"/>
      <c r="H86" s="36"/>
      <c r="I86" s="36"/>
      <c r="J86" s="36"/>
      <c r="K86" s="36" t="str">
        <f t="shared" si="0"/>
        <v/>
      </c>
      <c r="L86" s="41" t="str">
        <f t="shared" si="1"/>
        <v/>
      </c>
      <c r="M86" s="43" t="str">
        <f t="shared" si="2"/>
        <v/>
      </c>
      <c r="N86" s="47" t="str">
        <f t="shared" si="3"/>
        <v/>
      </c>
      <c r="O86" s="48" t="str">
        <f>IF(H86="I",N86*Contagem!$U$11,IF(H86="E",N86*Contagem!$U$13,IF(H86="A",N86*Contagem!$U$12,IF(H86="T",N86*Contagem!$U$14,""))))</f>
        <v/>
      </c>
      <c r="P86" s="36"/>
      <c r="Q86" s="49">
        <f>IF(H86="I",Sumário!$F$55,IF(H86="A",Sumário!$F$56,Sumário!$F$57))</f>
        <v>0.4</v>
      </c>
      <c r="R86" s="51" t="b">
        <f t="shared" si="4"/>
        <v>0</v>
      </c>
      <c r="S86" s="33" t="b">
        <f t="shared" si="5"/>
        <v>0</v>
      </c>
      <c r="T86" s="33"/>
      <c r="U86" s="33"/>
      <c r="V86" s="33"/>
      <c r="W86" s="52"/>
      <c r="X86" s="52"/>
      <c r="Y86" s="52"/>
      <c r="Z86" s="52"/>
      <c r="AA86" s="52"/>
      <c r="AB86" s="52"/>
      <c r="AC86" s="52"/>
      <c r="AD86" s="52"/>
      <c r="AE86" s="52"/>
    </row>
    <row r="87" spans="1:31" ht="18" customHeight="1">
      <c r="A87" s="31"/>
      <c r="B87" s="33"/>
      <c r="C87" s="33"/>
      <c r="D87" s="33"/>
      <c r="E87" s="33"/>
      <c r="F87" s="35"/>
      <c r="G87" s="36"/>
      <c r="H87" s="36"/>
      <c r="I87" s="36"/>
      <c r="J87" s="36"/>
      <c r="K87" s="36" t="str">
        <f t="shared" si="0"/>
        <v/>
      </c>
      <c r="L87" s="41" t="str">
        <f t="shared" si="1"/>
        <v/>
      </c>
      <c r="M87" s="43" t="str">
        <f t="shared" si="2"/>
        <v/>
      </c>
      <c r="N87" s="47" t="str">
        <f t="shared" si="3"/>
        <v/>
      </c>
      <c r="O87" s="48" t="str">
        <f>IF(H87="I",N87*Contagem!$U$11,IF(H87="E",N87*Contagem!$U$13,IF(H87="A",N87*Contagem!$U$12,IF(H87="T",N87*Contagem!$U$14,""))))</f>
        <v/>
      </c>
      <c r="P87" s="36"/>
      <c r="Q87" s="49">
        <f>IF(H87="I",Sumário!$F$55,IF(H87="A",Sumário!$F$56,Sumário!$F$57))</f>
        <v>0.4</v>
      </c>
      <c r="R87" s="51" t="b">
        <f t="shared" si="4"/>
        <v>0</v>
      </c>
      <c r="S87" s="33" t="b">
        <f t="shared" si="5"/>
        <v>0</v>
      </c>
      <c r="T87" s="33"/>
      <c r="U87" s="33"/>
      <c r="V87" s="33"/>
      <c r="W87" s="52"/>
      <c r="X87" s="52"/>
      <c r="Y87" s="52"/>
      <c r="Z87" s="52"/>
      <c r="AA87" s="52"/>
      <c r="AB87" s="52"/>
      <c r="AC87" s="52"/>
      <c r="AD87" s="52"/>
      <c r="AE87" s="52"/>
    </row>
    <row r="88" spans="1:31" ht="18" customHeight="1">
      <c r="A88" s="31"/>
      <c r="B88" s="33"/>
      <c r="C88" s="33"/>
      <c r="D88" s="33"/>
      <c r="E88" s="33"/>
      <c r="F88" s="35"/>
      <c r="G88" s="36"/>
      <c r="H88" s="36"/>
      <c r="I88" s="36"/>
      <c r="J88" s="36"/>
      <c r="K88" s="36" t="str">
        <f t="shared" si="0"/>
        <v/>
      </c>
      <c r="L88" s="41" t="str">
        <f t="shared" si="1"/>
        <v/>
      </c>
      <c r="M88" s="43" t="str">
        <f t="shared" si="2"/>
        <v/>
      </c>
      <c r="N88" s="47" t="str">
        <f t="shared" si="3"/>
        <v/>
      </c>
      <c r="O88" s="48" t="str">
        <f>IF(H88="I",N88*Contagem!$U$11,IF(H88="E",N88*Contagem!$U$13,IF(H88="A",N88*Contagem!$U$12,IF(H88="T",N88*Contagem!$U$14,""))))</f>
        <v/>
      </c>
      <c r="P88" s="36"/>
      <c r="Q88" s="49">
        <f>IF(H88="I",Sumário!$F$55,IF(H88="A",Sumário!$F$56,Sumário!$F$57))</f>
        <v>0.4</v>
      </c>
      <c r="R88" s="51" t="b">
        <f t="shared" si="4"/>
        <v>0</v>
      </c>
      <c r="S88" s="33" t="b">
        <f t="shared" si="5"/>
        <v>0</v>
      </c>
      <c r="T88" s="33"/>
      <c r="U88" s="33"/>
      <c r="V88" s="33"/>
      <c r="W88" s="52"/>
      <c r="X88" s="52"/>
      <c r="Y88" s="52"/>
      <c r="Z88" s="52"/>
      <c r="AA88" s="52"/>
      <c r="AB88" s="52"/>
      <c r="AC88" s="52"/>
      <c r="AD88" s="52"/>
      <c r="AE88" s="52"/>
    </row>
    <row r="89" spans="1:31" ht="18" customHeight="1">
      <c r="A89" s="31"/>
      <c r="B89" s="33"/>
      <c r="C89" s="33"/>
      <c r="D89" s="33"/>
      <c r="E89" s="33"/>
      <c r="F89" s="35"/>
      <c r="G89" s="36"/>
      <c r="H89" s="36"/>
      <c r="I89" s="36"/>
      <c r="J89" s="36"/>
      <c r="K89" s="36" t="str">
        <f t="shared" si="0"/>
        <v/>
      </c>
      <c r="L89" s="41" t="str">
        <f t="shared" si="1"/>
        <v/>
      </c>
      <c r="M89" s="43" t="str">
        <f t="shared" si="2"/>
        <v/>
      </c>
      <c r="N89" s="47" t="str">
        <f t="shared" si="3"/>
        <v/>
      </c>
      <c r="O89" s="48" t="str">
        <f>IF(H89="I",N89*Contagem!$U$11,IF(H89="E",N89*Contagem!$U$13,IF(H89="A",N89*Contagem!$U$12,IF(H89="T",N89*Contagem!$U$14,""))))</f>
        <v/>
      </c>
      <c r="P89" s="36"/>
      <c r="Q89" s="49">
        <f>IF(H89="I",Sumário!$F$55,IF(H89="A",Sumário!$F$56,Sumário!$F$57))</f>
        <v>0.4</v>
      </c>
      <c r="R89" s="51" t="b">
        <f t="shared" si="4"/>
        <v>0</v>
      </c>
      <c r="S89" s="33" t="b">
        <f t="shared" si="5"/>
        <v>0</v>
      </c>
      <c r="T89" s="33"/>
      <c r="U89" s="33"/>
      <c r="V89" s="33"/>
      <c r="W89" s="52"/>
      <c r="X89" s="52"/>
      <c r="Y89" s="52"/>
      <c r="Z89" s="52"/>
      <c r="AA89" s="52"/>
      <c r="AB89" s="52"/>
      <c r="AC89" s="52"/>
      <c r="AD89" s="52"/>
      <c r="AE89" s="52"/>
    </row>
    <row r="90" spans="1:31" ht="18" customHeight="1">
      <c r="A90" s="31"/>
      <c r="B90" s="33"/>
      <c r="C90" s="33"/>
      <c r="D90" s="33"/>
      <c r="E90" s="33"/>
      <c r="F90" s="35"/>
      <c r="G90" s="36"/>
      <c r="H90" s="36"/>
      <c r="I90" s="36"/>
      <c r="J90" s="36"/>
      <c r="K90" s="36" t="str">
        <f t="shared" si="0"/>
        <v/>
      </c>
      <c r="L90" s="41" t="str">
        <f t="shared" si="1"/>
        <v/>
      </c>
      <c r="M90" s="43" t="str">
        <f t="shared" si="2"/>
        <v/>
      </c>
      <c r="N90" s="47" t="str">
        <f t="shared" si="3"/>
        <v/>
      </c>
      <c r="O90" s="48" t="str">
        <f>IF(H90="I",N90*Contagem!$U$11,IF(H90="E",N90*Contagem!$U$13,IF(H90="A",N90*Contagem!$U$12,IF(H90="T",N90*Contagem!$U$14,""))))</f>
        <v/>
      </c>
      <c r="P90" s="36"/>
      <c r="Q90" s="49">
        <f>IF(H90="I",Sumário!$F$55,IF(H90="A",Sumário!$F$56,Sumário!$F$57))</f>
        <v>0.4</v>
      </c>
      <c r="R90" s="51" t="b">
        <f t="shared" si="4"/>
        <v>0</v>
      </c>
      <c r="S90" s="33" t="b">
        <f t="shared" si="5"/>
        <v>0</v>
      </c>
      <c r="T90" s="33"/>
      <c r="U90" s="33"/>
      <c r="V90" s="33"/>
      <c r="W90" s="52"/>
      <c r="X90" s="52"/>
      <c r="Y90" s="52"/>
      <c r="Z90" s="52"/>
      <c r="AA90" s="52"/>
      <c r="AB90" s="52"/>
      <c r="AC90" s="52"/>
      <c r="AD90" s="52"/>
      <c r="AE90" s="52"/>
    </row>
    <row r="91" spans="1:31" ht="18" customHeight="1">
      <c r="A91" s="31"/>
      <c r="B91" s="33"/>
      <c r="C91" s="33"/>
      <c r="D91" s="33"/>
      <c r="E91" s="33"/>
      <c r="F91" s="35"/>
      <c r="G91" s="36"/>
      <c r="H91" s="36"/>
      <c r="I91" s="36"/>
      <c r="J91" s="36"/>
      <c r="K91" s="36" t="str">
        <f t="shared" si="0"/>
        <v/>
      </c>
      <c r="L91" s="41" t="str">
        <f t="shared" si="1"/>
        <v/>
      </c>
      <c r="M91" s="43" t="str">
        <f t="shared" si="2"/>
        <v/>
      </c>
      <c r="N91" s="47" t="str">
        <f t="shared" si="3"/>
        <v/>
      </c>
      <c r="O91" s="48" t="str">
        <f>IF(H91="I",N91*Contagem!$U$11,IF(H91="E",N91*Contagem!$U$13,IF(H91="A",N91*Contagem!$U$12,IF(H91="T",N91*Contagem!$U$14,""))))</f>
        <v/>
      </c>
      <c r="P91" s="36"/>
      <c r="Q91" s="49">
        <f>IF(H91="I",Sumário!$F$55,IF(H91="A",Sumário!$F$56,Sumário!$F$57))</f>
        <v>0.4</v>
      </c>
      <c r="R91" s="51" t="b">
        <f t="shared" si="4"/>
        <v>0</v>
      </c>
      <c r="S91" s="33" t="b">
        <f t="shared" si="5"/>
        <v>0</v>
      </c>
      <c r="T91" s="33"/>
      <c r="U91" s="33"/>
      <c r="V91" s="33"/>
      <c r="W91" s="52"/>
      <c r="X91" s="52"/>
      <c r="Y91" s="52"/>
      <c r="Z91" s="52"/>
      <c r="AA91" s="52"/>
      <c r="AB91" s="52"/>
      <c r="AC91" s="52"/>
      <c r="AD91" s="52"/>
      <c r="AE91" s="52"/>
    </row>
    <row r="92" spans="1:31" ht="18" customHeight="1">
      <c r="A92" s="31"/>
      <c r="B92" s="33"/>
      <c r="C92" s="33"/>
      <c r="D92" s="33"/>
      <c r="E92" s="33"/>
      <c r="F92" s="35"/>
      <c r="G92" s="36"/>
      <c r="H92" s="36"/>
      <c r="I92" s="36"/>
      <c r="J92" s="36"/>
      <c r="K92" s="36" t="str">
        <f t="shared" si="0"/>
        <v/>
      </c>
      <c r="L92" s="41" t="str">
        <f t="shared" si="1"/>
        <v/>
      </c>
      <c r="M92" s="43" t="str">
        <f t="shared" si="2"/>
        <v/>
      </c>
      <c r="N92" s="47" t="str">
        <f t="shared" si="3"/>
        <v/>
      </c>
      <c r="O92" s="48" t="str">
        <f>IF(H92="I",N92*Contagem!$U$11,IF(H92="E",N92*Contagem!$U$13,IF(H92="A",N92*Contagem!$U$12,IF(H92="T",N92*Contagem!$U$14,""))))</f>
        <v/>
      </c>
      <c r="P92" s="36"/>
      <c r="Q92" s="49">
        <f>IF(H92="I",Sumário!$F$55,IF(H92="A",Sumário!$F$56,Sumário!$F$57))</f>
        <v>0.4</v>
      </c>
      <c r="R92" s="51" t="b">
        <f t="shared" si="4"/>
        <v>0</v>
      </c>
      <c r="S92" s="33" t="b">
        <f t="shared" si="5"/>
        <v>0</v>
      </c>
      <c r="T92" s="33"/>
      <c r="U92" s="33"/>
      <c r="V92" s="33"/>
      <c r="W92" s="52"/>
      <c r="X92" s="52"/>
      <c r="Y92" s="52"/>
      <c r="Z92" s="52"/>
      <c r="AA92" s="52"/>
      <c r="AB92" s="52"/>
      <c r="AC92" s="52"/>
      <c r="AD92" s="52"/>
      <c r="AE92" s="52"/>
    </row>
    <row r="93" spans="1:31" ht="18" customHeight="1">
      <c r="A93" s="31"/>
      <c r="B93" s="33"/>
      <c r="C93" s="33"/>
      <c r="D93" s="33"/>
      <c r="E93" s="33"/>
      <c r="F93" s="35"/>
      <c r="G93" s="36"/>
      <c r="H93" s="36"/>
      <c r="I93" s="36"/>
      <c r="J93" s="36"/>
      <c r="K93" s="36" t="str">
        <f t="shared" si="0"/>
        <v/>
      </c>
      <c r="L93" s="41" t="str">
        <f t="shared" si="1"/>
        <v/>
      </c>
      <c r="M93" s="43" t="str">
        <f t="shared" si="2"/>
        <v/>
      </c>
      <c r="N93" s="47" t="str">
        <f t="shared" si="3"/>
        <v/>
      </c>
      <c r="O93" s="48" t="str">
        <f>IF(H93="I",N93*Contagem!$U$11,IF(H93="E",N93*Contagem!$U$13,IF(H93="A",N93*Contagem!$U$12,IF(H93="T",N93*Contagem!$U$14,""))))</f>
        <v/>
      </c>
      <c r="P93" s="36"/>
      <c r="Q93" s="49">
        <f>IF(H93="I",Sumário!$F$55,IF(H93="A",Sumário!$F$56,Sumário!$F$57))</f>
        <v>0.4</v>
      </c>
      <c r="R93" s="51" t="b">
        <f t="shared" si="4"/>
        <v>0</v>
      </c>
      <c r="S93" s="33" t="b">
        <f t="shared" si="5"/>
        <v>0</v>
      </c>
      <c r="T93" s="33"/>
      <c r="U93" s="33"/>
      <c r="V93" s="33"/>
      <c r="W93" s="52"/>
      <c r="X93" s="52"/>
      <c r="Y93" s="52"/>
      <c r="Z93" s="52"/>
      <c r="AA93" s="52"/>
      <c r="AB93" s="52"/>
      <c r="AC93" s="52"/>
      <c r="AD93" s="52"/>
      <c r="AE93" s="52"/>
    </row>
    <row r="94" spans="1:31" ht="18" customHeight="1">
      <c r="A94" s="31"/>
      <c r="B94" s="33"/>
      <c r="C94" s="33"/>
      <c r="D94" s="33"/>
      <c r="E94" s="33"/>
      <c r="F94" s="35"/>
      <c r="G94" s="36"/>
      <c r="H94" s="36"/>
      <c r="I94" s="36"/>
      <c r="J94" s="36"/>
      <c r="K94" s="36" t="str">
        <f t="shared" si="0"/>
        <v/>
      </c>
      <c r="L94" s="41" t="str">
        <f t="shared" si="1"/>
        <v/>
      </c>
      <c r="M94" s="43" t="str">
        <f t="shared" si="2"/>
        <v/>
      </c>
      <c r="N94" s="47" t="str">
        <f t="shared" si="3"/>
        <v/>
      </c>
      <c r="O94" s="48" t="str">
        <f>IF(H94="I",N94*Contagem!$U$11,IF(H94="E",N94*Contagem!$U$13,IF(H94="A",N94*Contagem!$U$12,IF(H94="T",N94*Contagem!$U$14,""))))</f>
        <v/>
      </c>
      <c r="P94" s="36"/>
      <c r="Q94" s="49">
        <f>IF(H94="I",Sumário!$F$55,IF(H94="A",Sumário!$F$56,Sumário!$F$57))</f>
        <v>0.4</v>
      </c>
      <c r="R94" s="51" t="b">
        <f t="shared" si="4"/>
        <v>0</v>
      </c>
      <c r="S94" s="33" t="b">
        <f t="shared" si="5"/>
        <v>0</v>
      </c>
      <c r="T94" s="33"/>
      <c r="U94" s="33"/>
      <c r="V94" s="33"/>
      <c r="W94" s="52"/>
      <c r="X94" s="52"/>
      <c r="Y94" s="52"/>
      <c r="Z94" s="52"/>
      <c r="AA94" s="52"/>
      <c r="AB94" s="52"/>
      <c r="AC94" s="52"/>
      <c r="AD94" s="52"/>
      <c r="AE94" s="52"/>
    </row>
    <row r="95" spans="1:31" ht="18" customHeight="1">
      <c r="A95" s="31"/>
      <c r="B95" s="33"/>
      <c r="C95" s="33"/>
      <c r="D95" s="33"/>
      <c r="E95" s="33"/>
      <c r="F95" s="35"/>
      <c r="G95" s="36"/>
      <c r="H95" s="36"/>
      <c r="I95" s="36"/>
      <c r="J95" s="36"/>
      <c r="K95" s="36" t="str">
        <f t="shared" si="0"/>
        <v/>
      </c>
      <c r="L95" s="41" t="str">
        <f t="shared" si="1"/>
        <v/>
      </c>
      <c r="M95" s="43" t="str">
        <f t="shared" si="2"/>
        <v/>
      </c>
      <c r="N95" s="47" t="str">
        <f t="shared" si="3"/>
        <v/>
      </c>
      <c r="O95" s="48" t="str">
        <f>IF(H95="I",N95*Contagem!$U$11,IF(H95="E",N95*Contagem!$U$13,IF(H95="A",N95*Contagem!$U$12,IF(H95="T",N95*Contagem!$U$14,""))))</f>
        <v/>
      </c>
      <c r="P95" s="36"/>
      <c r="Q95" s="49">
        <f>IF(H95="I",Sumário!$F$55,IF(H95="A",Sumário!$F$56,Sumário!$F$57))</f>
        <v>0.4</v>
      </c>
      <c r="R95" s="51" t="b">
        <f t="shared" si="4"/>
        <v>0</v>
      </c>
      <c r="S95" s="33" t="b">
        <f t="shared" si="5"/>
        <v>0</v>
      </c>
      <c r="T95" s="33"/>
      <c r="U95" s="33"/>
      <c r="V95" s="33"/>
      <c r="W95" s="52"/>
      <c r="X95" s="52"/>
      <c r="Y95" s="52"/>
      <c r="Z95" s="52"/>
      <c r="AA95" s="52"/>
      <c r="AB95" s="52"/>
      <c r="AC95" s="52"/>
      <c r="AD95" s="52"/>
      <c r="AE95" s="52"/>
    </row>
    <row r="96" spans="1:31" ht="18" customHeight="1">
      <c r="A96" s="31"/>
      <c r="B96" s="33"/>
      <c r="C96" s="33"/>
      <c r="D96" s="33"/>
      <c r="E96" s="33"/>
      <c r="F96" s="35"/>
      <c r="G96" s="36"/>
      <c r="H96" s="36"/>
      <c r="I96" s="36"/>
      <c r="J96" s="36"/>
      <c r="K96" s="36" t="str">
        <f t="shared" si="0"/>
        <v/>
      </c>
      <c r="L96" s="41" t="str">
        <f t="shared" si="1"/>
        <v/>
      </c>
      <c r="M96" s="43" t="str">
        <f t="shared" si="2"/>
        <v/>
      </c>
      <c r="N96" s="47" t="str">
        <f t="shared" si="3"/>
        <v/>
      </c>
      <c r="O96" s="48" t="str">
        <f>IF(H96="I",N96*Contagem!$U$11,IF(H96="E",N96*Contagem!$U$13,IF(H96="A",N96*Contagem!$U$12,IF(H96="T",N96*Contagem!$U$14,""))))</f>
        <v/>
      </c>
      <c r="P96" s="36"/>
      <c r="Q96" s="49">
        <f>IF(H96="I",Sumário!$F$55,IF(H96="A",Sumário!$F$56,Sumário!$F$57))</f>
        <v>0.4</v>
      </c>
      <c r="R96" s="51" t="b">
        <f t="shared" si="4"/>
        <v>0</v>
      </c>
      <c r="S96" s="33" t="b">
        <f t="shared" si="5"/>
        <v>0</v>
      </c>
      <c r="T96" s="33"/>
      <c r="U96" s="33"/>
      <c r="V96" s="33"/>
      <c r="W96" s="52"/>
      <c r="X96" s="52"/>
      <c r="Y96" s="52"/>
      <c r="Z96" s="52"/>
      <c r="AA96" s="52"/>
      <c r="AB96" s="52"/>
      <c r="AC96" s="52"/>
      <c r="AD96" s="52"/>
      <c r="AE96" s="52"/>
    </row>
    <row r="97" spans="1:31" ht="18" customHeight="1">
      <c r="A97" s="31"/>
      <c r="B97" s="33"/>
      <c r="C97" s="33"/>
      <c r="D97" s="33"/>
      <c r="E97" s="33"/>
      <c r="F97" s="35"/>
      <c r="G97" s="36"/>
      <c r="H97" s="36"/>
      <c r="I97" s="36"/>
      <c r="J97" s="36"/>
      <c r="K97" s="36" t="str">
        <f t="shared" si="0"/>
        <v/>
      </c>
      <c r="L97" s="41" t="str">
        <f t="shared" si="1"/>
        <v/>
      </c>
      <c r="M97" s="43" t="str">
        <f t="shared" si="2"/>
        <v/>
      </c>
      <c r="N97" s="47" t="str">
        <f t="shared" si="3"/>
        <v/>
      </c>
      <c r="O97" s="48" t="str">
        <f>IF(H97="I",N97*Contagem!$U$11,IF(H97="E",N97*Contagem!$U$13,IF(H97="A",N97*Contagem!$U$12,IF(H97="T",N97*Contagem!$U$14,""))))</f>
        <v/>
      </c>
      <c r="P97" s="36"/>
      <c r="Q97" s="49">
        <f>IF(H97="I",Sumário!$F$55,IF(H97="A",Sumário!$F$56,Sumário!$F$57))</f>
        <v>0.4</v>
      </c>
      <c r="R97" s="51" t="b">
        <f t="shared" si="4"/>
        <v>0</v>
      </c>
      <c r="S97" s="33" t="b">
        <f t="shared" si="5"/>
        <v>0</v>
      </c>
      <c r="T97" s="33"/>
      <c r="U97" s="33"/>
      <c r="V97" s="33"/>
      <c r="W97" s="52"/>
      <c r="X97" s="52"/>
      <c r="Y97" s="52"/>
      <c r="Z97" s="52"/>
      <c r="AA97" s="52"/>
      <c r="AB97" s="52"/>
      <c r="AC97" s="52"/>
      <c r="AD97" s="52"/>
      <c r="AE97" s="52"/>
    </row>
    <row r="98" spans="1:31" ht="18" customHeight="1">
      <c r="A98" s="31"/>
      <c r="B98" s="33"/>
      <c r="C98" s="33"/>
      <c r="D98" s="33"/>
      <c r="E98" s="33"/>
      <c r="F98" s="35"/>
      <c r="G98" s="36"/>
      <c r="H98" s="36"/>
      <c r="I98" s="36"/>
      <c r="J98" s="36"/>
      <c r="K98" s="36" t="str">
        <f t="shared" si="0"/>
        <v/>
      </c>
      <c r="L98" s="41" t="str">
        <f t="shared" si="1"/>
        <v/>
      </c>
      <c r="M98" s="43" t="str">
        <f t="shared" si="2"/>
        <v/>
      </c>
      <c r="N98" s="47" t="str">
        <f t="shared" si="3"/>
        <v/>
      </c>
      <c r="O98" s="48" t="str">
        <f>IF(H98="I",N98*Contagem!$U$11,IF(H98="E",N98*Contagem!$U$13,IF(H98="A",N98*Contagem!$U$12,IF(H98="T",N98*Contagem!$U$14,""))))</f>
        <v/>
      </c>
      <c r="P98" s="36"/>
      <c r="Q98" s="49">
        <f>IF(H98="I",Sumário!$F$55,IF(H98="A",Sumário!$F$56,Sumário!$F$57))</f>
        <v>0.4</v>
      </c>
      <c r="R98" s="51" t="b">
        <f t="shared" si="4"/>
        <v>0</v>
      </c>
      <c r="S98" s="33" t="b">
        <f t="shared" si="5"/>
        <v>0</v>
      </c>
      <c r="T98" s="33"/>
      <c r="U98" s="33"/>
      <c r="V98" s="33"/>
      <c r="W98" s="52"/>
      <c r="X98" s="52"/>
      <c r="Y98" s="52"/>
      <c r="Z98" s="52"/>
      <c r="AA98" s="52"/>
      <c r="AB98" s="52"/>
      <c r="AC98" s="52"/>
      <c r="AD98" s="52"/>
      <c r="AE98" s="52"/>
    </row>
    <row r="99" spans="1:31" ht="18" customHeight="1">
      <c r="A99" s="31"/>
      <c r="B99" s="33"/>
      <c r="C99" s="33"/>
      <c r="D99" s="33"/>
      <c r="E99" s="33"/>
      <c r="F99" s="35"/>
      <c r="G99" s="36"/>
      <c r="H99" s="36"/>
      <c r="I99" s="36"/>
      <c r="J99" s="36"/>
      <c r="K99" s="36" t="str">
        <f t="shared" si="0"/>
        <v/>
      </c>
      <c r="L99" s="41" t="str">
        <f t="shared" si="1"/>
        <v/>
      </c>
      <c r="M99" s="43" t="str">
        <f t="shared" si="2"/>
        <v/>
      </c>
      <c r="N99" s="47" t="str">
        <f t="shared" si="3"/>
        <v/>
      </c>
      <c r="O99" s="48" t="str">
        <f>IF(H99="I",N99*Contagem!$U$11,IF(H99="E",N99*Contagem!$U$13,IF(H99="A",N99*Contagem!$U$12,IF(H99="T",N99*Contagem!$U$14,""))))</f>
        <v/>
      </c>
      <c r="P99" s="36"/>
      <c r="Q99" s="49">
        <f>IF(H99="I",Sumário!$F$55,IF(H99="A",Sumário!$F$56,Sumário!$F$57))</f>
        <v>0.4</v>
      </c>
      <c r="R99" s="51" t="b">
        <f t="shared" si="4"/>
        <v>0</v>
      </c>
      <c r="S99" s="33" t="b">
        <f t="shared" si="5"/>
        <v>0</v>
      </c>
      <c r="T99" s="33"/>
      <c r="U99" s="33"/>
      <c r="V99" s="33"/>
      <c r="W99" s="52"/>
      <c r="X99" s="52"/>
      <c r="Y99" s="52"/>
      <c r="Z99" s="52"/>
      <c r="AA99" s="52"/>
      <c r="AB99" s="52"/>
      <c r="AC99" s="52"/>
      <c r="AD99" s="52"/>
      <c r="AE99" s="52"/>
    </row>
    <row r="100" spans="1:31" ht="18" customHeight="1">
      <c r="A100" s="31"/>
      <c r="B100" s="33"/>
      <c r="C100" s="33"/>
      <c r="D100" s="33"/>
      <c r="E100" s="33"/>
      <c r="F100" s="35"/>
      <c r="G100" s="36"/>
      <c r="H100" s="36"/>
      <c r="I100" s="36"/>
      <c r="J100" s="36"/>
      <c r="K100" s="36" t="str">
        <f t="shared" si="0"/>
        <v/>
      </c>
      <c r="L100" s="41" t="str">
        <f t="shared" si="1"/>
        <v/>
      </c>
      <c r="M100" s="43" t="str">
        <f t="shared" si="2"/>
        <v/>
      </c>
      <c r="N100" s="47" t="str">
        <f t="shared" si="3"/>
        <v/>
      </c>
      <c r="O100" s="48" t="str">
        <f>IF(H100="I",N100*Contagem!$U$11,IF(H100="E",N100*Contagem!$U$13,IF(H100="A",N100*Contagem!$U$12,IF(H100="T",N100*Contagem!$U$14,""))))</f>
        <v/>
      </c>
      <c r="P100" s="36"/>
      <c r="Q100" s="49">
        <f>IF(H100="I",Sumário!$F$55,IF(H100="A",Sumário!$F$56,Sumário!$F$57))</f>
        <v>0.4</v>
      </c>
      <c r="R100" s="51" t="b">
        <f t="shared" si="4"/>
        <v>0</v>
      </c>
      <c r="S100" s="33" t="b">
        <f t="shared" si="5"/>
        <v>0</v>
      </c>
      <c r="T100" s="33"/>
      <c r="U100" s="33"/>
      <c r="V100" s="33"/>
      <c r="W100" s="52"/>
      <c r="X100" s="52"/>
      <c r="Y100" s="52"/>
      <c r="Z100" s="52"/>
      <c r="AA100" s="52"/>
      <c r="AB100" s="52"/>
      <c r="AC100" s="52"/>
      <c r="AD100" s="52"/>
      <c r="AE100" s="52"/>
    </row>
    <row r="101" spans="1:31" ht="18" customHeight="1">
      <c r="A101" s="31"/>
      <c r="B101" s="33"/>
      <c r="C101" s="33"/>
      <c r="D101" s="33"/>
      <c r="E101" s="33"/>
      <c r="F101" s="35"/>
      <c r="G101" s="36"/>
      <c r="H101" s="36"/>
      <c r="I101" s="36"/>
      <c r="J101" s="36"/>
      <c r="K101" s="36" t="str">
        <f t="shared" si="0"/>
        <v/>
      </c>
      <c r="L101" s="41" t="str">
        <f t="shared" si="1"/>
        <v/>
      </c>
      <c r="M101" s="43" t="str">
        <f t="shared" si="2"/>
        <v/>
      </c>
      <c r="N101" s="47" t="str">
        <f t="shared" si="3"/>
        <v/>
      </c>
      <c r="O101" s="48" t="str">
        <f>IF(H101="I",N101*Contagem!$U$11,IF(H101="E",N101*Contagem!$U$13,IF(H101="A",N101*Contagem!$U$12,IF(H101="T",N101*Contagem!$U$14,""))))</f>
        <v/>
      </c>
      <c r="P101" s="36"/>
      <c r="Q101" s="49">
        <f>IF(H101="I",Sumário!$F$55,IF(H101="A",Sumário!$F$56,Sumário!$F$57))</f>
        <v>0.4</v>
      </c>
      <c r="R101" s="51" t="b">
        <f t="shared" si="4"/>
        <v>0</v>
      </c>
      <c r="S101" s="33" t="b">
        <f t="shared" si="5"/>
        <v>0</v>
      </c>
      <c r="T101" s="33"/>
      <c r="U101" s="33"/>
      <c r="V101" s="33"/>
      <c r="W101" s="52"/>
      <c r="X101" s="52"/>
      <c r="Y101" s="52"/>
      <c r="Z101" s="52"/>
      <c r="AA101" s="52"/>
      <c r="AB101" s="52"/>
      <c r="AC101" s="52"/>
      <c r="AD101" s="52"/>
      <c r="AE101" s="52"/>
    </row>
    <row r="102" spans="1:31" ht="18" customHeight="1">
      <c r="A102" s="31"/>
      <c r="B102" s="33"/>
      <c r="C102" s="33"/>
      <c r="D102" s="33"/>
      <c r="E102" s="33"/>
      <c r="F102" s="35"/>
      <c r="G102" s="36"/>
      <c r="H102" s="36"/>
      <c r="I102" s="36"/>
      <c r="J102" s="36"/>
      <c r="K102" s="36" t="str">
        <f t="shared" si="0"/>
        <v/>
      </c>
      <c r="L102" s="41" t="str">
        <f t="shared" si="1"/>
        <v/>
      </c>
      <c r="M102" s="43" t="str">
        <f t="shared" si="2"/>
        <v/>
      </c>
      <c r="N102" s="47" t="str">
        <f t="shared" si="3"/>
        <v/>
      </c>
      <c r="O102" s="48" t="str">
        <f>IF(H102="I",N102*Contagem!$U$11,IF(H102="E",N102*Contagem!$U$13,IF(H102="A",N102*Contagem!$U$12,IF(H102="T",N102*Contagem!$U$14,""))))</f>
        <v/>
      </c>
      <c r="P102" s="36"/>
      <c r="Q102" s="49">
        <f>IF(H102="I",Sumário!$F$55,IF(H102="A",Sumário!$F$56,Sumário!$F$57))</f>
        <v>0.4</v>
      </c>
      <c r="R102" s="51" t="b">
        <f t="shared" si="4"/>
        <v>0</v>
      </c>
      <c r="S102" s="33" t="b">
        <f t="shared" si="5"/>
        <v>0</v>
      </c>
      <c r="T102" s="33"/>
      <c r="U102" s="33"/>
      <c r="V102" s="33"/>
      <c r="W102" s="52"/>
      <c r="X102" s="52"/>
      <c r="Y102" s="52"/>
      <c r="Z102" s="52"/>
      <c r="AA102" s="52"/>
      <c r="AB102" s="52"/>
      <c r="AC102" s="52"/>
      <c r="AD102" s="52"/>
      <c r="AE102" s="52"/>
    </row>
    <row r="103" spans="1:31" ht="18" customHeight="1">
      <c r="A103" s="31"/>
      <c r="B103" s="33"/>
      <c r="C103" s="33"/>
      <c r="D103" s="33"/>
      <c r="E103" s="33"/>
      <c r="F103" s="35"/>
      <c r="G103" s="36"/>
      <c r="H103" s="36"/>
      <c r="I103" s="36"/>
      <c r="J103" s="36"/>
      <c r="K103" s="36" t="str">
        <f t="shared" si="0"/>
        <v/>
      </c>
      <c r="L103" s="41" t="str">
        <f t="shared" si="1"/>
        <v/>
      </c>
      <c r="M103" s="43" t="str">
        <f t="shared" si="2"/>
        <v/>
      </c>
      <c r="N103" s="47" t="str">
        <f t="shared" si="3"/>
        <v/>
      </c>
      <c r="O103" s="48" t="str">
        <f>IF(H103="I",N103*Contagem!$U$11,IF(H103="E",N103*Contagem!$U$13,IF(H103="A",N103*Contagem!$U$12,IF(H103="T",N103*Contagem!$U$14,""))))</f>
        <v/>
      </c>
      <c r="P103" s="36"/>
      <c r="Q103" s="49">
        <f>IF(H103="I",Sumário!$F$55,IF(H103="A",Sumário!$F$56,Sumário!$F$57))</f>
        <v>0.4</v>
      </c>
      <c r="R103" s="51" t="b">
        <f t="shared" si="4"/>
        <v>0</v>
      </c>
      <c r="S103" s="33" t="b">
        <f t="shared" si="5"/>
        <v>0</v>
      </c>
      <c r="T103" s="33"/>
      <c r="U103" s="33"/>
      <c r="V103" s="33"/>
      <c r="W103" s="52"/>
      <c r="X103" s="52"/>
      <c r="Y103" s="52"/>
      <c r="Z103" s="52"/>
      <c r="AA103" s="52"/>
      <c r="AB103" s="52"/>
      <c r="AC103" s="52"/>
      <c r="AD103" s="52"/>
      <c r="AE103" s="52"/>
    </row>
    <row r="104" spans="1:31" ht="18" customHeight="1">
      <c r="A104" s="31"/>
      <c r="B104" s="33"/>
      <c r="C104" s="33"/>
      <c r="D104" s="33"/>
      <c r="E104" s="33"/>
      <c r="F104" s="35"/>
      <c r="G104" s="36"/>
      <c r="H104" s="36"/>
      <c r="I104" s="36"/>
      <c r="J104" s="36"/>
      <c r="K104" s="36" t="str">
        <f t="shared" si="0"/>
        <v/>
      </c>
      <c r="L104" s="41" t="str">
        <f t="shared" si="1"/>
        <v/>
      </c>
      <c r="M104" s="43" t="str">
        <f t="shared" si="2"/>
        <v/>
      </c>
      <c r="N104" s="47" t="str">
        <f t="shared" si="3"/>
        <v/>
      </c>
      <c r="O104" s="48" t="str">
        <f>IF(H104="I",N104*Contagem!$U$11,IF(H104="E",N104*Contagem!$U$13,IF(H104="A",N104*Contagem!$U$12,IF(H104="T",N104*Contagem!$U$14,""))))</f>
        <v/>
      </c>
      <c r="P104" s="36"/>
      <c r="Q104" s="49">
        <f>IF(H104="I",Sumário!$F$55,IF(H104="A",Sumário!$F$56,Sumário!$F$57))</f>
        <v>0.4</v>
      </c>
      <c r="R104" s="51" t="b">
        <f t="shared" si="4"/>
        <v>0</v>
      </c>
      <c r="S104" s="33" t="b">
        <f t="shared" si="5"/>
        <v>0</v>
      </c>
      <c r="T104" s="33"/>
      <c r="U104" s="33"/>
      <c r="V104" s="33"/>
      <c r="W104" s="52"/>
      <c r="X104" s="52"/>
      <c r="Y104" s="52"/>
      <c r="Z104" s="52"/>
      <c r="AA104" s="52"/>
      <c r="AB104" s="52"/>
      <c r="AC104" s="52"/>
      <c r="AD104" s="52"/>
      <c r="AE104" s="52"/>
    </row>
    <row r="105" spans="1:31" ht="18" customHeight="1">
      <c r="A105" s="31"/>
      <c r="B105" s="33"/>
      <c r="C105" s="33"/>
      <c r="D105" s="33"/>
      <c r="E105" s="33"/>
      <c r="F105" s="35"/>
      <c r="G105" s="36"/>
      <c r="H105" s="36"/>
      <c r="I105" s="36"/>
      <c r="J105" s="36"/>
      <c r="K105" s="36" t="str">
        <f t="shared" si="0"/>
        <v/>
      </c>
      <c r="L105" s="41" t="str">
        <f t="shared" si="1"/>
        <v/>
      </c>
      <c r="M105" s="43" t="str">
        <f t="shared" si="2"/>
        <v/>
      </c>
      <c r="N105" s="47" t="str">
        <f t="shared" si="3"/>
        <v/>
      </c>
      <c r="O105" s="48" t="str">
        <f>IF(H105="I",N105*Contagem!$U$11,IF(H105="E",N105*Contagem!$U$13,IF(H105="A",N105*Contagem!$U$12,IF(H105="T",N105*Contagem!$U$14,""))))</f>
        <v/>
      </c>
      <c r="P105" s="36"/>
      <c r="Q105" s="49">
        <f>IF(H105="I",Sumário!$F$55,IF(H105="A",Sumário!$F$56,Sumário!$F$57))</f>
        <v>0.4</v>
      </c>
      <c r="R105" s="51" t="b">
        <f t="shared" si="4"/>
        <v>0</v>
      </c>
      <c r="S105" s="33" t="b">
        <f t="shared" si="5"/>
        <v>0</v>
      </c>
      <c r="T105" s="33"/>
      <c r="U105" s="33"/>
      <c r="V105" s="33"/>
      <c r="W105" s="52"/>
      <c r="X105" s="52"/>
      <c r="Y105" s="52"/>
      <c r="Z105" s="52"/>
      <c r="AA105" s="52"/>
      <c r="AB105" s="52"/>
      <c r="AC105" s="52"/>
      <c r="AD105" s="52"/>
      <c r="AE105" s="52"/>
    </row>
    <row r="106" spans="1:31" ht="18" customHeight="1">
      <c r="A106" s="31"/>
      <c r="B106" s="33"/>
      <c r="C106" s="33"/>
      <c r="D106" s="33"/>
      <c r="E106" s="33"/>
      <c r="F106" s="35"/>
      <c r="G106" s="36"/>
      <c r="H106" s="36"/>
      <c r="I106" s="36"/>
      <c r="J106" s="36"/>
      <c r="K106" s="36" t="str">
        <f t="shared" si="0"/>
        <v/>
      </c>
      <c r="L106" s="41" t="str">
        <f t="shared" si="1"/>
        <v/>
      </c>
      <c r="M106" s="43" t="str">
        <f t="shared" si="2"/>
        <v/>
      </c>
      <c r="N106" s="47" t="str">
        <f t="shared" si="3"/>
        <v/>
      </c>
      <c r="O106" s="48" t="str">
        <f>IF(H106="I",N106*Contagem!$U$11,IF(H106="E",N106*Contagem!$U$13,IF(H106="A",N106*Contagem!$U$12,IF(H106="T",N106*Contagem!$U$14,""))))</f>
        <v/>
      </c>
      <c r="P106" s="36"/>
      <c r="Q106" s="49">
        <f>IF(H106="I",Sumário!$F$55,IF(H106="A",Sumário!$F$56,Sumário!$F$57))</f>
        <v>0.4</v>
      </c>
      <c r="R106" s="51" t="b">
        <f t="shared" si="4"/>
        <v>0</v>
      </c>
      <c r="S106" s="33" t="b">
        <f t="shared" si="5"/>
        <v>0</v>
      </c>
      <c r="T106" s="33"/>
      <c r="U106" s="33"/>
      <c r="V106" s="33"/>
      <c r="W106" s="52"/>
      <c r="X106" s="52"/>
      <c r="Y106" s="52"/>
      <c r="Z106" s="52"/>
      <c r="AA106" s="52"/>
      <c r="AB106" s="52"/>
      <c r="AC106" s="52"/>
      <c r="AD106" s="52"/>
      <c r="AE106" s="52"/>
    </row>
    <row r="107" spans="1:31" ht="18" customHeight="1">
      <c r="A107" s="31"/>
      <c r="B107" s="33"/>
      <c r="C107" s="33"/>
      <c r="D107" s="33"/>
      <c r="E107" s="33"/>
      <c r="F107" s="35"/>
      <c r="G107" s="36"/>
      <c r="H107" s="36"/>
      <c r="I107" s="36"/>
      <c r="J107" s="36"/>
      <c r="K107" s="36" t="str">
        <f t="shared" si="0"/>
        <v/>
      </c>
      <c r="L107" s="41" t="str">
        <f t="shared" si="1"/>
        <v/>
      </c>
      <c r="M107" s="43" t="str">
        <f t="shared" si="2"/>
        <v/>
      </c>
      <c r="N107" s="47" t="str">
        <f t="shared" si="3"/>
        <v/>
      </c>
      <c r="O107" s="48" t="str">
        <f>IF(H107="I",N107*Contagem!$U$11,IF(H107="E",N107*Contagem!$U$13,IF(H107="A",N107*Contagem!$U$12,IF(H107="T",N107*Contagem!$U$14,""))))</f>
        <v/>
      </c>
      <c r="P107" s="36"/>
      <c r="Q107" s="49">
        <f>IF(H107="I",Sumário!$F$55,IF(H107="A",Sumário!$F$56,Sumário!$F$57))</f>
        <v>0.4</v>
      </c>
      <c r="R107" s="51" t="b">
        <f t="shared" si="4"/>
        <v>0</v>
      </c>
      <c r="S107" s="33" t="b">
        <f t="shared" si="5"/>
        <v>0</v>
      </c>
      <c r="T107" s="33"/>
      <c r="U107" s="33"/>
      <c r="V107" s="33"/>
      <c r="W107" s="52"/>
      <c r="X107" s="52"/>
      <c r="Y107" s="52"/>
      <c r="Z107" s="52"/>
      <c r="AA107" s="52"/>
      <c r="AB107" s="52"/>
      <c r="AC107" s="52"/>
      <c r="AD107" s="52"/>
      <c r="AE107" s="52"/>
    </row>
    <row r="108" spans="1:31" ht="18" customHeight="1">
      <c r="A108" s="31"/>
      <c r="B108" s="33"/>
      <c r="C108" s="33"/>
      <c r="D108" s="33"/>
      <c r="E108" s="33"/>
      <c r="F108" s="35"/>
      <c r="G108" s="36"/>
      <c r="H108" s="36"/>
      <c r="I108" s="36"/>
      <c r="J108" s="36"/>
      <c r="K108" s="36" t="str">
        <f t="shared" si="0"/>
        <v/>
      </c>
      <c r="L108" s="41" t="str">
        <f t="shared" si="1"/>
        <v/>
      </c>
      <c r="M108" s="43" t="str">
        <f t="shared" si="2"/>
        <v/>
      </c>
      <c r="N108" s="47" t="str">
        <f t="shared" si="3"/>
        <v/>
      </c>
      <c r="O108" s="48" t="str">
        <f>IF(H108="I",N108*Contagem!$U$11,IF(H108="E",N108*Contagem!$U$13,IF(H108="A",N108*Contagem!$U$12,IF(H108="T",N108*Contagem!$U$14,""))))</f>
        <v/>
      </c>
      <c r="P108" s="36"/>
      <c r="Q108" s="49">
        <f>IF(H108="I",Sumário!$F$55,IF(H108="A",Sumário!$F$56,Sumário!$F$57))</f>
        <v>0.4</v>
      </c>
      <c r="R108" s="51" t="b">
        <f t="shared" si="4"/>
        <v>0</v>
      </c>
      <c r="S108" s="33" t="b">
        <f t="shared" si="5"/>
        <v>0</v>
      </c>
      <c r="T108" s="33"/>
      <c r="U108" s="33"/>
      <c r="V108" s="33"/>
      <c r="W108" s="52"/>
      <c r="X108" s="52"/>
      <c r="Y108" s="52"/>
      <c r="Z108" s="52"/>
      <c r="AA108" s="52"/>
      <c r="AB108" s="52"/>
      <c r="AC108" s="52"/>
      <c r="AD108" s="52"/>
      <c r="AE108" s="52"/>
    </row>
    <row r="109" spans="1:31" ht="18" customHeight="1">
      <c r="A109" s="31"/>
      <c r="B109" s="33"/>
      <c r="C109" s="33"/>
      <c r="D109" s="33"/>
      <c r="E109" s="33"/>
      <c r="F109" s="35"/>
      <c r="G109" s="36"/>
      <c r="H109" s="36"/>
      <c r="I109" s="36"/>
      <c r="J109" s="36"/>
      <c r="K109" s="36" t="str">
        <f t="shared" si="0"/>
        <v/>
      </c>
      <c r="L109" s="41" t="str">
        <f t="shared" si="1"/>
        <v/>
      </c>
      <c r="M109" s="43" t="str">
        <f t="shared" si="2"/>
        <v/>
      </c>
      <c r="N109" s="47" t="str">
        <f t="shared" si="3"/>
        <v/>
      </c>
      <c r="O109" s="48" t="str">
        <f>IF(H109="I",N109*Contagem!$U$11,IF(H109="E",N109*Contagem!$U$13,IF(H109="A",N109*Contagem!$U$12,IF(H109="T",N109*Contagem!$U$14,""))))</f>
        <v/>
      </c>
      <c r="P109" s="36"/>
      <c r="Q109" s="49">
        <f>IF(H109="I",Sumário!$F$55,IF(H109="A",Sumário!$F$56,Sumário!$F$57))</f>
        <v>0.4</v>
      </c>
      <c r="R109" s="51" t="b">
        <f t="shared" si="4"/>
        <v>0</v>
      </c>
      <c r="S109" s="33" t="b">
        <f t="shared" si="5"/>
        <v>0</v>
      </c>
      <c r="T109" s="33"/>
      <c r="U109" s="33"/>
      <c r="V109" s="33"/>
      <c r="W109" s="52"/>
      <c r="X109" s="52"/>
      <c r="Y109" s="52"/>
      <c r="Z109" s="52"/>
      <c r="AA109" s="52"/>
      <c r="AB109" s="52"/>
      <c r="AC109" s="52"/>
      <c r="AD109" s="52"/>
      <c r="AE109" s="52"/>
    </row>
    <row r="110" spans="1:31" ht="18" customHeight="1">
      <c r="A110" s="31"/>
      <c r="B110" s="33"/>
      <c r="C110" s="33"/>
      <c r="D110" s="33"/>
      <c r="E110" s="33"/>
      <c r="F110" s="35"/>
      <c r="G110" s="36"/>
      <c r="H110" s="36"/>
      <c r="I110" s="36"/>
      <c r="J110" s="36"/>
      <c r="K110" s="36" t="str">
        <f t="shared" si="0"/>
        <v/>
      </c>
      <c r="L110" s="41" t="str">
        <f t="shared" si="1"/>
        <v/>
      </c>
      <c r="M110" s="43" t="str">
        <f t="shared" si="2"/>
        <v/>
      </c>
      <c r="N110" s="47" t="str">
        <f t="shared" si="3"/>
        <v/>
      </c>
      <c r="O110" s="48" t="str">
        <f>IF(H110="I",N110*Contagem!$U$11,IF(H110="E",N110*Contagem!$U$13,IF(H110="A",N110*Contagem!$U$12,IF(H110="T",N110*Contagem!$U$14,""))))</f>
        <v/>
      </c>
      <c r="P110" s="36"/>
      <c r="Q110" s="49">
        <f>IF(H110="I",Sumário!$F$55,IF(H110="A",Sumário!$F$56,Sumário!$F$57))</f>
        <v>0.4</v>
      </c>
      <c r="R110" s="51" t="b">
        <f t="shared" si="4"/>
        <v>0</v>
      </c>
      <c r="S110" s="33" t="b">
        <f t="shared" si="5"/>
        <v>0</v>
      </c>
      <c r="T110" s="33"/>
      <c r="U110" s="33"/>
      <c r="V110" s="33"/>
      <c r="W110" s="52"/>
      <c r="X110" s="52"/>
      <c r="Y110" s="52"/>
      <c r="Z110" s="52"/>
      <c r="AA110" s="52"/>
      <c r="AB110" s="52"/>
      <c r="AC110" s="52"/>
      <c r="AD110" s="52"/>
      <c r="AE110" s="52"/>
    </row>
    <row r="111" spans="1:31" ht="18" customHeight="1">
      <c r="A111" s="31"/>
      <c r="B111" s="33"/>
      <c r="C111" s="33"/>
      <c r="D111" s="33"/>
      <c r="E111" s="33"/>
      <c r="F111" s="35"/>
      <c r="G111" s="36"/>
      <c r="H111" s="36"/>
      <c r="I111" s="36"/>
      <c r="J111" s="36"/>
      <c r="K111" s="36" t="str">
        <f t="shared" si="0"/>
        <v/>
      </c>
      <c r="L111" s="41" t="str">
        <f t="shared" si="1"/>
        <v/>
      </c>
      <c r="M111" s="43" t="str">
        <f t="shared" si="2"/>
        <v/>
      </c>
      <c r="N111" s="47" t="str">
        <f t="shared" si="3"/>
        <v/>
      </c>
      <c r="O111" s="48" t="str">
        <f>IF(H111="I",N111*Contagem!$U$11,IF(H111="E",N111*Contagem!$U$13,IF(H111="A",N111*Contagem!$U$12,IF(H111="T",N111*Contagem!$U$14,""))))</f>
        <v/>
      </c>
      <c r="P111" s="36"/>
      <c r="Q111" s="49">
        <f>IF(H111="I",Sumário!$F$55,IF(H111="A",Sumário!$F$56,Sumário!$F$57))</f>
        <v>0.4</v>
      </c>
      <c r="R111" s="51" t="b">
        <f t="shared" si="4"/>
        <v>0</v>
      </c>
      <c r="S111" s="33" t="b">
        <f t="shared" si="5"/>
        <v>0</v>
      </c>
      <c r="T111" s="33"/>
      <c r="U111" s="33"/>
      <c r="V111" s="33"/>
      <c r="W111" s="52"/>
      <c r="X111" s="52"/>
      <c r="Y111" s="52"/>
      <c r="Z111" s="52"/>
      <c r="AA111" s="52"/>
      <c r="AB111" s="52"/>
      <c r="AC111" s="52"/>
      <c r="AD111" s="52"/>
      <c r="AE111" s="52"/>
    </row>
    <row r="112" spans="1:31" ht="18" customHeight="1">
      <c r="A112" s="31"/>
      <c r="B112" s="33"/>
      <c r="C112" s="33"/>
      <c r="D112" s="33"/>
      <c r="E112" s="33"/>
      <c r="F112" s="35"/>
      <c r="G112" s="36"/>
      <c r="H112" s="36"/>
      <c r="I112" s="36"/>
      <c r="J112" s="36"/>
      <c r="K112" s="36" t="str">
        <f t="shared" si="0"/>
        <v/>
      </c>
      <c r="L112" s="41" t="str">
        <f t="shared" si="1"/>
        <v/>
      </c>
      <c r="M112" s="43" t="str">
        <f t="shared" si="2"/>
        <v/>
      </c>
      <c r="N112" s="47" t="str">
        <f t="shared" si="3"/>
        <v/>
      </c>
      <c r="O112" s="48" t="str">
        <f>IF(H112="I",N112*Contagem!$U$11,IF(H112="E",N112*Contagem!$U$13,IF(H112="A",N112*Contagem!$U$12,IF(H112="T",N112*Contagem!$U$14,""))))</f>
        <v/>
      </c>
      <c r="P112" s="36"/>
      <c r="Q112" s="49">
        <f>IF(H112="I",Sumário!$F$55,IF(H112="A",Sumário!$F$56,Sumário!$F$57))</f>
        <v>0.4</v>
      </c>
      <c r="R112" s="51" t="b">
        <f t="shared" si="4"/>
        <v>0</v>
      </c>
      <c r="S112" s="33" t="b">
        <f t="shared" si="5"/>
        <v>0</v>
      </c>
      <c r="T112" s="33"/>
      <c r="U112" s="33"/>
      <c r="V112" s="33"/>
      <c r="W112" s="52"/>
      <c r="X112" s="52"/>
      <c r="Y112" s="52"/>
      <c r="Z112" s="52"/>
      <c r="AA112" s="52"/>
      <c r="AB112" s="52"/>
      <c r="AC112" s="52"/>
      <c r="AD112" s="52"/>
      <c r="AE112" s="52"/>
    </row>
    <row r="113" spans="1:31" ht="18" customHeight="1">
      <c r="A113" s="31"/>
      <c r="B113" s="33"/>
      <c r="C113" s="33"/>
      <c r="D113" s="33"/>
      <c r="E113" s="33"/>
      <c r="F113" s="35"/>
      <c r="G113" s="36"/>
      <c r="H113" s="36"/>
      <c r="I113" s="36"/>
      <c r="J113" s="36"/>
      <c r="K113" s="36" t="str">
        <f t="shared" si="0"/>
        <v/>
      </c>
      <c r="L113" s="41" t="str">
        <f t="shared" si="1"/>
        <v/>
      </c>
      <c r="M113" s="43" t="str">
        <f t="shared" si="2"/>
        <v/>
      </c>
      <c r="N113" s="47" t="str">
        <f t="shared" si="3"/>
        <v/>
      </c>
      <c r="O113" s="48" t="str">
        <f>IF(H113="I",N113*Contagem!$U$11,IF(H113="E",N113*Contagem!$U$13,IF(H113="A",N113*Contagem!$U$12,IF(H113="T",N113*Contagem!$U$14,""))))</f>
        <v/>
      </c>
      <c r="P113" s="36"/>
      <c r="Q113" s="49">
        <f>IF(H113="I",Sumário!$F$55,IF(H113="A",Sumário!$F$56,Sumário!$F$57))</f>
        <v>0.4</v>
      </c>
      <c r="R113" s="51" t="b">
        <f t="shared" si="4"/>
        <v>0</v>
      </c>
      <c r="S113" s="33" t="b">
        <f t="shared" si="5"/>
        <v>0</v>
      </c>
      <c r="T113" s="33"/>
      <c r="U113" s="33"/>
      <c r="V113" s="33"/>
      <c r="W113" s="52"/>
      <c r="X113" s="52"/>
      <c r="Y113" s="52"/>
      <c r="Z113" s="52"/>
      <c r="AA113" s="52"/>
      <c r="AB113" s="52"/>
      <c r="AC113" s="52"/>
      <c r="AD113" s="52"/>
      <c r="AE113" s="52"/>
    </row>
    <row r="114" spans="1:31" ht="18" customHeight="1">
      <c r="A114" s="31"/>
      <c r="B114" s="33"/>
      <c r="C114" s="33"/>
      <c r="D114" s="33"/>
      <c r="E114" s="33"/>
      <c r="F114" s="35"/>
      <c r="G114" s="36"/>
      <c r="H114" s="36"/>
      <c r="I114" s="36"/>
      <c r="J114" s="36"/>
      <c r="K114" s="36" t="str">
        <f t="shared" si="0"/>
        <v/>
      </c>
      <c r="L114" s="41" t="str">
        <f t="shared" si="1"/>
        <v/>
      </c>
      <c r="M114" s="43" t="str">
        <f t="shared" si="2"/>
        <v/>
      </c>
      <c r="N114" s="47" t="str">
        <f t="shared" si="3"/>
        <v/>
      </c>
      <c r="O114" s="48" t="str">
        <f>IF(H114="I",N114*Contagem!$U$11,IF(H114="E",N114*Contagem!$U$13,IF(H114="A",N114*Contagem!$U$12,IF(H114="T",N114*Contagem!$U$14,""))))</f>
        <v/>
      </c>
      <c r="P114" s="36"/>
      <c r="Q114" s="49">
        <f>IF(H114="I",Sumário!$F$55,IF(H114="A",Sumário!$F$56,Sumário!$F$57))</f>
        <v>0.4</v>
      </c>
      <c r="R114" s="51" t="b">
        <f t="shared" si="4"/>
        <v>0</v>
      </c>
      <c r="S114" s="33" t="b">
        <f t="shared" si="5"/>
        <v>0</v>
      </c>
      <c r="T114" s="33"/>
      <c r="U114" s="33"/>
      <c r="V114" s="33"/>
      <c r="W114" s="52"/>
      <c r="X114" s="52"/>
      <c r="Y114" s="52"/>
      <c r="Z114" s="52"/>
      <c r="AA114" s="52"/>
      <c r="AB114" s="52"/>
      <c r="AC114" s="52"/>
      <c r="AD114" s="52"/>
      <c r="AE114" s="52"/>
    </row>
    <row r="115" spans="1:31" ht="18" customHeight="1">
      <c r="A115" s="31"/>
      <c r="B115" s="33"/>
      <c r="C115" s="33"/>
      <c r="D115" s="33"/>
      <c r="E115" s="33"/>
      <c r="F115" s="35"/>
      <c r="G115" s="36"/>
      <c r="H115" s="36"/>
      <c r="I115" s="36"/>
      <c r="J115" s="36"/>
      <c r="K115" s="36" t="str">
        <f t="shared" si="0"/>
        <v/>
      </c>
      <c r="L115" s="41" t="str">
        <f t="shared" si="1"/>
        <v/>
      </c>
      <c r="M115" s="43" t="str">
        <f t="shared" si="2"/>
        <v/>
      </c>
      <c r="N115" s="47" t="str">
        <f t="shared" si="3"/>
        <v/>
      </c>
      <c r="O115" s="48" t="str">
        <f>IF(H115="I",N115*Contagem!$U$11,IF(H115="E",N115*Contagem!$U$13,IF(H115="A",N115*Contagem!$U$12,IF(H115="T",N115*Contagem!$U$14,""))))</f>
        <v/>
      </c>
      <c r="P115" s="36"/>
      <c r="Q115" s="49">
        <f>IF(H115="I",Sumário!$F$55,IF(H115="A",Sumário!$F$56,Sumário!$F$57))</f>
        <v>0.4</v>
      </c>
      <c r="R115" s="51" t="b">
        <f t="shared" si="4"/>
        <v>0</v>
      </c>
      <c r="S115" s="33" t="b">
        <f t="shared" si="5"/>
        <v>0</v>
      </c>
      <c r="T115" s="33"/>
      <c r="U115" s="33"/>
      <c r="V115" s="33"/>
      <c r="W115" s="52"/>
      <c r="X115" s="52"/>
      <c r="Y115" s="52"/>
      <c r="Z115" s="52"/>
      <c r="AA115" s="52"/>
      <c r="AB115" s="52"/>
      <c r="AC115" s="52"/>
      <c r="AD115" s="52"/>
      <c r="AE115" s="52"/>
    </row>
    <row r="116" spans="1:31" ht="18" customHeight="1">
      <c r="A116" s="31"/>
      <c r="B116" s="33"/>
      <c r="C116" s="33"/>
      <c r="D116" s="33"/>
      <c r="E116" s="33"/>
      <c r="F116" s="35"/>
      <c r="G116" s="36"/>
      <c r="H116" s="36"/>
      <c r="I116" s="36"/>
      <c r="J116" s="36"/>
      <c r="K116" s="36" t="str">
        <f t="shared" si="0"/>
        <v/>
      </c>
      <c r="L116" s="41" t="str">
        <f t="shared" si="1"/>
        <v/>
      </c>
      <c r="M116" s="43" t="str">
        <f t="shared" si="2"/>
        <v/>
      </c>
      <c r="N116" s="47" t="str">
        <f t="shared" si="3"/>
        <v/>
      </c>
      <c r="O116" s="48" t="str">
        <f>IF(H116="I",N116*Contagem!$U$11,IF(H116="E",N116*Contagem!$U$13,IF(H116="A",N116*Contagem!$U$12,IF(H116="T",N116*Contagem!$U$14,""))))</f>
        <v/>
      </c>
      <c r="P116" s="36"/>
      <c r="Q116" s="49">
        <f>IF(H116="I",Sumário!$F$55,IF(H116="A",Sumário!$F$56,Sumário!$F$57))</f>
        <v>0.4</v>
      </c>
      <c r="R116" s="51" t="b">
        <f t="shared" si="4"/>
        <v>0</v>
      </c>
      <c r="S116" s="33" t="b">
        <f t="shared" si="5"/>
        <v>0</v>
      </c>
      <c r="T116" s="33"/>
      <c r="U116" s="33"/>
      <c r="V116" s="33"/>
      <c r="W116" s="52"/>
      <c r="X116" s="52"/>
      <c r="Y116" s="52"/>
      <c r="Z116" s="52"/>
      <c r="AA116" s="52"/>
      <c r="AB116" s="52"/>
      <c r="AC116" s="52"/>
      <c r="AD116" s="52"/>
      <c r="AE116" s="52"/>
    </row>
    <row r="117" spans="1:31" ht="18" customHeight="1">
      <c r="A117" s="31"/>
      <c r="B117" s="33"/>
      <c r="C117" s="33"/>
      <c r="D117" s="33"/>
      <c r="E117" s="33"/>
      <c r="F117" s="35"/>
      <c r="G117" s="36"/>
      <c r="H117" s="36"/>
      <c r="I117" s="36"/>
      <c r="J117" s="36"/>
      <c r="K117" s="36" t="str">
        <f t="shared" si="0"/>
        <v/>
      </c>
      <c r="L117" s="41" t="str">
        <f t="shared" si="1"/>
        <v/>
      </c>
      <c r="M117" s="43" t="str">
        <f t="shared" si="2"/>
        <v/>
      </c>
      <c r="N117" s="47" t="str">
        <f t="shared" si="3"/>
        <v/>
      </c>
      <c r="O117" s="48" t="str">
        <f>IF(H117="I",N117*Contagem!$U$11,IF(H117="E",N117*Contagem!$U$13,IF(H117="A",N117*Contagem!$U$12,IF(H117="T",N117*Contagem!$U$14,""))))</f>
        <v/>
      </c>
      <c r="P117" s="36"/>
      <c r="Q117" s="49">
        <f>IF(H117="I",Sumário!$F$55,IF(H117="A",Sumário!$F$56,Sumário!$F$57))</f>
        <v>0.4</v>
      </c>
      <c r="R117" s="51" t="b">
        <f t="shared" si="4"/>
        <v>0</v>
      </c>
      <c r="S117" s="33" t="b">
        <f t="shared" si="5"/>
        <v>0</v>
      </c>
      <c r="T117" s="33"/>
      <c r="U117" s="33"/>
      <c r="V117" s="33"/>
      <c r="W117" s="52"/>
      <c r="X117" s="52"/>
      <c r="Y117" s="52"/>
      <c r="Z117" s="52"/>
      <c r="AA117" s="52"/>
      <c r="AB117" s="52"/>
      <c r="AC117" s="52"/>
      <c r="AD117" s="52"/>
      <c r="AE117" s="52"/>
    </row>
    <row r="118" spans="1:31" ht="12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</row>
    <row r="119" spans="1:31" ht="12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</row>
    <row r="120" spans="1:31" ht="12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</row>
    <row r="121" spans="1:31" ht="12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</row>
    <row r="122" spans="1:31" ht="12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</row>
    <row r="123" spans="1:31" ht="12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</row>
    <row r="124" spans="1:31" ht="12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</row>
    <row r="125" spans="1:31" ht="12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</row>
    <row r="126" spans="1:31" ht="12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</row>
    <row r="127" spans="1:31" ht="12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</row>
    <row r="128" spans="1:31" ht="12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</row>
    <row r="129" spans="1:31" ht="12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</row>
    <row r="130" spans="1:31" ht="12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</row>
    <row r="131" spans="1:31" ht="12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</row>
    <row r="132" spans="1:31" ht="12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</row>
    <row r="133" spans="1:31" ht="12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</row>
    <row r="134" spans="1:31" ht="12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</row>
    <row r="135" spans="1:31" ht="12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</row>
    <row r="136" spans="1:31" ht="12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</row>
    <row r="137" spans="1:31" ht="12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</row>
    <row r="138" spans="1:31" ht="12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</row>
    <row r="139" spans="1:31" ht="12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</row>
    <row r="140" spans="1:31" ht="12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</row>
    <row r="141" spans="1:31" ht="12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</row>
    <row r="142" spans="1:31" ht="12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</row>
    <row r="143" spans="1:31" ht="12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</row>
    <row r="144" spans="1:31" ht="12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</row>
    <row r="145" spans="1:31" ht="12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</row>
    <row r="146" spans="1:31" ht="12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</row>
    <row r="147" spans="1:31" ht="12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</row>
    <row r="148" spans="1:31" ht="12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</row>
    <row r="149" spans="1:31" ht="12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</row>
    <row r="150" spans="1:31" ht="12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</row>
    <row r="151" spans="1:31" ht="12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</row>
    <row r="152" spans="1:31" ht="12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</row>
    <row r="153" spans="1:31" ht="12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</row>
    <row r="154" spans="1:31" ht="12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</row>
    <row r="155" spans="1:31" ht="12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</row>
    <row r="156" spans="1:31" ht="12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</row>
    <row r="157" spans="1:31" ht="12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</row>
    <row r="158" spans="1:31" ht="12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</row>
    <row r="159" spans="1:31" ht="12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</row>
    <row r="160" spans="1:31" ht="12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</row>
    <row r="161" spans="1:31" ht="12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</row>
    <row r="162" spans="1:31" ht="12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</row>
    <row r="163" spans="1:31" ht="12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</row>
    <row r="164" spans="1:31" ht="12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</row>
    <row r="165" spans="1:31" ht="12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</row>
    <row r="166" spans="1:31" ht="12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</row>
    <row r="167" spans="1:31" ht="12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</row>
    <row r="168" spans="1:31" ht="12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</row>
    <row r="169" spans="1:31" ht="12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</row>
    <row r="170" spans="1:31" ht="12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</row>
    <row r="171" spans="1:31" ht="12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</row>
    <row r="172" spans="1:31" ht="12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</row>
    <row r="173" spans="1:31" ht="12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</row>
    <row r="174" spans="1:31" ht="12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</row>
    <row r="175" spans="1:31" ht="12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</row>
    <row r="176" spans="1:31" ht="12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</row>
    <row r="177" spans="1:31" ht="12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</row>
    <row r="178" spans="1:31" ht="12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</row>
    <row r="179" spans="1:31" ht="12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</row>
    <row r="180" spans="1:31" ht="12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</row>
    <row r="181" spans="1:31" ht="12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</row>
    <row r="182" spans="1:31" ht="12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</row>
    <row r="183" spans="1:31" ht="12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</row>
    <row r="184" spans="1:31" ht="12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</row>
    <row r="185" spans="1:31" ht="12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</row>
    <row r="186" spans="1:31" ht="12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</row>
    <row r="187" spans="1:31" ht="12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</row>
    <row r="188" spans="1:31" ht="12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</row>
    <row r="189" spans="1:31" ht="12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</row>
    <row r="190" spans="1:31" ht="12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</row>
    <row r="191" spans="1:31" ht="12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</row>
    <row r="192" spans="1:31" ht="12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</row>
    <row r="193" spans="1:31" ht="12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</row>
    <row r="194" spans="1:31" ht="12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</row>
    <row r="195" spans="1:31" ht="12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</row>
    <row r="196" spans="1:31" ht="12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</row>
    <row r="197" spans="1:31" ht="12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</row>
    <row r="198" spans="1:31" ht="12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</row>
    <row r="199" spans="1:31" ht="12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</row>
    <row r="200" spans="1:31" ht="12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</row>
    <row r="201" spans="1:31" ht="12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</row>
    <row r="202" spans="1:31" ht="12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</row>
    <row r="203" spans="1:31" ht="12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</row>
    <row r="204" spans="1:31" ht="12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</row>
    <row r="205" spans="1:31" ht="12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</row>
    <row r="206" spans="1:31" ht="12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</row>
    <row r="207" spans="1:31" ht="12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</row>
    <row r="208" spans="1:31" ht="12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</row>
    <row r="209" spans="1:31" ht="12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</row>
    <row r="210" spans="1:31" ht="12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</row>
    <row r="211" spans="1:31" ht="12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</row>
    <row r="212" spans="1:31" ht="12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</row>
    <row r="213" spans="1:31" ht="12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</row>
    <row r="214" spans="1:31" ht="12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</row>
    <row r="215" spans="1:31" ht="12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</row>
    <row r="216" spans="1:31" ht="12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</row>
    <row r="217" spans="1:31" ht="12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</row>
    <row r="218" spans="1:31" ht="12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</row>
    <row r="219" spans="1:31" ht="12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</row>
    <row r="220" spans="1:31" ht="12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</row>
    <row r="221" spans="1:31" ht="12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</row>
    <row r="222" spans="1:31" ht="12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</row>
    <row r="223" spans="1:31" ht="12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</row>
    <row r="224" spans="1:31" ht="12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</row>
    <row r="225" spans="1:31" ht="12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</row>
    <row r="226" spans="1:31" ht="12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</row>
    <row r="227" spans="1:31" ht="12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</row>
    <row r="228" spans="1:31" ht="12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</row>
    <row r="229" spans="1:31" ht="12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</row>
    <row r="230" spans="1:31" ht="12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</row>
    <row r="231" spans="1:31" ht="12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</row>
    <row r="232" spans="1:31" ht="12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</row>
    <row r="233" spans="1:31" ht="12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</row>
    <row r="234" spans="1:31" ht="12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</row>
    <row r="235" spans="1:31" ht="12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</row>
    <row r="236" spans="1:31" ht="12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</row>
    <row r="237" spans="1:31" ht="12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</row>
    <row r="238" spans="1:31" ht="12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</row>
    <row r="239" spans="1:31" ht="12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</row>
    <row r="240" spans="1:31" ht="12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</row>
    <row r="241" spans="1:31" ht="12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</row>
    <row r="242" spans="1:31" ht="12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</row>
    <row r="243" spans="1:31" ht="12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</row>
    <row r="244" spans="1:31" ht="12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</row>
    <row r="245" spans="1:31" ht="12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</row>
    <row r="246" spans="1:31" ht="12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</row>
    <row r="247" spans="1:31" ht="12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</row>
    <row r="248" spans="1:31" ht="12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</row>
    <row r="249" spans="1:31" ht="12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</row>
    <row r="250" spans="1:31" ht="12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</row>
    <row r="251" spans="1:31" ht="12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</row>
    <row r="252" spans="1:31" ht="12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</row>
    <row r="253" spans="1:31" ht="12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</row>
    <row r="254" spans="1:31" ht="12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</row>
    <row r="255" spans="1:31" ht="12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</row>
    <row r="256" spans="1:31" ht="12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</row>
    <row r="257" spans="1:31" ht="12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</row>
    <row r="258" spans="1:31" ht="12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</row>
    <row r="259" spans="1:31" ht="12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</row>
    <row r="260" spans="1:31" ht="12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</row>
    <row r="261" spans="1:31" ht="12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</row>
    <row r="262" spans="1:31" ht="12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</row>
    <row r="263" spans="1:31" ht="12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</row>
    <row r="264" spans="1:31" ht="12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</row>
    <row r="265" spans="1:31" ht="12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</row>
    <row r="266" spans="1:31" ht="12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</row>
    <row r="267" spans="1:31" ht="12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</row>
    <row r="268" spans="1:31" ht="12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</row>
    <row r="269" spans="1:31" ht="12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</row>
    <row r="270" spans="1:31" ht="12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</row>
    <row r="271" spans="1:31" ht="12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</row>
    <row r="272" spans="1:31" ht="12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</row>
    <row r="273" spans="1:31" ht="12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</row>
    <row r="274" spans="1:31" ht="12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</row>
    <row r="275" spans="1:31" ht="12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</row>
    <row r="276" spans="1:31" ht="12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</row>
    <row r="277" spans="1:31" ht="12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</row>
    <row r="278" spans="1:31" ht="12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</row>
    <row r="279" spans="1:31" ht="12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</row>
    <row r="280" spans="1:31" ht="12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</row>
    <row r="281" spans="1:31" ht="12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</row>
    <row r="282" spans="1:31" ht="12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</row>
    <row r="283" spans="1:31" ht="12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</row>
    <row r="284" spans="1:31" ht="12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</row>
    <row r="285" spans="1:31" ht="12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</row>
    <row r="286" spans="1:31" ht="12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</row>
    <row r="287" spans="1:31" ht="12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</row>
    <row r="288" spans="1:31" ht="12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</row>
    <row r="289" spans="1:31" ht="12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</row>
    <row r="290" spans="1:31" ht="12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</row>
    <row r="291" spans="1:31" ht="12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</row>
    <row r="292" spans="1:31" ht="12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</row>
    <row r="293" spans="1:31" ht="12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</row>
    <row r="294" spans="1:31" ht="12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</row>
    <row r="295" spans="1:31" ht="12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</row>
    <row r="296" spans="1:31" ht="12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</row>
    <row r="297" spans="1:31" ht="12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</row>
    <row r="298" spans="1:31" ht="12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</row>
    <row r="299" spans="1:31" ht="12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</row>
    <row r="300" spans="1:31" ht="12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</row>
    <row r="301" spans="1:31" ht="12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</row>
    <row r="302" spans="1:31" ht="12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</row>
    <row r="303" spans="1:31" ht="12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</row>
    <row r="304" spans="1:31" ht="12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</row>
    <row r="305" spans="1:31" ht="12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</row>
    <row r="306" spans="1:31" ht="12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</row>
    <row r="307" spans="1:31" ht="12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</row>
    <row r="308" spans="1:31" ht="12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</row>
    <row r="309" spans="1:31" ht="12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</row>
    <row r="310" spans="1:31" ht="12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</row>
    <row r="311" spans="1:31" ht="12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</row>
    <row r="312" spans="1:31" ht="12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</row>
    <row r="313" spans="1:31" ht="12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</row>
    <row r="314" spans="1:31" ht="12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</row>
    <row r="315" spans="1:31" ht="12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</row>
    <row r="316" spans="1:31" ht="12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</row>
    <row r="317" spans="1:31" ht="12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</row>
    <row r="318" spans="1:31" ht="12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</row>
    <row r="319" spans="1:31" ht="12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</row>
    <row r="320" spans="1:31" ht="12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</row>
    <row r="321" spans="1:31" ht="12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</row>
    <row r="322" spans="1:31" ht="12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</row>
    <row r="323" spans="1:31" ht="12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</row>
    <row r="324" spans="1:31" ht="12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</row>
    <row r="325" spans="1:31" ht="12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</row>
    <row r="326" spans="1:31" ht="12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</row>
    <row r="327" spans="1:31" ht="12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</row>
    <row r="328" spans="1:31" ht="12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</row>
    <row r="329" spans="1:31" ht="12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</row>
    <row r="330" spans="1:31" ht="12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</row>
    <row r="331" spans="1:31" ht="12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</row>
    <row r="332" spans="1:31" ht="12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</row>
    <row r="333" spans="1:31" ht="12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</row>
    <row r="334" spans="1:31" ht="12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</row>
    <row r="335" spans="1:31" ht="12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</row>
    <row r="336" spans="1:31" ht="12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</row>
    <row r="337" spans="1:31" ht="12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</row>
    <row r="338" spans="1:31" ht="12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</row>
    <row r="339" spans="1:31" ht="12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</row>
    <row r="340" spans="1:31" ht="12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</row>
    <row r="341" spans="1:31" ht="12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</row>
    <row r="342" spans="1:31" ht="12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</row>
    <row r="343" spans="1:31" ht="12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</row>
    <row r="344" spans="1:31" ht="12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</row>
    <row r="345" spans="1:31" ht="12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</row>
    <row r="346" spans="1:31" ht="12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</row>
    <row r="347" spans="1:31" ht="12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</row>
    <row r="348" spans="1:31" ht="12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</row>
    <row r="349" spans="1:31" ht="12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</row>
    <row r="350" spans="1:31" ht="12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</row>
    <row r="351" spans="1:31" ht="12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</row>
    <row r="352" spans="1:31" ht="12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</row>
    <row r="353" spans="1:31" ht="12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</row>
    <row r="354" spans="1:31" ht="12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</row>
    <row r="355" spans="1:31" ht="12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</row>
    <row r="356" spans="1:31" ht="12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</row>
    <row r="357" spans="1:31" ht="12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</row>
    <row r="358" spans="1:31" ht="12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</row>
    <row r="359" spans="1:31" ht="12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</row>
    <row r="360" spans="1:31" ht="12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</row>
    <row r="361" spans="1:31" ht="12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</row>
    <row r="362" spans="1:31" ht="12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</row>
    <row r="363" spans="1:31" ht="12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</row>
    <row r="364" spans="1:31" ht="12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</row>
    <row r="365" spans="1:31" ht="12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</row>
    <row r="366" spans="1:31" ht="12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</row>
    <row r="367" spans="1:31" ht="12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</row>
    <row r="368" spans="1:31" ht="12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</row>
    <row r="369" spans="1:31" ht="12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</row>
    <row r="370" spans="1:31" ht="12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</row>
    <row r="371" spans="1:31" ht="12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</row>
    <row r="372" spans="1:31" ht="12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</row>
    <row r="373" spans="1:31" ht="12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</row>
    <row r="374" spans="1:31" ht="12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</row>
    <row r="375" spans="1:31" ht="12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</row>
    <row r="376" spans="1:31" ht="12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</row>
    <row r="377" spans="1:31" ht="12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</row>
    <row r="378" spans="1:31" ht="12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</row>
    <row r="379" spans="1:31" ht="12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</row>
    <row r="380" spans="1:31" ht="12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</row>
    <row r="381" spans="1:31" ht="12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</row>
    <row r="382" spans="1:31" ht="12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</row>
    <row r="383" spans="1:31" ht="12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</row>
    <row r="384" spans="1:31" ht="12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</row>
    <row r="385" spans="1:31" ht="12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</row>
    <row r="386" spans="1:31" ht="12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</row>
    <row r="387" spans="1:31" ht="12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</row>
    <row r="388" spans="1:31" ht="12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</row>
    <row r="389" spans="1:31" ht="12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</row>
    <row r="390" spans="1:31" ht="12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</row>
    <row r="391" spans="1:31" ht="12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</row>
    <row r="392" spans="1:31" ht="12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</row>
    <row r="393" spans="1:31" ht="12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</row>
    <row r="394" spans="1:31" ht="12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</row>
    <row r="395" spans="1:31" ht="12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</row>
    <row r="396" spans="1:31" ht="12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</row>
    <row r="397" spans="1:31" ht="12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</row>
    <row r="398" spans="1:31" ht="12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</row>
    <row r="399" spans="1:31" ht="12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</row>
    <row r="400" spans="1:31" ht="12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</row>
    <row r="401" spans="1:31" ht="12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</row>
    <row r="402" spans="1:31" ht="12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</row>
    <row r="403" spans="1:31" ht="12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</row>
    <row r="404" spans="1:31" ht="12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</row>
    <row r="405" spans="1:31" ht="12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</row>
    <row r="406" spans="1:31" ht="12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</row>
    <row r="407" spans="1:31" ht="12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</row>
    <row r="408" spans="1:31" ht="12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</row>
    <row r="409" spans="1:31" ht="12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</row>
    <row r="410" spans="1:31" ht="12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</row>
    <row r="411" spans="1:31" ht="12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</row>
    <row r="412" spans="1:31" ht="12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</row>
    <row r="413" spans="1:31" ht="12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</row>
    <row r="414" spans="1:31" ht="12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</row>
    <row r="415" spans="1:31" ht="12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</row>
    <row r="416" spans="1:31" ht="12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</row>
    <row r="417" spans="1:31" ht="12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</row>
    <row r="418" spans="1:31" ht="12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</row>
    <row r="419" spans="1:31" ht="12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</row>
    <row r="420" spans="1:31" ht="12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</row>
    <row r="421" spans="1:31" ht="12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</row>
    <row r="422" spans="1:31" ht="12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</row>
    <row r="423" spans="1:31" ht="12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</row>
    <row r="424" spans="1:31" ht="12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</row>
    <row r="425" spans="1:31" ht="12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</row>
    <row r="426" spans="1:31" ht="12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</row>
    <row r="427" spans="1:31" ht="12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</row>
    <row r="428" spans="1:31" ht="12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</row>
    <row r="429" spans="1:31" ht="12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</row>
    <row r="430" spans="1:31" ht="12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</row>
    <row r="431" spans="1:31" ht="12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</row>
    <row r="432" spans="1:31" ht="12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</row>
    <row r="433" spans="1:31" ht="12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</row>
    <row r="434" spans="1:31" ht="12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</row>
    <row r="435" spans="1:31" ht="12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</row>
    <row r="436" spans="1:31" ht="12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</row>
    <row r="437" spans="1:31" ht="12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</row>
    <row r="438" spans="1:31" ht="12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</row>
    <row r="439" spans="1:31" ht="12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</row>
    <row r="440" spans="1:31" ht="12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</row>
    <row r="441" spans="1:31" ht="12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</row>
    <row r="442" spans="1:31" ht="12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</row>
    <row r="443" spans="1:31" ht="12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</row>
    <row r="444" spans="1:31" ht="12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</row>
    <row r="445" spans="1:31" ht="12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</row>
    <row r="446" spans="1:31" ht="12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</row>
    <row r="447" spans="1:31" ht="12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</row>
    <row r="448" spans="1:31" ht="12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</row>
    <row r="449" spans="1:31" ht="12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</row>
    <row r="450" spans="1:31" ht="12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</row>
    <row r="451" spans="1:31" ht="12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</row>
    <row r="452" spans="1:31" ht="12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</row>
    <row r="453" spans="1:31" ht="12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</row>
    <row r="454" spans="1:31" ht="12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</row>
    <row r="455" spans="1:31" ht="12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</row>
    <row r="456" spans="1:31" ht="12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</row>
    <row r="457" spans="1:31" ht="12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</row>
    <row r="458" spans="1:31" ht="12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</row>
    <row r="459" spans="1:31" ht="12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</row>
    <row r="460" spans="1:31" ht="12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</row>
    <row r="461" spans="1:31" ht="12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</row>
    <row r="462" spans="1:31" ht="12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</row>
    <row r="463" spans="1:31" ht="12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</row>
    <row r="464" spans="1:31" ht="12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</row>
    <row r="465" spans="1:31" ht="12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</row>
    <row r="466" spans="1:31" ht="12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</row>
    <row r="467" spans="1:31" ht="12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</row>
    <row r="468" spans="1:31" ht="12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</row>
    <row r="469" spans="1:31" ht="12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</row>
    <row r="470" spans="1:31" ht="12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</row>
    <row r="471" spans="1:31" ht="12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</row>
    <row r="472" spans="1:31" ht="12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</row>
    <row r="473" spans="1:31" ht="12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</row>
    <row r="474" spans="1:31" ht="12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</row>
    <row r="475" spans="1:31" ht="12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</row>
    <row r="476" spans="1:31" ht="12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</row>
    <row r="477" spans="1:31" ht="12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</row>
    <row r="478" spans="1:31" ht="12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</row>
    <row r="479" spans="1:31" ht="12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</row>
    <row r="480" spans="1:31" ht="12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</row>
    <row r="481" spans="1:31" ht="12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</row>
    <row r="482" spans="1:31" ht="12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</row>
    <row r="483" spans="1:31" ht="12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</row>
    <row r="484" spans="1:31" ht="12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</row>
    <row r="485" spans="1:31" ht="12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</row>
    <row r="486" spans="1:31" ht="12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</row>
    <row r="487" spans="1:31" ht="12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</row>
    <row r="488" spans="1:31" ht="12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</row>
    <row r="489" spans="1:31" ht="12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</row>
    <row r="490" spans="1:31" ht="12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</row>
    <row r="491" spans="1:31" ht="12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</row>
    <row r="492" spans="1:31" ht="12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</row>
    <row r="493" spans="1:31" ht="12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</row>
    <row r="494" spans="1:31" ht="12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</row>
    <row r="495" spans="1:31" ht="12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</row>
    <row r="496" spans="1:31" ht="12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</row>
    <row r="497" spans="1:31" ht="12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</row>
    <row r="498" spans="1:31" ht="12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</row>
    <row r="499" spans="1:31" ht="12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</row>
    <row r="500" spans="1:31" ht="12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</row>
    <row r="501" spans="1:31" ht="12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</row>
    <row r="502" spans="1:31" ht="12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</row>
    <row r="503" spans="1:31" ht="12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</row>
    <row r="504" spans="1:31" ht="12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</row>
    <row r="505" spans="1:31" ht="12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</row>
    <row r="506" spans="1:31" ht="12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</row>
    <row r="507" spans="1:31" ht="12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</row>
    <row r="508" spans="1:31" ht="12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</row>
    <row r="509" spans="1:31" ht="12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</row>
    <row r="510" spans="1:31" ht="12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</row>
    <row r="511" spans="1:31" ht="12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</row>
    <row r="512" spans="1:31" ht="12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</row>
    <row r="513" spans="1:31" ht="12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</row>
    <row r="514" spans="1:31" ht="12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</row>
    <row r="515" spans="1:31" ht="12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</row>
    <row r="516" spans="1:31" ht="12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</row>
    <row r="517" spans="1:31" ht="12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</row>
    <row r="518" spans="1:31" ht="12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</row>
    <row r="519" spans="1:31" ht="12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</row>
    <row r="520" spans="1:31" ht="12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</row>
    <row r="521" spans="1:31" ht="12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</row>
    <row r="522" spans="1:31" ht="12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</row>
    <row r="523" spans="1:31" ht="12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</row>
    <row r="524" spans="1:31" ht="12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</row>
    <row r="525" spans="1:31" ht="12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</row>
    <row r="526" spans="1:31" ht="12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</row>
    <row r="527" spans="1:31" ht="12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</row>
    <row r="528" spans="1:31" ht="12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</row>
    <row r="529" spans="1:31" ht="12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</row>
    <row r="530" spans="1:31" ht="12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</row>
    <row r="531" spans="1:31" ht="12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</row>
    <row r="532" spans="1:31" ht="12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</row>
    <row r="533" spans="1:31" ht="12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</row>
    <row r="534" spans="1:31" ht="12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</row>
    <row r="535" spans="1:31" ht="12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</row>
    <row r="536" spans="1:31" ht="12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</row>
    <row r="537" spans="1:31" ht="12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</row>
    <row r="538" spans="1:31" ht="12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</row>
    <row r="539" spans="1:31" ht="12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</row>
    <row r="540" spans="1:31" ht="12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</row>
    <row r="541" spans="1:31" ht="12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</row>
    <row r="542" spans="1:31" ht="12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</row>
    <row r="543" spans="1:31" ht="12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</row>
    <row r="544" spans="1:31" ht="12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</row>
    <row r="545" spans="1:31" ht="12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</row>
    <row r="546" spans="1:31" ht="12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</row>
    <row r="547" spans="1:31" ht="12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</row>
    <row r="548" spans="1:31" ht="12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</row>
    <row r="549" spans="1:31" ht="12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</row>
    <row r="550" spans="1:31" ht="12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</row>
    <row r="551" spans="1:31" ht="12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</row>
    <row r="552" spans="1:31" ht="12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</row>
    <row r="553" spans="1:31" ht="12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</row>
    <row r="554" spans="1:31" ht="12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</row>
    <row r="555" spans="1:31" ht="12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</row>
    <row r="556" spans="1:31" ht="12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</row>
    <row r="557" spans="1:31" ht="12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</row>
    <row r="558" spans="1:31" ht="12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</row>
    <row r="559" spans="1:31" ht="12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</row>
    <row r="560" spans="1:31" ht="12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</row>
    <row r="561" spans="1:31" ht="12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</row>
    <row r="562" spans="1:31" ht="12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</row>
    <row r="563" spans="1:31" ht="12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</row>
    <row r="564" spans="1:31" ht="12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</row>
    <row r="565" spans="1:31" ht="12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</row>
    <row r="566" spans="1:31" ht="12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</row>
    <row r="567" spans="1:31" ht="12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</row>
    <row r="568" spans="1:31" ht="12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</row>
    <row r="569" spans="1:31" ht="12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</row>
    <row r="570" spans="1:31" ht="12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</row>
    <row r="571" spans="1:31" ht="12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</row>
    <row r="572" spans="1:31" ht="12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</row>
    <row r="573" spans="1:31" ht="12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</row>
    <row r="574" spans="1:31" ht="12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</row>
    <row r="575" spans="1:31" ht="12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</row>
    <row r="576" spans="1:31" ht="12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</row>
    <row r="577" spans="1:31" ht="12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</row>
    <row r="578" spans="1:31" ht="12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</row>
    <row r="579" spans="1:31" ht="12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</row>
    <row r="580" spans="1:31" ht="12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</row>
    <row r="581" spans="1:31" ht="12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</row>
    <row r="582" spans="1:31" ht="12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</row>
    <row r="583" spans="1:31" ht="12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</row>
    <row r="584" spans="1:31" ht="12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</row>
    <row r="585" spans="1:31" ht="12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</row>
    <row r="586" spans="1:31" ht="12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</row>
    <row r="587" spans="1:31" ht="12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</row>
    <row r="588" spans="1:31" ht="12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</row>
    <row r="589" spans="1:31" ht="12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</row>
    <row r="590" spans="1:31" ht="12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</row>
    <row r="591" spans="1:31" ht="12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</row>
    <row r="592" spans="1:31" ht="12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</row>
    <row r="593" spans="1:31" ht="12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</row>
    <row r="594" spans="1:31" ht="12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</row>
    <row r="595" spans="1:31" ht="12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</row>
    <row r="596" spans="1:31" ht="12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</row>
    <row r="597" spans="1:31" ht="12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</row>
    <row r="598" spans="1:31" ht="12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</row>
    <row r="599" spans="1:31" ht="12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</row>
    <row r="600" spans="1:31" ht="12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</row>
    <row r="601" spans="1:31" ht="12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</row>
    <row r="602" spans="1:31" ht="12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</row>
    <row r="603" spans="1:31" ht="12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</row>
    <row r="604" spans="1:31" ht="12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</row>
    <row r="605" spans="1:31" ht="12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</row>
    <row r="606" spans="1:31" ht="12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</row>
    <row r="607" spans="1:31" ht="12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</row>
    <row r="608" spans="1:31" ht="12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</row>
    <row r="609" spans="1:31" ht="12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</row>
    <row r="610" spans="1:31" ht="12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</row>
    <row r="611" spans="1:31" ht="12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</row>
    <row r="612" spans="1:31" ht="12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</row>
    <row r="613" spans="1:31" ht="12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</row>
    <row r="614" spans="1:31" ht="12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</row>
    <row r="615" spans="1:31" ht="12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</row>
    <row r="616" spans="1:31" ht="12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</row>
    <row r="617" spans="1:31" ht="12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</row>
    <row r="618" spans="1:31" ht="12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</row>
    <row r="619" spans="1:31" ht="12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</row>
    <row r="620" spans="1:31" ht="12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</row>
    <row r="621" spans="1:31" ht="12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</row>
    <row r="622" spans="1:31" ht="12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</row>
    <row r="623" spans="1:31" ht="12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</row>
    <row r="624" spans="1:31" ht="12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</row>
    <row r="625" spans="1:31" ht="12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</row>
    <row r="626" spans="1:31" ht="12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</row>
    <row r="627" spans="1:31" ht="12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</row>
    <row r="628" spans="1:31" ht="12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</row>
    <row r="629" spans="1:31" ht="12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</row>
    <row r="630" spans="1:31" ht="12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</row>
    <row r="631" spans="1:31" ht="12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</row>
    <row r="632" spans="1:31" ht="12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</row>
    <row r="633" spans="1:31" ht="12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</row>
    <row r="634" spans="1:31" ht="12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</row>
    <row r="635" spans="1:31" ht="12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</row>
    <row r="636" spans="1:31" ht="12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</row>
    <row r="637" spans="1:31" ht="12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</row>
    <row r="638" spans="1:31" ht="12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</row>
    <row r="639" spans="1:31" ht="12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</row>
    <row r="640" spans="1:31" ht="12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</row>
    <row r="641" spans="1:31" ht="12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</row>
    <row r="642" spans="1:31" ht="12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</row>
    <row r="643" spans="1:31" ht="12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</row>
    <row r="644" spans="1:31" ht="12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</row>
    <row r="645" spans="1:31" ht="12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</row>
    <row r="646" spans="1:31" ht="12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</row>
    <row r="647" spans="1:31" ht="12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</row>
    <row r="648" spans="1:31" ht="12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</row>
    <row r="649" spans="1:31" ht="12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</row>
    <row r="650" spans="1:31" ht="12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</row>
    <row r="651" spans="1:31" ht="12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</row>
    <row r="652" spans="1:31" ht="12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</row>
    <row r="653" spans="1:31" ht="12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</row>
    <row r="654" spans="1:31" ht="12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</row>
    <row r="655" spans="1:31" ht="12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</row>
    <row r="656" spans="1:31" ht="12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</row>
    <row r="657" spans="1:31" ht="12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</row>
    <row r="658" spans="1:31" ht="12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</row>
    <row r="659" spans="1:31" ht="12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</row>
    <row r="660" spans="1:31" ht="12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</row>
    <row r="661" spans="1:31" ht="12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</row>
    <row r="662" spans="1:31" ht="12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</row>
    <row r="663" spans="1:31" ht="12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</row>
    <row r="664" spans="1:31" ht="12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</row>
    <row r="665" spans="1:31" ht="12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</row>
    <row r="666" spans="1:31" ht="12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</row>
    <row r="667" spans="1:31" ht="12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</row>
    <row r="668" spans="1:31" ht="12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</row>
    <row r="669" spans="1:31" ht="12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</row>
    <row r="670" spans="1:31" ht="12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</row>
    <row r="671" spans="1:31" ht="12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</row>
    <row r="672" spans="1:31" ht="12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</row>
    <row r="673" spans="1:31" ht="12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</row>
    <row r="674" spans="1:31" ht="12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</row>
    <row r="675" spans="1:31" ht="12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</row>
    <row r="676" spans="1:31" ht="12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</row>
    <row r="677" spans="1:31" ht="12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</row>
    <row r="678" spans="1:31" ht="12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</row>
    <row r="679" spans="1:31" ht="12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</row>
    <row r="680" spans="1:31" ht="12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</row>
    <row r="681" spans="1:31" ht="12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</row>
    <row r="682" spans="1:31" ht="12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</row>
    <row r="683" spans="1:31" ht="12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</row>
    <row r="684" spans="1:31" ht="12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</row>
    <row r="685" spans="1:31" ht="12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</row>
    <row r="686" spans="1:31" ht="12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</row>
    <row r="687" spans="1:31" ht="12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</row>
    <row r="688" spans="1:31" ht="12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</row>
    <row r="689" spans="1:31" ht="12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</row>
    <row r="690" spans="1:31" ht="12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</row>
    <row r="691" spans="1:31" ht="12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</row>
    <row r="692" spans="1:31" ht="12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</row>
    <row r="693" spans="1:31" ht="12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</row>
    <row r="694" spans="1:31" ht="12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</row>
    <row r="695" spans="1:31" ht="12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</row>
    <row r="696" spans="1:31" ht="12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</row>
    <row r="697" spans="1:31" ht="12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</row>
    <row r="698" spans="1:31" ht="12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</row>
    <row r="699" spans="1:31" ht="12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</row>
    <row r="700" spans="1:31" ht="12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</row>
    <row r="701" spans="1:31" ht="12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</row>
    <row r="702" spans="1:31" ht="12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</row>
    <row r="703" spans="1:31" ht="12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</row>
    <row r="704" spans="1:31" ht="12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</row>
    <row r="705" spans="1:31" ht="12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</row>
    <row r="706" spans="1:31" ht="12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</row>
    <row r="707" spans="1:31" ht="12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</row>
    <row r="708" spans="1:31" ht="12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</row>
    <row r="709" spans="1:31" ht="12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</row>
    <row r="710" spans="1:31" ht="12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</row>
    <row r="711" spans="1:31" ht="12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</row>
    <row r="712" spans="1:31" ht="12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</row>
    <row r="713" spans="1:31" ht="12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</row>
    <row r="714" spans="1:31" ht="12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</row>
    <row r="715" spans="1:31" ht="12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</row>
    <row r="716" spans="1:31" ht="12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</row>
    <row r="717" spans="1:31" ht="12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</row>
    <row r="718" spans="1:31" ht="12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</row>
    <row r="719" spans="1:31" ht="12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</row>
    <row r="720" spans="1:31" ht="12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</row>
    <row r="721" spans="1:31" ht="12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</row>
    <row r="722" spans="1:31" ht="12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</row>
    <row r="723" spans="1:31" ht="12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</row>
    <row r="724" spans="1:31" ht="12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</row>
    <row r="725" spans="1:31" ht="12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</row>
    <row r="726" spans="1:31" ht="12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</row>
    <row r="727" spans="1:31" ht="12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</row>
    <row r="728" spans="1:31" ht="12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</row>
    <row r="729" spans="1:31" ht="12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</row>
    <row r="730" spans="1:31" ht="12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</row>
    <row r="731" spans="1:31" ht="12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</row>
    <row r="732" spans="1:31" ht="12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</row>
    <row r="733" spans="1:31" ht="12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</row>
    <row r="734" spans="1:31" ht="12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</row>
    <row r="735" spans="1:31" ht="12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</row>
    <row r="736" spans="1:31" ht="12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</row>
    <row r="737" spans="1:31" ht="12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</row>
    <row r="738" spans="1:31" ht="12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</row>
    <row r="739" spans="1:31" ht="12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</row>
    <row r="740" spans="1:31" ht="12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</row>
    <row r="741" spans="1:31" ht="12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</row>
    <row r="742" spans="1:31" ht="12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</row>
    <row r="743" spans="1:31" ht="12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</row>
    <row r="744" spans="1:31" ht="12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</row>
    <row r="745" spans="1:31" ht="12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</row>
    <row r="746" spans="1:31" ht="12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</row>
    <row r="747" spans="1:31" ht="12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</row>
    <row r="748" spans="1:31" ht="12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</row>
    <row r="749" spans="1:31" ht="12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</row>
    <row r="750" spans="1:31" ht="12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</row>
    <row r="751" spans="1:31" ht="12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</row>
    <row r="752" spans="1:31" ht="12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</row>
    <row r="753" spans="1:31" ht="12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</row>
    <row r="754" spans="1:31" ht="12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</row>
    <row r="755" spans="1:31" ht="12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</row>
    <row r="756" spans="1:31" ht="12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</row>
    <row r="757" spans="1:31" ht="12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</row>
    <row r="758" spans="1:31" ht="12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</row>
    <row r="759" spans="1:31" ht="12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</row>
    <row r="760" spans="1:31" ht="12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</row>
    <row r="761" spans="1:31" ht="12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</row>
    <row r="762" spans="1:31" ht="12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</row>
    <row r="763" spans="1:31" ht="12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</row>
    <row r="764" spans="1:31" ht="12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</row>
    <row r="765" spans="1:31" ht="12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</row>
    <row r="766" spans="1:31" ht="12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</row>
    <row r="767" spans="1:31" ht="12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</row>
    <row r="768" spans="1:31" ht="12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</row>
    <row r="769" spans="1:31" ht="12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</row>
    <row r="770" spans="1:31" ht="12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</row>
    <row r="771" spans="1:31" ht="12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</row>
    <row r="772" spans="1:31" ht="12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</row>
    <row r="773" spans="1:31" ht="12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</row>
    <row r="774" spans="1:31" ht="12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</row>
    <row r="775" spans="1:31" ht="12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</row>
    <row r="776" spans="1:31" ht="12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</row>
    <row r="777" spans="1:31" ht="12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</row>
    <row r="778" spans="1:31" ht="12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</row>
    <row r="779" spans="1:31" ht="12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</row>
    <row r="780" spans="1:31" ht="12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</row>
    <row r="781" spans="1:31" ht="12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</row>
    <row r="782" spans="1:31" ht="12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</row>
    <row r="783" spans="1:31" ht="12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</row>
    <row r="784" spans="1:31" ht="12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</row>
    <row r="785" spans="1:31" ht="12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</row>
    <row r="786" spans="1:31" ht="12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</row>
    <row r="787" spans="1:31" ht="12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</row>
    <row r="788" spans="1:31" ht="12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</row>
    <row r="789" spans="1:31" ht="12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</row>
    <row r="790" spans="1:31" ht="12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</row>
    <row r="791" spans="1:31" ht="12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</row>
    <row r="792" spans="1:31" ht="12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</row>
    <row r="793" spans="1:31" ht="12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</row>
    <row r="794" spans="1:31" ht="12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</row>
    <row r="795" spans="1:31" ht="12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</row>
    <row r="796" spans="1:31" ht="12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</row>
    <row r="797" spans="1:31" ht="12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</row>
    <row r="798" spans="1:31" ht="12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</row>
    <row r="799" spans="1:31" ht="12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</row>
    <row r="800" spans="1:31" ht="12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</row>
    <row r="801" spans="1:31" ht="12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</row>
    <row r="802" spans="1:31" ht="12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</row>
    <row r="803" spans="1:31" ht="12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</row>
    <row r="804" spans="1:31" ht="12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</row>
    <row r="805" spans="1:31" ht="12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</row>
    <row r="806" spans="1:31" ht="12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</row>
    <row r="807" spans="1:31" ht="12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</row>
    <row r="808" spans="1:31" ht="12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</row>
    <row r="809" spans="1:31" ht="12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</row>
    <row r="810" spans="1:31" ht="12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</row>
    <row r="811" spans="1:31" ht="12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</row>
    <row r="812" spans="1:31" ht="12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</row>
    <row r="813" spans="1:31" ht="12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</row>
    <row r="814" spans="1:31" ht="12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</row>
    <row r="815" spans="1:31" ht="12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</row>
    <row r="816" spans="1:31" ht="12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</row>
    <row r="817" spans="1:31" ht="12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</row>
    <row r="818" spans="1:31" ht="12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</row>
    <row r="819" spans="1:31" ht="12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</row>
    <row r="820" spans="1:31" ht="12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</row>
    <row r="821" spans="1:31" ht="12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</row>
    <row r="822" spans="1:31" ht="12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</row>
    <row r="823" spans="1:31" ht="12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</row>
    <row r="824" spans="1:31" ht="12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</row>
    <row r="825" spans="1:31" ht="12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</row>
    <row r="826" spans="1:31" ht="12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</row>
    <row r="827" spans="1:31" ht="12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</row>
    <row r="828" spans="1:31" ht="12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</row>
    <row r="829" spans="1:31" ht="12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</row>
    <row r="830" spans="1:31" ht="12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</row>
    <row r="831" spans="1:31" ht="12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</row>
    <row r="832" spans="1:31" ht="12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</row>
    <row r="833" spans="1:31" ht="12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</row>
    <row r="834" spans="1:31" ht="12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</row>
    <row r="835" spans="1:31" ht="12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</row>
    <row r="836" spans="1:31" ht="12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</row>
    <row r="837" spans="1:31" ht="12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</row>
    <row r="838" spans="1:31" ht="12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</row>
    <row r="839" spans="1:31" ht="12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</row>
    <row r="840" spans="1:31" ht="12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</row>
    <row r="841" spans="1:31" ht="12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</row>
    <row r="842" spans="1:31" ht="12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</row>
    <row r="843" spans="1:31" ht="12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</row>
    <row r="844" spans="1:31" ht="12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</row>
    <row r="845" spans="1:31" ht="12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</row>
    <row r="846" spans="1:31" ht="12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</row>
    <row r="847" spans="1:31" ht="12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</row>
    <row r="848" spans="1:31" ht="12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</row>
    <row r="849" spans="1:31" ht="12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</row>
    <row r="850" spans="1:31" ht="12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</row>
    <row r="851" spans="1:31" ht="12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</row>
    <row r="852" spans="1:31" ht="12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</row>
    <row r="853" spans="1:31" ht="12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</row>
    <row r="854" spans="1:31" ht="12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</row>
    <row r="855" spans="1:31" ht="12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</row>
    <row r="856" spans="1:31" ht="12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</row>
    <row r="857" spans="1:31" ht="12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</row>
    <row r="858" spans="1:31" ht="12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</row>
    <row r="859" spans="1:31" ht="12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</row>
    <row r="860" spans="1:31" ht="12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</row>
    <row r="861" spans="1:31" ht="12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</row>
    <row r="862" spans="1:31" ht="12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</row>
    <row r="863" spans="1:31" ht="12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</row>
    <row r="864" spans="1:31" ht="12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</row>
    <row r="865" spans="1:31" ht="12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</row>
    <row r="866" spans="1:31" ht="12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</row>
    <row r="867" spans="1:31" ht="12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</row>
    <row r="868" spans="1:31" ht="12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</row>
    <row r="869" spans="1:31" ht="12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</row>
    <row r="870" spans="1:31" ht="12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</row>
    <row r="871" spans="1:31" ht="12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</row>
    <row r="872" spans="1:31" ht="12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</row>
    <row r="873" spans="1:31" ht="12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</row>
    <row r="874" spans="1:31" ht="12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</row>
    <row r="875" spans="1:31" ht="12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</row>
    <row r="876" spans="1:31" ht="12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</row>
    <row r="877" spans="1:31" ht="12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</row>
    <row r="878" spans="1:31" ht="12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</row>
    <row r="879" spans="1:31" ht="12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</row>
    <row r="880" spans="1:31" ht="12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</row>
    <row r="881" spans="1:31" ht="12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</row>
    <row r="882" spans="1:31" ht="12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</row>
    <row r="883" spans="1:31" ht="12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</row>
    <row r="884" spans="1:31" ht="12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</row>
    <row r="885" spans="1:31" ht="12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</row>
    <row r="886" spans="1:31" ht="12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</row>
    <row r="887" spans="1:31" ht="12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</row>
    <row r="888" spans="1:31" ht="12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</row>
    <row r="889" spans="1:31" ht="12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</row>
    <row r="890" spans="1:31" ht="12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</row>
    <row r="891" spans="1:31" ht="12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</row>
    <row r="892" spans="1:31" ht="12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</row>
    <row r="893" spans="1:31" ht="12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</row>
    <row r="894" spans="1:31" ht="12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</row>
    <row r="895" spans="1:31" ht="12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</row>
    <row r="896" spans="1:31" ht="12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</row>
    <row r="897" spans="1:31" ht="12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</row>
    <row r="898" spans="1:31" ht="12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</row>
    <row r="899" spans="1:31" ht="12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</row>
    <row r="900" spans="1:31" ht="12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</row>
    <row r="901" spans="1:31" ht="12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</row>
    <row r="902" spans="1:31" ht="12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</row>
    <row r="903" spans="1:31" ht="12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</row>
    <row r="904" spans="1:31" ht="12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</row>
    <row r="905" spans="1:31" ht="12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</row>
    <row r="906" spans="1:31" ht="12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</row>
    <row r="907" spans="1:31" ht="12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</row>
    <row r="908" spans="1:31" ht="12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</row>
    <row r="909" spans="1:31" ht="12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</row>
    <row r="910" spans="1:31" ht="12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</row>
    <row r="911" spans="1:31" ht="12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</row>
    <row r="912" spans="1:31" ht="12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</row>
    <row r="913" spans="1:31" ht="12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</row>
    <row r="914" spans="1:31" ht="12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</row>
    <row r="915" spans="1:31" ht="12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</row>
    <row r="916" spans="1:31" ht="12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</row>
    <row r="917" spans="1:31" ht="12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</row>
    <row r="918" spans="1:31" ht="12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</row>
    <row r="919" spans="1:31" ht="12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</row>
    <row r="920" spans="1:31" ht="12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</row>
    <row r="921" spans="1:31" ht="12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</row>
    <row r="922" spans="1:31" ht="12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</row>
    <row r="923" spans="1:31" ht="12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</row>
    <row r="924" spans="1:31" ht="12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</row>
    <row r="925" spans="1:31" ht="12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</row>
    <row r="926" spans="1:31" ht="12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</row>
    <row r="927" spans="1:31" ht="12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</row>
    <row r="928" spans="1:31" ht="12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</row>
    <row r="929" spans="1:31" ht="12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</row>
    <row r="930" spans="1:31" ht="12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</row>
    <row r="931" spans="1:31" ht="12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</row>
    <row r="932" spans="1:31" ht="12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</row>
    <row r="933" spans="1:31" ht="12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</row>
    <row r="934" spans="1:31" ht="12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</row>
    <row r="935" spans="1:31" ht="12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</row>
    <row r="936" spans="1:31" ht="12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</row>
    <row r="937" spans="1:31" ht="12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</row>
    <row r="938" spans="1:31" ht="12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</row>
    <row r="939" spans="1:31" ht="12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</row>
    <row r="940" spans="1:31" ht="12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</row>
    <row r="941" spans="1:31" ht="12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</row>
    <row r="942" spans="1:31" ht="12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</row>
    <row r="943" spans="1:31" ht="12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</row>
    <row r="944" spans="1:31" ht="12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</row>
    <row r="945" spans="1:31" ht="12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</row>
    <row r="946" spans="1:31" ht="12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</row>
    <row r="947" spans="1:31" ht="12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</row>
    <row r="948" spans="1:31" ht="12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</row>
    <row r="949" spans="1:31" ht="12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</row>
    <row r="950" spans="1:31" ht="12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</row>
    <row r="951" spans="1:31" ht="12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</row>
    <row r="952" spans="1:31" ht="12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</row>
    <row r="953" spans="1:31" ht="12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</row>
    <row r="954" spans="1:31" ht="12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</row>
    <row r="955" spans="1:31" ht="12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</row>
    <row r="956" spans="1:31" ht="12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</row>
    <row r="957" spans="1:31" ht="12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</row>
    <row r="958" spans="1:31" ht="12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</row>
    <row r="959" spans="1:31" ht="12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</row>
    <row r="960" spans="1:31" ht="12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</row>
    <row r="961" spans="1:31" ht="12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</row>
    <row r="962" spans="1:31" ht="12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</row>
    <row r="963" spans="1:31" ht="12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</row>
    <row r="964" spans="1:31" ht="12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</row>
    <row r="965" spans="1:31" ht="12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</row>
    <row r="966" spans="1:31" ht="12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</row>
    <row r="967" spans="1:31" ht="12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</row>
    <row r="968" spans="1:31" ht="12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</row>
    <row r="969" spans="1:31" ht="12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</row>
    <row r="970" spans="1:31" ht="12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</row>
    <row r="971" spans="1:31" ht="12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</row>
    <row r="972" spans="1:31" ht="12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</row>
    <row r="973" spans="1:31" ht="12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</row>
    <row r="974" spans="1:31" ht="12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</row>
    <row r="975" spans="1:31" ht="12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</row>
    <row r="976" spans="1:31" ht="12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</row>
    <row r="977" spans="1:31" ht="12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</row>
    <row r="978" spans="1:31" ht="12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</row>
    <row r="979" spans="1:31" ht="12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</row>
    <row r="980" spans="1:31" ht="12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</row>
    <row r="981" spans="1:31" ht="12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</row>
    <row r="982" spans="1:31" ht="12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</row>
    <row r="983" spans="1:31" ht="12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</row>
    <row r="984" spans="1:31" ht="12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</row>
    <row r="985" spans="1:31" ht="12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</row>
    <row r="986" spans="1:31" ht="12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</row>
    <row r="987" spans="1:31" ht="12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</row>
    <row r="988" spans="1:31" ht="12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</row>
    <row r="989" spans="1:31" ht="12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</row>
    <row r="990" spans="1:31" ht="12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</row>
    <row r="991" spans="1:31" ht="12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</row>
    <row r="992" spans="1:31" ht="12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</row>
    <row r="993" spans="1:31" ht="12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</row>
    <row r="994" spans="1:31" ht="12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</row>
    <row r="995" spans="1:31" ht="12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</row>
    <row r="996" spans="1:31" ht="12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</row>
    <row r="997" spans="1:31" ht="12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</row>
    <row r="998" spans="1:31" ht="12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</row>
    <row r="999" spans="1:31" ht="12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</row>
    <row r="1000" spans="1:31" ht="12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</row>
  </sheetData>
  <mergeCells count="11">
    <mergeCell ref="A7:F7"/>
    <mergeCell ref="T7:U7"/>
    <mergeCell ref="A5:F5"/>
    <mergeCell ref="A6:E6"/>
    <mergeCell ref="F6:G6"/>
    <mergeCell ref="G5:V5"/>
    <mergeCell ref="A4:F4"/>
    <mergeCell ref="G4:V4"/>
    <mergeCell ref="A1:U3"/>
    <mergeCell ref="H6:M6"/>
    <mergeCell ref="N6:O6"/>
  </mergeCells>
  <conditionalFormatting sqref="H8:H117">
    <cfRule type="cellIs" dxfId="2" priority="1" operator="equal">
      <formula>"I"</formula>
    </cfRule>
  </conditionalFormatting>
  <conditionalFormatting sqref="H8:H117">
    <cfRule type="cellIs" dxfId="1" priority="2" operator="equal">
      <formula>"A"</formula>
    </cfRule>
  </conditionalFormatting>
  <conditionalFormatting sqref="H8:H117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sqref="A1:L3"/>
    </sheetView>
  </sheetViews>
  <sheetFormatPr defaultColWidth="14.42578125" defaultRowHeight="15" customHeight="1"/>
  <cols>
    <col min="1" max="1" width="4.2851562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0.71093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  <col min="13" max="21" width="9.140625" customWidth="1"/>
    <col min="22" max="26" width="8" customWidth="1"/>
  </cols>
  <sheetData>
    <row r="1" spans="1:26" ht="12" customHeight="1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>
      <c r="A2" s="112"/>
      <c r="B2" s="97"/>
      <c r="C2" s="97"/>
      <c r="D2" s="97"/>
      <c r="E2" s="97"/>
      <c r="F2" s="97"/>
      <c r="G2" s="97"/>
      <c r="H2" s="97"/>
      <c r="I2" s="97"/>
      <c r="J2" s="97"/>
      <c r="K2" s="97"/>
      <c r="L2" s="14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>
      <c r="A3" s="113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3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26" t="str">
        <f>Contagem!A5&amp;" : "&amp;Contagem!F5</f>
        <v>Aplicação : Solicitação</v>
      </c>
      <c r="B4" s="85"/>
      <c r="C4" s="85"/>
      <c r="D4" s="85"/>
      <c r="E4" s="86"/>
      <c r="F4" s="127" t="str">
        <f>Contagem!A6&amp;" : "&amp;Contagem!F6</f>
        <v>Projeto : Sistema de gerenciamento de Troca de Equipamento</v>
      </c>
      <c r="G4" s="85"/>
      <c r="H4" s="85"/>
      <c r="I4" s="85"/>
      <c r="J4" s="85"/>
      <c r="K4" s="85"/>
      <c r="L4" s="12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>
      <c r="A5" s="126" t="str">
        <f>Contagem!A7&amp;" : "&amp;Contagem!F7</f>
        <v>Responsável : Francielly P. Klein Chicoski</v>
      </c>
      <c r="B5" s="85"/>
      <c r="C5" s="85"/>
      <c r="D5" s="85"/>
      <c r="E5" s="109"/>
      <c r="F5" s="127" t="str">
        <f>Contagem!A8&amp;" : "&amp;Contagem!F8</f>
        <v xml:space="preserve">Revisor : </v>
      </c>
      <c r="G5" s="85"/>
      <c r="H5" s="85"/>
      <c r="I5" s="85"/>
      <c r="J5" s="85"/>
      <c r="K5" s="85"/>
      <c r="L5" s="12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>
      <c r="A6" s="13" t="str">
        <f>Contagem!A4&amp;" : "&amp;Contagem!F4</f>
        <v>Empresa : Eits</v>
      </c>
      <c r="B6" s="14"/>
      <c r="C6" s="14"/>
      <c r="D6" s="15"/>
      <c r="E6" s="15"/>
      <c r="F6" s="138" t="str">
        <f>Contagem!R4&amp;" = "&amp;VALUE(Contagem!T4)</f>
        <v>R$/PF = 0</v>
      </c>
      <c r="G6" s="86"/>
      <c r="H6" s="138" t="str">
        <f>" Custo= "&amp;DOLLAR(Contagem!W4)</f>
        <v xml:space="preserve"> Custo= R$ 0,00</v>
      </c>
      <c r="I6" s="85"/>
      <c r="J6" s="86"/>
      <c r="K6" s="133" t="str">
        <f>"PF  = "&amp;VALUE(Contagem!W5)</f>
        <v>PF  = 47</v>
      </c>
      <c r="L6" s="1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34" t="s">
        <v>35</v>
      </c>
      <c r="B7" s="135"/>
      <c r="C7" s="137" t="s">
        <v>36</v>
      </c>
      <c r="D7" s="94"/>
      <c r="E7" s="94"/>
      <c r="F7" s="135"/>
      <c r="G7" s="122" t="s">
        <v>37</v>
      </c>
      <c r="H7" s="122"/>
      <c r="I7" s="129" t="s">
        <v>38</v>
      </c>
      <c r="J7" s="130"/>
      <c r="K7" s="129"/>
      <c r="L7" s="1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13"/>
      <c r="B8" s="136"/>
      <c r="C8" s="131"/>
      <c r="D8" s="100"/>
      <c r="E8" s="100"/>
      <c r="F8" s="136"/>
      <c r="G8" s="123"/>
      <c r="H8" s="123"/>
      <c r="I8" s="131"/>
      <c r="J8" s="132"/>
      <c r="K8" s="131"/>
      <c r="L8" s="13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25"/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30"/>
      <c r="B10" s="1" t="s">
        <v>49</v>
      </c>
      <c r="C10" s="32">
        <f>COUNTIF(CF,"EEL")</f>
        <v>9</v>
      </c>
      <c r="D10" s="1"/>
      <c r="E10" s="34" t="s">
        <v>50</v>
      </c>
      <c r="F10" s="34" t="s">
        <v>51</v>
      </c>
      <c r="G10" s="32">
        <f>C10*3</f>
        <v>27</v>
      </c>
      <c r="H10" s="1"/>
      <c r="I10" s="37"/>
      <c r="J10" s="1"/>
      <c r="K10" s="1"/>
      <c r="L10" s="3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30"/>
      <c r="B11" s="1"/>
      <c r="C11" s="32">
        <f>COUNTIF(CF,"EEA")</f>
        <v>1</v>
      </c>
      <c r="D11" s="1"/>
      <c r="E11" s="34" t="s">
        <v>52</v>
      </c>
      <c r="F11" s="34" t="s">
        <v>53</v>
      </c>
      <c r="G11" s="32">
        <f>C11*4</f>
        <v>4</v>
      </c>
      <c r="H11" s="1"/>
      <c r="I11" s="37"/>
      <c r="J11" s="1"/>
      <c r="K11" s="1"/>
      <c r="L11" s="3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30"/>
      <c r="B12" s="1"/>
      <c r="C12" s="32">
        <f>COUNTIF(CF,"EEH")</f>
        <v>0</v>
      </c>
      <c r="D12" s="1"/>
      <c r="E12" s="34" t="s">
        <v>54</v>
      </c>
      <c r="F12" s="34" t="s">
        <v>55</v>
      </c>
      <c r="G12" s="32">
        <f>C12*6</f>
        <v>0</v>
      </c>
      <c r="H12" s="1"/>
      <c r="I12" s="37"/>
      <c r="J12" s="1"/>
      <c r="K12" s="1"/>
      <c r="L12" s="3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.75" customHeight="1">
      <c r="A13" s="30"/>
      <c r="B13" s="1"/>
      <c r="C13" s="27"/>
      <c r="D13" s="1"/>
      <c r="E13" s="1"/>
      <c r="F13" s="1"/>
      <c r="G13" s="27"/>
      <c r="H13" s="1"/>
      <c r="I13" s="1"/>
      <c r="J13" s="1"/>
      <c r="K13" s="1"/>
      <c r="L13" s="3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30"/>
      <c r="B14" s="40" t="s">
        <v>56</v>
      </c>
      <c r="C14" s="32">
        <f>SUM(C10:C12)</f>
        <v>10</v>
      </c>
      <c r="D14" s="1"/>
      <c r="E14" s="1"/>
      <c r="F14" s="40" t="s">
        <v>56</v>
      </c>
      <c r="G14" s="32">
        <f>SUM(G10:G12)</f>
        <v>31</v>
      </c>
      <c r="H14" s="1"/>
      <c r="I14" s="42">
        <f>IF($G$45&lt;&gt;0,G14/$G$45,"")</f>
        <v>0.65957446808510634</v>
      </c>
      <c r="J14" s="1"/>
      <c r="K14" s="1"/>
      <c r="L14" s="38"/>
      <c r="M14" s="1"/>
      <c r="N14" s="1"/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" customHeight="1">
      <c r="A15" s="45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4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30"/>
      <c r="B16" s="1"/>
      <c r="C16" s="1"/>
      <c r="D16" s="1"/>
      <c r="E16" s="1"/>
      <c r="F16" s="1"/>
      <c r="G16" s="1"/>
      <c r="H16" s="1"/>
      <c r="I16" s="1"/>
      <c r="J16" s="1"/>
      <c r="K16" s="1"/>
      <c r="L16" s="3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30"/>
      <c r="B17" s="1" t="s">
        <v>57</v>
      </c>
      <c r="C17" s="32">
        <f>COUNTIF(CF,"SEL")</f>
        <v>0</v>
      </c>
      <c r="D17" s="1"/>
      <c r="E17" s="34" t="s">
        <v>50</v>
      </c>
      <c r="F17" s="34" t="s">
        <v>53</v>
      </c>
      <c r="G17" s="32">
        <f>C17*4</f>
        <v>0</v>
      </c>
      <c r="H17" s="1"/>
      <c r="I17" s="1"/>
      <c r="J17" s="1"/>
      <c r="K17" s="1"/>
      <c r="L17" s="3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30"/>
      <c r="B18" s="1"/>
      <c r="C18" s="32">
        <f>COUNTIF(CF,"SEA")</f>
        <v>0</v>
      </c>
      <c r="D18" s="1"/>
      <c r="E18" s="34" t="s">
        <v>52</v>
      </c>
      <c r="F18" s="34" t="s">
        <v>58</v>
      </c>
      <c r="G18" s="32">
        <f>C18*5</f>
        <v>0</v>
      </c>
      <c r="H18" s="1"/>
      <c r="I18" s="1"/>
      <c r="J18" s="1"/>
      <c r="K18" s="1"/>
      <c r="L18" s="3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30"/>
      <c r="B19" s="1"/>
      <c r="C19" s="32">
        <f>COUNTIF(CF,"SEH")</f>
        <v>0</v>
      </c>
      <c r="D19" s="1"/>
      <c r="E19" s="34" t="s">
        <v>54</v>
      </c>
      <c r="F19" s="34" t="s">
        <v>59</v>
      </c>
      <c r="G19" s="32">
        <f>C19*7</f>
        <v>0</v>
      </c>
      <c r="H19" s="1"/>
      <c r="I19" s="1"/>
      <c r="J19" s="1"/>
      <c r="K19" s="1"/>
      <c r="L19" s="3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.75" customHeight="1">
      <c r="A20" s="30"/>
      <c r="B20" s="1"/>
      <c r="C20" s="27"/>
      <c r="D20" s="1"/>
      <c r="E20" s="1"/>
      <c r="F20" s="1"/>
      <c r="G20" s="27"/>
      <c r="H20" s="1"/>
      <c r="I20" s="1"/>
      <c r="J20" s="1"/>
      <c r="K20" s="1"/>
      <c r="L20" s="3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30"/>
      <c r="B21" s="40" t="s">
        <v>56</v>
      </c>
      <c r="C21" s="32">
        <f>SUM(C17:C19)</f>
        <v>0</v>
      </c>
      <c r="D21" s="1"/>
      <c r="E21" s="1"/>
      <c r="F21" s="40" t="s">
        <v>56</v>
      </c>
      <c r="G21" s="32">
        <f>SUM(G17:G19)</f>
        <v>0</v>
      </c>
      <c r="H21" s="1"/>
      <c r="I21" s="50">
        <f>IF($G$45&lt;&gt;0,G21/$G$45,"")</f>
        <v>0</v>
      </c>
      <c r="J21" s="1"/>
      <c r="K21" s="1"/>
      <c r="L21" s="3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" customHeight="1">
      <c r="A22" s="45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4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25"/>
      <c r="B23" s="27"/>
      <c r="C23" s="1"/>
      <c r="D23" s="27"/>
      <c r="E23" s="27"/>
      <c r="F23" s="27"/>
      <c r="G23" s="1"/>
      <c r="H23" s="27"/>
      <c r="I23" s="27"/>
      <c r="J23" s="27"/>
      <c r="K23" s="27"/>
      <c r="L23" s="2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30"/>
      <c r="B24" s="1" t="s">
        <v>60</v>
      </c>
      <c r="C24" s="32">
        <f>COUNTIF(CF,"CEL")</f>
        <v>4</v>
      </c>
      <c r="D24" s="1"/>
      <c r="E24" s="34" t="s">
        <v>50</v>
      </c>
      <c r="F24" s="34" t="s">
        <v>51</v>
      </c>
      <c r="G24" s="32">
        <f>C24*3</f>
        <v>12</v>
      </c>
      <c r="H24" s="1"/>
      <c r="I24" s="1"/>
      <c r="J24" s="1"/>
      <c r="K24" s="1"/>
      <c r="L24" s="3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30"/>
      <c r="B25" s="1"/>
      <c r="C25" s="32">
        <f>COUNTIF(CF,"CEA")</f>
        <v>1</v>
      </c>
      <c r="D25" s="1"/>
      <c r="E25" s="34" t="s">
        <v>52</v>
      </c>
      <c r="F25" s="34" t="s">
        <v>53</v>
      </c>
      <c r="G25" s="32">
        <f>C25*4</f>
        <v>4</v>
      </c>
      <c r="H25" s="1"/>
      <c r="I25" s="1"/>
      <c r="J25" s="1"/>
      <c r="K25" s="1"/>
      <c r="L25" s="3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0"/>
      <c r="B26" s="1"/>
      <c r="C26" s="32">
        <f>COUNTIF(CF,"CEH")</f>
        <v>0</v>
      </c>
      <c r="D26" s="1"/>
      <c r="E26" s="34" t="s">
        <v>54</v>
      </c>
      <c r="F26" s="34" t="s">
        <v>55</v>
      </c>
      <c r="G26" s="32">
        <f>C26*6</f>
        <v>0</v>
      </c>
      <c r="H26" s="1"/>
      <c r="I26" s="1"/>
      <c r="J26" s="1"/>
      <c r="K26" s="1"/>
      <c r="L26" s="3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.75" customHeight="1">
      <c r="A27" s="30"/>
      <c r="B27" s="1"/>
      <c r="C27" s="27"/>
      <c r="D27" s="1"/>
      <c r="E27" s="1"/>
      <c r="F27" s="1"/>
      <c r="G27" s="27"/>
      <c r="H27" s="1"/>
      <c r="I27" s="1"/>
      <c r="J27" s="1"/>
      <c r="K27" s="1"/>
      <c r="L27" s="3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30"/>
      <c r="B28" s="40" t="s">
        <v>56</v>
      </c>
      <c r="C28" s="32">
        <f>SUM(C24:C26)</f>
        <v>5</v>
      </c>
      <c r="D28" s="1"/>
      <c r="E28" s="1"/>
      <c r="F28" s="40" t="s">
        <v>56</v>
      </c>
      <c r="G28" s="32">
        <f>SUM(G24:G26)</f>
        <v>16</v>
      </c>
      <c r="H28" s="1"/>
      <c r="I28" s="55">
        <f>IF($G$45&lt;&gt;0,G28/$G$45,"")</f>
        <v>0.34042553191489361</v>
      </c>
      <c r="J28" s="1"/>
      <c r="K28" s="1"/>
      <c r="L28" s="3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" customHeight="1">
      <c r="A29" s="45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4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25"/>
      <c r="B30" s="27"/>
      <c r="C30" s="1"/>
      <c r="D30" s="27"/>
      <c r="E30" s="27"/>
      <c r="F30" s="27"/>
      <c r="G30" s="1"/>
      <c r="H30" s="27"/>
      <c r="I30" s="27"/>
      <c r="J30" s="27"/>
      <c r="K30" s="27"/>
      <c r="L30" s="2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30"/>
      <c r="B31" s="1" t="s">
        <v>64</v>
      </c>
      <c r="C31" s="32">
        <f>COUNTIF(CF,"ALIL")</f>
        <v>0</v>
      </c>
      <c r="D31" s="1"/>
      <c r="E31" s="1" t="s">
        <v>50</v>
      </c>
      <c r="F31" s="1" t="s">
        <v>59</v>
      </c>
      <c r="G31" s="32">
        <f>C31*7</f>
        <v>0</v>
      </c>
      <c r="H31" s="1"/>
      <c r="I31" s="1"/>
      <c r="J31" s="1"/>
      <c r="K31" s="1"/>
      <c r="L31" s="3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30"/>
      <c r="B32" s="1"/>
      <c r="C32" s="32">
        <f>COUNTIF(CF,"ALIA")</f>
        <v>0</v>
      </c>
      <c r="D32" s="1"/>
      <c r="E32" s="1" t="s">
        <v>52</v>
      </c>
      <c r="F32" s="1" t="s">
        <v>65</v>
      </c>
      <c r="G32" s="32">
        <f>C32*10</f>
        <v>0</v>
      </c>
      <c r="H32" s="1"/>
      <c r="I32" s="1"/>
      <c r="J32" s="1"/>
      <c r="K32" s="1"/>
      <c r="L32" s="3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30"/>
      <c r="B33" s="1"/>
      <c r="C33" s="32">
        <f>COUNTIF(CF,"ALIH")</f>
        <v>0</v>
      </c>
      <c r="D33" s="1"/>
      <c r="E33" s="1" t="s">
        <v>54</v>
      </c>
      <c r="F33" s="1" t="s">
        <v>66</v>
      </c>
      <c r="G33" s="32">
        <f>C33*15</f>
        <v>0</v>
      </c>
      <c r="H33" s="1"/>
      <c r="I33" s="1"/>
      <c r="J33" s="1"/>
      <c r="K33" s="1"/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.75" customHeight="1">
      <c r="A34" s="30"/>
      <c r="B34" s="1"/>
      <c r="C34" s="27"/>
      <c r="D34" s="1"/>
      <c r="E34" s="1"/>
      <c r="F34" s="1"/>
      <c r="G34" s="27"/>
      <c r="H34" s="1"/>
      <c r="I34" s="1"/>
      <c r="J34" s="1"/>
      <c r="K34" s="1"/>
      <c r="L34" s="3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30"/>
      <c r="B35" s="40" t="s">
        <v>56</v>
      </c>
      <c r="C35" s="32">
        <f>SUM(C31:C33)</f>
        <v>0</v>
      </c>
      <c r="D35" s="1"/>
      <c r="E35" s="1"/>
      <c r="F35" s="40" t="s">
        <v>56</v>
      </c>
      <c r="G35" s="32">
        <f>SUM(G31:G33)</f>
        <v>0</v>
      </c>
      <c r="H35" s="1"/>
      <c r="I35" s="57">
        <f>IF($G$45&lt;&gt;0,G35/$G$45,"")</f>
        <v>0</v>
      </c>
      <c r="J35" s="1"/>
      <c r="K35" s="1"/>
      <c r="L35" s="3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" customHeight="1">
      <c r="A36" s="45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4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25"/>
      <c r="B37" s="27"/>
      <c r="C37" s="1"/>
      <c r="D37" s="27"/>
      <c r="E37" s="27"/>
      <c r="F37" s="27"/>
      <c r="G37" s="1"/>
      <c r="H37" s="27"/>
      <c r="I37" s="27"/>
      <c r="J37" s="27"/>
      <c r="K37" s="27"/>
      <c r="L37" s="2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30"/>
      <c r="B38" s="1" t="s">
        <v>69</v>
      </c>
      <c r="C38" s="32">
        <f>COUNTIF(CF,"AIEL")</f>
        <v>0</v>
      </c>
      <c r="D38" s="1"/>
      <c r="E38" s="1" t="s">
        <v>50</v>
      </c>
      <c r="F38" s="1" t="s">
        <v>58</v>
      </c>
      <c r="G38" s="32">
        <f>C38*5</f>
        <v>0</v>
      </c>
      <c r="H38" s="1"/>
      <c r="I38" s="1"/>
      <c r="J38" s="1"/>
      <c r="K38" s="1"/>
      <c r="L38" s="3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30"/>
      <c r="B39" s="1"/>
      <c r="C39" s="32">
        <f>COUNTIF(CF,"AIEA")</f>
        <v>0</v>
      </c>
      <c r="D39" s="1"/>
      <c r="E39" s="1" t="s">
        <v>52</v>
      </c>
      <c r="F39" s="1" t="s">
        <v>59</v>
      </c>
      <c r="G39" s="32">
        <f>C39*7</f>
        <v>0</v>
      </c>
      <c r="H39" s="1"/>
      <c r="I39" s="1"/>
      <c r="J39" s="1"/>
      <c r="K39" s="1"/>
      <c r="L39" s="3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30"/>
      <c r="B40" s="1"/>
      <c r="C40" s="32">
        <f>COUNTIF(CF,"AIEH")</f>
        <v>0</v>
      </c>
      <c r="D40" s="1"/>
      <c r="E40" s="1" t="s">
        <v>54</v>
      </c>
      <c r="F40" s="1" t="s">
        <v>65</v>
      </c>
      <c r="G40" s="32">
        <f>C40*10</f>
        <v>0</v>
      </c>
      <c r="H40" s="1"/>
      <c r="I40" s="1"/>
      <c r="J40" s="1"/>
      <c r="K40" s="1"/>
      <c r="L40" s="3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.75" customHeight="1">
      <c r="A41" s="30"/>
      <c r="B41" s="1"/>
      <c r="C41" s="27"/>
      <c r="D41" s="1"/>
      <c r="E41" s="1"/>
      <c r="F41" s="1"/>
      <c r="G41" s="27"/>
      <c r="H41" s="1"/>
      <c r="I41" s="1"/>
      <c r="J41" s="1"/>
      <c r="K41" s="1"/>
      <c r="L41" s="3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30"/>
      <c r="B42" s="40" t="s">
        <v>56</v>
      </c>
      <c r="C42" s="32">
        <f>SUM(C38:C40)</f>
        <v>0</v>
      </c>
      <c r="D42" s="1"/>
      <c r="E42" s="1"/>
      <c r="F42" s="40" t="s">
        <v>56</v>
      </c>
      <c r="G42" s="32">
        <f>SUM(G38:G40)</f>
        <v>0</v>
      </c>
      <c r="H42" s="1"/>
      <c r="I42" s="58">
        <f>IF($G$45&lt;&gt;0,G42/$G$45,"")</f>
        <v>0</v>
      </c>
      <c r="J42" s="1"/>
      <c r="K42" s="1"/>
      <c r="L42" s="3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" customHeight="1">
      <c r="A43" s="45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4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30"/>
      <c r="B44" s="1"/>
      <c r="C44" s="1"/>
      <c r="D44" s="1"/>
      <c r="E44" s="1"/>
      <c r="F44" s="1"/>
      <c r="G44" s="1"/>
      <c r="H44" s="1"/>
      <c r="I44" s="1"/>
      <c r="J44" s="1"/>
      <c r="K44" s="1"/>
      <c r="L44" s="3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30"/>
      <c r="B45" s="1" t="s">
        <v>72</v>
      </c>
      <c r="C45" s="1"/>
      <c r="D45" s="1"/>
      <c r="E45" s="1"/>
      <c r="F45" s="1"/>
      <c r="G45" s="32">
        <f>SUM(G14+G21+G28+G35+G42)</f>
        <v>47</v>
      </c>
      <c r="H45" s="1"/>
      <c r="I45" s="1"/>
      <c r="J45" s="1"/>
      <c r="K45" s="1"/>
      <c r="L45" s="3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30"/>
      <c r="B46" s="1" t="s">
        <v>73</v>
      </c>
      <c r="C46" s="1"/>
      <c r="D46" s="1"/>
      <c r="E46" s="1"/>
      <c r="F46" s="1"/>
      <c r="G46" s="32">
        <f>(C10+C11+C12)*4+(C17+C18+C19)*5+(C24+C25+C26)*4+(C31+C32+C33)*7+(C38+C39+C40)*5</f>
        <v>60</v>
      </c>
      <c r="H46" s="1"/>
      <c r="I46" s="1"/>
      <c r="J46" s="1"/>
      <c r="K46" s="1"/>
      <c r="L46" s="3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30"/>
      <c r="B47" s="1" t="s">
        <v>75</v>
      </c>
      <c r="C47" s="1"/>
      <c r="D47" s="1"/>
      <c r="E47" s="1"/>
      <c r="F47" s="1"/>
      <c r="G47" s="32">
        <f>(C31+C32+C33)*35+(C38+C39+C40)*15</f>
        <v>0</v>
      </c>
      <c r="H47" s="1"/>
      <c r="I47" s="1"/>
      <c r="J47" s="1"/>
      <c r="K47" s="1"/>
      <c r="L47" s="3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30"/>
      <c r="B48" s="1"/>
      <c r="C48" s="1"/>
      <c r="D48" s="1"/>
      <c r="E48" s="1"/>
      <c r="F48" s="1"/>
      <c r="G48" s="1"/>
      <c r="H48" s="1"/>
      <c r="I48" s="1"/>
      <c r="J48" s="1"/>
      <c r="K48" s="1"/>
      <c r="L48" s="3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25" t="s">
        <v>76</v>
      </c>
      <c r="B49" s="59" t="s">
        <v>77</v>
      </c>
      <c r="C49" s="27"/>
      <c r="D49" s="27"/>
      <c r="E49" s="27"/>
      <c r="F49" s="27"/>
      <c r="G49" s="60">
        <f>SUM(Funções!O8:O117)</f>
        <v>47</v>
      </c>
      <c r="H49" s="1"/>
      <c r="I49" s="1"/>
      <c r="J49" s="1"/>
      <c r="K49" s="1"/>
      <c r="L49" s="3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96"/>
      <c r="B50" s="61" t="s">
        <v>79</v>
      </c>
      <c r="C50" s="1"/>
      <c r="D50" s="1"/>
      <c r="E50" s="1"/>
      <c r="F50" s="1"/>
      <c r="G50" s="32">
        <f>SUM(Funções!S8:S117)</f>
        <v>60</v>
      </c>
      <c r="H50" s="1"/>
      <c r="I50" s="1"/>
      <c r="J50" s="1"/>
      <c r="K50" s="1"/>
      <c r="L50" s="3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99"/>
      <c r="B51" s="62" t="s">
        <v>80</v>
      </c>
      <c r="C51" s="32"/>
      <c r="D51" s="32"/>
      <c r="E51" s="32"/>
      <c r="F51" s="32"/>
      <c r="G51" s="32">
        <f>SUM(Funções!R8:R117)</f>
        <v>0</v>
      </c>
      <c r="H51" s="1"/>
      <c r="I51" s="1"/>
      <c r="J51" s="1"/>
      <c r="K51" s="1"/>
      <c r="L51" s="3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25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30"/>
      <c r="B53" s="1" t="s">
        <v>82</v>
      </c>
      <c r="C53" s="1"/>
      <c r="D53" s="1"/>
      <c r="E53" s="1"/>
      <c r="F53" s="1"/>
      <c r="G53" s="1"/>
      <c r="H53" s="1"/>
      <c r="I53" s="1"/>
      <c r="J53" s="1"/>
      <c r="K53" s="1"/>
      <c r="L53" s="3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30"/>
      <c r="B54" s="1"/>
      <c r="C54" s="1"/>
      <c r="D54" s="1"/>
      <c r="E54" s="63" t="s">
        <v>9</v>
      </c>
      <c r="F54" s="63" t="s">
        <v>83</v>
      </c>
      <c r="G54" s="63" t="s">
        <v>76</v>
      </c>
      <c r="H54" s="1"/>
      <c r="I54" s="1"/>
      <c r="J54" s="1"/>
      <c r="K54" s="1"/>
      <c r="L54" s="3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30"/>
      <c r="B55" s="124" t="s">
        <v>84</v>
      </c>
      <c r="C55" s="85"/>
      <c r="D55" s="86"/>
      <c r="E55" s="65">
        <f>SUMIF(Funções!$H$8:$H$117,"I",Funções!$N$8:$N$117)</f>
        <v>47</v>
      </c>
      <c r="F55" s="65">
        <f>Contagem!U11</f>
        <v>1</v>
      </c>
      <c r="G55" s="65">
        <f t="shared" ref="G55:G58" si="0">F55*E55</f>
        <v>47</v>
      </c>
      <c r="H55" s="66"/>
      <c r="I55" s="66"/>
      <c r="J55" s="66"/>
      <c r="K55" s="67" t="s">
        <v>86</v>
      </c>
      <c r="L55" s="3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30"/>
      <c r="B56" s="124" t="s">
        <v>87</v>
      </c>
      <c r="C56" s="85"/>
      <c r="D56" s="86"/>
      <c r="E56" s="65">
        <f>SUMIF(Funções!$H$8:$H$117,"A",Funções!$N$8:$N$117)</f>
        <v>0</v>
      </c>
      <c r="F56" s="65">
        <f>Contagem!U12</f>
        <v>0.5</v>
      </c>
      <c r="G56" s="65">
        <f t="shared" si="0"/>
        <v>0</v>
      </c>
      <c r="H56" s="66"/>
      <c r="I56" s="66"/>
      <c r="J56" s="66"/>
      <c r="K56" s="68">
        <f>SUM(G55:G58)</f>
        <v>47</v>
      </c>
      <c r="L56" s="3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30"/>
      <c r="B57" s="124" t="s">
        <v>89</v>
      </c>
      <c r="C57" s="85"/>
      <c r="D57" s="86"/>
      <c r="E57" s="65">
        <f>SUMIF(Funções!$H$8:$H$117,"E",Funções!$N$8:$N$117)</f>
        <v>0</v>
      </c>
      <c r="F57" s="65">
        <f>Contagem!U13</f>
        <v>0.4</v>
      </c>
      <c r="G57" s="65">
        <f t="shared" si="0"/>
        <v>0</v>
      </c>
      <c r="H57" s="66"/>
      <c r="I57" s="66"/>
      <c r="J57" s="66"/>
      <c r="K57" s="1"/>
      <c r="L57" s="3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30"/>
      <c r="B58" s="124" t="s">
        <v>90</v>
      </c>
      <c r="C58" s="85"/>
      <c r="D58" s="86"/>
      <c r="E58" s="65">
        <f>SUMIF(Funções!$H$8:$H$117,"T",Funções!$N$8:$N$117)</f>
        <v>0</v>
      </c>
      <c r="F58" s="65">
        <f>Contagem!U14</f>
        <v>0</v>
      </c>
      <c r="G58" s="65">
        <f t="shared" si="0"/>
        <v>0</v>
      </c>
      <c r="H58" s="66"/>
      <c r="I58" s="66"/>
      <c r="J58" s="66"/>
      <c r="K58" s="1"/>
      <c r="L58" s="3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69"/>
      <c r="B59" s="70"/>
      <c r="C59" s="71"/>
      <c r="D59" s="72"/>
      <c r="E59" s="73"/>
      <c r="F59" s="72"/>
      <c r="G59" s="73"/>
      <c r="H59" s="74"/>
      <c r="I59" s="74"/>
      <c r="J59" s="74"/>
      <c r="K59" s="75"/>
      <c r="L59" s="7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77"/>
      <c r="C60" s="78"/>
      <c r="D60" s="1"/>
      <c r="E60" s="79"/>
      <c r="F60" s="1"/>
      <c r="G60" s="79"/>
      <c r="H60" s="66"/>
      <c r="I60" s="66"/>
      <c r="J60" s="66"/>
      <c r="K60" s="8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A1:L3"/>
    <mergeCell ref="H6:J6"/>
    <mergeCell ref="A5:E5"/>
    <mergeCell ref="F5:L5"/>
    <mergeCell ref="A4:E4"/>
    <mergeCell ref="F4:L4"/>
    <mergeCell ref="K7:L8"/>
    <mergeCell ref="K6:L6"/>
    <mergeCell ref="I7:J8"/>
    <mergeCell ref="A7:B8"/>
    <mergeCell ref="C7:F8"/>
    <mergeCell ref="F6:G6"/>
    <mergeCell ref="H7:H8"/>
    <mergeCell ref="G7:G8"/>
    <mergeCell ref="B55:D55"/>
    <mergeCell ref="A49:A51"/>
    <mergeCell ref="B58:D58"/>
    <mergeCell ref="B57:D57"/>
    <mergeCell ref="B56:D5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9.5703125" customWidth="1"/>
    <col min="2" max="2" width="15.5703125" customWidth="1"/>
    <col min="3" max="26" width="8" customWidth="1"/>
  </cols>
  <sheetData>
    <row r="1" spans="1:6" ht="13.5" customHeight="1">
      <c r="A1" s="139" t="s">
        <v>97</v>
      </c>
      <c r="B1" s="141"/>
    </row>
    <row r="2" spans="1:6" ht="13.5" customHeight="1">
      <c r="A2" s="112"/>
      <c r="B2" s="142"/>
    </row>
    <row r="3" spans="1:6" ht="12.75" customHeight="1">
      <c r="A3" s="113"/>
      <c r="B3" s="132"/>
    </row>
    <row r="4" spans="1:6" ht="12.75" customHeight="1">
      <c r="A4" s="81" t="s">
        <v>98</v>
      </c>
      <c r="B4" s="81" t="s">
        <v>99</v>
      </c>
    </row>
    <row r="5" spans="1:6" ht="12.75" customHeight="1">
      <c r="A5" s="82">
        <v>1</v>
      </c>
      <c r="B5" s="82">
        <f>SUMIF(Funções!$P$8:$P$300,"=1",Funções!$O$8:$O$300)</f>
        <v>0</v>
      </c>
    </row>
    <row r="6" spans="1:6" ht="12.75" customHeight="1">
      <c r="A6" s="82">
        <v>2</v>
      </c>
      <c r="B6" s="82">
        <f>SUMIF(Funções!$P$8:$P$300,"=2",Funções!$O$8:$O$300)</f>
        <v>0</v>
      </c>
    </row>
    <row r="7" spans="1:6" ht="12.75" customHeight="1">
      <c r="A7" s="82">
        <v>3</v>
      </c>
      <c r="B7" s="82">
        <f>SUMIF(Funções!$P$8:$P$300,"=3",Funções!$O$8:$O$300)</f>
        <v>0</v>
      </c>
      <c r="E7" s="83"/>
    </row>
    <row r="8" spans="1:6" ht="12.75" customHeight="1">
      <c r="A8" s="82">
        <v>4</v>
      </c>
      <c r="B8" s="82">
        <f>SUMIF(Funções!$P$8:$P$300,"=4",Funções!$O$8:$O$300)</f>
        <v>0</v>
      </c>
      <c r="F8" s="83"/>
    </row>
    <row r="9" spans="1:6" ht="12.75" customHeight="1">
      <c r="A9" s="82">
        <v>5</v>
      </c>
      <c r="B9" s="82">
        <f>SUMIF(Funções!$P$8:$P$300,"=5",Funções!$O$8:$O$300)</f>
        <v>0</v>
      </c>
    </row>
    <row r="10" spans="1:6" ht="12.75" customHeight="1">
      <c r="A10" s="82">
        <v>6</v>
      </c>
      <c r="B10" s="82">
        <f>SUMIF(Funções!$P$8:$P$300,"=6",Funções!$O$8:$O$300)</f>
        <v>0</v>
      </c>
    </row>
    <row r="11" spans="1:6" ht="12.75" customHeight="1">
      <c r="A11" s="82">
        <v>7</v>
      </c>
      <c r="B11" s="82">
        <f>SUMIF(Funções!$P$8:$P$300,"=7",Funções!$O$8:$O$300)</f>
        <v>0</v>
      </c>
      <c r="F11" s="83"/>
    </row>
    <row r="12" spans="1:6" ht="12.75" customHeight="1">
      <c r="A12" s="82">
        <v>8</v>
      </c>
      <c r="B12" s="82">
        <f>SUMIF(Funções!$P$8:$P$300,"=8",Funções!$O$8:$O$300)</f>
        <v>0</v>
      </c>
    </row>
    <row r="13" spans="1:6" ht="12.75" customHeight="1">
      <c r="A13" s="82">
        <v>9</v>
      </c>
      <c r="B13" s="82">
        <f>SUMIF(Funções!$P$8:$P$300,"=9",Funções!$O$8:$O$300)</f>
        <v>0</v>
      </c>
    </row>
    <row r="14" spans="1:6" ht="12.75" customHeight="1">
      <c r="A14" s="82">
        <v>10</v>
      </c>
      <c r="B14" s="82">
        <f>SUMIF(Funções!$P$8:$P$300,"=10",Funções!$O$8:$O$300)</f>
        <v>0</v>
      </c>
    </row>
    <row r="15" spans="1:6" ht="12.75" customHeight="1">
      <c r="A15" s="82">
        <v>11</v>
      </c>
      <c r="B15" s="82">
        <f>SUMIF(Funções!$P$8:$P$300,"=11",Funções!$O$8:$O$300)</f>
        <v>0</v>
      </c>
    </row>
    <row r="16" spans="1:6" ht="12.75" customHeight="1">
      <c r="A16" s="82">
        <v>12</v>
      </c>
      <c r="B16" s="82">
        <f>SUMIF(Funções!$P$8:$P$300,"=12",Funções!$O$8:$O$300)</f>
        <v>0</v>
      </c>
    </row>
    <row r="17" spans="1:2" ht="12.75" customHeight="1">
      <c r="A17" s="82">
        <v>13</v>
      </c>
      <c r="B17" s="82">
        <f>SUMIF(Funções!$P$8:$P$300,"=13",Funções!$O$8:$O$300)</f>
        <v>0</v>
      </c>
    </row>
    <row r="18" spans="1:2" ht="12.75" customHeight="1">
      <c r="A18" s="82">
        <v>14</v>
      </c>
      <c r="B18" s="82">
        <f>SUMIF(Funções!$P$8:$P$300,"=14",Funções!$O$8:$O$300)</f>
        <v>0</v>
      </c>
    </row>
    <row r="19" spans="1:2" ht="12.75" customHeight="1">
      <c r="A19" s="82">
        <v>15</v>
      </c>
      <c r="B19" s="82">
        <f>SUMIF(Funções!$P$8:$P$300,"=15",Funções!$O$8:$O$300)</f>
        <v>0</v>
      </c>
    </row>
    <row r="20" spans="1:2" ht="12.75" customHeight="1"/>
    <row r="21" spans="1:2" ht="12.75" customHeight="1"/>
    <row r="22" spans="1:2" ht="12.75" customHeight="1"/>
    <row r="23" spans="1:2" ht="12.75" customHeight="1"/>
    <row r="24" spans="1:2" ht="12.75" customHeight="1"/>
    <row r="25" spans="1:2" ht="12.75" customHeight="1"/>
    <row r="26" spans="1:2" ht="12.75" customHeight="1"/>
    <row r="27" spans="1:2" ht="12.75" customHeight="1"/>
    <row r="28" spans="1:2" ht="12.75" customHeight="1"/>
    <row r="29" spans="1:2" ht="12.75" customHeight="1"/>
    <row r="30" spans="1:2" ht="12.75" customHeight="1"/>
    <row r="31" spans="1:2" ht="12.75" customHeight="1"/>
    <row r="32" spans="1: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</vt:i4>
      </vt:variant>
    </vt:vector>
  </HeadingPairs>
  <TitlesOfParts>
    <vt:vector size="11" baseType="lpstr">
      <vt:lpstr>Contagem</vt:lpstr>
      <vt:lpstr>Funções</vt:lpstr>
      <vt:lpstr>Sumário</vt:lpstr>
      <vt:lpstr>PFs por Sprint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eits</cp:lastModifiedBy>
  <dcterms:modified xsi:type="dcterms:W3CDTF">2017-10-19T16:42:45Z</dcterms:modified>
</cp:coreProperties>
</file>