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Stéphane\Desktop\Tareas\"/>
    </mc:Choice>
  </mc:AlternateContent>
  <xr:revisionPtr revIDLastSave="0" documentId="13_ncr:1_{C9A703C1-C405-479C-ABB7-EF26FF530D9E}" xr6:coauthVersionLast="45" xr6:coauthVersionMax="45" xr10:uidLastSave="{00000000-0000-0000-0000-000000000000}"/>
  <bookViews>
    <workbookView xWindow="-108" yWindow="-108" windowWidth="23256" windowHeight="12576" xr2:uid="{00000000-000D-0000-FFFF-FFFF00000000}"/>
  </bookViews>
  <sheets>
    <sheet name="Enunciado" sheetId="12" r:id="rId1"/>
    <sheet name="Calculos Flujo de Caja" sheetId="8" r:id="rId2"/>
    <sheet name="Caminocrítico" sheetId="7" state="hidden" r:id="rId3"/>
  </sheets>
  <definedNames>
    <definedName name="CA">'Calculos Flujo de Caja'!$K$18</definedName>
    <definedName name="CP">'Calculos Flujo de Caja'!$K$19</definedName>
    <definedName name="CS">'Calculos Flujo de Caja'!$K$20</definedName>
    <definedName name="UP">'Calculos Flujo de Caja'!$I$32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8" l="1"/>
  <c r="M22" i="8"/>
  <c r="M23" i="8" s="1"/>
  <c r="N23" i="8" s="1"/>
  <c r="O23" i="8" s="1"/>
  <c r="P23" i="8" s="1"/>
  <c r="Q23" i="8" s="1"/>
  <c r="R23" i="8" s="1"/>
  <c r="S23" i="8" s="1"/>
  <c r="T23" i="8" s="1"/>
  <c r="U23" i="8" s="1"/>
  <c r="V23" i="8" s="1"/>
  <c r="W23" i="8" s="1"/>
  <c r="X23" i="8" s="1"/>
  <c r="Y23" i="8" s="1"/>
  <c r="Z23" i="8" s="1"/>
  <c r="AA23" i="8" s="1"/>
  <c r="AB23" i="8" s="1"/>
  <c r="AC23" i="8" s="1"/>
  <c r="AD23" i="8" s="1"/>
  <c r="AE23" i="8" s="1"/>
  <c r="AF23" i="8" s="1"/>
  <c r="N22" i="8"/>
  <c r="N25" i="8" s="1"/>
  <c r="O22" i="8"/>
  <c r="O25" i="8" s="1"/>
  <c r="P22" i="8"/>
  <c r="P25" i="8" s="1"/>
  <c r="Q22" i="8"/>
  <c r="Q25" i="8" s="1"/>
  <c r="R22" i="8"/>
  <c r="R25" i="8" s="1"/>
  <c r="S22" i="8"/>
  <c r="S25" i="8" s="1"/>
  <c r="T22" i="8"/>
  <c r="T25" i="8" s="1"/>
  <c r="U22" i="8"/>
  <c r="U25" i="8" s="1"/>
  <c r="V22" i="8"/>
  <c r="V25" i="8" s="1"/>
  <c r="W22" i="8"/>
  <c r="W25" i="8" s="1"/>
  <c r="X22" i="8"/>
  <c r="X25" i="8" s="1"/>
  <c r="Y22" i="8"/>
  <c r="Y25" i="8" s="1"/>
  <c r="Z22" i="8"/>
  <c r="Z25" i="8" s="1"/>
  <c r="AA22" i="8"/>
  <c r="AA25" i="8" s="1"/>
  <c r="AB22" i="8"/>
  <c r="AB25" i="8" s="1"/>
  <c r="AC22" i="8"/>
  <c r="AC25" i="8" s="1"/>
  <c r="AD22" i="8"/>
  <c r="AD25" i="8" s="1"/>
  <c r="AE22" i="8"/>
  <c r="AE25" i="8" s="1"/>
  <c r="AF22" i="8"/>
  <c r="L22" i="8"/>
  <c r="AF25" i="8" l="1"/>
  <c r="M25" i="8"/>
  <c r="M26" i="8" s="1"/>
  <c r="N26" i="8" s="1"/>
  <c r="O26" i="8" s="1"/>
  <c r="P26" i="8" s="1"/>
  <c r="Q26" i="8" s="1"/>
  <c r="R26" i="8" s="1"/>
  <c r="S26" i="8" s="1"/>
  <c r="T26" i="8" s="1"/>
  <c r="U26" i="8" s="1"/>
  <c r="V26" i="8" s="1"/>
  <c r="W26" i="8" s="1"/>
  <c r="X26" i="8" s="1"/>
  <c r="Y26" i="8" s="1"/>
  <c r="Z26" i="8" s="1"/>
  <c r="AA26" i="8" s="1"/>
  <c r="AB26" i="8" s="1"/>
  <c r="AC26" i="8" s="1"/>
  <c r="AD26" i="8" s="1"/>
  <c r="AE26" i="8" s="1"/>
  <c r="C3" i="8"/>
  <c r="C2" i="8"/>
  <c r="C15" i="8"/>
  <c r="C14" i="8"/>
  <c r="C13" i="8"/>
  <c r="C12" i="8"/>
  <c r="C11" i="8"/>
  <c r="C10" i="8"/>
  <c r="C9" i="8"/>
  <c r="C8" i="8"/>
  <c r="C7" i="8"/>
  <c r="C6" i="8"/>
  <c r="C5" i="8"/>
  <c r="C4" i="8"/>
  <c r="AF26" i="8" l="1"/>
  <c r="D31" i="12"/>
  <c r="D30" i="12"/>
  <c r="D29" i="12"/>
  <c r="D28" i="12"/>
  <c r="D27" i="12"/>
  <c r="D26" i="12"/>
  <c r="D25" i="12"/>
  <c r="D24" i="12"/>
  <c r="D23" i="12"/>
  <c r="D22" i="12"/>
  <c r="D21" i="12"/>
  <c r="D20" i="12"/>
  <c r="D19" i="12"/>
  <c r="D18" i="12"/>
  <c r="B1" i="7" l="1"/>
  <c r="B8" i="7" s="1"/>
  <c r="C31" i="12"/>
  <c r="B15" i="8" s="1"/>
  <c r="C30" i="12"/>
  <c r="B14" i="8" s="1"/>
  <c r="C29" i="12"/>
  <c r="B13" i="8" s="1"/>
  <c r="C28" i="12"/>
  <c r="B12" i="8" s="1"/>
  <c r="C27" i="12"/>
  <c r="B11" i="8" s="1"/>
  <c r="C26" i="12"/>
  <c r="B10" i="8" s="1"/>
  <c r="C25" i="12"/>
  <c r="B9" i="8" s="1"/>
  <c r="C24" i="12"/>
  <c r="B8" i="8" s="1"/>
  <c r="C23" i="12"/>
  <c r="B7" i="8" s="1"/>
  <c r="C22" i="12"/>
  <c r="B6" i="8" s="1"/>
  <c r="C21" i="12"/>
  <c r="B5" i="8" s="1"/>
  <c r="C20" i="12"/>
  <c r="B4" i="8" s="1"/>
  <c r="C19" i="12"/>
  <c r="B3" i="8" s="1"/>
  <c r="C18" i="12"/>
  <c r="B2" i="8" l="1"/>
  <c r="H6" i="12"/>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N3" i="8" l="1"/>
  <c r="R3" i="8"/>
  <c r="V3" i="8"/>
  <c r="Z3" i="8"/>
  <c r="AD3" i="8"/>
  <c r="AH3" i="8"/>
  <c r="AL3" i="8"/>
  <c r="O3" i="8"/>
  <c r="S3" i="8"/>
  <c r="W3" i="8"/>
  <c r="AA3" i="8"/>
  <c r="AE3" i="8"/>
  <c r="AI3" i="8"/>
  <c r="AM3" i="8"/>
  <c r="T3" i="8"/>
  <c r="AB3" i="8"/>
  <c r="AJ3" i="8"/>
  <c r="P3" i="8"/>
  <c r="X3" i="8"/>
  <c r="AF3" i="8"/>
  <c r="Q3" i="8"/>
  <c r="Y3" i="8"/>
  <c r="AG3" i="8"/>
  <c r="U3" i="8"/>
  <c r="AC3" i="8"/>
  <c r="AK3" i="8"/>
  <c r="M3" i="8"/>
  <c r="L3" i="8"/>
  <c r="M2" i="8"/>
  <c r="Q2" i="8"/>
  <c r="U2" i="8"/>
  <c r="Y2" i="8"/>
  <c r="AC2" i="8"/>
  <c r="AG2" i="8"/>
  <c r="AK2" i="8"/>
  <c r="N2" i="8"/>
  <c r="R2" i="8"/>
  <c r="V2" i="8"/>
  <c r="Z2" i="8"/>
  <c r="AD2" i="8"/>
  <c r="AH2" i="8"/>
  <c r="AL2" i="8"/>
  <c r="O2" i="8"/>
  <c r="W2" i="8"/>
  <c r="AE2" i="8"/>
  <c r="AM2" i="8"/>
  <c r="S2" i="8"/>
  <c r="AA2" i="8"/>
  <c r="AI2" i="8"/>
  <c r="T2" i="8"/>
  <c r="AB2" i="8"/>
  <c r="AJ2" i="8"/>
  <c r="P2" i="8"/>
  <c r="AF2" i="8"/>
  <c r="X2" i="8"/>
  <c r="AN2" i="8"/>
  <c r="L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P5" i="8"/>
  <c r="Z4" i="8"/>
  <c r="M4" i="8"/>
  <c r="AJ4" i="8"/>
  <c r="AE4" i="8"/>
  <c r="O4" i="8"/>
  <c r="AD8" i="8"/>
  <c r="R8" i="8"/>
  <c r="AK8" i="8"/>
  <c r="AJ8" i="8"/>
  <c r="AE8" i="8"/>
  <c r="O8" i="8"/>
  <c r="AM5" i="8"/>
  <c r="AI5" i="8"/>
  <c r="AH5" i="8"/>
  <c r="AD5" i="8"/>
  <c r="AG5" i="8"/>
  <c r="Q5" i="8"/>
  <c r="AB5" i="8"/>
  <c r="AH4" i="8"/>
  <c r="AL4" i="8"/>
  <c r="AK4" i="8"/>
  <c r="AG4" i="8"/>
  <c r="AF4" i="8"/>
  <c r="P4" i="8"/>
  <c r="AA4" i="8"/>
  <c r="V8" i="8"/>
  <c r="N8" i="8"/>
  <c r="AG8" i="8"/>
  <c r="AC8" i="8"/>
  <c r="AF8" i="8"/>
  <c r="P8" i="8"/>
  <c r="AA8" i="8"/>
  <c r="AA5" i="8"/>
  <c r="AC5" i="8"/>
  <c r="X5" i="8"/>
  <c r="R5" i="8"/>
  <c r="AJ5" i="8"/>
  <c r="T5" i="8"/>
  <c r="L4" i="8"/>
  <c r="V4" i="8"/>
  <c r="U4" i="8"/>
  <c r="Q4" i="8"/>
  <c r="X4" i="8"/>
  <c r="AI4" i="8"/>
  <c r="S4" i="8"/>
  <c r="AL8" i="8"/>
  <c r="Z8" i="8"/>
  <c r="Q8" i="8"/>
  <c r="M8" i="8"/>
  <c r="X8" i="8"/>
  <c r="AI8" i="8"/>
  <c r="S8" i="8"/>
  <c r="W5" i="8"/>
  <c r="V5" i="8"/>
  <c r="M5" i="8"/>
  <c r="O5" i="8"/>
  <c r="Y5" i="8"/>
  <c r="L5" i="8"/>
  <c r="AK5" i="8"/>
  <c r="N4" i="8"/>
  <c r="T4" i="8"/>
  <c r="Q10" i="7"/>
  <c r="T4" i="7"/>
  <c r="W4" i="7" s="1"/>
  <c r="T6" i="8" l="1"/>
  <c r="P6" i="8"/>
  <c r="AL6" i="8"/>
  <c r="V6" i="8"/>
  <c r="AG6" i="8"/>
  <c r="Q6" i="8"/>
  <c r="AJ6" i="8"/>
  <c r="AM6" i="8"/>
  <c r="AI6" i="8"/>
  <c r="AH6" i="8"/>
  <c r="R6" i="8"/>
  <c r="AC6" i="8"/>
  <c r="M6" i="8"/>
  <c r="L6" i="8"/>
  <c r="AF6" i="8"/>
  <c r="AE6" i="8"/>
  <c r="AA6" i="8"/>
  <c r="AD6" i="8"/>
  <c r="N6" i="8"/>
  <c r="Y6" i="8"/>
  <c r="O6" i="8"/>
  <c r="AB6" i="8"/>
  <c r="X6" i="8"/>
  <c r="W6" i="8"/>
  <c r="S6" i="8"/>
  <c r="Z6" i="8"/>
  <c r="AK6" i="8"/>
  <c r="U6" i="8"/>
  <c r="T10" i="7"/>
  <c r="R16" i="7" s="1"/>
  <c r="Z4" i="7"/>
  <c r="AB9" i="8" s="1"/>
  <c r="AI7" i="8" l="1"/>
  <c r="M7" i="8"/>
  <c r="AF7" i="8"/>
  <c r="L7" i="8"/>
  <c r="AG7" i="8"/>
  <c r="AJ7" i="8"/>
  <c r="X7" i="8"/>
  <c r="O7" i="8"/>
  <c r="AE9" i="8"/>
  <c r="AL9" i="8"/>
  <c r="AG9" i="8"/>
  <c r="Y7" i="8"/>
  <c r="AC7" i="8"/>
  <c r="AB7" i="8"/>
  <c r="P7" i="8"/>
  <c r="AA7" i="8"/>
  <c r="AL7" i="8"/>
  <c r="V7" i="8"/>
  <c r="AA9" i="8"/>
  <c r="W9" i="8"/>
  <c r="AD9" i="8"/>
  <c r="Z9" i="8"/>
  <c r="AC9" i="8"/>
  <c r="M9" i="8"/>
  <c r="X9" i="8"/>
  <c r="U16" i="7"/>
  <c r="M10" i="8" s="1"/>
  <c r="Q7" i="8"/>
  <c r="U7" i="8"/>
  <c r="T7" i="8"/>
  <c r="AM7" i="8"/>
  <c r="W7" i="8"/>
  <c r="AH7" i="8"/>
  <c r="R7" i="8"/>
  <c r="S9" i="8"/>
  <c r="O9" i="8"/>
  <c r="V9" i="8"/>
  <c r="R9" i="8"/>
  <c r="Y9" i="8"/>
  <c r="AJ9" i="8"/>
  <c r="T9" i="8"/>
  <c r="S7" i="8"/>
  <c r="AD7" i="8"/>
  <c r="N7" i="8"/>
  <c r="AM9" i="8"/>
  <c r="L9" i="8"/>
  <c r="N9" i="8"/>
  <c r="AK9" i="8"/>
  <c r="U9" i="8"/>
  <c r="AF9" i="8"/>
  <c r="P9" i="8"/>
  <c r="AK7" i="8"/>
  <c r="AE7" i="8"/>
  <c r="Z7" i="8"/>
  <c r="AI9" i="8"/>
  <c r="AH9" i="8"/>
  <c r="Q9" i="8"/>
  <c r="W10" i="7" l="1"/>
  <c r="AF10" i="8"/>
  <c r="AJ10" i="8"/>
  <c r="AA10" i="8"/>
  <c r="W10" i="8"/>
  <c r="AD10" i="8"/>
  <c r="N10" i="8"/>
  <c r="Y10" i="8"/>
  <c r="P10" i="8"/>
  <c r="AB10" i="8"/>
  <c r="S10" i="8"/>
  <c r="O10" i="8"/>
  <c r="Z10" i="8"/>
  <c r="AK10" i="8"/>
  <c r="U10" i="8"/>
  <c r="L10" i="8"/>
  <c r="T10" i="8"/>
  <c r="AM10" i="8"/>
  <c r="AL10" i="8"/>
  <c r="V10" i="8"/>
  <c r="AG10" i="8"/>
  <c r="Q10" i="8"/>
  <c r="X10" i="8"/>
  <c r="AI10" i="8"/>
  <c r="AE10" i="8"/>
  <c r="AH10" i="8"/>
  <c r="R10" i="8"/>
  <c r="AC10" i="8"/>
  <c r="Z10" i="7"/>
  <c r="V11" i="8" s="1"/>
  <c r="AG11" i="8" l="1"/>
  <c r="AI11" i="8"/>
  <c r="AK11" i="8"/>
  <c r="AB11" i="8"/>
  <c r="O11" i="8"/>
  <c r="AF11" i="8"/>
  <c r="N11" i="8"/>
  <c r="R11" i="8"/>
  <c r="AJ11" i="8"/>
  <c r="L11" i="8"/>
  <c r="X11" i="8"/>
  <c r="AE11" i="8"/>
  <c r="AH11" i="8"/>
  <c r="Q11" i="8"/>
  <c r="Y11" i="8"/>
  <c r="P11" i="8"/>
  <c r="W11" i="8"/>
  <c r="AD11" i="8"/>
  <c r="AM11" i="8"/>
  <c r="S11" i="8"/>
  <c r="Z11" i="8"/>
  <c r="AC11" i="8"/>
  <c r="M11" i="8"/>
  <c r="U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s="1"/>
  <c r="W12" i="7" s="1"/>
  <c r="Y12" i="7" s="1"/>
  <c r="X19" i="7" l="1"/>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<sst xmlns="http://schemas.openxmlformats.org/spreadsheetml/2006/main" count="166" uniqueCount="54">
  <si>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</si>
  <si>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</si>
  <si>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</si>
  <si>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</si>
  <si>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</si>
  <si>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</si>
  <si>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</si>
  <si>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</si>
  <si>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</si>
  <si>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</si>
  <si>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</si>
  <si>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</si>
  <si>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</si>
  <si>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</si>
  <si>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</si>
  <si>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</si>
  <si>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</si>
  <si>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</si>
  <si>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</si>
  <si>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</si>
  <si>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</si>
  <si>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</si>
  <si>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Analista</t>
  </si>
  <si>
    <t>Programador</t>
  </si>
  <si>
    <t>Servidor</t>
  </si>
  <si>
    <t>Recurso 1</t>
  </si>
  <si>
    <t>Recurso 2</t>
  </si>
  <si>
    <t>Texto</t>
  </si>
  <si>
    <t>1A</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</si>
  <si>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</si>
  <si>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</si>
  <si>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</si>
  <si>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</si>
  <si>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</si>
  <si>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</si>
  <si>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</si>
  <si>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</si>
  <si>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</si>
  <si>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</si>
  <si>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</si>
  <si>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</si>
  <si>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</si>
  <si>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</si>
  <si>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</si>
  <si>
    <t>1A1S</t>
  </si>
  <si>
    <t>3P</t>
  </si>
  <si>
    <t>2A1S</t>
  </si>
  <si>
    <t>2P</t>
  </si>
  <si>
    <t>2P1S</t>
  </si>
  <si>
    <t>1P</t>
  </si>
  <si>
    <t>2A1P</t>
  </si>
  <si>
    <t>* Suponemos que el último período del proyecto se recibe un pago por valor de:</t>
  </si>
  <si>
    <t>Si, porque al terminar el proyecto tenemos 1950€ de beneficio</t>
  </si>
  <si>
    <t>Alumno: Stéphane Díaz-Alejo León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</si>
</sst>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05">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0" xfId="0" applyFont="1" applyFill="1" applyBorder="1" applyAlignment="1">
      <alignment horizontal="center" vertical="center"/>
    </xf>
    <xf numFmtId="0" fontId="10" fillId="4" borderId="41" xfId="0" applyFont="1" applyFill="1" applyBorder="1"/>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Analistas</c:v>
          </c:tx>
          <c:spPr>
            <a:solidFill>
              <a:schemeClr val="accent1"/>
            </a:solidFill>
            <a:ln>
              <a:noFill/>
            </a:ln>
            <a:effectLst/>
          </c:spPr>
          <c:invertIfNegative val="0"/>
          <c:val>
            <c:numRef>
              <c:f>'Calculos Flujo de Caja'!$L$18:$AF$18</c:f>
              <c:numCache>
                <c:formatCode>General</c:formatCode>
                <c:ptCount val="21"/>
                <c:pt idx="0">
                  <c:v>2</c:v>
                </c:pt>
                <c:pt idx="1">
                  <c:v>1</c:v>
                </c:pt>
                <c:pt idx="2">
                  <c:v>1</c:v>
                </c:pt>
                <c:pt idx="3">
                  <c:v>1</c:v>
                </c:pt>
                <c:pt idx="4">
                  <c:v>1</c:v>
                </c:pt>
                <c:pt idx="5">
                  <c:v>1</c:v>
                </c:pt>
                <c:pt idx="6">
                  <c:v>1</c:v>
                </c:pt>
                <c:pt idx="7">
                  <c:v>2</c:v>
                </c:pt>
                <c:pt idx="8">
                  <c:v>2</c:v>
                </c:pt>
                <c:pt idx="9">
                  <c:v>1</c:v>
                </c:pt>
                <c:pt idx="10">
                  <c:v>1</c:v>
                </c:pt>
                <c:pt idx="11">
                  <c:v>0</c:v>
                </c:pt>
                <c:pt idx="12">
                  <c:v>0</c:v>
                </c:pt>
                <c:pt idx="13">
                  <c:v>0</c:v>
                </c:pt>
                <c:pt idx="14">
                  <c:v>0</c:v>
                </c:pt>
                <c:pt idx="15">
                  <c:v>0</c:v>
                </c:pt>
                <c:pt idx="16">
                  <c:v>0</c:v>
                </c:pt>
                <c:pt idx="17">
                  <c:v>0</c:v>
                </c:pt>
                <c:pt idx="18">
                  <c:v>2</c:v>
                </c:pt>
                <c:pt idx="19">
                  <c:v>2</c:v>
                </c:pt>
                <c:pt idx="20">
                  <c:v>2</c:v>
                </c:pt>
              </c:numCache>
            </c:numRef>
          </c:val>
          <c:extLst>
            <c:ext xmlns:c16="http://schemas.microsoft.com/office/drawing/2014/chart" uri="{C3380CC4-5D6E-409C-BE32-E72D297353CC}">
              <c16:uniqueId val="{00000001-4496-4148-AC48-2D0771E4148A}"/>
            </c:ext>
          </c:extLst>
        </c:ser>
        <c:ser>
          <c:idx val="1"/>
          <c:order val="1"/>
          <c:tx>
            <c:v>Programadores</c:v>
          </c:tx>
          <c:spPr>
            <a:solidFill>
              <a:schemeClr val="accent2"/>
            </a:solidFill>
            <a:ln>
              <a:noFill/>
            </a:ln>
            <a:effectLst/>
          </c:spPr>
          <c:invertIfNegative val="0"/>
          <c:val>
            <c:numRef>
              <c:f>'Calculos Flujo de Caja'!$L$19:$AF$19</c:f>
              <c:numCache>
                <c:formatCode>General</c:formatCode>
                <c:ptCount val="21"/>
                <c:pt idx="0">
                  <c:v>0</c:v>
                </c:pt>
                <c:pt idx="1">
                  <c:v>2</c:v>
                </c:pt>
                <c:pt idx="2">
                  <c:v>5</c:v>
                </c:pt>
                <c:pt idx="3">
                  <c:v>5</c:v>
                </c:pt>
                <c:pt idx="4">
                  <c:v>2</c:v>
                </c:pt>
                <c:pt idx="5">
                  <c:v>0</c:v>
                </c:pt>
                <c:pt idx="6">
                  <c:v>0</c:v>
                </c:pt>
                <c:pt idx="7">
                  <c:v>3</c:v>
                </c:pt>
                <c:pt idx="8">
                  <c:v>3</c:v>
                </c:pt>
                <c:pt idx="9">
                  <c:v>2</c:v>
                </c:pt>
                <c:pt idx="10">
                  <c:v>2</c:v>
                </c:pt>
                <c:pt idx="11">
                  <c:v>1</c:v>
                </c:pt>
                <c:pt idx="12">
                  <c:v>1</c:v>
                </c:pt>
                <c:pt idx="13">
                  <c:v>1</c:v>
                </c:pt>
                <c:pt idx="14">
                  <c:v>1</c:v>
                </c:pt>
                <c:pt idx="15">
                  <c:v>3</c:v>
                </c:pt>
                <c:pt idx="16">
                  <c:v>4</c:v>
                </c:pt>
                <c:pt idx="17">
                  <c:v>4</c:v>
                </c:pt>
                <c:pt idx="18">
                  <c:v>1</c:v>
                </c:pt>
                <c:pt idx="19">
                  <c:v>1</c:v>
                </c:pt>
                <c:pt idx="20">
                  <c:v>1</c:v>
                </c:pt>
              </c:numCache>
            </c:numRef>
          </c:val>
          <c:extLst>
            <c:ext xmlns:c16="http://schemas.microsoft.com/office/drawing/2014/chart" uri="{C3380CC4-5D6E-409C-BE32-E72D297353CC}">
              <c16:uniqueId val="{00000002-4496-4148-AC48-2D0771E4148A}"/>
            </c:ext>
          </c:extLst>
        </c:ser>
        <c:ser>
          <c:idx val="2"/>
          <c:order val="2"/>
          <c:tx>
            <c:v>Servidor</c:v>
          </c:tx>
          <c:spPr>
            <a:solidFill>
              <a:schemeClr val="accent3"/>
            </a:solidFill>
            <a:ln>
              <a:noFill/>
            </a:ln>
            <a:effectLst/>
          </c:spPr>
          <c:invertIfNegative val="0"/>
          <c:val>
            <c:numRef>
              <c:f>'Calculos Flujo de Caja'!$L$20:$AF$20</c:f>
              <c:numCache>
                <c:formatCode>General</c:formatCode>
                <c:ptCount val="21"/>
                <c:pt idx="0">
                  <c:v>0</c:v>
                </c:pt>
                <c:pt idx="1">
                  <c:v>0</c:v>
                </c:pt>
                <c:pt idx="2">
                  <c:v>1</c:v>
                </c:pt>
                <c:pt idx="3">
                  <c:v>1</c:v>
                </c:pt>
                <c:pt idx="4">
                  <c:v>1</c:v>
                </c:pt>
                <c:pt idx="5">
                  <c:v>1</c:v>
                </c:pt>
                <c:pt idx="6">
                  <c:v>1</c:v>
                </c:pt>
                <c:pt idx="7">
                  <c:v>1</c:v>
                </c:pt>
                <c:pt idx="8">
                  <c:v>1</c:v>
                </c:pt>
                <c:pt idx="9">
                  <c:v>1</c:v>
                </c:pt>
                <c:pt idx="10">
                  <c:v>1</c:v>
                </c:pt>
                <c:pt idx="11">
                  <c:v>0</c:v>
                </c:pt>
                <c:pt idx="12">
                  <c:v>0</c:v>
                </c:pt>
                <c:pt idx="13">
                  <c:v>0</c:v>
                </c:pt>
                <c:pt idx="14">
                  <c:v>0</c:v>
                </c:pt>
                <c:pt idx="15">
                  <c:v>1</c:v>
                </c:pt>
                <c:pt idx="16">
                  <c:v>1</c:v>
                </c:pt>
                <c:pt idx="17">
                  <c:v>1</c:v>
                </c:pt>
                <c:pt idx="18">
                  <c:v>0</c:v>
                </c:pt>
                <c:pt idx="19">
                  <c:v>0</c:v>
                </c:pt>
                <c:pt idx="20">
                  <c:v>0</c:v>
                </c:pt>
              </c:numCache>
            </c:numRef>
          </c:val>
          <c:extLst>
            <c:ext xmlns:c16="http://schemas.microsoft.com/office/drawing/2014/chart" uri="{C3380CC4-5D6E-409C-BE32-E72D297353CC}">
              <c16:uniqueId val="{00000003-4496-4148-AC48-2D0771E4148A}"/>
            </c:ext>
          </c:extLst>
        </c:ser>
        <c:dLbls>
          <c:showLegendKey val="0"/>
          <c:showVal val="0"/>
          <c:showCatName val="0"/>
          <c:showSerName val="0"/>
          <c:showPercent val="0"/>
          <c:showBubbleSize val="0"/>
        </c:dLbls>
        <c:gapWidth val="219"/>
        <c:axId val="491165912"/>
        <c:axId val="491166896"/>
      </c:barChart>
      <c:catAx>
        <c:axId val="491165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1166896"/>
        <c:crosses val="autoZero"/>
        <c:auto val="1"/>
        <c:lblAlgn val="ctr"/>
        <c:lblOffset val="100"/>
        <c:noMultiLvlLbl val="0"/>
      </c:catAx>
      <c:valAx>
        <c:axId val="4911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116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Flujo de Pagos</c:v>
          </c:tx>
          <c:spPr>
            <a:solidFill>
              <a:schemeClr val="accent1"/>
            </a:solidFill>
            <a:ln>
              <a:noFill/>
            </a:ln>
            <a:effectLst/>
          </c:spPr>
          <c:invertIfNegative val="0"/>
          <c:val>
            <c:numRef>
              <c:f>'Calculos Flujo de Caja'!$L$22:$AF$22</c:f>
              <c:numCache>
                <c:formatCode>General</c:formatCode>
                <c:ptCount val="21"/>
                <c:pt idx="0">
                  <c:v>600</c:v>
                </c:pt>
                <c:pt idx="1">
                  <c:v>700</c:v>
                </c:pt>
                <c:pt idx="2">
                  <c:v>1400</c:v>
                </c:pt>
                <c:pt idx="3">
                  <c:v>1400</c:v>
                </c:pt>
                <c:pt idx="4">
                  <c:v>800</c:v>
                </c:pt>
                <c:pt idx="5">
                  <c:v>400</c:v>
                </c:pt>
                <c:pt idx="6">
                  <c:v>400</c:v>
                </c:pt>
                <c:pt idx="7">
                  <c:v>1300</c:v>
                </c:pt>
                <c:pt idx="8">
                  <c:v>1300</c:v>
                </c:pt>
                <c:pt idx="9">
                  <c:v>800</c:v>
                </c:pt>
                <c:pt idx="10">
                  <c:v>800</c:v>
                </c:pt>
                <c:pt idx="11">
                  <c:v>200</c:v>
                </c:pt>
                <c:pt idx="12">
                  <c:v>200</c:v>
                </c:pt>
                <c:pt idx="13">
                  <c:v>200</c:v>
                </c:pt>
                <c:pt idx="14">
                  <c:v>200</c:v>
                </c:pt>
                <c:pt idx="15">
                  <c:v>700</c:v>
                </c:pt>
                <c:pt idx="16">
                  <c:v>900</c:v>
                </c:pt>
                <c:pt idx="17">
                  <c:v>900</c:v>
                </c:pt>
                <c:pt idx="18">
                  <c:v>800</c:v>
                </c:pt>
                <c:pt idx="19">
                  <c:v>800</c:v>
                </c:pt>
                <c:pt idx="20">
                  <c:v>800</c:v>
                </c:pt>
              </c:numCache>
            </c:numRef>
          </c:val>
          <c:extLst>
            <c:ext xmlns:c16="http://schemas.microsoft.com/office/drawing/2014/chart" uri="{C3380CC4-5D6E-409C-BE32-E72D297353CC}">
              <c16:uniqueId val="{00000000-527C-4F58-A6EB-AFA22583C2F3}"/>
            </c:ext>
          </c:extLst>
        </c:ser>
        <c:ser>
          <c:idx val="2"/>
          <c:order val="2"/>
          <c:tx>
            <c:v>Flujo de ingresos</c:v>
          </c:tx>
          <c:spPr>
            <a:solidFill>
              <a:schemeClr val="accent3"/>
            </a:solidFill>
            <a:ln>
              <a:noFill/>
            </a:ln>
            <a:effectLst/>
          </c:spPr>
          <c:invertIfNegative val="0"/>
          <c:val>
            <c:numRef>
              <c:f>'Calculos Flujo de Caja'!$L$24:$AF$24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17550</c:v>
                </c:pt>
              </c:numCache>
            </c:numRef>
          </c:val>
          <c:extLst>
            <c:ext xmlns:c16="http://schemas.microsoft.com/office/drawing/2014/chart" uri="{C3380CC4-5D6E-409C-BE32-E72D297353CC}">
              <c16:uniqueId val="{00000002-527C-4F58-A6EB-AFA22583C2F3}"/>
            </c:ext>
          </c:extLst>
        </c:ser>
        <c:dLbls>
          <c:showLegendKey val="0"/>
          <c:showVal val="0"/>
          <c:showCatName val="0"/>
          <c:showSerName val="0"/>
          <c:showPercent val="0"/>
          <c:showBubbleSize val="0"/>
        </c:dLbls>
        <c:gapWidth val="269"/>
        <c:axId val="499324160"/>
        <c:axId val="499324488"/>
      </c:barChart>
      <c:lineChart>
        <c:grouping val="standard"/>
        <c:varyColors val="0"/>
        <c:ser>
          <c:idx val="1"/>
          <c:order val="1"/>
          <c:tx>
            <c:v>Acumulado pagos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'Calculos Flujo de Caja'!$L$23:$AF$23</c:f>
              <c:numCache>
                <c:formatCode>General</c:formatCode>
                <c:ptCount val="21"/>
                <c:pt idx="0">
                  <c:v>600</c:v>
                </c:pt>
                <c:pt idx="1">
                  <c:v>1300</c:v>
                </c:pt>
                <c:pt idx="2">
                  <c:v>2700</c:v>
                </c:pt>
                <c:pt idx="3">
                  <c:v>4100</c:v>
                </c:pt>
                <c:pt idx="4">
                  <c:v>4900</c:v>
                </c:pt>
                <c:pt idx="5">
                  <c:v>5300</c:v>
                </c:pt>
                <c:pt idx="6">
                  <c:v>5700</c:v>
                </c:pt>
                <c:pt idx="7">
                  <c:v>7000</c:v>
                </c:pt>
                <c:pt idx="8">
                  <c:v>8300</c:v>
                </c:pt>
                <c:pt idx="9">
                  <c:v>9100</c:v>
                </c:pt>
                <c:pt idx="10">
                  <c:v>9900</c:v>
                </c:pt>
                <c:pt idx="11">
                  <c:v>10100</c:v>
                </c:pt>
                <c:pt idx="12">
                  <c:v>10300</c:v>
                </c:pt>
                <c:pt idx="13">
                  <c:v>10500</c:v>
                </c:pt>
                <c:pt idx="14">
                  <c:v>10700</c:v>
                </c:pt>
                <c:pt idx="15">
                  <c:v>11400</c:v>
                </c:pt>
                <c:pt idx="16">
                  <c:v>12300</c:v>
                </c:pt>
                <c:pt idx="17">
                  <c:v>13200</c:v>
                </c:pt>
                <c:pt idx="18">
                  <c:v>14000</c:v>
                </c:pt>
                <c:pt idx="19">
                  <c:v>14800</c:v>
                </c:pt>
                <c:pt idx="20">
                  <c:v>15600</c:v>
                </c:pt>
              </c:numCache>
            </c:numRef>
          </c:val>
          <c:smooth val="0"/>
          <c:extLst>
            <c:ext xmlns:c16="http://schemas.microsoft.com/office/drawing/2014/chart" uri="{C3380CC4-5D6E-409C-BE32-E72D297353CC}">
              <c16:uniqueId val="{00000001-527C-4F58-A6EB-AFA22583C2F3}"/>
            </c:ext>
          </c:extLst>
        </c:ser>
        <c:ser>
          <c:idx val="3"/>
          <c:order val="3"/>
          <c:tx>
            <c:v>Flujo de Caja</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'Calculos Flujo de Caja'!$L$25:$AF$25</c:f>
              <c:numCache>
                <c:formatCode>General</c:formatCode>
                <c:ptCount val="21"/>
                <c:pt idx="0">
                  <c:v>-600</c:v>
                </c:pt>
                <c:pt idx="1">
                  <c:v>-700</c:v>
                </c:pt>
                <c:pt idx="2">
                  <c:v>-1400</c:v>
                </c:pt>
                <c:pt idx="3">
                  <c:v>-1400</c:v>
                </c:pt>
                <c:pt idx="4">
                  <c:v>-800</c:v>
                </c:pt>
                <c:pt idx="5">
                  <c:v>-400</c:v>
                </c:pt>
                <c:pt idx="6">
                  <c:v>-400</c:v>
                </c:pt>
                <c:pt idx="7">
                  <c:v>-1300</c:v>
                </c:pt>
                <c:pt idx="8">
                  <c:v>-1300</c:v>
                </c:pt>
                <c:pt idx="9">
                  <c:v>-800</c:v>
                </c:pt>
                <c:pt idx="10">
                  <c:v>-800</c:v>
                </c:pt>
                <c:pt idx="11">
                  <c:v>-200</c:v>
                </c:pt>
                <c:pt idx="12">
                  <c:v>-200</c:v>
                </c:pt>
                <c:pt idx="13">
                  <c:v>-200</c:v>
                </c:pt>
                <c:pt idx="14">
                  <c:v>-200</c:v>
                </c:pt>
                <c:pt idx="15">
                  <c:v>-700</c:v>
                </c:pt>
                <c:pt idx="16">
                  <c:v>-900</c:v>
                </c:pt>
                <c:pt idx="17">
                  <c:v>-900</c:v>
                </c:pt>
                <c:pt idx="18">
                  <c:v>-800</c:v>
                </c:pt>
                <c:pt idx="19">
                  <c:v>-800</c:v>
                </c:pt>
                <c:pt idx="20">
                  <c:v>16750</c:v>
                </c:pt>
              </c:numCache>
            </c:numRef>
          </c:val>
          <c:smooth val="0"/>
          <c:extLst>
            <c:ext xmlns:c16="http://schemas.microsoft.com/office/drawing/2014/chart" uri="{C3380CC4-5D6E-409C-BE32-E72D297353CC}">
              <c16:uniqueId val="{00000003-527C-4F58-A6EB-AFA22583C2F3}"/>
            </c:ext>
          </c:extLst>
        </c:ser>
        <c:ser>
          <c:idx val="4"/>
          <c:order val="4"/>
          <c:tx>
            <c:v>Acumulado FC</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'Calculos Flujo de Caja'!$L$26:$AF$26</c:f>
              <c:numCache>
                <c:formatCode>General</c:formatCode>
                <c:ptCount val="21"/>
                <c:pt idx="0">
                  <c:v>-600</c:v>
                </c:pt>
                <c:pt idx="1">
                  <c:v>-1300</c:v>
                </c:pt>
                <c:pt idx="2">
                  <c:v>-2700</c:v>
                </c:pt>
                <c:pt idx="3">
                  <c:v>-4100</c:v>
                </c:pt>
                <c:pt idx="4">
                  <c:v>-4900</c:v>
                </c:pt>
                <c:pt idx="5">
                  <c:v>-5300</c:v>
                </c:pt>
                <c:pt idx="6">
                  <c:v>-5700</c:v>
                </c:pt>
                <c:pt idx="7">
                  <c:v>-7000</c:v>
                </c:pt>
                <c:pt idx="8">
                  <c:v>-8300</c:v>
                </c:pt>
                <c:pt idx="9">
                  <c:v>-9100</c:v>
                </c:pt>
                <c:pt idx="10">
                  <c:v>-9900</c:v>
                </c:pt>
                <c:pt idx="11">
                  <c:v>-10100</c:v>
                </c:pt>
                <c:pt idx="12">
                  <c:v>-10300</c:v>
                </c:pt>
                <c:pt idx="13">
                  <c:v>-10500</c:v>
                </c:pt>
                <c:pt idx="14">
                  <c:v>-10700</c:v>
                </c:pt>
                <c:pt idx="15">
                  <c:v>-11400</c:v>
                </c:pt>
                <c:pt idx="16">
                  <c:v>-12300</c:v>
                </c:pt>
                <c:pt idx="17">
                  <c:v>-13200</c:v>
                </c:pt>
                <c:pt idx="18">
                  <c:v>-14000</c:v>
                </c:pt>
                <c:pt idx="19">
                  <c:v>-14800</c:v>
                </c:pt>
                <c:pt idx="20">
                  <c:v>1950</c:v>
                </c:pt>
              </c:numCache>
            </c:numRef>
          </c:val>
          <c:smooth val="0"/>
          <c:extLst>
            <c:ext xmlns:c16="http://schemas.microsoft.com/office/drawing/2014/chart" uri="{C3380CC4-5D6E-409C-BE32-E72D297353CC}">
              <c16:uniqueId val="{00000004-527C-4F58-A6EB-AFA22583C2F3}"/>
            </c:ext>
          </c:extLst>
        </c:ser>
        <c:dLbls>
          <c:showLegendKey val="0"/>
          <c:showVal val="0"/>
          <c:showCatName val="0"/>
          <c:showSerName val="0"/>
          <c:showPercent val="0"/>
          <c:showBubbleSize val="0"/>
        </c:dLbls>
        <c:marker val="1"/>
        <c:smooth val="0"/>
        <c:axId val="499324160"/>
        <c:axId val="499324488"/>
      </c:lineChart>
      <c:catAx>
        <c:axId val="499324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9324488"/>
        <c:crosses val="autoZero"/>
        <c:auto val="1"/>
        <c:lblAlgn val="ctr"/>
        <c:lblOffset val="100"/>
        <c:noMultiLvlLbl val="0"/>
      </c:catAx>
      <c:valAx>
        <c:axId val="499324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93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5952</xdr:colOff>
      <xdr:row>27</xdr:row>
      <xdr:rowOff>307180</xdr:rowOff>
    </xdr:from>
    <xdr:to>
      <xdr:col>18</xdr:col>
      <xdr:colOff>0</xdr:colOff>
      <xdr:row>42</xdr:row>
      <xdr:rowOff>11906</xdr:rowOff>
    </xdr:to>
    <xdr:graphicFrame macro="">
      <xdr:nvGraphicFramePr>
        <xdr:cNvPr id="2" name="Gráfico 1">
          <a:extLst>
            <a:ext uri="{FF2B5EF4-FFF2-40B4-BE49-F238E27FC236}">
              <a16:creationId xmlns:a16="http://schemas.microsoft.com/office/drawing/2014/main" id="{C506EDBE-170F-4B8F-8E13-8E069451E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5952</xdr:colOff>
      <xdr:row>28</xdr:row>
      <xdr:rowOff>9525</xdr:rowOff>
    </xdr:from>
    <xdr:to>
      <xdr:col>26</xdr:col>
      <xdr:colOff>-1</xdr:colOff>
      <xdr:row>41</xdr:row>
      <xdr:rowOff>297656</xdr:rowOff>
    </xdr:to>
    <xdr:graphicFrame macro="">
      <xdr:nvGraphicFramePr>
        <xdr:cNvPr id="3" name="Gráfico 2">
          <a:extLst>
            <a:ext uri="{FF2B5EF4-FFF2-40B4-BE49-F238E27FC236}">
              <a16:creationId xmlns:a16="http://schemas.microsoft.com/office/drawing/2014/main" id="{24653984-298B-4D7B-A99E-E13E38E42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workbookViewId="0">
      <selection activeCell="K3" sqref="K3"/>
    </sheetView>
  </sheetViews>
  <sheetFormatPr baseColWidth="10" defaultRowHeight="14.4"/>
  <cols>
    <col min="4" max="4" width="3.44140625" customWidth="1"/>
    <col min="5" max="5" width="14" customWidth="1"/>
    <col min="6" max="6" width="3.5546875" customWidth="1"/>
    <col min="7" max="7" width="17.109375" customWidth="1"/>
  </cols>
  <sheetData>
    <row r="1" spans="1:12" ht="15.6">
      <c r="A1" s="43" t="s">
        <v>18</v>
      </c>
      <c r="B1" s="42"/>
      <c r="C1" s="42"/>
      <c r="D1" s="42"/>
      <c r="E1" s="42"/>
      <c r="F1" s="42"/>
      <c r="G1" s="42"/>
      <c r="H1" s="42"/>
      <c r="I1" s="42"/>
      <c r="J1" s="42"/>
      <c r="K1" s="42"/>
      <c r="L1" s="42"/>
    </row>
    <row r="2" spans="1:12" ht="15.6">
      <c r="A2" s="42"/>
      <c r="B2" s="42"/>
      <c r="C2" s="42"/>
      <c r="D2" s="42"/>
      <c r="E2" s="42"/>
      <c r="F2" s="42"/>
      <c r="G2" s="42"/>
      <c r="H2" s="42"/>
      <c r="I2" s="42"/>
      <c r="J2" s="42"/>
      <c r="K2" s="42"/>
      <c r="L2" s="42"/>
    </row>
    <row r="3" spans="1:12" ht="15.6">
      <c r="A3" s="43" t="s">
        <v>19</v>
      </c>
      <c r="B3" s="42"/>
      <c r="C3" s="42"/>
      <c r="D3" s="42"/>
      <c r="E3" s="43">
        <v>300</v>
      </c>
      <c r="F3" s="43" t="s">
        <v>17</v>
      </c>
      <c r="G3" s="42"/>
      <c r="H3" s="42"/>
      <c r="I3" s="42"/>
      <c r="J3" s="42"/>
      <c r="K3" s="42" t="s">
        <v>53</v>
      </c>
      <c r="L3" s="42"/>
    </row>
    <row r="4" spans="1:12" ht="15.6">
      <c r="A4" s="43" t="s">
        <v>20</v>
      </c>
      <c r="B4" s="42"/>
      <c r="C4" s="42"/>
      <c r="D4" s="42"/>
      <c r="E4" s="43">
        <v>200</v>
      </c>
      <c r="F4" s="43" t="s">
        <v>17</v>
      </c>
      <c r="G4" s="42"/>
      <c r="H4" s="42"/>
      <c r="I4" s="42"/>
      <c r="J4" s="42"/>
      <c r="K4" s="42"/>
      <c r="L4" s="42"/>
    </row>
    <row r="5" spans="1:12" ht="15.6">
      <c r="A5" s="43" t="s">
        <v>21</v>
      </c>
      <c r="B5" s="42"/>
      <c r="C5" s="42"/>
      <c r="D5" s="42"/>
      <c r="E5" s="42"/>
      <c r="F5" s="42"/>
      <c r="G5" s="42"/>
      <c r="H5" s="43">
        <v>100</v>
      </c>
      <c r="I5" s="43" t="s">
        <v>17</v>
      </c>
      <c r="J5" s="42"/>
      <c r="K5" s="42"/>
      <c r="L5" s="42"/>
    </row>
    <row r="6" spans="1:12" ht="15.6">
      <c r="A6" s="43" t="s">
        <v>51</v>
      </c>
      <c r="B6" s="42"/>
      <c r="C6" s="42"/>
      <c r="D6" s="42"/>
      <c r="E6" s="42"/>
      <c r="F6" s="42"/>
      <c r="G6" s="42"/>
      <c r="H6" s="43">
        <f>SUMPRODUCT(C18:C31,D18:D31)*250+SUMPRODUCT(C18:C31,F18:F31)*200</f>
        <v>17550</v>
      </c>
      <c r="I6" s="43" t="s">
        <v>17</v>
      </c>
      <c r="J6" s="42"/>
    </row>
    <row r="7" spans="1:12" ht="15.6">
      <c r="A7" s="43"/>
      <c r="B7" s="42"/>
      <c r="C7" s="42"/>
      <c r="D7" s="42"/>
      <c r="E7" s="42"/>
      <c r="F7" s="42"/>
      <c r="G7" s="42"/>
      <c r="H7" s="43"/>
      <c r="I7" s="43"/>
      <c r="J7" s="42"/>
    </row>
    <row r="8" spans="1:12" ht="15.6">
      <c r="A8" s="86" t="s">
        <v>39</v>
      </c>
      <c r="B8" s="87"/>
      <c r="C8" s="87"/>
      <c r="D8" s="87"/>
      <c r="E8" s="87"/>
      <c r="F8" s="87"/>
      <c r="G8" s="87"/>
      <c r="H8" s="43"/>
      <c r="I8" s="43"/>
      <c r="J8" s="42"/>
    </row>
    <row r="9" spans="1:12" ht="15.6">
      <c r="A9" s="86" t="s">
        <v>40</v>
      </c>
      <c r="B9" s="87"/>
      <c r="C9" s="87"/>
      <c r="D9" s="87"/>
      <c r="E9" s="87"/>
      <c r="F9" s="87"/>
      <c r="G9" s="87"/>
      <c r="H9" s="42"/>
      <c r="I9" s="42"/>
      <c r="J9" s="42"/>
      <c r="K9" s="42"/>
      <c r="L9" s="42"/>
    </row>
    <row r="10" spans="1:12" ht="15.6">
      <c r="A10" s="86" t="s">
        <v>41</v>
      </c>
      <c r="B10" s="87"/>
      <c r="C10" s="87"/>
      <c r="D10" s="87"/>
      <c r="E10" s="87"/>
      <c r="F10" s="87"/>
      <c r="G10" s="87"/>
      <c r="H10" s="42"/>
      <c r="I10" s="42"/>
      <c r="J10" s="42"/>
      <c r="K10" s="42"/>
      <c r="L10" s="42"/>
    </row>
    <row r="11" spans="1:12" ht="15.6">
      <c r="A11" s="86" t="s">
        <v>42</v>
      </c>
      <c r="B11" s="87"/>
      <c r="C11" s="87"/>
      <c r="D11" s="87"/>
      <c r="E11" s="87"/>
      <c r="F11" s="87"/>
      <c r="G11" s="87"/>
      <c r="H11" s="42"/>
      <c r="I11" s="42"/>
      <c r="J11" s="42"/>
      <c r="K11" s="42"/>
      <c r="L11" s="42"/>
    </row>
    <row r="12" spans="1:12" ht="15.6">
      <c r="A12" s="86" t="s">
        <v>43</v>
      </c>
      <c r="B12" s="87"/>
      <c r="C12" s="87"/>
      <c r="D12" s="87"/>
      <c r="E12" s="87"/>
      <c r="F12" s="87"/>
      <c r="G12" s="87" t="s">
        <v>52</v>
      </c>
      <c r="H12" s="42"/>
      <c r="I12" s="42"/>
      <c r="J12" s="42"/>
      <c r="K12" s="42"/>
      <c r="L12" s="42"/>
    </row>
    <row r="13" spans="1:12">
      <c r="A13" s="88"/>
      <c r="B13" s="88"/>
      <c r="C13" s="88"/>
      <c r="D13" s="88"/>
      <c r="E13" s="88"/>
      <c r="F13" s="88"/>
      <c r="G13" s="88"/>
    </row>
    <row r="14" spans="1:12" ht="15" thickBot="1"/>
    <row r="15" spans="1:12" ht="15" thickBot="1">
      <c r="B15" s="40" t="s">
        <v>9</v>
      </c>
      <c r="C15" s="41">
        <v>46075555</v>
      </c>
    </row>
    <row r="17" spans="2:7">
      <c r="B17" s="46" t="s">
        <v>13</v>
      </c>
      <c r="C17" s="47" t="s">
        <v>16</v>
      </c>
      <c r="D17" s="48"/>
      <c r="E17" s="49" t="s">
        <v>25</v>
      </c>
      <c r="F17" s="48"/>
      <c r="G17" s="51" t="s">
        <v>26</v>
      </c>
    </row>
    <row r="18" spans="2:7">
      <c r="B18" s="18" t="s">
        <v>0</v>
      </c>
      <c r="C18" s="6">
        <f>INT((5-MID(C15,1,1))/4)+2</f>
        <v>2</v>
      </c>
      <c r="D18" s="44">
        <f>MOD(MID($C$15,1,1),2)+1</f>
        <v>1</v>
      </c>
      <c r="E18" t="s">
        <v>22</v>
      </c>
      <c r="G18" s="52"/>
    </row>
    <row r="19" spans="2:7">
      <c r="B19" s="18" t="s">
        <v>10</v>
      </c>
      <c r="C19" s="6">
        <f>INT((5-MID(C15,2,1))/4)+2</f>
        <v>1</v>
      </c>
      <c r="D19" s="44">
        <f>MOD(MID($C$15,2,1),2)+1</f>
        <v>1</v>
      </c>
      <c r="E19" t="s">
        <v>22</v>
      </c>
      <c r="G19" s="52"/>
    </row>
    <row r="20" spans="2:7">
      <c r="B20" s="18" t="s">
        <v>6</v>
      </c>
      <c r="C20" s="6">
        <f>INT((5-MID(C15,3,1))/2)+3</f>
        <v>5</v>
      </c>
      <c r="D20" s="44">
        <f>MOD(MID($C$15,3,1),2)+1</f>
        <v>1</v>
      </c>
      <c r="E20" t="s">
        <v>22</v>
      </c>
      <c r="F20" s="45">
        <v>1</v>
      </c>
      <c r="G20" s="53" t="s">
        <v>24</v>
      </c>
    </row>
    <row r="21" spans="2:7">
      <c r="B21" s="18" t="s">
        <v>11</v>
      </c>
      <c r="C21" s="6">
        <f>INT((5-MID(C15,4,1))/2)+3</f>
        <v>2</v>
      </c>
      <c r="D21" s="44">
        <f>MOD(MID($C$15,4,1),2)+1</f>
        <v>2</v>
      </c>
      <c r="E21" t="s">
        <v>23</v>
      </c>
      <c r="F21" s="45">
        <v>1</v>
      </c>
      <c r="G21" s="53" t="s">
        <v>23</v>
      </c>
    </row>
    <row r="22" spans="2:7">
      <c r="B22" s="18" t="s">
        <v>3</v>
      </c>
      <c r="C22" s="6">
        <f>INT((5-MID(C15,5,1))/4)+2</f>
        <v>2</v>
      </c>
      <c r="D22" s="44">
        <f>MOD(MID($C$15,5,1),2)+1</f>
        <v>2</v>
      </c>
      <c r="E22" t="s">
        <v>22</v>
      </c>
      <c r="F22" s="45">
        <v>1</v>
      </c>
      <c r="G22" s="53" t="s">
        <v>24</v>
      </c>
    </row>
    <row r="23" spans="2:7">
      <c r="B23" s="18" t="s">
        <v>1</v>
      </c>
      <c r="C23" s="6">
        <f>INT((5-MID(C15,6,1))/4)+2</f>
        <v>2</v>
      </c>
      <c r="D23" s="44">
        <f>MOD(MID($C$15,6,1),2)+1</f>
        <v>2</v>
      </c>
      <c r="E23" t="s">
        <v>23</v>
      </c>
      <c r="F23" s="45">
        <v>1</v>
      </c>
      <c r="G23" s="53" t="s">
        <v>23</v>
      </c>
    </row>
    <row r="24" spans="2:7">
      <c r="B24" s="18" t="s">
        <v>12</v>
      </c>
      <c r="C24" s="6">
        <f>INT(MID(C15,7,1)/2)+2</f>
        <v>4</v>
      </c>
      <c r="D24" s="44">
        <f>MOD(MID($C$15,7,1),2)+1</f>
        <v>2</v>
      </c>
      <c r="E24" t="s">
        <v>23</v>
      </c>
      <c r="F24" s="45"/>
      <c r="G24" s="53"/>
    </row>
    <row r="25" spans="2:7">
      <c r="B25" s="18" t="s">
        <v>2</v>
      </c>
      <c r="C25" s="6">
        <f>INT((5-MID(C15,8,1))/4)+2</f>
        <v>2</v>
      </c>
      <c r="D25" s="44">
        <f>MOD(MID($C$15,8,1),2)+1</f>
        <v>2</v>
      </c>
      <c r="E25" t="s">
        <v>23</v>
      </c>
      <c r="F25" s="45">
        <v>1</v>
      </c>
      <c r="G25" s="53" t="s">
        <v>24</v>
      </c>
    </row>
    <row r="26" spans="2:7">
      <c r="B26" s="18" t="s">
        <v>7</v>
      </c>
      <c r="C26" s="6">
        <f>INT((5-MID(C15,2,1))/3)+3</f>
        <v>2</v>
      </c>
      <c r="D26" s="44">
        <f>MOD(MID($C$15,1,1),2)+1</f>
        <v>1</v>
      </c>
      <c r="E26" t="s">
        <v>22</v>
      </c>
      <c r="F26" s="45"/>
      <c r="G26" s="53"/>
    </row>
    <row r="27" spans="2:7">
      <c r="B27" s="18" t="s">
        <v>5</v>
      </c>
      <c r="C27" s="6">
        <f>INT((5-MID(C15,3,1))/3)+3</f>
        <v>4</v>
      </c>
      <c r="D27" s="44">
        <f>MOD(MID($C$15,2,1),2)+1</f>
        <v>1</v>
      </c>
      <c r="E27" t="s">
        <v>23</v>
      </c>
      <c r="F27" s="45"/>
      <c r="G27" s="53"/>
    </row>
    <row r="28" spans="2:7">
      <c r="B28" s="18" t="s">
        <v>4</v>
      </c>
      <c r="C28" s="6">
        <f>INT((5-MID(C15,4,1))/4)+2</f>
        <v>1</v>
      </c>
      <c r="D28" s="44">
        <f>MOD(MID($C$15,3,1),2)+1</f>
        <v>1</v>
      </c>
      <c r="E28" t="s">
        <v>23</v>
      </c>
      <c r="F28" s="45"/>
      <c r="G28" s="53"/>
    </row>
    <row r="29" spans="2:7">
      <c r="B29" s="18" t="s">
        <v>8</v>
      </c>
      <c r="C29" s="6">
        <f>INT((5-MID(C15,5,1))/2)+3</f>
        <v>3</v>
      </c>
      <c r="D29" s="44">
        <f>MOD(MID($C$15,4,1),2)+1</f>
        <v>2</v>
      </c>
      <c r="E29" t="s">
        <v>23</v>
      </c>
      <c r="F29" s="45">
        <v>1</v>
      </c>
      <c r="G29" s="53" t="s">
        <v>24</v>
      </c>
    </row>
    <row r="30" spans="2:7">
      <c r="B30" s="18" t="s">
        <v>14</v>
      </c>
      <c r="C30" s="6">
        <f>INT((5-MID(C15,6,1))/4)+2</f>
        <v>2</v>
      </c>
      <c r="D30" s="44">
        <f>MOD(MID($C$15,5,1),2)+1</f>
        <v>2</v>
      </c>
      <c r="E30" t="s">
        <v>23</v>
      </c>
      <c r="F30" s="45"/>
      <c r="G30" s="53"/>
    </row>
    <row r="31" spans="2:7">
      <c r="B31" s="19" t="s">
        <v>15</v>
      </c>
      <c r="C31" s="7">
        <f>INT(MID(C15,8,1)/3)+2</f>
        <v>3</v>
      </c>
      <c r="D31" s="50">
        <f>MOD(MID($C$15,6,1),2)+1</f>
        <v>2</v>
      </c>
      <c r="E31" s="48" t="s">
        <v>22</v>
      </c>
      <c r="F31" s="48">
        <v>1</v>
      </c>
      <c r="G31" s="5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32"/>
  <sheetViews>
    <sheetView topLeftCell="A22" zoomScale="64" zoomScaleNormal="64" workbookViewId="0">
      <selection activeCell="E27" sqref="E27"/>
    </sheetView>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25</v>
      </c>
      <c r="E1" s="60"/>
      <c r="F1" s="68" t="s">
        <v>26</v>
      </c>
      <c r="G1" s="58"/>
      <c r="H1" s="59"/>
      <c r="I1" s="58" t="s">
        <v>27</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f>Enunciado!C18</f>
        <v>2</v>
      </c>
      <c r="C2" s="83">
        <f>MOD(MID(Enunciado!C15,1,1),2)+1</f>
        <v>1</v>
      </c>
      <c r="D2" s="65" t="s">
        <v>22</v>
      </c>
      <c r="E2" s="63"/>
      <c r="F2" s="66"/>
      <c r="G2" s="63"/>
      <c r="H2" s="59"/>
      <c r="I2" s="59" t="s">
        <v>28</v>
      </c>
      <c r="J2" s="64"/>
      <c r="K2" s="55" t="s">
        <v>0</v>
      </c>
      <c r="L2" s="70" t="str">
        <f>IF(AND(L$16&gt;=Caminocrítico!$E$6+1,L$16&lt;=Caminocrítico!$H$6),$I2,"")</f>
        <v>1A</v>
      </c>
      <c r="M2" s="70" t="str">
        <f>IF(AND(M$16&gt;=Caminocrítico!$E$6+1,M$16&lt;=Caminocrítico!$H$6),$I2,"")</f>
        <v>1A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f>Enunciado!C19</f>
        <v>1</v>
      </c>
      <c r="C3" s="83">
        <f>MOD(MID(Enunciado!$C$15,2,1),2)+1</f>
        <v>1</v>
      </c>
      <c r="D3" s="66" t="s">
        <v>22</v>
      </c>
      <c r="E3" s="63"/>
      <c r="F3" s="66"/>
      <c r="G3" s="63"/>
      <c r="H3" s="59"/>
      <c r="I3" s="59" t="s">
        <v>28</v>
      </c>
      <c r="J3" s="64"/>
      <c r="K3" s="55" t="s">
        <v>10</v>
      </c>
      <c r="L3" s="70" t="str">
        <f>IF(AND(L$16&gt;=Caminocrítico!$D$18+1,L$16&lt;=Caminocrítico!$G$18),$I3,"")</f>
        <v>1A</v>
      </c>
      <c r="M3" s="70" t="str">
        <f>IF(AND(M$16&gt;=Caminocrítico!$D$18+1,M$16&lt;=Caminocrítico!$G$18),$I3,"")</f>
        <v/>
      </c>
      <c r="N3" s="70" t="str">
        <f>IF(AND(N$16&gt;=Caminocrítico!$D$18+1,N$16&lt;=Caminocrítico!$G$18),$I3,"")</f>
        <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f>Enunciado!C20</f>
        <v>5</v>
      </c>
      <c r="C4" s="83">
        <f>MOD(MID(Enunciado!$C$15,3,1),2)+1</f>
        <v>1</v>
      </c>
      <c r="D4" s="66" t="s">
        <v>22</v>
      </c>
      <c r="E4" s="63">
        <v>1</v>
      </c>
      <c r="F4" s="66" t="s">
        <v>24</v>
      </c>
      <c r="G4" s="63"/>
      <c r="H4" s="59"/>
      <c r="I4" s="59" t="s">
        <v>44</v>
      </c>
      <c r="J4" s="64"/>
      <c r="K4" s="55" t="s">
        <v>6</v>
      </c>
      <c r="L4" s="70" t="str">
        <f>IF(AND(L$16&gt;=Caminocrítico!$K$4+1,L$16&lt;=Caminocrítico!$N$4),$I4,"")</f>
        <v/>
      </c>
      <c r="M4" s="70" t="str">
        <f>IF(AND(M$16&gt;=Caminocrítico!$K$4+1,M$16&lt;=Caminocrítico!$N$4),$I4,"")</f>
        <v/>
      </c>
      <c r="N4" s="70" t="str">
        <f>IF(AND(N$16&gt;=Caminocrítico!$K$4+1,N$16&lt;=Caminocrítico!$N$4),$I4,"")</f>
        <v>1A1S</v>
      </c>
      <c r="O4" s="70" t="str">
        <f>IF(AND(O$16&gt;=Caminocrítico!$K$4+1,O$16&lt;=Caminocrítico!$N$4),$I4,"")</f>
        <v>1A1S</v>
      </c>
      <c r="P4" s="70" t="str">
        <f>IF(AND(P$16&gt;=Caminocrítico!$K$4+1,P$16&lt;=Caminocrítico!$N$4),$I4,"")</f>
        <v>1A1S</v>
      </c>
      <c r="Q4" s="70" t="str">
        <f>IF(AND(Q$16&gt;=Caminocrítico!$K$4+1,Q$16&lt;=Caminocrítico!$N$4),$I4,"")</f>
        <v>1A1S</v>
      </c>
      <c r="R4" s="70" t="str">
        <f>IF(AND(R$16&gt;=Caminocrítico!$K$4+1,R$16&lt;=Caminocrítico!$N$4),$I4,"")</f>
        <v>1A1S</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f>Enunciado!C21</f>
        <v>2</v>
      </c>
      <c r="C5" s="83">
        <f>MOD(MID(Enunciado!$C$15,4,1),2)+1</f>
        <v>2</v>
      </c>
      <c r="D5" s="66" t="s">
        <v>23</v>
      </c>
      <c r="E5" s="63">
        <v>1</v>
      </c>
      <c r="F5" s="66" t="s">
        <v>23</v>
      </c>
      <c r="G5" s="63"/>
      <c r="H5" s="59"/>
      <c r="I5" s="59" t="s">
        <v>45</v>
      </c>
      <c r="J5" s="64"/>
      <c r="K5" s="55" t="s">
        <v>11</v>
      </c>
      <c r="L5" s="70" t="str">
        <f>IF(AND(L$16&gt;=Caminocrítico!$K$10+1,L$16&lt;=Caminocrítico!$N$10),$I5,"")</f>
        <v/>
      </c>
      <c r="M5" s="70" t="str">
        <f>IF(AND(M$16&gt;=Caminocrítico!$K$10+1,M$16&lt;=Caminocrítico!$N$10),$I5,"")</f>
        <v/>
      </c>
      <c r="N5" s="70" t="str">
        <f>IF(AND(N$16&gt;=Caminocrítico!$K$10+1,N$16&lt;=Caminocrítico!$N$10),$I5,"")</f>
        <v>3P</v>
      </c>
      <c r="O5" s="70" t="str">
        <f>IF(AND(O$16&gt;=Caminocrítico!$K$10+1,O$16&lt;=Caminocrítico!$N$10),$I5,"")</f>
        <v>3P</v>
      </c>
      <c r="P5" s="70" t="str">
        <f>IF(AND(P$16&gt;=Caminocrítico!$K$10+1,P$16&lt;=Caminocrítico!$N$10),$I5,"")</f>
        <v/>
      </c>
      <c r="Q5" s="70" t="str">
        <f>IF(AND(Q$16&gt;=Caminocrítico!$K$10+1,Q$16&lt;=Caminocrítico!$N$10),$I5,"")</f>
        <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f>Enunciado!C22</f>
        <v>2</v>
      </c>
      <c r="C6" s="83">
        <f>MOD(MID(Enunciado!$C$15,5,1),2)+1</f>
        <v>2</v>
      </c>
      <c r="D6" s="66" t="s">
        <v>22</v>
      </c>
      <c r="E6" s="63">
        <v>1</v>
      </c>
      <c r="F6" s="66" t="s">
        <v>24</v>
      </c>
      <c r="G6" s="63"/>
      <c r="H6" s="59"/>
      <c r="I6" s="59" t="s">
        <v>46</v>
      </c>
      <c r="J6" s="64"/>
      <c r="K6" s="55" t="s">
        <v>3</v>
      </c>
      <c r="L6" s="70" t="str">
        <f>IF(AND(L$16&gt;=Caminocrítico!$Q$4+1,L$16&lt;=Caminocrítico!$T$4),$I6,"")</f>
        <v/>
      </c>
      <c r="M6" s="70" t="str">
        <f>IF(AND(M$16&gt;=Caminocrítico!$Q$4+1,M$16&lt;=Caminocrítico!$T$4),$I6,"")</f>
        <v/>
      </c>
      <c r="N6" s="70" t="str">
        <f>IF(AND(N$16&gt;=Caminocrítico!$Q$4+1,N$16&lt;=Caminocrítico!$T$4),$I6,"")</f>
        <v/>
      </c>
      <c r="O6" s="70" t="str">
        <f>IF(AND(O$16&gt;=Caminocrítico!$Q$4+1,O$16&lt;=Caminocrítico!$T$4),$I6,"")</f>
        <v/>
      </c>
      <c r="P6" s="70" t="str">
        <f>IF(AND(P$16&gt;=Caminocrítico!$Q$4+1,P$16&lt;=Caminocrítico!$T$4),$I6,"")</f>
        <v/>
      </c>
      <c r="Q6" s="70" t="str">
        <f>IF(AND(Q$16&gt;=Caminocrítico!$Q$4+1,Q$16&lt;=Caminocrítico!$T$4),$I6,"")</f>
        <v/>
      </c>
      <c r="R6" s="70" t="str">
        <f>IF(AND(R$16&gt;=Caminocrítico!$Q$4+1,R$16&lt;=Caminocrítico!$T$4),$I6,"")</f>
        <v/>
      </c>
      <c r="S6" s="70" t="str">
        <f>IF(AND(S$16&gt;=Caminocrítico!$Q$4+1,S$16&lt;=Caminocrítico!$T$4),$I6,"")</f>
        <v>2A1S</v>
      </c>
      <c r="T6" s="70" t="str">
        <f>IF(AND(T$16&gt;=Caminocrítico!$Q$4+1,T$16&lt;=Caminocrítico!$T$4),$I6,"")</f>
        <v>2A1S</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f>Enunciado!C23</f>
        <v>2</v>
      </c>
      <c r="C7" s="83">
        <f>MOD(MID(Enunciado!$C$15,6,1),2)+1</f>
        <v>2</v>
      </c>
      <c r="D7" s="66" t="s">
        <v>23</v>
      </c>
      <c r="E7" s="63">
        <v>1</v>
      </c>
      <c r="F7" s="66" t="s">
        <v>23</v>
      </c>
      <c r="G7" s="63"/>
      <c r="H7" s="59"/>
      <c r="I7" s="59" t="s">
        <v>45</v>
      </c>
      <c r="J7" s="64"/>
      <c r="K7" s="55" t="s">
        <v>1</v>
      </c>
      <c r="L7" s="70" t="str">
        <f>IF(AND(L$16&gt;=Caminocrítico!$Q$10+1,L$16&lt;=Caminocrítico!$T$10),$I7,"")</f>
        <v/>
      </c>
      <c r="M7" s="70" t="str">
        <f>IF(AND(M$16&gt;=Caminocrítico!$Q$10+1,M$16&lt;=Caminocrítico!$T$10),$I7,"")</f>
        <v/>
      </c>
      <c r="N7" s="70" t="str">
        <f>IF(AND(N$16&gt;=Caminocrítico!$Q$10+1,N$16&lt;=Caminocrítico!$T$10),$I7,"")</f>
        <v/>
      </c>
      <c r="O7" s="70" t="str">
        <f>IF(AND(O$16&gt;=Caminocrítico!$Q$10+1,O$16&lt;=Caminocrítico!$T$10),$I7,"")</f>
        <v/>
      </c>
      <c r="P7" s="70" t="str">
        <f>IF(AND(P$16&gt;=Caminocrítico!$Q$10+1,P$16&lt;=Caminocrítico!$T$10),$I7,"")</f>
        <v/>
      </c>
      <c r="Q7" s="70" t="str">
        <f>IF(AND(Q$16&gt;=Caminocrítico!$Q$10+1,Q$16&lt;=Caminocrítico!$T$10),$I7,"")</f>
        <v/>
      </c>
      <c r="R7" s="70" t="str">
        <f>IF(AND(R$16&gt;=Caminocrítico!$Q$10+1,R$16&lt;=Caminocrítico!$T$10),$I7,"")</f>
        <v/>
      </c>
      <c r="S7" s="70" t="str">
        <f>IF(AND(S$16&gt;=Caminocrítico!$Q$10+1,S$16&lt;=Caminocrítico!$T$10),$I7,"")</f>
        <v>3P</v>
      </c>
      <c r="T7" s="70" t="str">
        <f>IF(AND(T$16&gt;=Caminocrítico!$Q$10+1,T$16&lt;=Caminocrítico!$T$10),$I7,"")</f>
        <v>3P</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f>Enunciado!C24</f>
        <v>4</v>
      </c>
      <c r="C8" s="83">
        <f>MOD(MID(Enunciado!$C$15,7,1),2)+1</f>
        <v>2</v>
      </c>
      <c r="D8" s="66" t="s">
        <v>23</v>
      </c>
      <c r="E8" s="63"/>
      <c r="F8" s="66"/>
      <c r="G8" s="63"/>
      <c r="H8" s="59"/>
      <c r="I8" s="59" t="s">
        <v>47</v>
      </c>
      <c r="J8" s="64"/>
      <c r="K8" s="55" t="s">
        <v>12</v>
      </c>
      <c r="L8" s="70" t="str">
        <f>IF(AND(L$16&gt;=Caminocrítico!$L$16+1,L$16&lt;=Caminocrítico!$O$16),$I8,"")</f>
        <v/>
      </c>
      <c r="M8" s="70" t="str">
        <f>IF(AND(M$16&gt;=Caminocrítico!$L$16+1,M$16&lt;=Caminocrítico!$O$16),$I8,"")</f>
        <v>2P</v>
      </c>
      <c r="N8" s="70" t="str">
        <f>IF(AND(N$16&gt;=Caminocrítico!$L$16+1,N$16&lt;=Caminocrítico!$O$16),$I8,"")</f>
        <v>2P</v>
      </c>
      <c r="O8" s="70" t="str">
        <f>IF(AND(O$16&gt;=Caminocrítico!$L$16+1,O$16&lt;=Caminocrítico!$O$16),$I8,"")</f>
        <v>2P</v>
      </c>
      <c r="P8" s="70" t="str">
        <f>IF(AND(P$16&gt;=Caminocrítico!$L$16+1,P$16&lt;=Caminocrítico!$O$16),$I8,"")</f>
        <v>2P</v>
      </c>
      <c r="Q8" s="70" t="str">
        <f>IF(AND(Q$16&gt;=Caminocrítico!$L$16+1,Q$16&lt;=Caminocrítico!$O$16),$I8,"")</f>
        <v/>
      </c>
      <c r="R8" s="70" t="str">
        <f>IF(AND(R$16&gt;=Caminocrítico!$L$16+1,R$16&lt;=Caminocrítico!$O$16),$I8,"")</f>
        <v/>
      </c>
      <c r="S8" s="70" t="str">
        <f>IF(AND(S$16&gt;=Caminocrítico!$L$16+1,S$16&lt;=Caminocrítico!$O$16),$I8,"")</f>
        <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f>Enunciado!C25</f>
        <v>2</v>
      </c>
      <c r="C9" s="83">
        <f>MOD(MID(Enunciado!$C$15,8,1),2)+1</f>
        <v>2</v>
      </c>
      <c r="D9" s="66" t="s">
        <v>23</v>
      </c>
      <c r="E9" s="63">
        <v>1</v>
      </c>
      <c r="F9" s="66" t="s">
        <v>24</v>
      </c>
      <c r="G9" s="63"/>
      <c r="H9" s="59"/>
      <c r="I9" s="59" t="s">
        <v>48</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t="str">
        <f>IF(AND(Q$16&gt;=Caminocrítico!$W$4+1,Q$16&lt;=Caminocrítico!$Z$4),$I9,"")</f>
        <v/>
      </c>
      <c r="R9" s="70" t="str">
        <f>IF(AND(R$16&gt;=Caminocrítico!$W$4+1,R$16&lt;=Caminocrítico!$Z$4),$I9,"")</f>
        <v/>
      </c>
      <c r="S9" s="70" t="str">
        <f>IF(AND(S$16&gt;=Caminocrítico!$W$4+1,S$16&lt;=Caminocrítico!$Z$4),$I9,"")</f>
        <v/>
      </c>
      <c r="T9" s="70" t="str">
        <f>IF(AND(T$16&gt;=Caminocrítico!$W$4+1,T$16&lt;=Caminocrítico!$Z$4),$I9,"")</f>
        <v/>
      </c>
      <c r="U9" s="70" t="str">
        <f>IF(AND(U$16&gt;=Caminocrítico!$W$4+1,U$16&lt;=Caminocrítico!$Z$4),$I9,"")</f>
        <v>2P1S</v>
      </c>
      <c r="V9" s="70" t="str">
        <f>IF(AND(V$16&gt;=Caminocrítico!$W$4+1,V$16&lt;=Caminocrítico!$Z$4),$I9,"")</f>
        <v>2P1S</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f>Enunciado!C26</f>
        <v>2</v>
      </c>
      <c r="C10" s="83">
        <f>MOD(MID(Enunciado!$C$15,1,1),2)+1</f>
        <v>1</v>
      </c>
      <c r="D10" s="66" t="s">
        <v>22</v>
      </c>
      <c r="E10" s="63"/>
      <c r="F10" s="66"/>
      <c r="G10" s="63"/>
      <c r="H10" s="59"/>
      <c r="I10" s="59" t="s">
        <v>28</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t="str">
        <f>IF(AND(R$16&gt;=Caminocrítico!$R$16+1,R$16&lt;=Caminocrítico!$U$16),$I10,"")</f>
        <v/>
      </c>
      <c r="S10" s="70" t="str">
        <f>IF(AND(S$16&gt;=Caminocrítico!$R$16+1,S$16&lt;=Caminocrítico!$U$16),$I10,"")</f>
        <v/>
      </c>
      <c r="T10" s="70" t="str">
        <f>IF(AND(T$16&gt;=Caminocrítico!$R$16+1,T$16&lt;=Caminocrítico!$U$16),$I10,"")</f>
        <v/>
      </c>
      <c r="U10" s="70" t="str">
        <f>IF(AND(U$16&gt;=Caminocrítico!$R$16+1,U$16&lt;=Caminocrítico!$U$16),$I10,"")</f>
        <v>1A</v>
      </c>
      <c r="V10" s="70" t="str">
        <f>IF(AND(V$16&gt;=Caminocrítico!$R$16+1,V$16&lt;=Caminocrítico!$U$16),$I10,"")</f>
        <v>1A</v>
      </c>
      <c r="W10" s="70" t="str">
        <f>IF(AND(W$16&gt;=Caminocrítico!$R$16+1,W$16&lt;=Caminocrítico!$U$16),$I10,"")</f>
        <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t="s">
        <v>5</v>
      </c>
      <c r="B11" s="62">
        <f>Enunciado!C27</f>
        <v>4</v>
      </c>
      <c r="C11" s="83">
        <f>MOD(MID(Enunciado!$C$15,2,1),2)+1</f>
        <v>1</v>
      </c>
      <c r="D11" s="66" t="s">
        <v>23</v>
      </c>
      <c r="E11" s="63"/>
      <c r="F11" s="66"/>
      <c r="G11" s="63"/>
      <c r="H11" s="59"/>
      <c r="I11" s="59" t="s">
        <v>49</v>
      </c>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t="str">
        <f>IF(AND(U$16&gt;=Caminocrítico!$W$10+1,U$16&lt;=Caminocrítico!$Z$10),$I11,"")</f>
        <v/>
      </c>
      <c r="V11" s="70" t="str">
        <f>IF(AND(V$16&gt;=Caminocrítico!$W$10+1,V$16&lt;=Caminocrítico!$Z$10),$I11,"")</f>
        <v/>
      </c>
      <c r="W11" s="70" t="str">
        <f>IF(AND(W$16&gt;=Caminocrítico!$W$10+1,W$16&lt;=Caminocrítico!$Z$10),$I11,"")</f>
        <v>1P</v>
      </c>
      <c r="X11" s="70" t="str">
        <f>IF(AND(X$16&gt;=Caminocrítico!$W$10+1,X$16&lt;=Caminocrítico!$Z$10),$I11,"")</f>
        <v>1P</v>
      </c>
      <c r="Y11" s="70" t="str">
        <f>IF(AND(Y$16&gt;=Caminocrítico!$W$10+1,Y$16&lt;=Caminocrítico!$Z$10),$I11,"")</f>
        <v>1P</v>
      </c>
      <c r="Z11" s="70" t="str">
        <f>IF(AND(Z$16&gt;=Caminocrítico!$W$10+1,Z$16&lt;=Caminocrítico!$Z$10),$I11,"")</f>
        <v>1P</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t="s">
        <v>4</v>
      </c>
      <c r="B12" s="62">
        <f>Enunciado!C28</f>
        <v>1</v>
      </c>
      <c r="C12" s="83">
        <f>MOD(MID(Enunciado!$C$15,3,1),2)+1</f>
        <v>1</v>
      </c>
      <c r="D12" s="66" t="s">
        <v>23</v>
      </c>
      <c r="E12" s="63"/>
      <c r="F12" s="66"/>
      <c r="G12" s="63"/>
      <c r="H12" s="59"/>
      <c r="I12" s="59" t="s">
        <v>49</v>
      </c>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t="str">
        <f>IF(AND(W$16&gt;=Caminocrítico!$X$17+1,W$16&lt;=Caminocrítico!$AA$17),$I12,"")</f>
        <v/>
      </c>
      <c r="X12" s="70" t="str">
        <f>IF(AND(X$16&gt;=Caminocrítico!$X$17+1,X$16&lt;=Caminocrítico!$AA$17),$I12,"")</f>
        <v/>
      </c>
      <c r="Y12" s="70" t="str">
        <f>IF(AND(Y$16&gt;=Caminocrítico!$X$17+1,Y$16&lt;=Caminocrítico!$AA$17),$I12,"")</f>
        <v/>
      </c>
      <c r="Z12" s="70" t="str">
        <f>IF(AND(Z$16&gt;=Caminocrítico!$X$17+1,Z$16&lt;=Caminocrítico!$AA$17),$I12,"")</f>
        <v/>
      </c>
      <c r="AA12" s="70" t="str">
        <f>IF(AND(AA$16&gt;=Caminocrítico!$X$17+1,AA$16&lt;=Caminocrítico!$AA$17),$I12,"")</f>
        <v>1P</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t="s">
        <v>8</v>
      </c>
      <c r="B13" s="62">
        <f>Enunciado!C29</f>
        <v>3</v>
      </c>
      <c r="C13" s="83">
        <f>MOD(MID(Enunciado!$C$15,4,1),2)+1</f>
        <v>2</v>
      </c>
      <c r="D13" s="66" t="s">
        <v>23</v>
      </c>
      <c r="E13" s="63">
        <v>1</v>
      </c>
      <c r="F13" s="66" t="s">
        <v>24</v>
      </c>
      <c r="G13" s="63"/>
      <c r="H13" s="59"/>
      <c r="I13" s="59" t="s">
        <v>48</v>
      </c>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t="str">
        <f>IF(AND(W$16&gt;=Caminocrítico!$AC$12+1,W$16&lt;=Caminocrítico!$AF$12),$I13,"")</f>
        <v/>
      </c>
      <c r="X13" s="70" t="str">
        <f>IF(AND(X$16&gt;=Caminocrítico!$AC$12+1,X$16&lt;=Caminocrítico!$AF$12),$I13,"")</f>
        <v/>
      </c>
      <c r="Y13" s="70" t="str">
        <f>IF(AND(Y$16&gt;=Caminocrítico!$AC$12+1,Y$16&lt;=Caminocrítico!$AF$12),$I13,"")</f>
        <v/>
      </c>
      <c r="Z13" s="70" t="str">
        <f>IF(AND(Z$16&gt;=Caminocrítico!$AC$12+1,Z$16&lt;=Caminocrítico!$AF$12),$I13,"")</f>
        <v/>
      </c>
      <c r="AA13" s="70" t="str">
        <f>IF(AND(AA$16&gt;=Caminocrítico!$AC$12+1,AA$16&lt;=Caminocrítico!$AF$12),$I13,"")</f>
        <v>2P1S</v>
      </c>
      <c r="AB13" s="70" t="str">
        <f>IF(AND(AB$16&gt;=Caminocrítico!$AC$12+1,AB$16&lt;=Caminocrítico!$AF$12),$I13,"")</f>
        <v>2P1S</v>
      </c>
      <c r="AC13" s="70" t="str">
        <f>IF(AND(AC$16&gt;=Caminocrítico!$AC$12+1,AC$16&lt;=Caminocrítico!$AF$12),$I13,"")</f>
        <v>2P1S</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t="s">
        <v>14</v>
      </c>
      <c r="B14" s="62">
        <f>Enunciado!C30</f>
        <v>2</v>
      </c>
      <c r="C14" s="83">
        <f>MOD(MID(Enunciado!$C$15,5,1),2)+1</f>
        <v>2</v>
      </c>
      <c r="D14" s="66" t="s">
        <v>23</v>
      </c>
      <c r="E14" s="63"/>
      <c r="F14" s="66"/>
      <c r="G14" s="63"/>
      <c r="H14" s="59"/>
      <c r="I14" s="59" t="s">
        <v>47</v>
      </c>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t="str">
        <f>IF(AND(X$16&gt;=Caminocrítico!$X$23+1,X$16&lt;=Caminocrítico!$AA$23),$I14,"")</f>
        <v/>
      </c>
      <c r="Y14" s="70" t="str">
        <f>IF(AND(Y$16&gt;=Caminocrítico!$X$23+1,Y$16&lt;=Caminocrítico!$AA$23),$I14,"")</f>
        <v/>
      </c>
      <c r="Z14" s="70" t="str">
        <f>IF(AND(Z$16&gt;=Caminocrítico!$X$23+1,Z$16&lt;=Caminocrítico!$AA$23),$I14,"")</f>
        <v/>
      </c>
      <c r="AA14" s="70" t="str">
        <f>IF(AND(AA$16&gt;=Caminocrítico!$X$23+1,AA$16&lt;=Caminocrítico!$AA$23),$I14,"")</f>
        <v/>
      </c>
      <c r="AB14" s="70" t="str">
        <f>IF(AND(AB$16&gt;=Caminocrítico!$X$23+1,AB$16&lt;=Caminocrítico!$AA$23),$I14,"")</f>
        <v>2P</v>
      </c>
      <c r="AC14" s="70" t="str">
        <f>IF(AND(AC$16&gt;=Caminocrítico!$X$23+1,AC$16&lt;=Caminocrítico!$AA$23),$I14,"")</f>
        <v>2P</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t="s">
        <v>15</v>
      </c>
      <c r="B15" s="62">
        <f>Enunciado!C31</f>
        <v>3</v>
      </c>
      <c r="C15" s="84">
        <f>MOD(MID(Enunciado!$C$15,6,1),2)+1</f>
        <v>2</v>
      </c>
      <c r="D15" s="66" t="s">
        <v>22</v>
      </c>
      <c r="E15" s="63">
        <v>1</v>
      </c>
      <c r="F15" s="66" t="s">
        <v>23</v>
      </c>
      <c r="G15" s="63"/>
      <c r="H15" s="59"/>
      <c r="I15" s="59" t="s">
        <v>50</v>
      </c>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t="str">
        <f>IF(AND(Z$16&gt;=Caminocrítico!$AC$20+1,Z$16&lt;=Caminocrítico!$AF$20),$I15,"")</f>
        <v/>
      </c>
      <c r="AA15" s="70" t="str">
        <f>IF(AND(AA$16&gt;=Caminocrítico!$AC$20+1,AA$16&lt;=Caminocrítico!$AF$20),$I15,"")</f>
        <v/>
      </c>
      <c r="AB15" s="70" t="str">
        <f>IF(AND(AB$16&gt;=Caminocrítico!$AC$20+1,AB$16&lt;=Caminocrítico!$AF$20),$I15,"")</f>
        <v/>
      </c>
      <c r="AC15" s="70" t="str">
        <f>IF(AND(AC$16&gt;=Caminocrítico!$AC$20+1,AC$16&lt;=Caminocrítico!$AF$20),$I15,"")</f>
        <v/>
      </c>
      <c r="AD15" s="70" t="str">
        <f>IF(AND(AD$16&gt;=Caminocrítico!$AC$20+1,AD$16&lt;=Caminocrítico!$AF$20),$I15,"")</f>
        <v>2A1P</v>
      </c>
      <c r="AE15" s="70" t="str">
        <f>IF(AND(AE$16&gt;=Caminocrítico!$AC$20+1,AE$16&lt;=Caminocrítico!$AF$20),$I15,"")</f>
        <v>2A1P</v>
      </c>
      <c r="AF15" s="70" t="str">
        <f>IF(AND(AF$16&gt;=Caminocrítico!$AC$20+1,AF$16&lt;=Caminocrítico!$AF$20),$I15,"")</f>
        <v>2A1P</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2:40" ht="24.9" customHeight="1">
      <c r="H17" s="76" t="s">
        <v>34</v>
      </c>
    </row>
    <row r="18" spans="2:40" ht="24.9" customHeight="1">
      <c r="H18" s="77" t="s">
        <v>36</v>
      </c>
      <c r="I18" s="78"/>
      <c r="J18" s="79"/>
      <c r="K18" s="85">
        <v>300</v>
      </c>
      <c r="L18" s="75">
        <v>2</v>
      </c>
      <c r="M18" s="75">
        <v>1</v>
      </c>
      <c r="N18" s="75">
        <v>1</v>
      </c>
      <c r="O18" s="75">
        <v>1</v>
      </c>
      <c r="P18" s="75">
        <v>1</v>
      </c>
      <c r="Q18" s="75">
        <v>1</v>
      </c>
      <c r="R18" s="75">
        <v>1</v>
      </c>
      <c r="S18" s="75">
        <v>2</v>
      </c>
      <c r="T18" s="75">
        <v>2</v>
      </c>
      <c r="U18" s="75">
        <v>1</v>
      </c>
      <c r="V18" s="75">
        <v>1</v>
      </c>
      <c r="W18" s="75">
        <v>0</v>
      </c>
      <c r="X18" s="75">
        <v>0</v>
      </c>
      <c r="Y18" s="75">
        <v>0</v>
      </c>
      <c r="Z18" s="75">
        <v>0</v>
      </c>
      <c r="AA18" s="75">
        <v>0</v>
      </c>
      <c r="AB18" s="75">
        <v>0</v>
      </c>
      <c r="AC18" s="75">
        <v>0</v>
      </c>
      <c r="AD18" s="75">
        <v>2</v>
      </c>
      <c r="AE18" s="75">
        <v>2</v>
      </c>
      <c r="AF18" s="75">
        <v>2</v>
      </c>
      <c r="AG18" s="75"/>
      <c r="AH18" s="75"/>
      <c r="AI18" s="75"/>
      <c r="AJ18" s="75"/>
      <c r="AK18" s="75"/>
      <c r="AL18" s="75"/>
      <c r="AM18" s="75"/>
      <c r="AN18" s="75"/>
    </row>
    <row r="19" spans="2:40" ht="24.9" customHeight="1">
      <c r="H19" s="77" t="s">
        <v>37</v>
      </c>
      <c r="I19" s="81"/>
      <c r="J19" s="78"/>
      <c r="K19" s="85">
        <v>200</v>
      </c>
      <c r="L19" s="75">
        <v>0</v>
      </c>
      <c r="M19" s="75">
        <v>2</v>
      </c>
      <c r="N19" s="75">
        <v>5</v>
      </c>
      <c r="O19" s="75">
        <v>5</v>
      </c>
      <c r="P19" s="75">
        <v>2</v>
      </c>
      <c r="Q19" s="75">
        <v>0</v>
      </c>
      <c r="R19" s="75">
        <v>0</v>
      </c>
      <c r="S19" s="75">
        <v>3</v>
      </c>
      <c r="T19" s="75">
        <v>3</v>
      </c>
      <c r="U19" s="75">
        <v>2</v>
      </c>
      <c r="V19" s="75">
        <v>2</v>
      </c>
      <c r="W19" s="75">
        <v>1</v>
      </c>
      <c r="X19" s="75">
        <v>1</v>
      </c>
      <c r="Y19" s="75">
        <v>1</v>
      </c>
      <c r="Z19" s="75">
        <v>1</v>
      </c>
      <c r="AA19" s="75">
        <v>3</v>
      </c>
      <c r="AB19" s="75">
        <v>4</v>
      </c>
      <c r="AC19" s="75">
        <v>4</v>
      </c>
      <c r="AD19" s="75">
        <v>1</v>
      </c>
      <c r="AE19" s="75">
        <v>1</v>
      </c>
      <c r="AF19" s="75">
        <v>1</v>
      </c>
      <c r="AG19" s="75"/>
      <c r="AH19" s="75"/>
      <c r="AI19" s="75"/>
      <c r="AJ19" s="75"/>
      <c r="AK19" s="75"/>
      <c r="AL19" s="75"/>
      <c r="AM19" s="75"/>
      <c r="AN19" s="75"/>
    </row>
    <row r="20" spans="2:40" ht="24.9" customHeight="1">
      <c r="H20" s="77" t="s">
        <v>38</v>
      </c>
      <c r="I20" s="78"/>
      <c r="J20" s="79"/>
      <c r="K20" s="85">
        <v>100</v>
      </c>
      <c r="L20" s="75">
        <v>0</v>
      </c>
      <c r="M20" s="75">
        <v>0</v>
      </c>
      <c r="N20" s="75">
        <v>1</v>
      </c>
      <c r="O20" s="75">
        <v>1</v>
      </c>
      <c r="P20" s="75">
        <v>1</v>
      </c>
      <c r="Q20" s="75">
        <v>1</v>
      </c>
      <c r="R20" s="75">
        <v>1</v>
      </c>
      <c r="S20" s="75">
        <v>1</v>
      </c>
      <c r="T20" s="75">
        <v>1</v>
      </c>
      <c r="U20" s="75">
        <v>1</v>
      </c>
      <c r="V20" s="75">
        <v>1</v>
      </c>
      <c r="W20" s="75">
        <v>0</v>
      </c>
      <c r="X20" s="75">
        <v>0</v>
      </c>
      <c r="Y20" s="75">
        <v>0</v>
      </c>
      <c r="Z20" s="75">
        <v>0</v>
      </c>
      <c r="AA20" s="75">
        <v>1</v>
      </c>
      <c r="AB20" s="75">
        <v>1</v>
      </c>
      <c r="AC20" s="75">
        <v>1</v>
      </c>
      <c r="AD20" s="75">
        <v>0</v>
      </c>
      <c r="AE20" s="75">
        <v>0</v>
      </c>
      <c r="AF20" s="75">
        <v>0</v>
      </c>
      <c r="AG20" s="75"/>
      <c r="AH20" s="75"/>
      <c r="AI20" s="75"/>
      <c r="AJ20" s="75"/>
      <c r="AK20" s="75"/>
      <c r="AL20" s="75"/>
      <c r="AM20" s="75"/>
      <c r="AN20" s="75"/>
    </row>
    <row r="21" spans="2:40" ht="24.9" customHeight="1">
      <c r="H21" s="76" t="s">
        <v>35</v>
      </c>
    </row>
    <row r="22" spans="2:40" ht="24.9" customHeight="1">
      <c r="H22" s="82" t="s">
        <v>29</v>
      </c>
      <c r="I22" s="79"/>
      <c r="J22" s="79"/>
      <c r="K22" s="80"/>
      <c r="L22" s="75">
        <f>L18*CA+L19*CP+L20*CS</f>
        <v>600</v>
      </c>
      <c r="M22" s="75">
        <f>M18*CA+M19*CP+M20*CS</f>
        <v>700</v>
      </c>
      <c r="N22" s="75">
        <f>N18*CA+N19*CP+N20*CS</f>
        <v>1400</v>
      </c>
      <c r="O22" s="75">
        <f>O18*CA+O19*CP+O20*CS</f>
        <v>1400</v>
      </c>
      <c r="P22" s="75">
        <f>P18*CA+P19*CP+P20*CS</f>
        <v>800</v>
      </c>
      <c r="Q22" s="75">
        <f>Q18*CA+Q19*CP+Q20*CS</f>
        <v>400</v>
      </c>
      <c r="R22" s="75">
        <f>R18*CA+R19*CP+R20*CS</f>
        <v>400</v>
      </c>
      <c r="S22" s="75">
        <f>S18*CA+S19*CP+S20*CS</f>
        <v>1300</v>
      </c>
      <c r="T22" s="75">
        <f>T18*CA+T19*CP+T20*CS</f>
        <v>1300</v>
      </c>
      <c r="U22" s="75">
        <f>U18*CA+U19*CP+U20*CS</f>
        <v>800</v>
      </c>
      <c r="V22" s="75">
        <f>V18*CA+V19*CP+V20*CS</f>
        <v>800</v>
      </c>
      <c r="W22" s="75">
        <f>W18*CA+W19*CP+W20*CS</f>
        <v>200</v>
      </c>
      <c r="X22" s="75">
        <f>X18*CA+X19*CP+X20*CS</f>
        <v>200</v>
      </c>
      <c r="Y22" s="75">
        <f>Y18*CA+Y19*CP+Y20*CS</f>
        <v>200</v>
      </c>
      <c r="Z22" s="75">
        <f>Z18*CA+Z19*CP+Z20*CS</f>
        <v>200</v>
      </c>
      <c r="AA22" s="75">
        <f>AA18*CA+AA19*CP+AA20*CS</f>
        <v>700</v>
      </c>
      <c r="AB22" s="75">
        <f>AB18*CA+AB19*CP+AB20*CS</f>
        <v>900</v>
      </c>
      <c r="AC22" s="75">
        <f>AC18*CA+AC19*CP+AC20*CS</f>
        <v>900</v>
      </c>
      <c r="AD22" s="75">
        <f>AD18*CA+AD19*CP+AD20*CS</f>
        <v>800</v>
      </c>
      <c r="AE22" s="75">
        <f>AE18*CA+AE19*CP+AE20*CS</f>
        <v>800</v>
      </c>
      <c r="AF22" s="75">
        <f>AF18*CA+AF19*CP+AF20*CS</f>
        <v>800</v>
      </c>
      <c r="AG22" s="75"/>
      <c r="AH22" s="75"/>
      <c r="AI22" s="75"/>
      <c r="AJ22" s="75"/>
      <c r="AK22" s="75"/>
      <c r="AL22" s="75"/>
      <c r="AM22" s="75"/>
      <c r="AN22" s="75"/>
    </row>
    <row r="23" spans="2:40" ht="24.9" customHeight="1">
      <c r="H23" s="82" t="s">
        <v>30</v>
      </c>
      <c r="I23" s="79"/>
      <c r="J23" s="79"/>
      <c r="K23" s="80"/>
      <c r="L23" s="75">
        <v>600</v>
      </c>
      <c r="M23" s="75">
        <f>SUM(L23,M22)</f>
        <v>1300</v>
      </c>
      <c r="N23" s="75">
        <f t="shared" ref="N23:AF23" si="0">SUM(M23,N22)</f>
        <v>2700</v>
      </c>
      <c r="O23" s="75">
        <f t="shared" si="0"/>
        <v>4100</v>
      </c>
      <c r="P23" s="75">
        <f t="shared" si="0"/>
        <v>4900</v>
      </c>
      <c r="Q23" s="75">
        <f t="shared" si="0"/>
        <v>5300</v>
      </c>
      <c r="R23" s="75">
        <f t="shared" si="0"/>
        <v>5700</v>
      </c>
      <c r="S23" s="75">
        <f t="shared" si="0"/>
        <v>7000</v>
      </c>
      <c r="T23" s="75">
        <f t="shared" si="0"/>
        <v>8300</v>
      </c>
      <c r="U23" s="75">
        <f t="shared" si="0"/>
        <v>9100</v>
      </c>
      <c r="V23" s="75">
        <f t="shared" si="0"/>
        <v>9900</v>
      </c>
      <c r="W23" s="75">
        <f t="shared" si="0"/>
        <v>10100</v>
      </c>
      <c r="X23" s="75">
        <f t="shared" si="0"/>
        <v>10300</v>
      </c>
      <c r="Y23" s="75">
        <f t="shared" si="0"/>
        <v>10500</v>
      </c>
      <c r="Z23" s="75">
        <f t="shared" si="0"/>
        <v>10700</v>
      </c>
      <c r="AA23" s="75">
        <f t="shared" si="0"/>
        <v>11400</v>
      </c>
      <c r="AB23" s="75">
        <f t="shared" si="0"/>
        <v>12300</v>
      </c>
      <c r="AC23" s="75">
        <f t="shared" si="0"/>
        <v>13200</v>
      </c>
      <c r="AD23" s="75">
        <f t="shared" si="0"/>
        <v>14000</v>
      </c>
      <c r="AE23" s="75">
        <f t="shared" si="0"/>
        <v>14800</v>
      </c>
      <c r="AF23" s="75">
        <f t="shared" si="0"/>
        <v>15600</v>
      </c>
      <c r="AG23" s="75"/>
      <c r="AH23" s="75"/>
      <c r="AI23" s="75"/>
      <c r="AJ23" s="75"/>
      <c r="AK23" s="75"/>
      <c r="AL23" s="75"/>
      <c r="AM23" s="75"/>
      <c r="AN23" s="75"/>
    </row>
    <row r="24" spans="2:40" ht="24.9" customHeight="1">
      <c r="H24" s="82" t="s">
        <v>31</v>
      </c>
      <c r="I24" s="79"/>
      <c r="J24" s="79"/>
      <c r="K24" s="80"/>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0</v>
      </c>
      <c r="AF24" s="75">
        <v>17550</v>
      </c>
      <c r="AG24" s="75"/>
      <c r="AH24" s="75"/>
      <c r="AI24" s="75"/>
      <c r="AJ24" s="75"/>
      <c r="AK24" s="75"/>
      <c r="AL24" s="75"/>
      <c r="AM24" s="75"/>
      <c r="AN24" s="75"/>
    </row>
    <row r="25" spans="2:40" ht="24.9" customHeight="1">
      <c r="H25" s="82" t="s">
        <v>32</v>
      </c>
      <c r="I25" s="79"/>
      <c r="J25" s="79"/>
      <c r="K25" s="80"/>
      <c r="L25" s="75">
        <f>L24-L22</f>
        <v>-600</v>
      </c>
      <c r="M25" s="75">
        <f t="shared" ref="M25:AF25" si="1">M24-M22</f>
        <v>-700</v>
      </c>
      <c r="N25" s="75">
        <f t="shared" si="1"/>
        <v>-1400</v>
      </c>
      <c r="O25" s="75">
        <f t="shared" si="1"/>
        <v>-1400</v>
      </c>
      <c r="P25" s="75">
        <f t="shared" si="1"/>
        <v>-800</v>
      </c>
      <c r="Q25" s="75">
        <f t="shared" si="1"/>
        <v>-400</v>
      </c>
      <c r="R25" s="75">
        <f t="shared" si="1"/>
        <v>-400</v>
      </c>
      <c r="S25" s="75">
        <f t="shared" si="1"/>
        <v>-1300</v>
      </c>
      <c r="T25" s="75">
        <f t="shared" si="1"/>
        <v>-1300</v>
      </c>
      <c r="U25" s="75">
        <f t="shared" si="1"/>
        <v>-800</v>
      </c>
      <c r="V25" s="75">
        <f t="shared" si="1"/>
        <v>-800</v>
      </c>
      <c r="W25" s="75">
        <f t="shared" si="1"/>
        <v>-200</v>
      </c>
      <c r="X25" s="75">
        <f t="shared" si="1"/>
        <v>-200</v>
      </c>
      <c r="Y25" s="75">
        <f t="shared" si="1"/>
        <v>-200</v>
      </c>
      <c r="Z25" s="75">
        <f t="shared" si="1"/>
        <v>-200</v>
      </c>
      <c r="AA25" s="75">
        <f t="shared" si="1"/>
        <v>-700</v>
      </c>
      <c r="AB25" s="75">
        <f t="shared" si="1"/>
        <v>-900</v>
      </c>
      <c r="AC25" s="75">
        <f t="shared" si="1"/>
        <v>-900</v>
      </c>
      <c r="AD25" s="75">
        <f t="shared" si="1"/>
        <v>-800</v>
      </c>
      <c r="AE25" s="75">
        <f t="shared" si="1"/>
        <v>-800</v>
      </c>
      <c r="AF25" s="75">
        <f t="shared" si="1"/>
        <v>16750</v>
      </c>
      <c r="AG25" s="75"/>
      <c r="AH25" s="75"/>
      <c r="AI25" s="75"/>
      <c r="AJ25" s="75"/>
      <c r="AK25" s="75"/>
      <c r="AL25" s="75"/>
      <c r="AM25" s="75"/>
      <c r="AN25" s="75"/>
    </row>
    <row r="26" spans="2:40" ht="24.9" customHeight="1">
      <c r="H26" s="82" t="s">
        <v>33</v>
      </c>
      <c r="I26" s="79"/>
      <c r="J26" s="79"/>
      <c r="K26" s="80"/>
      <c r="L26" s="75">
        <v>-600</v>
      </c>
      <c r="M26" s="75">
        <f>SUM(L26,M25)</f>
        <v>-1300</v>
      </c>
      <c r="N26" s="75">
        <f t="shared" ref="N26:AF26" si="2">SUM(M26,N25)</f>
        <v>-2700</v>
      </c>
      <c r="O26" s="75">
        <f t="shared" si="2"/>
        <v>-4100</v>
      </c>
      <c r="P26" s="75">
        <f t="shared" si="2"/>
        <v>-4900</v>
      </c>
      <c r="Q26" s="75">
        <f t="shared" si="2"/>
        <v>-5300</v>
      </c>
      <c r="R26" s="75">
        <f t="shared" si="2"/>
        <v>-5700</v>
      </c>
      <c r="S26" s="75">
        <f t="shared" si="2"/>
        <v>-7000</v>
      </c>
      <c r="T26" s="75">
        <f t="shared" si="2"/>
        <v>-8300</v>
      </c>
      <c r="U26" s="75">
        <f t="shared" si="2"/>
        <v>-9100</v>
      </c>
      <c r="V26" s="75">
        <f t="shared" si="2"/>
        <v>-9900</v>
      </c>
      <c r="W26" s="75">
        <f t="shared" si="2"/>
        <v>-10100</v>
      </c>
      <c r="X26" s="75">
        <f t="shared" si="2"/>
        <v>-10300</v>
      </c>
      <c r="Y26" s="75">
        <f t="shared" si="2"/>
        <v>-10500</v>
      </c>
      <c r="Z26" s="75">
        <f t="shared" si="2"/>
        <v>-10700</v>
      </c>
      <c r="AA26" s="75">
        <f t="shared" si="2"/>
        <v>-11400</v>
      </c>
      <c r="AB26" s="75">
        <f t="shared" si="2"/>
        <v>-12300</v>
      </c>
      <c r="AC26" s="75">
        <f t="shared" si="2"/>
        <v>-13200</v>
      </c>
      <c r="AD26" s="75">
        <f t="shared" si="2"/>
        <v>-14000</v>
      </c>
      <c r="AE26" s="75">
        <f t="shared" si="2"/>
        <v>-14800</v>
      </c>
      <c r="AF26" s="75">
        <f t="shared" si="2"/>
        <v>1950</v>
      </c>
      <c r="AG26" s="75"/>
      <c r="AH26" s="75"/>
      <c r="AI26" s="75"/>
      <c r="AJ26" s="75"/>
      <c r="AK26" s="75"/>
      <c r="AL26" s="75"/>
      <c r="AM26" s="75"/>
      <c r="AN26" s="75"/>
    </row>
    <row r="29" spans="2:40" ht="24.9" customHeight="1">
      <c r="B29" s="43"/>
      <c r="C29" s="42"/>
      <c r="D29" s="42"/>
      <c r="E29" s="42"/>
      <c r="F29" s="43"/>
      <c r="G29" s="43"/>
      <c r="H29" s="42"/>
      <c r="I29" s="42"/>
      <c r="J29" s="42"/>
    </row>
    <row r="30" spans="2:40" ht="24.9" customHeight="1">
      <c r="B30" s="43"/>
      <c r="C30" s="42"/>
      <c r="D30" s="42"/>
      <c r="E30" s="42"/>
      <c r="F30" s="43"/>
      <c r="G30" s="43"/>
      <c r="H30" s="42"/>
      <c r="I30" s="42"/>
      <c r="J30" s="42"/>
    </row>
    <row r="31" spans="2:40" ht="24.9" customHeight="1">
      <c r="B31" s="43"/>
      <c r="C31" s="42"/>
      <c r="D31" s="42"/>
      <c r="E31" s="42"/>
      <c r="F31" s="42"/>
      <c r="G31" s="42"/>
      <c r="H31" s="42"/>
      <c r="I31" s="43"/>
      <c r="J31" s="43"/>
    </row>
    <row r="32" spans="2:40" ht="24.9" customHeight="1">
      <c r="B32" s="43"/>
      <c r="C32" s="42"/>
      <c r="D32" s="42"/>
      <c r="E32" s="42"/>
      <c r="F32" s="42"/>
      <c r="G32" s="42"/>
      <c r="H32" s="42"/>
      <c r="I32" s="43"/>
      <c r="J32" s="43"/>
    </row>
  </sheetData>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Enunciado!C15</f>
        <v>46075555</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99" t="s">
        <v>6</v>
      </c>
      <c r="L3" s="100"/>
      <c r="M3" s="101">
        <f>B6</f>
        <v>5</v>
      </c>
      <c r="N3" s="102"/>
      <c r="O3" s="1"/>
      <c r="P3" s="1"/>
      <c r="Q3" s="28" t="s">
        <v>3</v>
      </c>
      <c r="R3" s="29"/>
      <c r="S3" s="30">
        <f>B8</f>
        <v>2</v>
      </c>
      <c r="T3" s="31"/>
      <c r="U3" s="1"/>
      <c r="V3" s="1"/>
      <c r="W3" s="95" t="s">
        <v>2</v>
      </c>
      <c r="X3" s="96"/>
      <c r="Y3" s="97">
        <f>B11</f>
        <v>2</v>
      </c>
      <c r="Z3" s="98"/>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7</v>
      </c>
      <c r="O4" s="1"/>
      <c r="P4" s="1"/>
      <c r="Q4" s="25">
        <f>N4</f>
        <v>7</v>
      </c>
      <c r="R4" s="20"/>
      <c r="S4" s="12"/>
      <c r="T4" s="26">
        <f>Q4+S3</f>
        <v>9</v>
      </c>
      <c r="U4" s="1"/>
      <c r="V4" s="1"/>
      <c r="W4" s="25">
        <f>T4</f>
        <v>9</v>
      </c>
      <c r="X4" s="20"/>
      <c r="Y4" s="12"/>
      <c r="Z4" s="26">
        <f>W4+Y3</f>
        <v>11</v>
      </c>
      <c r="AA4" s="1"/>
      <c r="AB4" s="1"/>
      <c r="AC4" s="1"/>
      <c r="AD4" s="1"/>
      <c r="AE4" s="1"/>
      <c r="AF4" s="1"/>
    </row>
    <row r="5" spans="1:32" ht="13.95" customHeight="1" thickTop="1" thickBot="1">
      <c r="A5" s="18" t="s">
        <v>10</v>
      </c>
      <c r="B5" s="6">
        <f>INT((5-MID(B1,2,1))/4)+2</f>
        <v>1</v>
      </c>
      <c r="C5" s="1"/>
      <c r="D5" s="1"/>
      <c r="E5" s="95" t="s">
        <v>0</v>
      </c>
      <c r="F5" s="96"/>
      <c r="G5" s="97">
        <f>B4</f>
        <v>2</v>
      </c>
      <c r="H5" s="98"/>
      <c r="I5" s="9"/>
      <c r="J5" s="1"/>
      <c r="K5" s="23">
        <f>N5-M3</f>
        <v>2</v>
      </c>
      <c r="L5" s="3"/>
      <c r="M5" s="2"/>
      <c r="N5" s="13">
        <f>MIN(Q5,Q11)</f>
        <v>7</v>
      </c>
      <c r="O5" s="1"/>
      <c r="P5" s="1"/>
      <c r="Q5" s="23">
        <f>T5-S3</f>
        <v>7</v>
      </c>
      <c r="R5" s="3"/>
      <c r="S5" s="2"/>
      <c r="T5" s="26">
        <f>W5</f>
        <v>9</v>
      </c>
      <c r="U5" s="1"/>
      <c r="V5" s="1"/>
      <c r="W5" s="23">
        <f>Z5-Y3</f>
        <v>9</v>
      </c>
      <c r="X5" s="3"/>
      <c r="Y5" s="2"/>
      <c r="Z5" s="26">
        <f>W11</f>
        <v>11</v>
      </c>
      <c r="AA5" s="1"/>
      <c r="AB5" s="1"/>
      <c r="AC5" s="1"/>
      <c r="AD5" s="1"/>
      <c r="AE5" s="1"/>
      <c r="AF5" s="1"/>
    </row>
    <row r="6" spans="1:32" ht="13.95" customHeight="1" thickBot="1">
      <c r="A6" s="18" t="s">
        <v>6</v>
      </c>
      <c r="B6" s="6">
        <f>INT((5-MID(B1,3,1))/2)+3</f>
        <v>5</v>
      </c>
      <c r="C6" s="1"/>
      <c r="D6" s="1"/>
      <c r="E6" s="25">
        <v>0</v>
      </c>
      <c r="F6" s="20"/>
      <c r="G6" s="12"/>
      <c r="H6" s="26">
        <f>E6+G5</f>
        <v>2</v>
      </c>
      <c r="I6" s="1"/>
      <c r="J6" s="1"/>
      <c r="K6" s="91">
        <f>N5-K4</f>
        <v>5</v>
      </c>
      <c r="L6" s="92"/>
      <c r="M6" s="93">
        <f>K6-M3</f>
        <v>0</v>
      </c>
      <c r="N6" s="94"/>
      <c r="O6" s="9"/>
      <c r="P6" s="20"/>
      <c r="Q6" s="91">
        <f>T5-Q4</f>
        <v>2</v>
      </c>
      <c r="R6" s="92"/>
      <c r="S6" s="93">
        <f>Q6-S3</f>
        <v>0</v>
      </c>
      <c r="T6" s="94"/>
      <c r="U6" s="9"/>
      <c r="V6" s="1"/>
      <c r="W6" s="91">
        <f>Z5-W4</f>
        <v>2</v>
      </c>
      <c r="X6" s="92"/>
      <c r="Y6" s="93">
        <f>W6-Y3</f>
        <v>0</v>
      </c>
      <c r="Z6" s="94"/>
      <c r="AA6" s="1"/>
      <c r="AB6" s="1"/>
      <c r="AC6" s="1"/>
      <c r="AD6" s="1"/>
      <c r="AE6" s="1"/>
      <c r="AF6" s="1"/>
    </row>
    <row r="7" spans="1:32" ht="13.95" customHeight="1" thickBot="1">
      <c r="A7" s="18" t="s">
        <v>11</v>
      </c>
      <c r="B7" s="6">
        <f>INT((5-MID(B1,4,1))/2)+3</f>
        <v>2</v>
      </c>
      <c r="C7" s="1"/>
      <c r="D7" s="1"/>
      <c r="E7" s="23">
        <f>H7-G5</f>
        <v>0</v>
      </c>
      <c r="F7" s="3"/>
      <c r="G7" s="2"/>
      <c r="H7" s="26">
        <f>MIN(K11,K5)</f>
        <v>2</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91">
        <f>H7-E6</f>
        <v>2</v>
      </c>
      <c r="F8" s="92"/>
      <c r="G8" s="93">
        <f>E8-G5</f>
        <v>0</v>
      </c>
      <c r="H8" s="94"/>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2</v>
      </c>
      <c r="C9" s="1"/>
      <c r="D9" s="1"/>
      <c r="E9" s="9"/>
      <c r="F9" s="9"/>
      <c r="G9" s="1"/>
      <c r="H9" s="1"/>
      <c r="I9" s="1"/>
      <c r="J9" s="20"/>
      <c r="K9" s="95" t="s">
        <v>11</v>
      </c>
      <c r="L9" s="96"/>
      <c r="M9" s="97">
        <f>B7</f>
        <v>2</v>
      </c>
      <c r="N9" s="98"/>
      <c r="O9" s="9"/>
      <c r="P9" s="1"/>
      <c r="Q9" s="28" t="s">
        <v>1</v>
      </c>
      <c r="R9" s="29"/>
      <c r="S9" s="32">
        <f>B9</f>
        <v>2</v>
      </c>
      <c r="T9" s="33"/>
      <c r="U9" s="1"/>
      <c r="V9" s="8"/>
      <c r="W9" s="95" t="s">
        <v>5</v>
      </c>
      <c r="X9" s="96"/>
      <c r="Y9" s="103">
        <f>B13</f>
        <v>4</v>
      </c>
      <c r="Z9" s="104"/>
      <c r="AA9" s="1"/>
      <c r="AB9" s="1"/>
      <c r="AC9" s="1"/>
      <c r="AD9" s="1"/>
      <c r="AE9" s="1"/>
      <c r="AF9" s="1"/>
    </row>
    <row r="10" spans="1:32" ht="13.95" customHeight="1" thickBot="1">
      <c r="A10" s="18" t="s">
        <v>12</v>
      </c>
      <c r="B10" s="6">
        <f>INT(MID(B1,7,1)/2)+2</f>
        <v>4</v>
      </c>
      <c r="H10" s="1"/>
      <c r="I10" s="1"/>
      <c r="J10" s="1"/>
      <c r="K10" s="25">
        <f>H6</f>
        <v>2</v>
      </c>
      <c r="L10" s="20"/>
      <c r="M10" s="12"/>
      <c r="N10" s="26">
        <f>K10+M9</f>
        <v>4</v>
      </c>
      <c r="O10" s="1"/>
      <c r="P10" s="1"/>
      <c r="Q10" s="25">
        <f>MAX(N10,N4)</f>
        <v>7</v>
      </c>
      <c r="R10" s="20"/>
      <c r="S10" s="12"/>
      <c r="T10" s="26">
        <f>Q10+S9</f>
        <v>9</v>
      </c>
      <c r="U10" s="9"/>
      <c r="V10" s="8"/>
      <c r="W10" s="11">
        <f>MAX(U16,Z4)</f>
        <v>11</v>
      </c>
      <c r="X10" s="9"/>
      <c r="Y10" s="12"/>
      <c r="Z10" s="26">
        <f>W10+Y9</f>
        <v>15</v>
      </c>
      <c r="AA10" s="1"/>
      <c r="AB10" s="1"/>
      <c r="AC10" s="1"/>
      <c r="AD10" s="1"/>
      <c r="AE10" s="1"/>
      <c r="AF10" s="1"/>
    </row>
    <row r="11" spans="1:32" ht="13.95" customHeight="1" thickTop="1" thickBot="1">
      <c r="A11" s="18" t="s">
        <v>2</v>
      </c>
      <c r="B11" s="6">
        <f>INT((5-MID(B1,8,1))/4)+2</f>
        <v>2</v>
      </c>
      <c r="H11" s="1"/>
      <c r="I11" s="1"/>
      <c r="J11" s="1"/>
      <c r="K11" s="23">
        <f>N11-M9</f>
        <v>5</v>
      </c>
      <c r="L11" s="3"/>
      <c r="M11" s="2"/>
      <c r="N11" s="26">
        <f>Q11</f>
        <v>7</v>
      </c>
      <c r="O11" s="1"/>
      <c r="P11" s="1"/>
      <c r="Q11" s="23">
        <f>T11-S9</f>
        <v>7</v>
      </c>
      <c r="R11" s="3"/>
      <c r="S11" s="2"/>
      <c r="T11" s="26">
        <f>R17</f>
        <v>9</v>
      </c>
      <c r="U11" s="9"/>
      <c r="V11" s="8"/>
      <c r="W11" s="23">
        <f>Z11-Y9</f>
        <v>11</v>
      </c>
      <c r="X11" s="3"/>
      <c r="Y11" s="2"/>
      <c r="Z11" s="13">
        <f>MIN(X18,AC13)</f>
        <v>15</v>
      </c>
      <c r="AA11" s="1"/>
      <c r="AB11" s="20"/>
      <c r="AC11" s="95" t="s">
        <v>8</v>
      </c>
      <c r="AD11" s="96"/>
      <c r="AE11" s="97">
        <f>B15</f>
        <v>3</v>
      </c>
      <c r="AF11" s="98"/>
    </row>
    <row r="12" spans="1:32" ht="13.95" customHeight="1" thickBot="1">
      <c r="A12" s="18" t="s">
        <v>7</v>
      </c>
      <c r="B12" s="6">
        <f>INT((5-MID(B1,2,1))/3)+3</f>
        <v>2</v>
      </c>
      <c r="H12" s="1"/>
      <c r="I12" s="1"/>
      <c r="J12" s="20"/>
      <c r="K12" s="91">
        <f>N11-K10</f>
        <v>5</v>
      </c>
      <c r="L12" s="92"/>
      <c r="M12" s="93">
        <f>K12-M9</f>
        <v>3</v>
      </c>
      <c r="N12" s="94"/>
      <c r="O12" s="9"/>
      <c r="P12" s="1"/>
      <c r="Q12" s="91">
        <f>T11-Q10</f>
        <v>2</v>
      </c>
      <c r="R12" s="92"/>
      <c r="S12" s="93">
        <f>Q12-S9</f>
        <v>0</v>
      </c>
      <c r="T12" s="94"/>
      <c r="U12" s="9"/>
      <c r="V12" s="8"/>
      <c r="W12" s="91">
        <f>Z11-W10</f>
        <v>4</v>
      </c>
      <c r="X12" s="92"/>
      <c r="Y12" s="93">
        <f>W12-Y9</f>
        <v>0</v>
      </c>
      <c r="Z12" s="94"/>
      <c r="AA12" s="1"/>
      <c r="AB12" s="1"/>
      <c r="AC12" s="25">
        <f>Z10</f>
        <v>15</v>
      </c>
      <c r="AD12" s="20"/>
      <c r="AE12" s="12"/>
      <c r="AF12" s="26">
        <f>AC12+AE11</f>
        <v>18</v>
      </c>
    </row>
    <row r="13" spans="1:32" ht="13.95" customHeight="1" thickTop="1" thickBot="1">
      <c r="A13" s="18" t="s">
        <v>5</v>
      </c>
      <c r="B13" s="6">
        <f>INT((5-MID(B1,3,1))/3)+3</f>
        <v>4</v>
      </c>
      <c r="H13" s="1"/>
      <c r="I13" s="1"/>
      <c r="J13" s="1"/>
      <c r="K13" s="9"/>
      <c r="L13" s="9"/>
      <c r="M13" s="1"/>
      <c r="N13" s="1"/>
      <c r="O13" s="1"/>
      <c r="P13" s="9"/>
      <c r="Q13" s="9"/>
      <c r="R13" s="9"/>
      <c r="S13" s="9"/>
      <c r="T13" s="9"/>
      <c r="U13" s="9"/>
      <c r="V13" s="9"/>
      <c r="W13" s="9"/>
      <c r="X13" s="9"/>
      <c r="Y13" s="9"/>
      <c r="Z13" s="9"/>
      <c r="AA13" s="1"/>
      <c r="AB13" s="1"/>
      <c r="AC13" s="23">
        <f>AF13-AE11</f>
        <v>15</v>
      </c>
      <c r="AD13" s="3"/>
      <c r="AE13" s="2"/>
      <c r="AF13" s="26">
        <f>AC21</f>
        <v>18</v>
      </c>
    </row>
    <row r="14" spans="1:32" ht="13.95" customHeight="1" thickBot="1">
      <c r="A14" s="18" t="s">
        <v>4</v>
      </c>
      <c r="B14" s="6">
        <f>INT((5-MID(B1,4,1))/4)+2</f>
        <v>1</v>
      </c>
      <c r="H14" s="1"/>
      <c r="K14" s="1"/>
      <c r="L14" s="10"/>
      <c r="M14" s="10"/>
      <c r="N14" s="10"/>
      <c r="O14" s="10"/>
      <c r="P14" s="9"/>
      <c r="Q14" s="9"/>
      <c r="R14" s="10"/>
      <c r="S14" s="10"/>
      <c r="T14" s="10"/>
      <c r="U14" s="10"/>
      <c r="V14" s="1"/>
      <c r="AB14" s="20"/>
      <c r="AC14" s="91">
        <f>AF13-AC12</f>
        <v>3</v>
      </c>
      <c r="AD14" s="92"/>
      <c r="AE14" s="93">
        <f>AC14-AE11</f>
        <v>0</v>
      </c>
      <c r="AF14" s="94"/>
    </row>
    <row r="15" spans="1:32" ht="13.95" customHeight="1" thickTop="1" thickBot="1">
      <c r="A15" s="18" t="s">
        <v>8</v>
      </c>
      <c r="B15" s="6">
        <f>INT((5-MID(B1,5,1))/2)+3</f>
        <v>3</v>
      </c>
      <c r="H15" s="1"/>
      <c r="K15" s="1"/>
      <c r="L15" s="36" t="s">
        <v>12</v>
      </c>
      <c r="M15" s="29"/>
      <c r="N15" s="30">
        <f>B10</f>
        <v>4</v>
      </c>
      <c r="O15" s="37"/>
      <c r="P15" s="1"/>
      <c r="Q15" s="8"/>
      <c r="R15" s="28" t="s">
        <v>7</v>
      </c>
      <c r="S15" s="29"/>
      <c r="T15" s="30">
        <f>B12</f>
        <v>2</v>
      </c>
      <c r="U15" s="37"/>
      <c r="V15" s="1"/>
      <c r="W15" s="1"/>
      <c r="X15" s="1"/>
      <c r="Y15" s="1"/>
      <c r="Z15" s="1"/>
      <c r="AA15" s="20"/>
      <c r="AB15" s="1"/>
      <c r="AC15" s="1"/>
      <c r="AD15" s="1"/>
      <c r="AE15" s="1"/>
      <c r="AF15" s="1"/>
    </row>
    <row r="16" spans="1:32" ht="13.95" customHeight="1" thickTop="1" thickBot="1">
      <c r="A16" s="18" t="s">
        <v>14</v>
      </c>
      <c r="B16" s="6">
        <f>INT((5-MID(B1,6,1))/4)+2</f>
        <v>2</v>
      </c>
      <c r="C16" s="1"/>
      <c r="D16" s="1"/>
      <c r="E16" s="1"/>
      <c r="F16" s="9"/>
      <c r="G16" s="9"/>
      <c r="H16" s="1"/>
      <c r="K16" s="1"/>
      <c r="L16" s="11">
        <f>G18</f>
        <v>1</v>
      </c>
      <c r="M16" s="9"/>
      <c r="N16" s="12"/>
      <c r="O16" s="26">
        <f>L16+N15</f>
        <v>5</v>
      </c>
      <c r="P16" s="1"/>
      <c r="Q16" s="1"/>
      <c r="R16" s="11">
        <f>MAX(T10,O16)</f>
        <v>9</v>
      </c>
      <c r="S16" s="9"/>
      <c r="T16" s="12"/>
      <c r="U16" s="26">
        <f>R16+T15</f>
        <v>11</v>
      </c>
      <c r="V16" s="1"/>
      <c r="X16" s="34" t="s">
        <v>4</v>
      </c>
      <c r="Y16" s="35"/>
      <c r="Z16" s="89">
        <f>B14</f>
        <v>1</v>
      </c>
      <c r="AA16" s="90"/>
      <c r="AB16" s="1"/>
      <c r="AC16" s="1"/>
      <c r="AD16" s="1"/>
      <c r="AE16" s="1"/>
      <c r="AF16" s="1"/>
    </row>
    <row r="17" spans="1:33" ht="13.95" customHeight="1" thickTop="1" thickBot="1">
      <c r="A17" s="19" t="s">
        <v>15</v>
      </c>
      <c r="B17" s="7">
        <f>INT(MID(B1,8,1)/3)+2</f>
        <v>3</v>
      </c>
      <c r="C17" s="1"/>
      <c r="D17" s="99" t="s">
        <v>10</v>
      </c>
      <c r="E17" s="100"/>
      <c r="F17" s="101">
        <f>B5</f>
        <v>1</v>
      </c>
      <c r="G17" s="102"/>
      <c r="H17" s="1"/>
      <c r="K17" s="1"/>
      <c r="L17" s="23">
        <f>O17-N15</f>
        <v>5</v>
      </c>
      <c r="M17" s="3"/>
      <c r="N17" s="2"/>
      <c r="O17" s="13">
        <f>R17</f>
        <v>9</v>
      </c>
      <c r="P17" s="9"/>
      <c r="Q17" s="1"/>
      <c r="R17" s="23">
        <f>U17-T15</f>
        <v>9</v>
      </c>
      <c r="S17" s="3"/>
      <c r="T17" s="2"/>
      <c r="U17" s="13">
        <f>W11</f>
        <v>11</v>
      </c>
      <c r="V17" s="9"/>
      <c r="X17" s="23">
        <f>Z10</f>
        <v>15</v>
      </c>
      <c r="Y17" s="20"/>
      <c r="Z17" s="12"/>
      <c r="AA17" s="26">
        <f>X17+Z16</f>
        <v>16</v>
      </c>
      <c r="AB17" s="1"/>
      <c r="AC17" s="1"/>
      <c r="AD17" s="1"/>
      <c r="AE17" s="1"/>
      <c r="AF17" s="1"/>
    </row>
    <row r="18" spans="1:33" ht="13.95" customHeight="1" thickBot="1">
      <c r="A18" s="18"/>
      <c r="B18" s="6"/>
      <c r="C18" s="1"/>
      <c r="D18" s="14">
        <v>0</v>
      </c>
      <c r="E18" s="9"/>
      <c r="F18" s="12"/>
      <c r="G18" s="26">
        <f>D18+F17</f>
        <v>1</v>
      </c>
      <c r="H18" s="1"/>
      <c r="K18" s="8"/>
      <c r="L18" s="91">
        <f>O17-L16</f>
        <v>8</v>
      </c>
      <c r="M18" s="92"/>
      <c r="N18" s="93">
        <f>L18-N15</f>
        <v>4</v>
      </c>
      <c r="O18" s="94"/>
      <c r="Q18" s="8"/>
      <c r="R18" s="91">
        <f>U17-R16</f>
        <v>2</v>
      </c>
      <c r="S18" s="92"/>
      <c r="T18" s="93">
        <f>R18-T15</f>
        <v>0</v>
      </c>
      <c r="U18" s="94"/>
      <c r="V18" s="9"/>
      <c r="X18" s="23">
        <f>AA18-Z16</f>
        <v>17</v>
      </c>
      <c r="Y18" s="3"/>
      <c r="Z18" s="2"/>
      <c r="AA18" s="24">
        <f>MIN(X24,AC21)</f>
        <v>18</v>
      </c>
      <c r="AB18" s="1"/>
      <c r="AC18" s="1"/>
      <c r="AD18" s="1"/>
      <c r="AE18" s="1"/>
      <c r="AF18" s="20"/>
      <c r="AG18" s="1"/>
    </row>
    <row r="19" spans="1:33" ht="13.95" customHeight="1" thickTop="1" thickBot="1">
      <c r="A19" s="18"/>
      <c r="B19" s="6"/>
      <c r="C19" s="1"/>
      <c r="D19" s="23">
        <f>G19-F17</f>
        <v>4</v>
      </c>
      <c r="E19" s="3"/>
      <c r="F19" s="2"/>
      <c r="G19" s="13">
        <f>L17</f>
        <v>5</v>
      </c>
      <c r="H19" s="1"/>
      <c r="K19" s="21"/>
      <c r="L19" s="20"/>
      <c r="M19" s="20"/>
      <c r="N19" s="20"/>
      <c r="O19" s="20"/>
      <c r="Q19" s="9"/>
      <c r="R19" s="9"/>
      <c r="S19" s="9"/>
      <c r="T19" s="9"/>
      <c r="U19" s="9"/>
      <c r="X19" s="91">
        <f>AA18-X17</f>
        <v>3</v>
      </c>
      <c r="Y19" s="92"/>
      <c r="Z19" s="93">
        <f>X19-Z16</f>
        <v>2</v>
      </c>
      <c r="AA19" s="94"/>
      <c r="AC19" s="34" t="s">
        <v>15</v>
      </c>
      <c r="AD19" s="35"/>
      <c r="AE19" s="89">
        <f>B17</f>
        <v>3</v>
      </c>
      <c r="AF19" s="90"/>
      <c r="AG19" s="1"/>
    </row>
    <row r="20" spans="1:33" ht="13.95" customHeight="1" thickBot="1">
      <c r="A20" s="18"/>
      <c r="B20" s="6"/>
      <c r="C20" s="1"/>
      <c r="D20" s="91">
        <f>G19-D18</f>
        <v>5</v>
      </c>
      <c r="E20" s="92"/>
      <c r="F20" s="93">
        <f>D20-F17</f>
        <v>4</v>
      </c>
      <c r="G20" s="94"/>
      <c r="H20" s="1"/>
      <c r="X20" s="9"/>
      <c r="Y20" s="1"/>
      <c r="Z20" s="1"/>
      <c r="AA20" s="9"/>
      <c r="AC20" s="23">
        <f>MAX(AF12,AA17)</f>
        <v>18</v>
      </c>
      <c r="AD20" s="20"/>
      <c r="AE20" s="12"/>
      <c r="AF20" s="26">
        <f>AC20+AE19</f>
        <v>21</v>
      </c>
      <c r="AG20" s="1"/>
    </row>
    <row r="21" spans="1:33" ht="13.95" customHeight="1" thickTop="1" thickBot="1">
      <c r="A21" s="18"/>
      <c r="B21" s="6"/>
      <c r="C21" s="1"/>
      <c r="D21" s="1"/>
      <c r="E21" s="1"/>
      <c r="F21" s="9"/>
      <c r="G21" s="9"/>
      <c r="H21" s="1"/>
      <c r="J21" s="9"/>
      <c r="K21" s="9"/>
      <c r="L21" s="1"/>
      <c r="M21" s="1"/>
      <c r="W21" s="1"/>
      <c r="X21" s="1"/>
      <c r="Y21" s="1"/>
      <c r="Z21" s="1"/>
      <c r="AA21" s="20"/>
      <c r="AC21" s="23">
        <f>AF21-AE19</f>
        <v>18</v>
      </c>
      <c r="AD21" s="3"/>
      <c r="AE21" s="2"/>
      <c r="AF21" s="24">
        <f>MAX(AF20,AA23)</f>
        <v>21</v>
      </c>
      <c r="AG21" s="1"/>
    </row>
    <row r="22" spans="1:33" ht="13.95" customHeight="1" thickTop="1" thickBot="1">
      <c r="A22" s="18"/>
      <c r="B22" s="6"/>
      <c r="C22" s="1"/>
      <c r="D22" s="1"/>
      <c r="E22" s="1"/>
      <c r="F22" s="1"/>
      <c r="G22" s="1"/>
      <c r="H22" s="1"/>
      <c r="I22" s="1"/>
      <c r="J22" s="1"/>
      <c r="K22" s="1"/>
      <c r="L22" s="1"/>
      <c r="M22" s="1"/>
      <c r="X22" s="34" t="s">
        <v>14</v>
      </c>
      <c r="Y22" s="35"/>
      <c r="Z22" s="89">
        <f>B16</f>
        <v>2</v>
      </c>
      <c r="AA22" s="90"/>
      <c r="AC22" s="91">
        <f>AF21-AC20</f>
        <v>3</v>
      </c>
      <c r="AD22" s="92"/>
      <c r="AE22" s="93">
        <f>AC22-AE19</f>
        <v>0</v>
      </c>
      <c r="AF22" s="94"/>
      <c r="AG22" s="1"/>
    </row>
    <row r="23" spans="1:33" ht="13.95" customHeight="1" thickBot="1">
      <c r="A23" s="18"/>
      <c r="B23" s="6"/>
      <c r="C23" s="1"/>
      <c r="D23" s="1"/>
      <c r="E23" s="1"/>
      <c r="F23" s="1"/>
      <c r="G23" s="1"/>
      <c r="H23" s="1"/>
      <c r="I23" s="1"/>
      <c r="J23" s="1"/>
      <c r="K23" s="1"/>
      <c r="L23" s="1"/>
      <c r="M23" s="1"/>
      <c r="X23" s="23">
        <f>AA17</f>
        <v>16</v>
      </c>
      <c r="Y23" s="20"/>
      <c r="Z23" s="12"/>
      <c r="AA23" s="26">
        <f>X23+Z22</f>
        <v>18</v>
      </c>
      <c r="AC23" s="9"/>
      <c r="AD23" s="1"/>
      <c r="AE23" s="1"/>
      <c r="AF23" s="9"/>
      <c r="AG23" s="1"/>
    </row>
    <row r="24" spans="1:33" ht="13.95" customHeight="1" thickBot="1">
      <c r="C24" s="1"/>
      <c r="D24" s="1"/>
      <c r="E24" s="1"/>
      <c r="F24" s="1"/>
      <c r="G24" s="1"/>
      <c r="H24" s="1"/>
      <c r="I24" s="1"/>
      <c r="J24" s="1"/>
      <c r="K24" s="1"/>
      <c r="L24" s="1"/>
      <c r="M24" s="1"/>
      <c r="N24" s="1"/>
      <c r="O24" s="9"/>
      <c r="X24" s="23">
        <f>AA24-Z22</f>
        <v>19</v>
      </c>
      <c r="Y24" s="3"/>
      <c r="Z24" s="2"/>
      <c r="AA24" s="24">
        <f>MAX(AA23,AF20)</f>
        <v>21</v>
      </c>
      <c r="AB24" s="1"/>
      <c r="AC24" s="1"/>
      <c r="AD24" s="1"/>
      <c r="AE24" s="1"/>
      <c r="AF24" s="1"/>
    </row>
    <row r="25" spans="1:33" ht="13.95" customHeight="1" thickBot="1">
      <c r="X25" s="91">
        <f>AA24-X23</f>
        <v>5</v>
      </c>
      <c r="Y25" s="92"/>
      <c r="Z25" s="93">
        <f>X25-Z22</f>
        <v>3</v>
      </c>
      <c r="AA25" s="94"/>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W12:X12"/>
    <mergeCell ref="Y12:Z12"/>
    <mergeCell ref="T18:U18"/>
    <mergeCell ref="Z16:AA16"/>
    <mergeCell ref="D20:E20"/>
    <mergeCell ref="F20:G20"/>
    <mergeCell ref="AC14:AD14"/>
    <mergeCell ref="AE14:AF14"/>
    <mergeCell ref="AE19:AF19"/>
    <mergeCell ref="L18:M18"/>
    <mergeCell ref="R18:S18"/>
    <mergeCell ref="N18:O18"/>
    <mergeCell ref="X19:Y19"/>
    <mergeCell ref="Z19:AA19"/>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M9:N9"/>
    <mergeCell ref="Q6:R6"/>
    <mergeCell ref="S6:T6"/>
    <mergeCell ref="D17:E17"/>
    <mergeCell ref="F17:G17"/>
    <mergeCell ref="E5:F5"/>
    <mergeCell ref="G5:H5"/>
    <mergeCell ref="E8:F8"/>
    <mergeCell ref="G8:H8"/>
    <mergeCell ref="K9:L9"/>
    <mergeCell ref="Z22:AA22"/>
    <mergeCell ref="X25:Y25"/>
    <mergeCell ref="Z25:AA25"/>
    <mergeCell ref="AE22:AF22"/>
    <mergeCell ref="AC22:AD22"/>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Enunciado</vt:lpstr>
      <vt:lpstr>Calculos Flujo de Caja</vt:lpstr>
      <vt:lpstr>Caminocrítico</vt:lpstr>
      <vt:lpstr>CA</vt:lpstr>
      <vt:lpstr>CP</vt:lpstr>
      <vt:lpstr>CS</vt:lpstr>
      <vt:lpstr>UP</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Stéphane</cp:lastModifiedBy>
  <dcterms:created xsi:type="dcterms:W3CDTF">2014-02-26T09:32:07Z</dcterms:created>
  <dcterms:modified xsi:type="dcterms:W3CDTF">2020-04-23T10:39:31Z</dcterms:modified>
</cp:coreProperties>
</file>