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éphane\Desktop\Tareas\"/>
    </mc:Choice>
  </mc:AlternateContent>
  <xr:revisionPtr revIDLastSave="0" documentId="13_ncr:1_{10DFC9C5-A7BA-49CA-892C-0F01A830D9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unciado" sheetId="12" r:id="rId1"/>
    <sheet name="Planificación" sheetId="8" r:id="rId2"/>
    <sheet name="Caminocrítico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8" l="1"/>
  <c r="K22" i="8"/>
  <c r="L22" i="8"/>
  <c r="M22" i="8"/>
  <c r="N22" i="8"/>
  <c r="O22" i="8"/>
  <c r="P22" i="8"/>
  <c r="K21" i="8"/>
  <c r="L21" i="8"/>
  <c r="M21" i="8"/>
  <c r="N21" i="8"/>
  <c r="O21" i="8"/>
  <c r="P21" i="8"/>
  <c r="J21" i="8"/>
  <c r="P20" i="8"/>
  <c r="O20" i="8"/>
  <c r="N20" i="8"/>
  <c r="M20" i="8"/>
  <c r="L20" i="8"/>
  <c r="K20" i="8"/>
  <c r="J20" i="8"/>
  <c r="P19" i="8"/>
  <c r="O19" i="8"/>
  <c r="N19" i="8"/>
  <c r="M19" i="8"/>
  <c r="L19" i="8"/>
  <c r="K19" i="8"/>
  <c r="J19" i="8"/>
  <c r="B28" i="7" l="1"/>
  <c r="D25" i="12"/>
  <c r="D24" i="12"/>
  <c r="D23" i="12"/>
  <c r="D22" i="12"/>
  <c r="D21" i="12"/>
  <c r="D20" i="12"/>
  <c r="D19" i="12"/>
  <c r="C25" i="12" l="1"/>
  <c r="B10" i="7" l="1"/>
  <c r="F25" i="12"/>
  <c r="C8" i="8"/>
  <c r="C7" i="8"/>
  <c r="C6" i="8"/>
  <c r="C5" i="8"/>
  <c r="C4" i="8"/>
  <c r="C3" i="8"/>
  <c r="C2" i="8"/>
  <c r="B1" i="7" l="1"/>
  <c r="C32" i="12"/>
  <c r="B44" i="7" s="1"/>
  <c r="C31" i="12"/>
  <c r="B43" i="7" s="1"/>
  <c r="C30" i="12"/>
  <c r="B42" i="7" s="1"/>
  <c r="C29" i="12"/>
  <c r="B41" i="7" s="1"/>
  <c r="C28" i="12"/>
  <c r="B40" i="7" s="1"/>
  <c r="C27" i="12"/>
  <c r="B12" i="7" s="1"/>
  <c r="C26" i="12"/>
  <c r="B11" i="7" s="1"/>
  <c r="C24" i="12"/>
  <c r="C23" i="12"/>
  <c r="C22" i="12"/>
  <c r="C21" i="12"/>
  <c r="C20" i="12"/>
  <c r="C19" i="12"/>
  <c r="B7" i="7" l="1"/>
  <c r="F22" i="12"/>
  <c r="E5" i="8" s="1"/>
  <c r="B4" i="7"/>
  <c r="F19" i="12"/>
  <c r="E2" i="8" s="1"/>
  <c r="B8" i="7"/>
  <c r="F23" i="12"/>
  <c r="E6" i="8" s="1"/>
  <c r="B9" i="7"/>
  <c r="F24" i="12"/>
  <c r="E7" i="8" s="1"/>
  <c r="B6" i="7"/>
  <c r="F21" i="12"/>
  <c r="E4" i="8" s="1"/>
  <c r="B5" i="7"/>
  <c r="F20" i="12"/>
  <c r="E3" i="8" s="1"/>
  <c r="Z49" i="7"/>
  <c r="B16" i="7"/>
  <c r="AE38" i="7"/>
  <c r="B15" i="7"/>
  <c r="Y36" i="7"/>
  <c r="B13" i="7"/>
  <c r="AE46" i="7"/>
  <c r="B17" i="7"/>
  <c r="Z43" i="7"/>
  <c r="B14" i="7"/>
  <c r="E21" i="12"/>
  <c r="D4" i="8" s="1"/>
  <c r="B33" i="7"/>
  <c r="M30" i="7" s="1"/>
  <c r="E25" i="12"/>
  <c r="D8" i="8" s="1"/>
  <c r="B37" i="7"/>
  <c r="N42" i="7" s="1"/>
  <c r="E8" i="8"/>
  <c r="E22" i="12"/>
  <c r="D5" i="8" s="1"/>
  <c r="B34" i="7"/>
  <c r="M36" i="7" s="1"/>
  <c r="E26" i="12"/>
  <c r="D9" i="8" s="1"/>
  <c r="B38" i="7"/>
  <c r="Y30" i="7" s="1"/>
  <c r="E19" i="12"/>
  <c r="D2" i="8" s="1"/>
  <c r="B31" i="7"/>
  <c r="G32" i="7" s="1"/>
  <c r="H33" i="7" s="1"/>
  <c r="E23" i="12"/>
  <c r="D6" i="8" s="1"/>
  <c r="B35" i="7"/>
  <c r="S30" i="7" s="1"/>
  <c r="E27" i="12"/>
  <c r="D10" i="8" s="1"/>
  <c r="B39" i="7"/>
  <c r="T42" i="7" s="1"/>
  <c r="E20" i="12"/>
  <c r="D3" i="8" s="1"/>
  <c r="B32" i="7"/>
  <c r="F44" i="7" s="1"/>
  <c r="G45" i="7" s="1"/>
  <c r="E24" i="12"/>
  <c r="D7" i="8" s="1"/>
  <c r="B36" i="7"/>
  <c r="S36" i="7" s="1"/>
  <c r="B13" i="8"/>
  <c r="E30" i="12"/>
  <c r="D13" i="8" s="1"/>
  <c r="B14" i="8"/>
  <c r="E31" i="12"/>
  <c r="D14" i="8" s="1"/>
  <c r="B11" i="8"/>
  <c r="E28" i="12"/>
  <c r="D11" i="8" s="1"/>
  <c r="B15" i="8"/>
  <c r="E32" i="12"/>
  <c r="D15" i="8" s="1"/>
  <c r="B12" i="8"/>
  <c r="E29" i="12"/>
  <c r="D12" i="8" s="1"/>
  <c r="B6" i="8"/>
  <c r="B10" i="8"/>
  <c r="B3" i="8"/>
  <c r="B7" i="8"/>
  <c r="B4" i="8"/>
  <c r="B8" i="8"/>
  <c r="B5" i="8"/>
  <c r="B9" i="8"/>
  <c r="B2" i="8"/>
  <c r="O25" i="8" l="1"/>
  <c r="S25" i="8"/>
  <c r="W25" i="8"/>
  <c r="Q25" i="8"/>
  <c r="M25" i="8"/>
  <c r="N25" i="8"/>
  <c r="R25" i="8"/>
  <c r="V25" i="8"/>
  <c r="P25" i="8"/>
  <c r="T25" i="8"/>
  <c r="X25" i="8"/>
  <c r="U25" i="8"/>
  <c r="M26" i="8"/>
  <c r="Q26" i="8"/>
  <c r="U26" i="8"/>
  <c r="R26" i="8"/>
  <c r="S26" i="8"/>
  <c r="L26" i="8"/>
  <c r="P26" i="8"/>
  <c r="T26" i="8"/>
  <c r="X26" i="8"/>
  <c r="N26" i="8"/>
  <c r="V26" i="8"/>
  <c r="O26" i="8"/>
  <c r="W26" i="8"/>
  <c r="L43" i="7"/>
  <c r="AL26" i="8"/>
  <c r="AL25" i="8"/>
  <c r="K37" i="7"/>
  <c r="K31" i="7"/>
  <c r="F17" i="7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N37" i="7" l="1"/>
  <c r="N31" i="7"/>
  <c r="Q31" i="7" s="1"/>
  <c r="O43" i="7"/>
  <c r="S31" i="8" s="1"/>
  <c r="L3" i="8"/>
  <c r="P3" i="8"/>
  <c r="T3" i="8"/>
  <c r="X3" i="8"/>
  <c r="AB3" i="8"/>
  <c r="AF3" i="8"/>
  <c r="AJ3" i="8"/>
  <c r="M3" i="8"/>
  <c r="Q3" i="8"/>
  <c r="U3" i="8"/>
  <c r="Y3" i="8"/>
  <c r="AC3" i="8"/>
  <c r="AG3" i="8"/>
  <c r="AK3" i="8"/>
  <c r="R3" i="8"/>
  <c r="Z3" i="8"/>
  <c r="AH3" i="8"/>
  <c r="N3" i="8"/>
  <c r="V3" i="8"/>
  <c r="AD3" i="8"/>
  <c r="O3" i="8"/>
  <c r="W3" i="8"/>
  <c r="AE3" i="8"/>
  <c r="S3" i="8"/>
  <c r="AA3" i="8"/>
  <c r="AI3" i="8"/>
  <c r="K3" i="8"/>
  <c r="J3" i="8"/>
  <c r="K2" i="8"/>
  <c r="O2" i="8"/>
  <c r="S2" i="8"/>
  <c r="W2" i="8"/>
  <c r="AA2" i="8"/>
  <c r="AE2" i="8"/>
  <c r="AI2" i="8"/>
  <c r="L2" i="8"/>
  <c r="P2" i="8"/>
  <c r="T2" i="8"/>
  <c r="X2" i="8"/>
  <c r="AB2" i="8"/>
  <c r="AF2" i="8"/>
  <c r="AJ2" i="8"/>
  <c r="M2" i="8"/>
  <c r="U2" i="8"/>
  <c r="AC2" i="8"/>
  <c r="AK2" i="8"/>
  <c r="Q2" i="8"/>
  <c r="Y2" i="8"/>
  <c r="AG2" i="8"/>
  <c r="R2" i="8"/>
  <c r="Z2" i="8"/>
  <c r="AH2" i="8"/>
  <c r="N2" i="8"/>
  <c r="AD2" i="8"/>
  <c r="V2" i="8"/>
  <c r="AL2" i="8"/>
  <c r="J2" i="8"/>
  <c r="K10" i="7"/>
  <c r="L16" i="7"/>
  <c r="K4" i="7"/>
  <c r="W31" i="8" l="1"/>
  <c r="Q27" i="8"/>
  <c r="V27" i="8"/>
  <c r="V31" i="8"/>
  <c r="S27" i="8"/>
  <c r="P28" i="8"/>
  <c r="Q28" i="8"/>
  <c r="T31" i="8"/>
  <c r="X28" i="8"/>
  <c r="J28" i="8"/>
  <c r="J31" i="8"/>
  <c r="U31" i="8"/>
  <c r="J27" i="8"/>
  <c r="U27" i="8"/>
  <c r="W27" i="8"/>
  <c r="S28" i="8"/>
  <c r="T28" i="8"/>
  <c r="W28" i="8"/>
  <c r="U28" i="8"/>
  <c r="X31" i="8"/>
  <c r="X27" i="8"/>
  <c r="R27" i="8"/>
  <c r="T27" i="8"/>
  <c r="R28" i="8"/>
  <c r="V28" i="8"/>
  <c r="AL28" i="8"/>
  <c r="AL31" i="8"/>
  <c r="T31" i="7"/>
  <c r="W31" i="7" s="1"/>
  <c r="AL27" i="8"/>
  <c r="Q37" i="7"/>
  <c r="AL17" i="8"/>
  <c r="AL18" i="8" s="1"/>
  <c r="O16" i="7"/>
  <c r="N4" i="7"/>
  <c r="Q4" i="7" s="1"/>
  <c r="N10" i="7"/>
  <c r="AD5" i="8" s="1"/>
  <c r="G13" i="12" l="1"/>
  <c r="D9" i="12"/>
  <c r="K29" i="8"/>
  <c r="P29" i="8"/>
  <c r="T29" i="8"/>
  <c r="U29" i="8"/>
  <c r="V29" i="8"/>
  <c r="M29" i="8"/>
  <c r="S29" i="8"/>
  <c r="L29" i="8"/>
  <c r="W29" i="8"/>
  <c r="J29" i="8"/>
  <c r="R29" i="8"/>
  <c r="X29" i="8"/>
  <c r="O29" i="8"/>
  <c r="Z31" i="7"/>
  <c r="R32" i="8" s="1"/>
  <c r="R8" i="8"/>
  <c r="G24" i="8"/>
  <c r="AL29" i="8"/>
  <c r="T37" i="7"/>
  <c r="R43" i="7" s="1"/>
  <c r="AB4" i="8"/>
  <c r="W8" i="8"/>
  <c r="Z4" i="8"/>
  <c r="S8" i="8"/>
  <c r="AK4" i="8"/>
  <c r="AK8" i="8"/>
  <c r="P4" i="8"/>
  <c r="AF8" i="8"/>
  <c r="U8" i="8"/>
  <c r="AA4" i="8"/>
  <c r="U4" i="8"/>
  <c r="W4" i="8"/>
  <c r="J8" i="8"/>
  <c r="Z8" i="8"/>
  <c r="X5" i="8"/>
  <c r="Q5" i="8"/>
  <c r="L5" i="8"/>
  <c r="AC5" i="8"/>
  <c r="AJ5" i="8"/>
  <c r="S5" i="8"/>
  <c r="N5" i="8"/>
  <c r="X4" i="8"/>
  <c r="K4" i="8"/>
  <c r="AH4" i="8"/>
  <c r="AC4" i="8"/>
  <c r="M4" i="8"/>
  <c r="AB8" i="8"/>
  <c r="P8" i="8"/>
  <c r="AI8" i="8"/>
  <c r="AH8" i="8"/>
  <c r="AC8" i="8"/>
  <c r="M8" i="8"/>
  <c r="AK5" i="8"/>
  <c r="AG5" i="8"/>
  <c r="AF5" i="8"/>
  <c r="AB5" i="8"/>
  <c r="AE5" i="8"/>
  <c r="O5" i="8"/>
  <c r="Z5" i="8"/>
  <c r="AF4" i="8"/>
  <c r="AJ4" i="8"/>
  <c r="AI4" i="8"/>
  <c r="AE4" i="8"/>
  <c r="AD4" i="8"/>
  <c r="N4" i="8"/>
  <c r="Y4" i="8"/>
  <c r="T8" i="8"/>
  <c r="L8" i="8"/>
  <c r="AE8" i="8"/>
  <c r="AA8" i="8"/>
  <c r="AD8" i="8"/>
  <c r="N8" i="8"/>
  <c r="Y8" i="8"/>
  <c r="Y5" i="8"/>
  <c r="AA5" i="8"/>
  <c r="V5" i="8"/>
  <c r="P5" i="8"/>
  <c r="AH5" i="8"/>
  <c r="R5" i="8"/>
  <c r="J4" i="8"/>
  <c r="T4" i="8"/>
  <c r="S4" i="8"/>
  <c r="O4" i="8"/>
  <c r="V4" i="8"/>
  <c r="AG4" i="8"/>
  <c r="Q4" i="8"/>
  <c r="AJ8" i="8"/>
  <c r="X8" i="8"/>
  <c r="O8" i="8"/>
  <c r="K8" i="8"/>
  <c r="V8" i="8"/>
  <c r="AG8" i="8"/>
  <c r="Q8" i="8"/>
  <c r="U5" i="8"/>
  <c r="T5" i="8"/>
  <c r="K5" i="8"/>
  <c r="M5" i="8"/>
  <c r="W5" i="8"/>
  <c r="J5" i="8"/>
  <c r="AI5" i="8"/>
  <c r="L4" i="8"/>
  <c r="R4" i="8"/>
  <c r="Q10" i="7"/>
  <c r="T4" i="7"/>
  <c r="W4" i="7" s="1"/>
  <c r="K25" i="8" l="1"/>
  <c r="L25" i="8"/>
  <c r="K26" i="8"/>
  <c r="O28" i="8"/>
  <c r="N28" i="8"/>
  <c r="Q31" i="8"/>
  <c r="R31" i="8"/>
  <c r="P31" i="8"/>
  <c r="O27" i="8"/>
  <c r="N27" i="8"/>
  <c r="O31" i="8"/>
  <c r="P27" i="8"/>
  <c r="Q29" i="8"/>
  <c r="R30" i="8"/>
  <c r="W32" i="8"/>
  <c r="M30" i="8"/>
  <c r="X32" i="8"/>
  <c r="K30" i="8"/>
  <c r="S32" i="8"/>
  <c r="T30" i="8"/>
  <c r="Q32" i="8"/>
  <c r="J26" i="8"/>
  <c r="J25" i="8"/>
  <c r="M31" i="8"/>
  <c r="M27" i="8"/>
  <c r="M28" i="8"/>
  <c r="L31" i="8"/>
  <c r="L28" i="8"/>
  <c r="K27" i="8"/>
  <c r="N29" i="8"/>
  <c r="K28" i="8"/>
  <c r="N31" i="8"/>
  <c r="K31" i="8"/>
  <c r="L27" i="8"/>
  <c r="S30" i="8"/>
  <c r="X30" i="8"/>
  <c r="O30" i="8"/>
  <c r="Q30" i="8"/>
  <c r="J32" i="8"/>
  <c r="N32" i="8"/>
  <c r="L32" i="8"/>
  <c r="U32" i="8"/>
  <c r="V30" i="8"/>
  <c r="P30" i="8"/>
  <c r="J30" i="8"/>
  <c r="O32" i="8"/>
  <c r="T32" i="8"/>
  <c r="V32" i="8"/>
  <c r="M32" i="8"/>
  <c r="W30" i="8"/>
  <c r="N30" i="8"/>
  <c r="L30" i="8"/>
  <c r="U30" i="8"/>
  <c r="K32" i="8"/>
  <c r="P32" i="8"/>
  <c r="U43" i="7"/>
  <c r="W37" i="7" s="1"/>
  <c r="AL30" i="8"/>
  <c r="R6" i="8"/>
  <c r="N6" i="8"/>
  <c r="AJ6" i="8"/>
  <c r="T6" i="8"/>
  <c r="AE6" i="8"/>
  <c r="O6" i="8"/>
  <c r="AH6" i="8"/>
  <c r="AK6" i="8"/>
  <c r="AG6" i="8"/>
  <c r="AF6" i="8"/>
  <c r="P6" i="8"/>
  <c r="AA6" i="8"/>
  <c r="K6" i="8"/>
  <c r="J6" i="8"/>
  <c r="AD6" i="8"/>
  <c r="AC6" i="8"/>
  <c r="Y6" i="8"/>
  <c r="AB6" i="8"/>
  <c r="L6" i="8"/>
  <c r="W6" i="8"/>
  <c r="M6" i="8"/>
  <c r="Z6" i="8"/>
  <c r="V6" i="8"/>
  <c r="U6" i="8"/>
  <c r="Q6" i="8"/>
  <c r="X6" i="8"/>
  <c r="AI6" i="8"/>
  <c r="S6" i="8"/>
  <c r="T10" i="7"/>
  <c r="R16" i="7" s="1"/>
  <c r="Z4" i="7"/>
  <c r="Z9" i="8" s="1"/>
  <c r="V33" i="8" l="1"/>
  <c r="S33" i="8"/>
  <c r="U33" i="8"/>
  <c r="J33" i="8"/>
  <c r="Q33" i="8"/>
  <c r="R33" i="8"/>
  <c r="X33" i="8"/>
  <c r="O33" i="8"/>
  <c r="T33" i="8"/>
  <c r="N33" i="8"/>
  <c r="P33" i="8"/>
  <c r="K33" i="8"/>
  <c r="L33" i="8"/>
  <c r="M33" i="8"/>
  <c r="W33" i="8"/>
  <c r="Z37" i="7"/>
  <c r="M34" i="8" s="1"/>
  <c r="AG7" i="8"/>
  <c r="K7" i="8"/>
  <c r="AD7" i="8"/>
  <c r="J7" i="8"/>
  <c r="AE7" i="8"/>
  <c r="AH7" i="8"/>
  <c r="V7" i="8"/>
  <c r="M7" i="8"/>
  <c r="AC9" i="8"/>
  <c r="AJ9" i="8"/>
  <c r="AE9" i="8"/>
  <c r="W7" i="8"/>
  <c r="AA7" i="8"/>
  <c r="Z7" i="8"/>
  <c r="N7" i="8"/>
  <c r="Y7" i="8"/>
  <c r="AJ7" i="8"/>
  <c r="T7" i="8"/>
  <c r="Y9" i="8"/>
  <c r="U9" i="8"/>
  <c r="AB9" i="8"/>
  <c r="X9" i="8"/>
  <c r="AA9" i="8"/>
  <c r="K9" i="8"/>
  <c r="V9" i="8"/>
  <c r="U16" i="7"/>
  <c r="K10" i="8" s="1"/>
  <c r="O7" i="8"/>
  <c r="S7" i="8"/>
  <c r="R7" i="8"/>
  <c r="AK7" i="8"/>
  <c r="U7" i="8"/>
  <c r="AF7" i="8"/>
  <c r="P7" i="8"/>
  <c r="Q9" i="8"/>
  <c r="M9" i="8"/>
  <c r="T9" i="8"/>
  <c r="P9" i="8"/>
  <c r="W9" i="8"/>
  <c r="AH9" i="8"/>
  <c r="R9" i="8"/>
  <c r="Q7" i="8"/>
  <c r="AB7" i="8"/>
  <c r="L7" i="8"/>
  <c r="AK9" i="8"/>
  <c r="J9" i="8"/>
  <c r="L9" i="8"/>
  <c r="AI9" i="8"/>
  <c r="S9" i="8"/>
  <c r="AD9" i="8"/>
  <c r="N9" i="8"/>
  <c r="AI7" i="8"/>
  <c r="AC7" i="8"/>
  <c r="X7" i="8"/>
  <c r="AG9" i="8"/>
  <c r="AF9" i="8"/>
  <c r="O9" i="8"/>
  <c r="L34" i="8" l="1"/>
  <c r="J34" i="8"/>
  <c r="N34" i="8"/>
  <c r="X34" i="8"/>
  <c r="U34" i="8"/>
  <c r="O34" i="8"/>
  <c r="T34" i="8"/>
  <c r="K34" i="8"/>
  <c r="Q34" i="8"/>
  <c r="S34" i="8"/>
  <c r="W34" i="8"/>
  <c r="V34" i="8"/>
  <c r="P34" i="8"/>
  <c r="R34" i="8"/>
  <c r="AC39" i="7"/>
  <c r="AF39" i="7" s="1"/>
  <c r="X44" i="7"/>
  <c r="AA44" i="7" s="1"/>
  <c r="X50" i="7" s="1"/>
  <c r="AA50" i="7" s="1"/>
  <c r="W10" i="7"/>
  <c r="AD10" i="8"/>
  <c r="AH10" i="8"/>
  <c r="Y10" i="8"/>
  <c r="U10" i="8"/>
  <c r="AB10" i="8"/>
  <c r="L10" i="8"/>
  <c r="W10" i="8"/>
  <c r="N10" i="8"/>
  <c r="Z10" i="8"/>
  <c r="Q10" i="8"/>
  <c r="M10" i="8"/>
  <c r="X10" i="8"/>
  <c r="AI10" i="8"/>
  <c r="S10" i="8"/>
  <c r="J10" i="8"/>
  <c r="R10" i="8"/>
  <c r="AK10" i="8"/>
  <c r="AJ10" i="8"/>
  <c r="T10" i="8"/>
  <c r="AE10" i="8"/>
  <c r="O10" i="8"/>
  <c r="V10" i="8"/>
  <c r="AG10" i="8"/>
  <c r="AC10" i="8"/>
  <c r="AF10" i="8"/>
  <c r="P10" i="8"/>
  <c r="AA10" i="8"/>
  <c r="Z10" i="7"/>
  <c r="T11" i="8" s="1"/>
  <c r="AC47" i="7" l="1"/>
  <c r="AF47" i="7" s="1"/>
  <c r="AF48" i="7" s="1"/>
  <c r="AC48" i="7" s="1"/>
  <c r="AF40" i="7" s="1"/>
  <c r="AE11" i="8"/>
  <c r="AG11" i="8"/>
  <c r="AI11" i="8"/>
  <c r="Z11" i="8"/>
  <c r="M11" i="8"/>
  <c r="AD11" i="8"/>
  <c r="L11" i="8"/>
  <c r="P11" i="8"/>
  <c r="AH11" i="8"/>
  <c r="J11" i="8"/>
  <c r="V11" i="8"/>
  <c r="AC11" i="8"/>
  <c r="AF11" i="8"/>
  <c r="O11" i="8"/>
  <c r="W11" i="8"/>
  <c r="N11" i="8"/>
  <c r="U11" i="8"/>
  <c r="AB11" i="8"/>
  <c r="AK11" i="8"/>
  <c r="Q11" i="8"/>
  <c r="X11" i="8"/>
  <c r="AA11" i="8"/>
  <c r="K11" i="8"/>
  <c r="S11" i="8"/>
  <c r="R11" i="8"/>
  <c r="Y11" i="8"/>
  <c r="AJ11" i="8"/>
  <c r="X17" i="7"/>
  <c r="AC12" i="7"/>
  <c r="AC49" i="7" l="1"/>
  <c r="AE49" i="7" s="1"/>
  <c r="AA51" i="7"/>
  <c r="X51" i="7" s="1"/>
  <c r="AA45" i="7" s="1"/>
  <c r="AC41" i="7"/>
  <c r="AE41" i="7" s="1"/>
  <c r="AC40" i="7"/>
  <c r="AF12" i="7"/>
  <c r="N13" i="8" s="1"/>
  <c r="AA17" i="7"/>
  <c r="X23" i="7" s="1"/>
  <c r="X52" i="7" l="1"/>
  <c r="Z52" i="7" s="1"/>
  <c r="X46" i="7"/>
  <c r="Z46" i="7" s="1"/>
  <c r="X45" i="7"/>
  <c r="Z38" i="7" s="1"/>
  <c r="J13" i="8"/>
  <c r="Q13" i="8"/>
  <c r="AG13" i="8"/>
  <c r="Z13" i="8"/>
  <c r="AF13" i="8"/>
  <c r="O13" i="8"/>
  <c r="N12" i="8"/>
  <c r="AJ12" i="8"/>
  <c r="AJ13" i="8"/>
  <c r="AI13" i="8"/>
  <c r="AE12" i="8"/>
  <c r="Y12" i="8"/>
  <c r="AA12" i="8"/>
  <c r="AB12" i="8"/>
  <c r="AD12" i="8"/>
  <c r="U13" i="8"/>
  <c r="L13" i="8"/>
  <c r="AE13" i="8"/>
  <c r="AF12" i="8"/>
  <c r="S12" i="8"/>
  <c r="AK12" i="8"/>
  <c r="AA23" i="7"/>
  <c r="S14" i="8" s="1"/>
  <c r="W12" i="8"/>
  <c r="P12" i="8"/>
  <c r="O12" i="8"/>
  <c r="K12" i="8"/>
  <c r="V12" i="8"/>
  <c r="AG12" i="8"/>
  <c r="Q12" i="8"/>
  <c r="AK13" i="8"/>
  <c r="Y13" i="8"/>
  <c r="AC13" i="8"/>
  <c r="X13" i="8"/>
  <c r="AA13" i="8"/>
  <c r="K13" i="8"/>
  <c r="V13" i="8"/>
  <c r="T12" i="8"/>
  <c r="Z12" i="8"/>
  <c r="U12" i="8"/>
  <c r="AC20" i="7"/>
  <c r="AF20" i="7" s="1"/>
  <c r="L12" i="8"/>
  <c r="J12" i="8"/>
  <c r="AI12" i="8"/>
  <c r="AH12" i="8"/>
  <c r="R12" i="8"/>
  <c r="AC12" i="8"/>
  <c r="M12" i="8"/>
  <c r="AB13" i="8"/>
  <c r="M13" i="8"/>
  <c r="T13" i="8"/>
  <c r="P13" i="8"/>
  <c r="W13" i="8"/>
  <c r="AH13" i="8"/>
  <c r="R13" i="8"/>
  <c r="S13" i="8"/>
  <c r="AD13" i="8"/>
  <c r="X12" i="8"/>
  <c r="W38" i="7" l="1"/>
  <c r="W39" i="7"/>
  <c r="Y39" i="7" s="1"/>
  <c r="AH14" i="8"/>
  <c r="AG14" i="8"/>
  <c r="M14" i="8"/>
  <c r="U14" i="8"/>
  <c r="Z14" i="8"/>
  <c r="O14" i="8"/>
  <c r="N14" i="8"/>
  <c r="K14" i="8"/>
  <c r="J14" i="8"/>
  <c r="AJ14" i="8"/>
  <c r="P14" i="8"/>
  <c r="Q14" i="8"/>
  <c r="AB14" i="8"/>
  <c r="AI14" i="8"/>
  <c r="L14" i="8"/>
  <c r="AK14" i="8"/>
  <c r="AC14" i="8"/>
  <c r="R14" i="8"/>
  <c r="AD14" i="8"/>
  <c r="AE14" i="8"/>
  <c r="X14" i="8"/>
  <c r="W14" i="8"/>
  <c r="L15" i="8"/>
  <c r="P15" i="8"/>
  <c r="T15" i="8"/>
  <c r="X15" i="8"/>
  <c r="AB15" i="8"/>
  <c r="AF15" i="8"/>
  <c r="AJ15" i="8"/>
  <c r="N15" i="8"/>
  <c r="S15" i="8"/>
  <c r="S17" i="8" s="1"/>
  <c r="Y15" i="8"/>
  <c r="AD15" i="8"/>
  <c r="AI15" i="8"/>
  <c r="O15" i="8"/>
  <c r="Z15" i="8"/>
  <c r="AK15" i="8"/>
  <c r="K15" i="8"/>
  <c r="Q15" i="8"/>
  <c r="V15" i="8"/>
  <c r="AA15" i="8"/>
  <c r="AG15" i="8"/>
  <c r="J15" i="8"/>
  <c r="M15" i="8"/>
  <c r="R15" i="8"/>
  <c r="W15" i="8"/>
  <c r="AC15" i="8"/>
  <c r="AH15" i="8"/>
  <c r="U15" i="8"/>
  <c r="AE15" i="8"/>
  <c r="V14" i="8"/>
  <c r="AF14" i="8"/>
  <c r="AF17" i="8" s="1"/>
  <c r="Y14" i="8"/>
  <c r="AA14" i="8"/>
  <c r="T14" i="8"/>
  <c r="AF21" i="7"/>
  <c r="AC22" i="7" s="1"/>
  <c r="AE22" i="7" s="1"/>
  <c r="AA24" i="7"/>
  <c r="X24" i="7" s="1"/>
  <c r="Z32" i="7" l="1"/>
  <c r="U44" i="7"/>
  <c r="X17" i="8"/>
  <c r="T17" i="8"/>
  <c r="Y17" i="8"/>
  <c r="V17" i="8"/>
  <c r="P17" i="8"/>
  <c r="AA17" i="8"/>
  <c r="AC17" i="8"/>
  <c r="AB17" i="8"/>
  <c r="J17" i="8"/>
  <c r="J18" i="8" s="1"/>
  <c r="Z17" i="8"/>
  <c r="AH17" i="8"/>
  <c r="AE17" i="8"/>
  <c r="AK17" i="8"/>
  <c r="AK18" i="8" s="1"/>
  <c r="Q17" i="8"/>
  <c r="K17" i="8"/>
  <c r="U17" i="8"/>
  <c r="AD17" i="8"/>
  <c r="L17" i="8"/>
  <c r="N17" i="8"/>
  <c r="M17" i="8"/>
  <c r="W17" i="8"/>
  <c r="R17" i="8"/>
  <c r="AI17" i="8"/>
  <c r="AJ17" i="8"/>
  <c r="AJ18" i="8" s="1"/>
  <c r="O17" i="8"/>
  <c r="AG17" i="8"/>
  <c r="AC21" i="7"/>
  <c r="AF13" i="7" s="1"/>
  <c r="AC14" i="7" s="1"/>
  <c r="AE14" i="7" s="1"/>
  <c r="X25" i="7"/>
  <c r="Z25" i="7" s="1"/>
  <c r="R45" i="7" l="1"/>
  <c r="T45" i="7" s="1"/>
  <c r="R44" i="7"/>
  <c r="W33" i="7"/>
  <c r="Y33" i="7" s="1"/>
  <c r="W32" i="7"/>
  <c r="T32" i="7" s="1"/>
  <c r="AH18" i="8"/>
  <c r="AI18" i="8"/>
  <c r="P18" i="8"/>
  <c r="K18" i="8"/>
  <c r="AE18" i="8"/>
  <c r="AG18" i="8"/>
  <c r="AF18" i="8"/>
  <c r="L18" i="8"/>
  <c r="O18" i="8"/>
  <c r="M18" i="8"/>
  <c r="X18" i="8"/>
  <c r="Q18" i="8"/>
  <c r="Y18" i="8"/>
  <c r="AA18" i="8"/>
  <c r="AB18" i="8"/>
  <c r="R18" i="8"/>
  <c r="W18" i="8"/>
  <c r="S18" i="8"/>
  <c r="V18" i="8"/>
  <c r="AD18" i="8"/>
  <c r="U18" i="8"/>
  <c r="N18" i="8"/>
  <c r="AC18" i="8"/>
  <c r="T18" i="8"/>
  <c r="Z18" i="8"/>
  <c r="AC13" i="7"/>
  <c r="AA18" i="7"/>
  <c r="X18" i="7" s="1"/>
  <c r="O44" i="7" l="1"/>
  <c r="T38" i="7"/>
  <c r="Q32" i="7"/>
  <c r="Q33" i="7"/>
  <c r="S33" i="7" s="1"/>
  <c r="Z11" i="7"/>
  <c r="W12" i="7" s="1"/>
  <c r="Y12" i="7" s="1"/>
  <c r="X19" i="7"/>
  <c r="Z19" i="7" s="1"/>
  <c r="Q39" i="7" l="1"/>
  <c r="S39" i="7" s="1"/>
  <c r="Q38" i="7"/>
  <c r="N38" i="7" s="1"/>
  <c r="L45" i="7"/>
  <c r="N45" i="7" s="1"/>
  <c r="L44" i="7"/>
  <c r="G46" i="7" s="1"/>
  <c r="W11" i="7"/>
  <c r="Z5" i="7" s="1"/>
  <c r="W6" i="7" s="1"/>
  <c r="Y6" i="7" s="1"/>
  <c r="K38" i="7" l="1"/>
  <c r="K39" i="7"/>
  <c r="M39" i="7" s="1"/>
  <c r="D47" i="7"/>
  <c r="F47" i="7" s="1"/>
  <c r="D46" i="7"/>
  <c r="N32" i="7"/>
  <c r="W5" i="7"/>
  <c r="T5" i="7" s="1"/>
  <c r="Q6" i="7" s="1"/>
  <c r="S6" i="7" s="1"/>
  <c r="U17" i="7"/>
  <c r="R17" i="7" s="1"/>
  <c r="T11" i="7" s="1"/>
  <c r="K32" i="7" l="1"/>
  <c r="H34" i="7" s="1"/>
  <c r="K33" i="7"/>
  <c r="M33" i="7" s="1"/>
  <c r="R18" i="7"/>
  <c r="T18" i="7" s="1"/>
  <c r="O17" i="7"/>
  <c r="L18" i="7" s="1"/>
  <c r="N18" i="7" s="1"/>
  <c r="Q5" i="7"/>
  <c r="Q11" i="7"/>
  <c r="N11" i="7" s="1"/>
  <c r="Q12" i="7"/>
  <c r="S12" i="7" s="1"/>
  <c r="E34" i="7" l="1"/>
  <c r="E35" i="7"/>
  <c r="G35" i="7" s="1"/>
  <c r="L17" i="7"/>
  <c r="G19" i="7" s="1"/>
  <c r="D20" i="7" s="1"/>
  <c r="F20" i="7" s="1"/>
  <c r="N5" i="7"/>
  <c r="K5" i="7" s="1"/>
  <c r="K11" i="7"/>
  <c r="K12" i="7"/>
  <c r="M12" i="7" s="1"/>
  <c r="D19" i="7" l="1"/>
  <c r="K6" i="7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<sst xmlns="http://schemas.openxmlformats.org/spreadsheetml/2006/main" count="186" uniqueCount="55">
  <si>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</si>
  <si>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</si>
  <si>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</si>
  <si>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</si>
  <si>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</si>
  <si>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</si>
  <si>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</si>
  <si>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</si>
  <si>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</si>
  <si>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</si>
  <si>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</si>
  <si>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</si>
  <si>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</si>
  <si>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</si>
  <si>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</si>
  <si>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</si>
  <si>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</si>
  <si>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>* Introduce tu DNI, si hay letras sustituyelas por un 5 (al principio o final) si tienes menos de 8 digitos, añade 5 hasta completar 8 digitos</t>
  </si>
  <si>
    <t>Flujo de Pagos</t>
  </si>
  <si>
    <t>Coste</t>
  </si>
  <si>
    <t xml:space="preserve"> </t>
  </si>
  <si>
    <t>Retraso</t>
  </si>
  <si>
    <t>Sobrecoste</t>
  </si>
  <si>
    <t>Planificación</t>
  </si>
  <si>
    <t>Acumulado pagos (VP)</t>
  </si>
  <si>
    <t>Coste real (CR)</t>
  </si>
  <si>
    <t>Valor ganado (VG)</t>
  </si>
  <si>
    <t xml:space="preserve">NOTA: tanto las columnas "Duración" como "Retraso" utilizan como unidades semanas. </t>
  </si>
  <si>
    <t>Situación Real</t>
  </si>
  <si>
    <t>(En semana</t>
  </si>
  <si>
    <t>)</t>
  </si>
  <si>
    <t>Cost Variation (CV)</t>
  </si>
  <si>
    <t>Schedule variation (SV)</t>
  </si>
  <si>
    <t>CON ESTA INFORMACIÓN, SE PIDE APLICAR LA TÉCNICA DEL VALOR GANADO:</t>
  </si>
  <si>
    <r>
      <t xml:space="preserve">    b) Calcular el </t>
    </r>
    <r>
      <rPr>
        <b/>
        <u/>
        <sz val="14"/>
        <color theme="1"/>
        <rFont val="Calibri"/>
        <family val="2"/>
        <scheme val="minor"/>
      </rPr>
      <t>valor ganado</t>
    </r>
    <r>
      <rPr>
        <b/>
        <sz val="14"/>
        <color theme="1"/>
        <rFont val="Calibri"/>
        <family val="2"/>
        <scheme val="minor"/>
      </rPr>
      <t xml:space="preserve"> en cada semana del proyecto hasta la citada fecha. </t>
    </r>
    <r>
      <rPr>
        <sz val="14"/>
        <color theme="1"/>
        <rFont val="Calibri"/>
        <family val="2"/>
        <scheme val="minor"/>
      </rPr>
      <t>(3 puntos)</t>
    </r>
  </si>
  <si>
    <r>
      <t xml:space="preserve">    a) Calcular el </t>
    </r>
    <r>
      <rPr>
        <b/>
        <u/>
        <sz val="14"/>
        <color theme="1"/>
        <rFont val="Calibri"/>
        <family val="2"/>
        <scheme val="minor"/>
      </rPr>
      <t>coste real</t>
    </r>
    <r>
      <rPr>
        <b/>
        <sz val="14"/>
        <color theme="1"/>
        <rFont val="Calibri"/>
        <family val="2"/>
        <scheme val="minor"/>
      </rPr>
      <t xml:space="preserve"> del proyecto </t>
    </r>
    <r>
      <rPr>
        <b/>
        <u/>
        <sz val="14"/>
        <color theme="1"/>
        <rFont val="Calibri"/>
        <family val="2"/>
        <scheme val="minor"/>
      </rPr>
      <t>en cada semana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u/>
        <sz val="14"/>
        <color theme="1"/>
        <rFont val="Calibri"/>
        <family val="2"/>
        <scheme val="minor"/>
      </rPr>
      <t>hasta la fecha planificada de finalización de la tarea G</t>
    </r>
    <r>
      <rPr>
        <b/>
        <sz val="14"/>
        <color theme="1"/>
        <rFont val="Calibri"/>
        <family val="2"/>
        <scheme val="minor"/>
      </rPr>
      <t xml:space="preserve"> (ver línea roja punteada en el gráfico de la hoja "Planificación". </t>
    </r>
    <r>
      <rPr>
        <sz val="14"/>
        <color theme="1"/>
        <rFont val="Calibri"/>
        <family val="2"/>
        <scheme val="minor"/>
      </rPr>
      <t>(2 puntos)</t>
    </r>
  </si>
  <si>
    <r>
      <t xml:space="preserve">    c) Calcula los valores de Schedule variation (SV) y cost variation (CV). </t>
    </r>
    <r>
      <rPr>
        <sz val="14"/>
        <color theme="1"/>
        <rFont val="Calibri"/>
        <family val="2"/>
        <scheme val="minor"/>
      </rPr>
      <t>(1 puntos)</t>
    </r>
  </si>
  <si>
    <r>
      <t xml:space="preserve">    d) </t>
    </r>
    <r>
      <rPr>
        <b/>
        <u/>
        <sz val="14"/>
        <color theme="1"/>
        <rFont val="Calibri"/>
        <family val="2"/>
        <scheme val="minor"/>
      </rPr>
      <t>Representar gráficamente</t>
    </r>
    <r>
      <rPr>
        <b/>
        <sz val="14"/>
        <color theme="1"/>
        <rFont val="Calibri"/>
        <family val="2"/>
        <scheme val="minor"/>
      </rPr>
      <t xml:space="preserve"> las curvas de coste planificado (CP), coste real (CR) y valor ganado (VG).</t>
    </r>
    <r>
      <rPr>
        <sz val="14"/>
        <color theme="1"/>
        <rFont val="Calibri"/>
        <family val="2"/>
        <scheme val="minor"/>
      </rPr>
      <t xml:space="preserve"> (2 puntos)</t>
    </r>
  </si>
  <si>
    <r>
      <t xml:space="preserve">    e) Con la citada información comentar como se está desarrollando el proyecto. </t>
    </r>
    <r>
      <rPr>
        <sz val="14"/>
        <color theme="1"/>
        <rFont val="Calibri"/>
        <family val="2"/>
        <scheme val="minor"/>
      </rPr>
      <t>(2 puntos)</t>
    </r>
  </si>
  <si>
    <r>
      <t xml:space="preserve">    - En la columna </t>
    </r>
    <r>
      <rPr>
        <b/>
        <sz val="12"/>
        <color theme="1"/>
        <rFont val="Calibri"/>
        <family val="2"/>
        <scheme val="minor"/>
      </rPr>
      <t>"Retraso"</t>
    </r>
    <r>
      <rPr>
        <sz val="12"/>
        <color theme="1"/>
        <rFont val="Calibri"/>
        <family val="2"/>
        <scheme val="minor"/>
      </rPr>
      <t xml:space="preserve"> se muestra el retraso en la duración de ciertas actividades en relación al tiempo previsto (si el valor es negativo indica adelanto)</t>
    </r>
  </si>
  <si>
    <t>Nos encontramos en la semana:</t>
  </si>
  <si>
    <t>Durante la ejecución de este proyecto estamos realizando un seguimiento del mismo para comprobar el estado de las líneas base de proyecto.</t>
  </si>
  <si>
    <t>del proyecto, y queremos evaluar el estado actual del mismo. Disponemos de las siguiente información:</t>
  </si>
  <si>
    <r>
      <t xml:space="preserve">    - En la columna </t>
    </r>
    <r>
      <rPr>
        <b/>
        <sz val="12"/>
        <color theme="1"/>
        <rFont val="Calibri"/>
        <family val="2"/>
        <scheme val="minor"/>
      </rPr>
      <t>"Sobrecoste"</t>
    </r>
    <r>
      <rPr>
        <sz val="12"/>
        <color theme="1"/>
        <rFont val="Calibri"/>
        <family val="2"/>
        <scheme val="minor"/>
      </rPr>
      <t xml:space="preserve"> se muestra el sobrecoste detectado en ciertas actividades en relación al planificado (si el valor es negativo indica menos coste del previsto)</t>
    </r>
  </si>
  <si>
    <r>
      <t xml:space="preserve">    - </t>
    </r>
    <r>
      <rPr>
        <b/>
        <sz val="12"/>
        <color theme="1"/>
        <rFont val="Calibri"/>
        <family val="2"/>
        <scheme val="minor"/>
      </rPr>
      <t>Retraso o sobrecoste nulo</t>
    </r>
    <r>
      <rPr>
        <sz val="12"/>
        <color theme="1"/>
        <rFont val="Calibri"/>
        <family val="2"/>
        <scheme val="minor"/>
      </rPr>
      <t xml:space="preserve"> (0) indica que no disponemos de información que difiera de la planificación inicial.</t>
    </r>
  </si>
  <si>
    <t>Estamos ejecutando un proyecto cuyos datos de planificación se muestran en la siguiente tabla:</t>
  </si>
  <si>
    <r>
      <t xml:space="preserve">    - Las columnas </t>
    </r>
    <r>
      <rPr>
        <b/>
        <sz val="12"/>
        <color theme="1"/>
        <rFont val="Calibri"/>
        <family val="2"/>
        <scheme val="minor"/>
      </rPr>
      <t>"Duración" y "Coste"</t>
    </r>
    <r>
      <rPr>
        <sz val="12"/>
        <color theme="1"/>
        <rFont val="Calibri"/>
        <family val="2"/>
        <scheme val="minor"/>
      </rPr>
      <t xml:space="preserve"> hacen referencia a datos de la planificación incial del proyecto.</t>
    </r>
  </si>
  <si>
    <r>
      <t xml:space="preserve">    - El</t>
    </r>
    <r>
      <rPr>
        <b/>
        <sz val="12"/>
        <color theme="1"/>
        <rFont val="Calibri"/>
        <family val="2"/>
        <scheme val="minor"/>
      </rPr>
      <t xml:space="preserve"> cronograma real de ejecución del proyecto </t>
    </r>
    <r>
      <rPr>
        <sz val="12"/>
        <color theme="1"/>
        <rFont val="Calibri"/>
        <family val="2"/>
        <scheme val="minor"/>
      </rPr>
      <t xml:space="preserve">hasta la semana </t>
    </r>
  </si>
  <si>
    <r>
      <t xml:space="preserve">se muestra debajo del cronograma de planificación (ver cronograma </t>
    </r>
    <r>
      <rPr>
        <b/>
        <sz val="12"/>
        <color theme="1"/>
        <rFont val="Calibri"/>
        <family val="2"/>
        <scheme val="minor"/>
      </rPr>
      <t>"Situación Real"</t>
    </r>
    <r>
      <rPr>
        <sz val="12"/>
        <color theme="1"/>
        <rFont val="Calibri"/>
        <family val="2"/>
        <scheme val="minor"/>
      </rPr>
      <t>)</t>
    </r>
  </si>
  <si>
    <r>
      <t xml:space="preserve">    - Dicha planificación se completa con el cronograma y la línea base de costes que se reflejan en la hoja </t>
    </r>
    <r>
      <rPr>
        <b/>
        <sz val="12"/>
        <color theme="1"/>
        <rFont val="Calibri"/>
        <family val="2"/>
        <scheme val="minor"/>
      </rPr>
      <t>"Planificación"</t>
    </r>
    <r>
      <rPr>
        <sz val="12"/>
        <color theme="1"/>
        <rFont val="Calibri"/>
        <family val="2"/>
        <scheme val="minor"/>
      </rPr>
      <t xml:space="preserve"> (ver cronograma </t>
    </r>
    <r>
      <rPr>
        <b/>
        <sz val="12"/>
        <color theme="1"/>
        <rFont val="Calibri"/>
        <family val="2"/>
        <scheme val="minor"/>
      </rPr>
      <t>"Planificación"</t>
    </r>
    <r>
      <rPr>
        <sz val="12"/>
        <color theme="1"/>
        <rFont val="Calibri"/>
        <family val="2"/>
        <scheme val="minor"/>
      </rPr>
      <t>)</t>
    </r>
  </si>
  <si>
    <t xml:space="preserve">      En este gráfico se muestra como han afectado los retrasos o adelantos a las tareas al proyecto.</t>
  </si>
  <si>
    <t>NOTA IMPORTANTE: Suponemos que el coste de las tareas se reparte equitativamente durante la semanas en que estas se realizan.</t>
  </si>
  <si>
    <t>e)</t>
  </si>
  <si>
    <t>Alumno: Stéphane Díaz-Alejo León</t>
  </si>
  <si>
    <t>En mi caso, el proyecto tiene retrasos respecto a la planificación en las 7 primeras semanas, esto se puede ver en que el Variation Schedule es negativo en todos los casos. Respecto al coste, en las 7 semanas hay un sobrecoste, debido a que el Cost Variation es negativo en todos sus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</si>
</sst>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rgb="FFFF0000"/>
      <name val="Calibri"/>
      <family val="2"/>
      <scheme val="minor"/>
    </font>
    <font>
      <sz val="20"/>
      <color rgb="FF00B050"/>
      <name val="Arial"/>
      <family val="2"/>
    </font>
    <font>
      <sz val="12"/>
      <color rgb="FF000000"/>
      <name val="Arial"/>
      <family val="2"/>
    </font>
    <font>
      <sz val="14"/>
      <color theme="0"/>
      <name val="Arial"/>
      <family val="2"/>
    </font>
    <font>
      <b/>
      <sz val="16"/>
      <color theme="1"/>
      <name val="Arial"/>
      <family val="2"/>
    </font>
    <font>
      <b/>
      <sz val="2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</borders>
  <cellStyleXfs count="2">
    <xf numFmtId="0" fontId="0" fillId="0" borderId="0"/>
    <xf numFmtId="0" fontId="6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0" fontId="2" fillId="0" borderId="0" xfId="0" applyFont="1" applyBorder="1"/>
    <xf numFmtId="1" fontId="5" fillId="0" borderId="37" xfId="0" applyNumberFormat="1" applyFont="1" applyBorder="1" applyAlignment="1">
      <alignment horizontal="center"/>
    </xf>
    <xf numFmtId="0" fontId="6" fillId="0" borderId="0" xfId="1"/>
    <xf numFmtId="1" fontId="7" fillId="0" borderId="1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0" fillId="0" borderId="0" xfId="0" applyFont="1"/>
    <xf numFmtId="0" fontId="9" fillId="0" borderId="9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/>
    <xf numFmtId="0" fontId="12" fillId="0" borderId="0" xfId="0" applyFont="1" applyBorder="1"/>
    <xf numFmtId="0" fontId="12" fillId="0" borderId="0" xfId="0" applyFont="1"/>
    <xf numFmtId="0" fontId="2" fillId="0" borderId="38" xfId="0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6" fillId="0" borderId="0" xfId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Border="1"/>
    <xf numFmtId="0" fontId="7" fillId="0" borderId="0" xfId="0" applyFont="1" applyBorder="1" applyAlignment="1">
      <alignment horizontal="center"/>
    </xf>
    <xf numFmtId="0" fontId="15" fillId="3" borderId="39" xfId="0" applyFont="1" applyFill="1" applyBorder="1"/>
    <xf numFmtId="0" fontId="16" fillId="3" borderId="41" xfId="0" applyFont="1" applyFill="1" applyBorder="1" applyAlignment="1">
      <alignment horizontal="center" vertical="center"/>
    </xf>
    <xf numFmtId="0" fontId="17" fillId="3" borderId="39" xfId="0" applyFont="1" applyFill="1" applyBorder="1"/>
    <xf numFmtId="0" fontId="18" fillId="3" borderId="41" xfId="0" applyFont="1" applyFill="1" applyBorder="1" applyAlignment="1">
      <alignment horizontal="center" vertical="center"/>
    </xf>
    <xf numFmtId="0" fontId="8" fillId="0" borderId="0" xfId="1" applyFont="1"/>
    <xf numFmtId="0" fontId="13" fillId="0" borderId="8" xfId="0" applyFont="1" applyBorder="1" applyAlignment="1">
      <alignment horizontal="center"/>
    </xf>
    <xf numFmtId="1" fontId="19" fillId="0" borderId="37" xfId="0" applyNumberFormat="1" applyFont="1" applyBorder="1" applyAlignment="1">
      <alignment horizontal="center"/>
    </xf>
    <xf numFmtId="0" fontId="8" fillId="0" borderId="0" xfId="0" applyFont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1" fontId="1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23" fillId="0" borderId="0" xfId="0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0" fontId="27" fillId="3" borderId="39" xfId="0" applyFont="1" applyFill="1" applyBorder="1"/>
    <xf numFmtId="0" fontId="12" fillId="0" borderId="38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center" vertical="center"/>
    </xf>
    <xf numFmtId="0" fontId="28" fillId="3" borderId="39" xfId="0" applyFont="1" applyFill="1" applyBorder="1"/>
    <xf numFmtId="0" fontId="29" fillId="3" borderId="39" xfId="0" applyFont="1" applyFill="1" applyBorder="1"/>
    <xf numFmtId="164" fontId="2" fillId="0" borderId="10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2" fillId="0" borderId="0" xfId="0" applyFont="1"/>
    <xf numFmtId="1" fontId="3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10"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VP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Planificación!$J$18:$P$18</c:f>
              <c:numCache>
                <c:formatCode>General</c:formatCode>
                <c:ptCount val="7"/>
                <c:pt idx="0">
                  <c:v>1400</c:v>
                </c:pt>
                <c:pt idx="1">
                  <c:v>2800</c:v>
                </c:pt>
                <c:pt idx="2">
                  <c:v>4900</c:v>
                </c:pt>
                <c:pt idx="3">
                  <c:v>7000</c:v>
                </c:pt>
                <c:pt idx="4">
                  <c:v>8400</c:v>
                </c:pt>
                <c:pt idx="5">
                  <c:v>9800</c:v>
                </c:pt>
                <c:pt idx="6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FEF-A7A4-6E16D98530D0}"/>
            </c:ext>
          </c:extLst>
        </c:ser>
        <c:ser>
          <c:idx val="1"/>
          <c:order val="1"/>
          <c:tx>
            <c:v>CR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Planificación!$J$19:$P$19</c:f>
              <c:numCache>
                <c:formatCode>General</c:formatCode>
                <c:ptCount val="7"/>
                <c:pt idx="0">
                  <c:v>916.66666666666674</c:v>
                </c:pt>
                <c:pt idx="1">
                  <c:v>1833.3333333333335</c:v>
                </c:pt>
                <c:pt idx="2">
                  <c:v>2900</c:v>
                </c:pt>
                <c:pt idx="3">
                  <c:v>5441.6666666666661</c:v>
                </c:pt>
                <c:pt idx="4">
                  <c:v>7983.3333333333321</c:v>
                </c:pt>
                <c:pt idx="5">
                  <c:v>10524.999999999998</c:v>
                </c:pt>
                <c:pt idx="6">
                  <c:v>12199.999999999998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FEF-A7A4-6E16D98530D0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Planificación!$J$20:$P$20</c:f>
              <c:numCache>
                <c:formatCode>General</c:formatCode>
                <c:ptCount val="7"/>
                <c:pt idx="0">
                  <c:v>816.66666666666674</c:v>
                </c:pt>
                <c:pt idx="1">
                  <c:v>1633.3333333333335</c:v>
                </c:pt>
                <c:pt idx="2">
                  <c:v>2700</c:v>
                </c:pt>
                <c:pt idx="3">
                  <c:v>4641.666666666667</c:v>
                </c:pt>
                <c:pt idx="4">
                  <c:v>6583.3333333333339</c:v>
                </c:pt>
                <c:pt idx="5">
                  <c:v>8525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2-4FEF-A7A4-6E16D985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70807960"/>
        <c:axId val="470809928"/>
      </c:lineChart>
      <c:catAx>
        <c:axId val="470807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809928"/>
        <c:crosses val="autoZero"/>
        <c:auto val="1"/>
        <c:lblAlgn val="ctr"/>
        <c:lblOffset val="100"/>
        <c:noMultiLvlLbl val="0"/>
      </c:catAx>
      <c:valAx>
        <c:axId val="470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80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-1</xdr:colOff>
      <xdr:row>36</xdr:row>
      <xdr:rowOff>25399</xdr:rowOff>
    </xdr:from>
    <xdr:to>
      <xdr:col>21</xdr:col>
      <xdr:colOff>897467</xdr:colOff>
      <xdr:row>57</xdr:row>
      <xdr:rowOff>270933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AA045A-59C7-494C-AEEB-D6B0ADCE4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30</xdr:row>
      <xdr:rowOff>160020</xdr:rowOff>
    </xdr:from>
    <xdr:to>
      <xdr:col>10</xdr:col>
      <xdr:colOff>15240</xdr:colOff>
      <xdr:row>32</xdr:row>
      <xdr:rowOff>144780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3631276" y="700347"/>
          <a:ext cx="651164" cy="34497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34</xdr:row>
      <xdr:rowOff>0</xdr:rowOff>
    </xdr:from>
    <xdr:to>
      <xdr:col>10</xdr:col>
      <xdr:colOff>22860</xdr:colOff>
      <xdr:row>37</xdr:row>
      <xdr:rowOff>38100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3645131" y="1260764"/>
          <a:ext cx="644929" cy="5784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42</xdr:row>
      <xdr:rowOff>114300</xdr:rowOff>
    </xdr:from>
    <xdr:to>
      <xdr:col>11</xdr:col>
      <xdr:colOff>7620</xdr:colOff>
      <xdr:row>45</xdr:row>
      <xdr:rowOff>30480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V="1">
          <a:off x="3326476" y="2815936"/>
          <a:ext cx="1266999" cy="45650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30</xdr:row>
      <xdr:rowOff>91440</xdr:rowOff>
    </xdr:from>
    <xdr:to>
      <xdr:col>16</xdr:col>
      <xdr:colOff>0</xdr:colOff>
      <xdr:row>31</xdr:row>
      <xdr:rowOff>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5557058" y="631767"/>
          <a:ext cx="622069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31</xdr:row>
      <xdr:rowOff>121920</xdr:rowOff>
    </xdr:from>
    <xdr:to>
      <xdr:col>15</xdr:col>
      <xdr:colOff>320040</xdr:colOff>
      <xdr:row>36</xdr:row>
      <xdr:rowOff>38100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5549438" y="842356"/>
          <a:ext cx="631075" cy="8167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37</xdr:row>
      <xdr:rowOff>15240</xdr:rowOff>
    </xdr:from>
    <xdr:to>
      <xdr:col>16</xdr:col>
      <xdr:colOff>7620</xdr:colOff>
      <xdr:row>37</xdr:row>
      <xdr:rowOff>99060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5564678" y="1816331"/>
          <a:ext cx="622069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42</xdr:row>
      <xdr:rowOff>167640</xdr:rowOff>
    </xdr:from>
    <xdr:to>
      <xdr:col>17</xdr:col>
      <xdr:colOff>15240</xdr:colOff>
      <xdr:row>43</xdr:row>
      <xdr:rowOff>60960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5883333" y="2869276"/>
          <a:ext cx="629689" cy="7342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30</xdr:row>
      <xdr:rowOff>144780</xdr:rowOff>
    </xdr:from>
    <xdr:to>
      <xdr:col>21</xdr:col>
      <xdr:colOff>320040</xdr:colOff>
      <xdr:row>31</xdr:row>
      <xdr:rowOff>53340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V="1">
          <a:off x="7461365" y="685107"/>
          <a:ext cx="631075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39</xdr:row>
      <xdr:rowOff>15240</xdr:rowOff>
    </xdr:from>
    <xdr:to>
      <xdr:col>18</xdr:col>
      <xdr:colOff>281940</xdr:colOff>
      <xdr:row>41</xdr:row>
      <xdr:rowOff>15240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6703522" y="2176549"/>
          <a:ext cx="394854" cy="36021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33</xdr:row>
      <xdr:rowOff>0</xdr:rowOff>
    </xdr:from>
    <xdr:to>
      <xdr:col>24</xdr:col>
      <xdr:colOff>30480</xdr:colOff>
      <xdr:row>35</xdr:row>
      <xdr:rowOff>15240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8706889" y="1080655"/>
          <a:ext cx="51955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39</xdr:row>
      <xdr:rowOff>7620</xdr:rowOff>
    </xdr:from>
    <xdr:to>
      <xdr:col>23</xdr:col>
      <xdr:colOff>76200</xdr:colOff>
      <xdr:row>43</xdr:row>
      <xdr:rowOff>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7773785" y="2168929"/>
          <a:ext cx="712124" cy="71281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39</xdr:row>
      <xdr:rowOff>7620</xdr:rowOff>
    </xdr:from>
    <xdr:to>
      <xdr:col>24</xdr:col>
      <xdr:colOff>312420</xdr:colOff>
      <xdr:row>42</xdr:row>
      <xdr:rowOff>22860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758844" y="2168929"/>
          <a:ext cx="281940" cy="5555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36</xdr:row>
      <xdr:rowOff>114300</xdr:rowOff>
    </xdr:from>
    <xdr:to>
      <xdr:col>28</xdr:col>
      <xdr:colOff>15240</xdr:colOff>
      <xdr:row>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>
          <a:off x="9388533" y="1735282"/>
          <a:ext cx="629689" cy="4260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46</xdr:row>
      <xdr:rowOff>0</xdr:rowOff>
    </xdr:from>
    <xdr:to>
      <xdr:col>25</xdr:col>
      <xdr:colOff>15240</xdr:colOff>
      <xdr:row>48</xdr:row>
      <xdr:rowOff>15240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010304" y="3422073"/>
          <a:ext cx="51954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43</xdr:row>
      <xdr:rowOff>7620</xdr:rowOff>
    </xdr:from>
    <xdr:to>
      <xdr:col>28</xdr:col>
      <xdr:colOff>297180</xdr:colOff>
      <xdr:row>44</xdr:row>
      <xdr:rowOff>160020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>
          <a:off x="9691947" y="2889365"/>
          <a:ext cx="608215" cy="3325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41</xdr:row>
      <xdr:rowOff>7620</xdr:rowOff>
    </xdr:from>
    <xdr:to>
      <xdr:col>29</xdr:col>
      <xdr:colOff>259080</xdr:colOff>
      <xdr:row>44</xdr:row>
      <xdr:rowOff>167640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10557856" y="2529147"/>
          <a:ext cx="22860" cy="70034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31" zoomScale="115" zoomScaleNormal="115" workbookViewId="0">
      <selection activeCell="B45" sqref="B45"/>
    </sheetView>
  </sheetViews>
  <sheetFormatPr baseColWidth="10" defaultRowHeight="14.4"/>
  <cols>
    <col min="3" max="3" width="12.21875" customWidth="1"/>
    <col min="4" max="4" width="9.88671875" customWidth="1"/>
    <col min="5" max="5" width="11.5546875" style="1"/>
  </cols>
  <sheetData>
    <row r="1" spans="1:14" ht="18">
      <c r="A1" s="78" t="s">
        <v>17</v>
      </c>
      <c r="B1" s="40"/>
      <c r="C1" s="40"/>
      <c r="D1" s="40"/>
      <c r="E1" s="65"/>
      <c r="F1" s="40"/>
      <c r="G1" s="40"/>
      <c r="H1" s="40"/>
      <c r="I1" s="40"/>
    </row>
    <row r="2" spans="1:14" ht="15" thickBot="1"/>
    <row r="3" spans="1:14" ht="16.2" thickBot="1">
      <c r="B3" s="79" t="s">
        <v>9</v>
      </c>
      <c r="C3" s="80">
        <v>46075555</v>
      </c>
      <c r="D3" s="68"/>
      <c r="E3" s="1" t="s">
        <v>53</v>
      </c>
    </row>
    <row r="4" spans="1:14">
      <c r="B4" s="73"/>
      <c r="C4" s="68"/>
      <c r="D4" s="68"/>
    </row>
    <row r="5" spans="1:14" ht="18">
      <c r="A5" s="81" t="s">
        <v>45</v>
      </c>
      <c r="B5" s="73"/>
      <c r="C5" s="68"/>
      <c r="D5" s="68"/>
    </row>
    <row r="6" spans="1:14" ht="15.6">
      <c r="A6" s="108" t="s">
        <v>46</v>
      </c>
      <c r="B6" s="109"/>
      <c r="C6" s="110"/>
      <c r="D6" s="110"/>
      <c r="E6" s="111"/>
      <c r="F6" s="108"/>
      <c r="G6" s="108"/>
      <c r="H6" s="108"/>
      <c r="I6" s="108"/>
      <c r="J6" s="108"/>
      <c r="K6" s="108"/>
      <c r="L6" s="108"/>
      <c r="M6" s="108"/>
      <c r="N6" s="108"/>
    </row>
    <row r="7" spans="1:14" ht="15.6">
      <c r="A7" s="108" t="s">
        <v>49</v>
      </c>
      <c r="B7" s="108"/>
      <c r="C7" s="108"/>
      <c r="D7" s="108"/>
      <c r="E7" s="111"/>
      <c r="F7" s="108"/>
      <c r="G7" s="108"/>
      <c r="H7" s="108"/>
      <c r="I7" s="108"/>
      <c r="J7" s="108"/>
      <c r="K7" s="108"/>
      <c r="L7" s="108"/>
      <c r="M7" s="108"/>
      <c r="N7" s="108"/>
    </row>
    <row r="8" spans="1:14" ht="15.6">
      <c r="A8" s="112" t="s">
        <v>41</v>
      </c>
      <c r="B8" s="108"/>
      <c r="C8" s="108"/>
      <c r="D8" s="108"/>
      <c r="E8" s="111"/>
      <c r="F8" s="108"/>
      <c r="G8" s="108"/>
      <c r="H8" s="108"/>
      <c r="I8" s="108"/>
      <c r="J8" s="108"/>
      <c r="K8" s="108"/>
      <c r="L8" s="108"/>
      <c r="M8" s="108"/>
      <c r="N8" s="108"/>
    </row>
    <row r="9" spans="1:14" ht="15.6">
      <c r="A9" s="112" t="s">
        <v>40</v>
      </c>
      <c r="B9" s="108"/>
      <c r="D9" s="113">
        <f>Caminocrítico!$O$16</f>
        <v>7</v>
      </c>
      <c r="E9" s="114" t="s">
        <v>42</v>
      </c>
      <c r="F9" s="108"/>
      <c r="G9" s="108"/>
      <c r="H9" s="108"/>
      <c r="I9" s="108"/>
      <c r="J9" s="108"/>
      <c r="K9" s="108"/>
      <c r="L9" s="108"/>
      <c r="M9" s="108"/>
      <c r="N9" s="108"/>
    </row>
    <row r="10" spans="1:14" ht="15.6">
      <c r="A10" s="108" t="s">
        <v>39</v>
      </c>
      <c r="B10" s="108"/>
      <c r="C10" s="108"/>
      <c r="D10" s="108"/>
      <c r="E10" s="111"/>
      <c r="F10" s="108"/>
      <c r="G10" s="108"/>
      <c r="H10" s="108"/>
      <c r="I10" s="108"/>
      <c r="J10" s="108"/>
      <c r="K10" s="108"/>
      <c r="L10" s="108"/>
      <c r="M10" s="108"/>
      <c r="N10" s="108"/>
    </row>
    <row r="11" spans="1:14" ht="15.6">
      <c r="A11" s="108" t="s">
        <v>43</v>
      </c>
      <c r="B11" s="108"/>
      <c r="C11" s="108"/>
      <c r="D11" s="108"/>
      <c r="E11" s="111"/>
      <c r="F11" s="108"/>
      <c r="G11" s="108"/>
      <c r="H11" s="108"/>
      <c r="I11" s="108"/>
      <c r="J11" s="108"/>
      <c r="K11" s="108"/>
      <c r="L11" s="108"/>
      <c r="M11" s="108"/>
      <c r="N11" s="108"/>
    </row>
    <row r="12" spans="1:14" ht="15.6">
      <c r="A12" s="108" t="s">
        <v>44</v>
      </c>
      <c r="B12" s="108"/>
      <c r="C12" s="108"/>
      <c r="D12" s="108"/>
      <c r="E12" s="111"/>
      <c r="F12" s="108"/>
      <c r="G12" s="108"/>
      <c r="H12" s="108"/>
      <c r="I12" s="108"/>
      <c r="J12" s="108"/>
      <c r="K12" s="108"/>
      <c r="L12" s="108"/>
      <c r="M12" s="108"/>
      <c r="N12" s="108"/>
    </row>
    <row r="13" spans="1:14" ht="15.6">
      <c r="A13" s="108" t="s">
        <v>47</v>
      </c>
      <c r="B13" s="108"/>
      <c r="C13" s="108"/>
      <c r="D13" s="108"/>
      <c r="E13" s="111"/>
      <c r="F13" s="108"/>
      <c r="G13" s="113">
        <f>Caminocrítico!$O$16</f>
        <v>7</v>
      </c>
      <c r="H13" s="108" t="s">
        <v>48</v>
      </c>
      <c r="I13" s="108"/>
      <c r="J13" s="108"/>
      <c r="K13" s="108"/>
      <c r="L13" s="108"/>
      <c r="M13" s="108"/>
      <c r="N13" s="108"/>
    </row>
    <row r="14" spans="1:14" ht="15.6">
      <c r="A14" s="108" t="s">
        <v>50</v>
      </c>
      <c r="B14" s="108"/>
      <c r="C14" s="108"/>
      <c r="D14" s="108"/>
      <c r="E14" s="111"/>
      <c r="F14" s="108"/>
      <c r="G14" s="108"/>
      <c r="H14" s="108"/>
      <c r="I14" s="108"/>
      <c r="J14" s="108"/>
      <c r="K14" s="108"/>
      <c r="L14" s="108"/>
      <c r="M14" s="108"/>
      <c r="N14" s="108"/>
    </row>
    <row r="15" spans="1:14" ht="15.6">
      <c r="A15" s="108"/>
      <c r="B15" s="108"/>
      <c r="C15" s="108"/>
      <c r="D15" s="108"/>
      <c r="E15" s="111"/>
      <c r="F15" s="108"/>
      <c r="G15" s="108"/>
      <c r="H15" s="108"/>
      <c r="I15" s="108"/>
      <c r="J15" s="108"/>
      <c r="K15" s="108"/>
      <c r="L15" s="108"/>
      <c r="M15" s="108"/>
      <c r="N15" s="108"/>
    </row>
    <row r="16" spans="1:14" ht="18">
      <c r="A16" s="81" t="s">
        <v>27</v>
      </c>
    </row>
    <row r="17" spans="1:6" ht="18">
      <c r="A17" s="81"/>
      <c r="B17" s="115"/>
      <c r="C17" s="115"/>
      <c r="D17" s="115"/>
      <c r="E17" s="116"/>
      <c r="F17" s="115"/>
    </row>
    <row r="18" spans="1:6" ht="18">
      <c r="B18" s="66" t="s">
        <v>13</v>
      </c>
      <c r="C18" s="41" t="s">
        <v>16</v>
      </c>
      <c r="D18" s="41" t="s">
        <v>21</v>
      </c>
      <c r="E18" s="67" t="s">
        <v>19</v>
      </c>
      <c r="F18" s="67" t="s">
        <v>22</v>
      </c>
    </row>
    <row r="19" spans="1:6">
      <c r="B19" s="62" t="s">
        <v>0</v>
      </c>
      <c r="C19" s="7">
        <f>INT((5-MID(C3,1,1))/4)+2</f>
        <v>2</v>
      </c>
      <c r="D19" s="7">
        <f>IF(INT(MID(C$3,1,1))&gt;3,1,-1)</f>
        <v>1</v>
      </c>
      <c r="E19" s="103">
        <f>C19*100*(MID($C$3,5,1)+2)</f>
        <v>1400</v>
      </c>
      <c r="F19" s="7">
        <f>IF(D19&gt;2,1,-1)*INT(MID(C$3,8,1)*20*(C19+D19))</f>
        <v>-300</v>
      </c>
    </row>
    <row r="20" spans="1:6">
      <c r="B20" s="63" t="s">
        <v>10</v>
      </c>
      <c r="C20" s="64">
        <f>INT((5-MID(C3,2,1))/4)+2</f>
        <v>1</v>
      </c>
      <c r="D20" s="7">
        <f>IF(INT(MID(C$3,2,1))&gt;3,1,-1)</f>
        <v>1</v>
      </c>
      <c r="E20" s="103">
        <f t="shared" ref="E20:E32" si="0">C20*100*(MID($C$3,5,1)+2)</f>
        <v>700</v>
      </c>
      <c r="F20" s="7">
        <f>IF(INT(MID(C$3,2,1))&gt;2,2,-1)*INT(MID(C$3,7,1)*20*(C20+D20))</f>
        <v>400</v>
      </c>
    </row>
    <row r="21" spans="1:6">
      <c r="B21" s="63" t="s">
        <v>6</v>
      </c>
      <c r="C21" s="64">
        <f>INT((5-MID(C3,3,1))/2)+3</f>
        <v>5</v>
      </c>
      <c r="D21" s="7">
        <f>IF(INT(MID(C$3,3,1))&gt;3,1,-1)</f>
        <v>-1</v>
      </c>
      <c r="E21" s="103">
        <f t="shared" si="0"/>
        <v>3500</v>
      </c>
      <c r="F21" s="7">
        <f>IF(INT(MID(C$3,1,1))&gt;3,1,-1)*INT(MID(C$3,6,1)*20*(C21+D21))</f>
        <v>400</v>
      </c>
    </row>
    <row r="22" spans="1:6">
      <c r="B22" s="63" t="s">
        <v>11</v>
      </c>
      <c r="C22" s="64">
        <f>INT((5-MID(C3,4,1))/2)+3</f>
        <v>2</v>
      </c>
      <c r="D22" s="7">
        <f>IF(INT(MID(C$3,4,1))&gt;3,1,-1)</f>
        <v>1</v>
      </c>
      <c r="E22" s="103">
        <f t="shared" si="0"/>
        <v>1400</v>
      </c>
      <c r="F22" s="7">
        <f>IF(INT(MID(C$3,1,1))&gt;2,4,-1)*INT(MID(C$3,5,1)*20*(C22+D22))</f>
        <v>1200</v>
      </c>
    </row>
    <row r="23" spans="1:6">
      <c r="B23" s="63" t="s">
        <v>3</v>
      </c>
      <c r="C23" s="64">
        <f>INT((5-MID(C3,5,1))/4)+2</f>
        <v>2</v>
      </c>
      <c r="D23" s="7">
        <f>IF(INT(MID(C$3,5,1))&gt;3,1,-1)</f>
        <v>1</v>
      </c>
      <c r="E23" s="103">
        <f t="shared" si="0"/>
        <v>1400</v>
      </c>
      <c r="F23" s="7">
        <f>IF(INT(MID(C$3,1,1))&gt;2,5,-1)*INT(MID(C$3,4,1)*20*(C23+D23))</f>
        <v>2100</v>
      </c>
    </row>
    <row r="24" spans="1:6">
      <c r="B24" s="63" t="s">
        <v>1</v>
      </c>
      <c r="C24" s="64">
        <f>INT((5-MID(C3,6,1))/4)+2</f>
        <v>2</v>
      </c>
      <c r="D24" s="7">
        <f>IF(INT(MID(C$3,6,1))&gt;3,1,-1)</f>
        <v>1</v>
      </c>
      <c r="E24" s="103">
        <f t="shared" si="0"/>
        <v>1400</v>
      </c>
      <c r="F24" s="7">
        <f>IF(INT(MID(C$3,1,1))&gt;2,6,-1)*INT(MID(C$3,3,1)*20*(C24+D24))</f>
        <v>0</v>
      </c>
    </row>
    <row r="25" spans="1:6" ht="15" thickBot="1">
      <c r="B25" s="69" t="s">
        <v>12</v>
      </c>
      <c r="C25" s="70">
        <f>INT(MID(C3,7,1)/3)+5</f>
        <v>6</v>
      </c>
      <c r="D25" s="70">
        <f>IF(INT(MID(C$3,7,1))&gt;2,1,-1)</f>
        <v>1</v>
      </c>
      <c r="E25" s="104">
        <f t="shared" si="0"/>
        <v>4200</v>
      </c>
      <c r="F25" s="70">
        <f>IF(INT(MID(C$3,1,1))&gt;2,1,-1)*INT(MID(C$3,8,1)*20*(C25+D25))</f>
        <v>700</v>
      </c>
    </row>
    <row r="26" spans="1:6" ht="15" thickTop="1">
      <c r="B26" s="62" t="s">
        <v>2</v>
      </c>
      <c r="C26" s="7">
        <f>INT((5-MID(C3,8,1))/4)+2</f>
        <v>2</v>
      </c>
      <c r="D26" s="7">
        <v>0</v>
      </c>
      <c r="E26" s="103">
        <f t="shared" si="0"/>
        <v>1400</v>
      </c>
      <c r="F26" s="103">
        <v>0</v>
      </c>
    </row>
    <row r="27" spans="1:6">
      <c r="B27" s="63" t="s">
        <v>7</v>
      </c>
      <c r="C27" s="64">
        <f>INT((5-MID(C3,2,1))/3)+3</f>
        <v>2</v>
      </c>
      <c r="D27" s="7">
        <v>0</v>
      </c>
      <c r="E27" s="103">
        <f t="shared" si="0"/>
        <v>1400</v>
      </c>
      <c r="F27" s="105">
        <v>0</v>
      </c>
    </row>
    <row r="28" spans="1:6">
      <c r="B28" s="63" t="s">
        <v>5</v>
      </c>
      <c r="C28" s="64">
        <f>INT((5-MID(C3,3,1))/3)+3</f>
        <v>4</v>
      </c>
      <c r="D28" s="7">
        <v>0</v>
      </c>
      <c r="E28" s="103">
        <f t="shared" si="0"/>
        <v>2800</v>
      </c>
      <c r="F28" s="105">
        <v>0</v>
      </c>
    </row>
    <row r="29" spans="1:6">
      <c r="B29" s="63" t="s">
        <v>4</v>
      </c>
      <c r="C29" s="64">
        <f>INT((5-MID(C3,4,1))/4)+2</f>
        <v>1</v>
      </c>
      <c r="D29" s="7">
        <v>0</v>
      </c>
      <c r="E29" s="103">
        <f t="shared" si="0"/>
        <v>700</v>
      </c>
      <c r="F29" s="105">
        <v>0</v>
      </c>
    </row>
    <row r="30" spans="1:6">
      <c r="B30" s="63" t="s">
        <v>8</v>
      </c>
      <c r="C30" s="64">
        <f>INT((5-MID(C3,5,1))/2)+3</f>
        <v>3</v>
      </c>
      <c r="D30" s="7">
        <v>0</v>
      </c>
      <c r="E30" s="103">
        <f t="shared" si="0"/>
        <v>2100</v>
      </c>
      <c r="F30" s="105">
        <v>0</v>
      </c>
    </row>
    <row r="31" spans="1:6">
      <c r="B31" s="63" t="s">
        <v>14</v>
      </c>
      <c r="C31" s="64">
        <f>INT((5-MID(C3,6,1))/4)+2</f>
        <v>2</v>
      </c>
      <c r="D31" s="7">
        <v>0</v>
      </c>
      <c r="E31" s="103">
        <f t="shared" si="0"/>
        <v>1400</v>
      </c>
      <c r="F31" s="105">
        <v>0</v>
      </c>
    </row>
    <row r="32" spans="1:6">
      <c r="B32" s="63" t="s">
        <v>15</v>
      </c>
      <c r="C32" s="64">
        <f>INT(MID(C3,8,1)/3)+2</f>
        <v>3</v>
      </c>
      <c r="D32" s="7">
        <v>0</v>
      </c>
      <c r="E32" s="103">
        <f t="shared" si="0"/>
        <v>2100</v>
      </c>
      <c r="F32" s="105">
        <v>0</v>
      </c>
    </row>
    <row r="35" spans="1:2" ht="18">
      <c r="A35" s="81" t="s">
        <v>33</v>
      </c>
    </row>
    <row r="36" spans="1:2" ht="18">
      <c r="A36" s="81" t="s">
        <v>35</v>
      </c>
    </row>
    <row r="37" spans="1:2" ht="18">
      <c r="A37" s="81" t="s">
        <v>34</v>
      </c>
    </row>
    <row r="38" spans="1:2" ht="18">
      <c r="A38" s="81" t="s">
        <v>36</v>
      </c>
    </row>
    <row r="39" spans="1:2" ht="18">
      <c r="A39" s="81" t="s">
        <v>37</v>
      </c>
    </row>
    <row r="40" spans="1:2" ht="18">
      <c r="A40" s="81" t="s">
        <v>38</v>
      </c>
    </row>
    <row r="42" spans="1:2" ht="18">
      <c r="A42" s="81" t="s">
        <v>51</v>
      </c>
    </row>
    <row r="44" spans="1:2" ht="18">
      <c r="A44" s="81" t="s">
        <v>52</v>
      </c>
      <c r="B44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2"/>
  <sheetViews>
    <sheetView zoomScale="45" zoomScaleNormal="45" workbookViewId="0">
      <selection activeCell="C18" sqref="C18"/>
    </sheetView>
  </sheetViews>
  <sheetFormatPr baseColWidth="10" defaultColWidth="3.33203125" defaultRowHeight="24.9" customHeight="1"/>
  <cols>
    <col min="1" max="1" width="12.88671875" style="4" customWidth="1"/>
    <col min="2" max="4" width="17.33203125" style="4" customWidth="1"/>
    <col min="5" max="5" width="20.109375" style="16" customWidth="1"/>
    <col min="6" max="6" width="10.44140625" style="16" customWidth="1"/>
    <col min="7" max="7" width="7.6640625" style="16" customWidth="1"/>
    <col min="8" max="8" width="11.33203125" style="16" customWidth="1"/>
    <col min="9" max="47" width="15.6640625" style="16" customWidth="1"/>
    <col min="48" max="51" width="3.33203125" style="16"/>
    <col min="52" max="16384" width="3.33203125" style="4"/>
  </cols>
  <sheetData>
    <row r="1" spans="1:84" ht="24.9" customHeight="1">
      <c r="A1" s="42" t="s">
        <v>13</v>
      </c>
      <c r="B1" s="43" t="s">
        <v>16</v>
      </c>
      <c r="C1" s="43" t="s">
        <v>21</v>
      </c>
      <c r="D1" s="43" t="s">
        <v>19</v>
      </c>
      <c r="E1" s="44" t="s">
        <v>22</v>
      </c>
      <c r="F1" s="72" t="s">
        <v>23</v>
      </c>
      <c r="G1" s="84"/>
      <c r="H1" s="45"/>
      <c r="I1" s="46" t="s">
        <v>13</v>
      </c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84" ht="24.9" customHeight="1">
      <c r="A2" s="47" t="s">
        <v>0</v>
      </c>
      <c r="B2" s="48">
        <f>Enunciado!C19</f>
        <v>2</v>
      </c>
      <c r="C2" s="96">
        <f>Enunciado!D19</f>
        <v>1</v>
      </c>
      <c r="D2" s="48">
        <f>Enunciado!E19</f>
        <v>1400</v>
      </c>
      <c r="E2" s="93">
        <f>Enunciado!F19</f>
        <v>-300</v>
      </c>
      <c r="F2" s="45"/>
      <c r="G2" s="45" t="s">
        <v>20</v>
      </c>
      <c r="H2" s="49"/>
      <c r="I2" s="42" t="s">
        <v>0</v>
      </c>
      <c r="J2" s="99" t="str">
        <f>IF(AND(J$16&gt;=Caminocrítico!$E$6+1,J$16&lt;=Caminocrítico!$H$6),$G2,"")</f>
        <v xml:space="preserve"> </v>
      </c>
      <c r="K2" s="99" t="str">
        <f>IF(AND(K$16&gt;=Caminocrítico!$E$6+1,K$16&lt;=Caminocrítico!$H$6),$G2,"")</f>
        <v xml:space="preserve"> </v>
      </c>
      <c r="L2" s="99" t="str">
        <f>IF(AND(L$16&gt;=Caminocrítico!$E$6+1,L$16&lt;=Caminocrítico!$H$6),$G2,"")</f>
        <v/>
      </c>
      <c r="M2" s="99" t="str">
        <f>IF(AND(M$16&gt;=Caminocrítico!$E$6+1,M$16&lt;=Caminocrítico!$H$6),$G2,"")</f>
        <v/>
      </c>
      <c r="N2" s="99" t="str">
        <f>IF(AND(N$16&gt;=Caminocrítico!$E$6+1,N$16&lt;=Caminocrítico!$H$6),$G2,"")</f>
        <v/>
      </c>
      <c r="O2" s="100" t="str">
        <f>IF(AND(O$16&gt;=Caminocrítico!$E$6+1,O$16&lt;=Caminocrítico!$H$6),$G2,"")</f>
        <v/>
      </c>
      <c r="P2" s="99" t="str">
        <f>IF(AND(P$16&gt;=Caminocrítico!$E$6+1,P$16&lt;=Caminocrítico!$H$6),$G2,"")</f>
        <v/>
      </c>
      <c r="Q2" s="99" t="str">
        <f>IF(AND(Q$16&gt;=Caminocrítico!$E$6+1,Q$16&lt;=Caminocrítico!$H$6),$G2,"")</f>
        <v/>
      </c>
      <c r="R2" s="99" t="str">
        <f>IF(AND(R$16&gt;=Caminocrítico!$E$6+1,R$16&lt;=Caminocrítico!$H$6),$G2,"")</f>
        <v/>
      </c>
      <c r="S2" s="99" t="str">
        <f>IF(AND(S$16&gt;=Caminocrítico!$E$6+1,S$16&lt;=Caminocrítico!$H$6),$G2,"")</f>
        <v/>
      </c>
      <c r="T2" s="99" t="str">
        <f>IF(AND(T$16&gt;=Caminocrítico!$E$6+1,T$16&lt;=Caminocrítico!$H$6),$G2,"")</f>
        <v/>
      </c>
      <c r="U2" s="99" t="str">
        <f>IF(AND(U$16&gt;=Caminocrítico!$E$6+1,U$16&lt;=Caminocrítico!$H$6),$G2,"")</f>
        <v/>
      </c>
      <c r="V2" s="99" t="str">
        <f>IF(AND(V$16&gt;=Caminocrítico!$E$6+1,V$16&lt;=Caminocrítico!$H$6),$G2,"")</f>
        <v/>
      </c>
      <c r="W2" s="99" t="str">
        <f>IF(AND(W$16&gt;=Caminocrítico!$E$6+1,W$16&lt;=Caminocrítico!$H$6),$G2,"")</f>
        <v/>
      </c>
      <c r="X2" s="99" t="str">
        <f>IF(AND(X$16&gt;=Caminocrítico!$E$6+1,X$16&lt;=Caminocrítico!$H$6),$G2,"")</f>
        <v/>
      </c>
      <c r="Y2" s="99" t="str">
        <f>IF(AND(Y$16&gt;=Caminocrítico!$E$6+1,Y$16&lt;=Caminocrítico!$H$6),$G2,"")</f>
        <v/>
      </c>
      <c r="Z2" s="99" t="str">
        <f>IF(AND(Z$16&gt;=Caminocrítico!$E$6+1,Z$16&lt;=Caminocrítico!$H$6),$G2,"")</f>
        <v/>
      </c>
      <c r="AA2" s="99" t="str">
        <f>IF(AND(AA$16&gt;=Caminocrítico!$E$6+1,AA$16&lt;=Caminocrítico!$H$6),$G2,"")</f>
        <v/>
      </c>
      <c r="AB2" s="99" t="str">
        <f>IF(AND(AB$16&gt;=Caminocrítico!$E$6+1,AB$16&lt;=Caminocrítico!$H$6),$G2,"")</f>
        <v/>
      </c>
      <c r="AC2" s="99" t="str">
        <f>IF(AND(AC$16&gt;=Caminocrítico!$E$6+1,AC$16&lt;=Caminocrítico!$H$6),$G2,"")</f>
        <v/>
      </c>
      <c r="AD2" s="99" t="str">
        <f>IF(AND(AD$16&gt;=Caminocrítico!$E$6+1,AD$16&lt;=Caminocrítico!$H$6),$G2,"")</f>
        <v/>
      </c>
      <c r="AE2" s="99" t="str">
        <f>IF(AND(AE$16&gt;=Caminocrítico!$E$6+1,AE$16&lt;=Caminocrítico!$H$6),$G2,"")</f>
        <v/>
      </c>
      <c r="AF2" s="99" t="str">
        <f>IF(AND(AF$16&gt;=Caminocrítico!$E$6+1,AF$16&lt;=Caminocrítico!$H$6),$G2,"")</f>
        <v/>
      </c>
      <c r="AG2" s="99" t="str">
        <f>IF(AND(AG$16&gt;=Caminocrítico!$E$6+1,AG$16&lt;=Caminocrítico!$H$6),$G2,"")</f>
        <v/>
      </c>
      <c r="AH2" s="99" t="str">
        <f>IF(AND(AH$16&gt;=Caminocrítico!$E$6+1,AH$16&lt;=Caminocrítico!$H$6),$G2,"")</f>
        <v/>
      </c>
      <c r="AI2" s="99" t="str">
        <f>IF(AND(AI$16&gt;=Caminocrítico!$E$6+1,AI$16&lt;=Caminocrítico!$H$6),$G2,"")</f>
        <v/>
      </c>
      <c r="AJ2" s="99" t="str">
        <f>IF(AND(AJ$16&gt;=Caminocrítico!$E$6+1,AJ$16&lt;=Caminocrítico!$H$6),$G2,"")</f>
        <v/>
      </c>
      <c r="AK2" s="99" t="str">
        <f>IF(AND(AK$16&gt;=Caminocrítico!$E$6+1,AK$16&lt;=Caminocrítico!$H$6),$G2,"")</f>
        <v/>
      </c>
      <c r="AL2" s="71" t="str">
        <f>IF(AND(AL$16&gt;=Caminocrítico!$E$6+1,AL$16&lt;=Caminocrítico!$H$6),AI2,"")</f>
        <v/>
      </c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</row>
    <row r="3" spans="1:84" ht="24.9" customHeight="1">
      <c r="A3" s="47" t="s">
        <v>10</v>
      </c>
      <c r="B3" s="48">
        <f>Enunciado!C20</f>
        <v>1</v>
      </c>
      <c r="C3" s="96">
        <f>Enunciado!D20</f>
        <v>1</v>
      </c>
      <c r="D3" s="48">
        <f>Enunciado!E20</f>
        <v>700</v>
      </c>
      <c r="E3" s="93">
        <f>Enunciado!F20</f>
        <v>400</v>
      </c>
      <c r="F3" s="45"/>
      <c r="G3" s="45" t="s">
        <v>20</v>
      </c>
      <c r="H3" s="49"/>
      <c r="I3" s="42" t="s">
        <v>10</v>
      </c>
      <c r="J3" s="99" t="str">
        <f>IF(AND(J$16&gt;=Caminocrítico!$D$18+1,J$16&lt;=Caminocrítico!$G$18),$G3,"")</f>
        <v xml:space="preserve"> </v>
      </c>
      <c r="K3" s="99" t="str">
        <f>IF(AND(K$16&gt;=Caminocrítico!$D$18+1,K$16&lt;=Caminocrítico!$G$18),$G3,"")</f>
        <v/>
      </c>
      <c r="L3" s="99" t="str">
        <f>IF(AND(L$16&gt;=Caminocrítico!$D$18+1,L$16&lt;=Caminocrítico!$G$18),$G3,"")</f>
        <v/>
      </c>
      <c r="M3" s="99" t="str">
        <f>IF(AND(M$16&gt;=Caminocrítico!$D$18+1,M$16&lt;=Caminocrítico!$G$18),$G3,"")</f>
        <v/>
      </c>
      <c r="N3" s="99" t="str">
        <f>IF(AND(N$16&gt;=Caminocrítico!$D$18+1,N$16&lt;=Caminocrítico!$G$18),$G3,"")</f>
        <v/>
      </c>
      <c r="O3" s="99" t="str">
        <f>IF(AND(O$16&gt;=Caminocrítico!$D$18+1,O$16&lt;=Caminocrítico!$G$18),$G3,"")</f>
        <v/>
      </c>
      <c r="P3" s="99" t="str">
        <f>IF(AND(P$16&gt;=Caminocrítico!$D$18+1,P$16&lt;=Caminocrítico!$G$18),$G3,"")</f>
        <v/>
      </c>
      <c r="Q3" s="99" t="str">
        <f>IF(AND(Q$16&gt;=Caminocrítico!$D$18+1,Q$16&lt;=Caminocrítico!$G$18),$G3,"")</f>
        <v/>
      </c>
      <c r="R3" s="99" t="str">
        <f>IF(AND(R$16&gt;=Caminocrítico!$D$18+1,R$16&lt;=Caminocrítico!$G$18),$G3,"")</f>
        <v/>
      </c>
      <c r="S3" s="99" t="str">
        <f>IF(AND(S$16&gt;=Caminocrítico!$D$18+1,S$16&lt;=Caminocrítico!$G$18),$G3,"")</f>
        <v/>
      </c>
      <c r="T3" s="99" t="str">
        <f>IF(AND(T$16&gt;=Caminocrítico!$D$18+1,T$16&lt;=Caminocrítico!$G$18),$G3,"")</f>
        <v/>
      </c>
      <c r="U3" s="99" t="str">
        <f>IF(AND(U$16&gt;=Caminocrítico!$D$18+1,U$16&lt;=Caminocrítico!$G$18),$G3,"")</f>
        <v/>
      </c>
      <c r="V3" s="99" t="str">
        <f>IF(AND(V$16&gt;=Caminocrítico!$D$18+1,V$16&lt;=Caminocrítico!$G$18),$G3,"")</f>
        <v/>
      </c>
      <c r="W3" s="99" t="str">
        <f>IF(AND(W$16&gt;=Caminocrítico!$D$18+1,W$16&lt;=Caminocrítico!$G$18),$G3,"")</f>
        <v/>
      </c>
      <c r="X3" s="99" t="str">
        <f>IF(AND(X$16&gt;=Caminocrítico!$D$18+1,X$16&lt;=Caminocrítico!$G$18),$G3,"")</f>
        <v/>
      </c>
      <c r="Y3" s="99" t="str">
        <f>IF(AND(Y$16&gt;=Caminocrítico!$D$18+1,Y$16&lt;=Caminocrítico!$G$18),$G3,"")</f>
        <v/>
      </c>
      <c r="Z3" s="99" t="str">
        <f>IF(AND(Z$16&gt;=Caminocrítico!$D$18+1,Z$16&lt;=Caminocrítico!$G$18),$G3,"")</f>
        <v/>
      </c>
      <c r="AA3" s="99" t="str">
        <f>IF(AND(AA$16&gt;=Caminocrítico!$D$18+1,AA$16&lt;=Caminocrítico!$G$18),$G3,"")</f>
        <v/>
      </c>
      <c r="AB3" s="99" t="str">
        <f>IF(AND(AB$16&gt;=Caminocrítico!$D$18+1,AB$16&lt;=Caminocrítico!$G$18),$G3,"")</f>
        <v/>
      </c>
      <c r="AC3" s="99" t="str">
        <f>IF(AND(AC$16&gt;=Caminocrítico!$D$18+1,AC$16&lt;=Caminocrítico!$G$18),$G3,"")</f>
        <v/>
      </c>
      <c r="AD3" s="99" t="str">
        <f>IF(AND(AD$16&gt;=Caminocrítico!$D$18+1,AD$16&lt;=Caminocrítico!$G$18),$G3,"")</f>
        <v/>
      </c>
      <c r="AE3" s="99" t="str">
        <f>IF(AND(AE$16&gt;=Caminocrítico!$D$18+1,AE$16&lt;=Caminocrítico!$G$18),$G3,"")</f>
        <v/>
      </c>
      <c r="AF3" s="99" t="str">
        <f>IF(AND(AF$16&gt;=Caminocrítico!$D$18+1,AF$16&lt;=Caminocrítico!$G$18),$G3,"")</f>
        <v/>
      </c>
      <c r="AG3" s="99" t="str">
        <f>IF(AND(AG$16&gt;=Caminocrítico!$D$18+1,AG$16&lt;=Caminocrítico!$G$18),$G3,"")</f>
        <v/>
      </c>
      <c r="AH3" s="99" t="str">
        <f>IF(AND(AH$16&gt;=Caminocrítico!$D$18+1,AH$16&lt;=Caminocrítico!$G$18),$G3,"")</f>
        <v/>
      </c>
      <c r="AI3" s="99" t="str">
        <f>IF(AND(AI$16&gt;=Caminocrítico!$D$18+1,AI$16&lt;=Caminocrítico!$G$18),$G3,"")</f>
        <v/>
      </c>
      <c r="AJ3" s="99" t="str">
        <f>IF(AND(AJ$16&gt;=Caminocrítico!$D$18+1,AJ$16&lt;=Caminocrítico!$G$18),$G3,"")</f>
        <v/>
      </c>
      <c r="AK3" s="99" t="str">
        <f>IF(AND(AK$16&gt;=Caminocrítico!$D$18+1,AK$16&lt;=Caminocrítico!$G$18),$G3,"")</f>
        <v/>
      </c>
      <c r="AL3" s="51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</row>
    <row r="4" spans="1:84" ht="24.9" customHeight="1">
      <c r="A4" s="47" t="s">
        <v>6</v>
      </c>
      <c r="B4" s="48">
        <f>Enunciado!C21</f>
        <v>5</v>
      </c>
      <c r="C4" s="96">
        <f>Enunciado!D21</f>
        <v>-1</v>
      </c>
      <c r="D4" s="48">
        <f>Enunciado!E21</f>
        <v>3500</v>
      </c>
      <c r="E4" s="93">
        <f>Enunciado!F21</f>
        <v>400</v>
      </c>
      <c r="F4" s="45"/>
      <c r="G4" s="45" t="s">
        <v>20</v>
      </c>
      <c r="H4" s="49"/>
      <c r="I4" s="42" t="s">
        <v>6</v>
      </c>
      <c r="J4" s="99" t="str">
        <f>IF(AND(J$16&gt;=Caminocrítico!$K$4+1,J$16&lt;=Caminocrítico!$N$4),$G4,"")</f>
        <v/>
      </c>
      <c r="K4" s="99" t="str">
        <f>IF(AND(K$16&gt;=Caminocrítico!$K$4+1,K$16&lt;=Caminocrítico!$N$4),$G4,"")</f>
        <v/>
      </c>
      <c r="L4" s="99" t="str">
        <f>IF(AND(L$16&gt;=Caminocrítico!$K$4+1,L$16&lt;=Caminocrítico!$N$4),$G4,"")</f>
        <v xml:space="preserve"> </v>
      </c>
      <c r="M4" s="99" t="str">
        <f>IF(AND(M$16&gt;=Caminocrítico!$K$4+1,M$16&lt;=Caminocrítico!$N$4),$G4,"")</f>
        <v xml:space="preserve"> </v>
      </c>
      <c r="N4" s="99" t="str">
        <f>IF(AND(N$16&gt;=Caminocrítico!$K$4+1,N$16&lt;=Caminocrítico!$N$4),$G4,"")</f>
        <v xml:space="preserve"> </v>
      </c>
      <c r="O4" s="99" t="str">
        <f>IF(AND(O$16&gt;=Caminocrítico!$K$4+1,O$16&lt;=Caminocrítico!$N$4),$G4,"")</f>
        <v xml:space="preserve"> </v>
      </c>
      <c r="P4" s="99" t="str">
        <f>IF(AND(P$16&gt;=Caminocrítico!$K$4+1,P$16&lt;=Caminocrítico!$N$4),$G4,"")</f>
        <v xml:space="preserve"> </v>
      </c>
      <c r="Q4" s="99" t="str">
        <f>IF(AND(Q$16&gt;=Caminocrítico!$K$4+1,Q$16&lt;=Caminocrítico!$N$4),$G4,"")</f>
        <v/>
      </c>
      <c r="R4" s="99" t="str">
        <f>IF(AND(R$16&gt;=Caminocrítico!$K$4+1,R$16&lt;=Caminocrítico!$N$4),$G4,"")</f>
        <v/>
      </c>
      <c r="S4" s="99" t="str">
        <f>IF(AND(S$16&gt;=Caminocrítico!$K$4+1,S$16&lt;=Caminocrítico!$N$4),$G4,"")</f>
        <v/>
      </c>
      <c r="T4" s="99" t="str">
        <f>IF(AND(T$16&gt;=Caminocrítico!$K$4+1,T$16&lt;=Caminocrítico!$N$4),$G4,"")</f>
        <v/>
      </c>
      <c r="U4" s="99" t="str">
        <f>IF(AND(U$16&gt;=Caminocrítico!$K$4+1,U$16&lt;=Caminocrítico!$N$4),$G4,"")</f>
        <v/>
      </c>
      <c r="V4" s="99" t="str">
        <f>IF(AND(V$16&gt;=Caminocrítico!$K$4+1,V$16&lt;=Caminocrítico!$N$4),$G4,"")</f>
        <v/>
      </c>
      <c r="W4" s="99" t="str">
        <f>IF(AND(W$16&gt;=Caminocrítico!$K$4+1,W$16&lt;=Caminocrítico!$N$4),$G4,"")</f>
        <v/>
      </c>
      <c r="X4" s="99" t="str">
        <f>IF(AND(X$16&gt;=Caminocrítico!$K$4+1,X$16&lt;=Caminocrítico!$N$4),$G4,"")</f>
        <v/>
      </c>
      <c r="Y4" s="99" t="str">
        <f>IF(AND(Y$16&gt;=Caminocrítico!$K$4+1,Y$16&lt;=Caminocrítico!$N$4),$G4,"")</f>
        <v/>
      </c>
      <c r="Z4" s="99" t="str">
        <f>IF(AND(Z$16&gt;=Caminocrítico!$K$4+1,Z$16&lt;=Caminocrítico!$N$4),$G4,"")</f>
        <v/>
      </c>
      <c r="AA4" s="99" t="str">
        <f>IF(AND(AA$16&gt;=Caminocrítico!$K$4+1,AA$16&lt;=Caminocrítico!$N$4),$G4,"")</f>
        <v/>
      </c>
      <c r="AB4" s="99" t="str">
        <f>IF(AND(AB$16&gt;=Caminocrítico!$K$4+1,AB$16&lt;=Caminocrítico!$N$4),$G4,"")</f>
        <v/>
      </c>
      <c r="AC4" s="99" t="str">
        <f>IF(AND(AC$16&gt;=Caminocrítico!$K$4+1,AC$16&lt;=Caminocrítico!$N$4),$G4,"")</f>
        <v/>
      </c>
      <c r="AD4" s="99" t="str">
        <f>IF(AND(AD$16&gt;=Caminocrítico!$K$4+1,AD$16&lt;=Caminocrítico!$N$4),$G4,"")</f>
        <v/>
      </c>
      <c r="AE4" s="99" t="str">
        <f>IF(AND(AE$16&gt;=Caminocrítico!$K$4+1,AE$16&lt;=Caminocrítico!$N$4),$G4,"")</f>
        <v/>
      </c>
      <c r="AF4" s="99" t="str">
        <f>IF(AND(AF$16&gt;=Caminocrítico!$K$4+1,AF$16&lt;=Caminocrítico!$N$4),$G4,"")</f>
        <v/>
      </c>
      <c r="AG4" s="99" t="str">
        <f>IF(AND(AG$16&gt;=Caminocrítico!$K$4+1,AG$16&lt;=Caminocrítico!$N$4),$G4,"")</f>
        <v/>
      </c>
      <c r="AH4" s="99" t="str">
        <f>IF(AND(AH$16&gt;=Caminocrítico!$K$4+1,AH$16&lt;=Caminocrítico!$N$4),$G4,"")</f>
        <v/>
      </c>
      <c r="AI4" s="99" t="str">
        <f>IF(AND(AI$16&gt;=Caminocrítico!$K$4+1,AI$16&lt;=Caminocrítico!$N$4),$G4,"")</f>
        <v/>
      </c>
      <c r="AJ4" s="99" t="str">
        <f>IF(AND(AJ$16&gt;=Caminocrítico!$K$4+1,AJ$16&lt;=Caminocrítico!$N$4),$G4,"")</f>
        <v/>
      </c>
      <c r="AK4" s="99" t="str">
        <f>IF(AND(AK$16&gt;=Caminocrítico!$K$4+1,AK$16&lt;=Caminocrítico!$N$4),$G4,"")</f>
        <v/>
      </c>
      <c r="AL4" s="51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</row>
    <row r="5" spans="1:84" ht="24.9" customHeight="1">
      <c r="A5" s="47" t="s">
        <v>11</v>
      </c>
      <c r="B5" s="48">
        <f>Enunciado!C22</f>
        <v>2</v>
      </c>
      <c r="C5" s="96">
        <f>Enunciado!D22</f>
        <v>1</v>
      </c>
      <c r="D5" s="48">
        <f>Enunciado!E22</f>
        <v>1400</v>
      </c>
      <c r="E5" s="93">
        <f>Enunciado!F22</f>
        <v>1200</v>
      </c>
      <c r="F5" s="45"/>
      <c r="G5" s="45" t="s">
        <v>20</v>
      </c>
      <c r="H5" s="49"/>
      <c r="I5" s="42" t="s">
        <v>11</v>
      </c>
      <c r="J5" s="99" t="str">
        <f>IF(AND(J$16&gt;=Caminocrítico!$K$10+1,J$16&lt;=Caminocrítico!$N$10),$G5,"")</f>
        <v/>
      </c>
      <c r="K5" s="99" t="str">
        <f>IF(AND(K$16&gt;=Caminocrítico!$K$10+1,K$16&lt;=Caminocrítico!$N$10),$G5,"")</f>
        <v/>
      </c>
      <c r="L5" s="99" t="str">
        <f>IF(AND(L$16&gt;=Caminocrítico!$K$10+1,L$16&lt;=Caminocrítico!$N$10),$G5,"")</f>
        <v xml:space="preserve"> </v>
      </c>
      <c r="M5" s="99" t="str">
        <f>IF(AND(M$16&gt;=Caminocrítico!$K$10+1,M$16&lt;=Caminocrítico!$N$10),$G5,"")</f>
        <v xml:space="preserve"> </v>
      </c>
      <c r="N5" s="99" t="str">
        <f>IF(AND(N$16&gt;=Caminocrítico!$K$10+1,N$16&lt;=Caminocrítico!$N$10),$G5,"")</f>
        <v/>
      </c>
      <c r="O5" s="99" t="str">
        <f>IF(AND(O$16&gt;=Caminocrítico!$K$10+1,O$16&lt;=Caminocrítico!$N$10),$G5,"")</f>
        <v/>
      </c>
      <c r="P5" s="99" t="str">
        <f>IF(AND(P$16&gt;=Caminocrítico!$K$10+1,P$16&lt;=Caminocrítico!$N$10),$G5,"")</f>
        <v/>
      </c>
      <c r="Q5" s="99" t="str">
        <f>IF(AND(Q$16&gt;=Caminocrítico!$K$10+1,Q$16&lt;=Caminocrítico!$N$10),$G5,"")</f>
        <v/>
      </c>
      <c r="R5" s="99" t="str">
        <f>IF(AND(R$16&gt;=Caminocrítico!$K$10+1,R$16&lt;=Caminocrítico!$N$10),$G5,"")</f>
        <v/>
      </c>
      <c r="S5" s="99" t="str">
        <f>IF(AND(S$16&gt;=Caminocrítico!$K$10+1,S$16&lt;=Caminocrítico!$N$10),$G5,"")</f>
        <v/>
      </c>
      <c r="T5" s="99" t="str">
        <f>IF(AND(T$16&gt;=Caminocrítico!$K$10+1,T$16&lt;=Caminocrítico!$N$10),$G5,"")</f>
        <v/>
      </c>
      <c r="U5" s="99" t="str">
        <f>IF(AND(U$16&gt;=Caminocrítico!$K$10+1,U$16&lt;=Caminocrítico!$N$10),$G5,"")</f>
        <v/>
      </c>
      <c r="V5" s="99" t="str">
        <f>IF(AND(V$16&gt;=Caminocrítico!$K$10+1,V$16&lt;=Caminocrítico!$N$10),$G5,"")</f>
        <v/>
      </c>
      <c r="W5" s="99" t="str">
        <f>IF(AND(W$16&gt;=Caminocrítico!$K$10+1,W$16&lt;=Caminocrítico!$N$10),$G5,"")</f>
        <v/>
      </c>
      <c r="X5" s="99" t="str">
        <f>IF(AND(X$16&gt;=Caminocrítico!$K$10+1,X$16&lt;=Caminocrítico!$N$10),$G5,"")</f>
        <v/>
      </c>
      <c r="Y5" s="99" t="str">
        <f>IF(AND(Y$16&gt;=Caminocrítico!$K$10+1,Y$16&lt;=Caminocrítico!$N$10),$G5,"")</f>
        <v/>
      </c>
      <c r="Z5" s="99" t="str">
        <f>IF(AND(Z$16&gt;=Caminocrítico!$K$10+1,Z$16&lt;=Caminocrítico!$N$10),$G5,"")</f>
        <v/>
      </c>
      <c r="AA5" s="99" t="str">
        <f>IF(AND(AA$16&gt;=Caminocrítico!$K$10+1,AA$16&lt;=Caminocrítico!$N$10),$G5,"")</f>
        <v/>
      </c>
      <c r="AB5" s="99" t="str">
        <f>IF(AND(AB$16&gt;=Caminocrítico!$K$10+1,AB$16&lt;=Caminocrítico!$N$10),$G5,"")</f>
        <v/>
      </c>
      <c r="AC5" s="99" t="str">
        <f>IF(AND(AC$16&gt;=Caminocrítico!$K$10+1,AC$16&lt;=Caminocrítico!$N$10),$G5,"")</f>
        <v/>
      </c>
      <c r="AD5" s="99" t="str">
        <f>IF(AND(AD$16&gt;=Caminocrítico!$K$10+1,AD$16&lt;=Caminocrítico!$N$10),$G5,"")</f>
        <v/>
      </c>
      <c r="AE5" s="99" t="str">
        <f>IF(AND(AE$16&gt;=Caminocrítico!$K$10+1,AE$16&lt;=Caminocrítico!$N$10),$G5,"")</f>
        <v/>
      </c>
      <c r="AF5" s="99" t="str">
        <f>IF(AND(AF$16&gt;=Caminocrítico!$K$10+1,AF$16&lt;=Caminocrítico!$N$10),$G5,"")</f>
        <v/>
      </c>
      <c r="AG5" s="99" t="str">
        <f>IF(AND(AG$16&gt;=Caminocrítico!$K$10+1,AG$16&lt;=Caminocrítico!$N$10),$G5,"")</f>
        <v/>
      </c>
      <c r="AH5" s="99" t="str">
        <f>IF(AND(AH$16&gt;=Caminocrítico!$K$10+1,AH$16&lt;=Caminocrítico!$N$10),$G5,"")</f>
        <v/>
      </c>
      <c r="AI5" s="99" t="str">
        <f>IF(AND(AI$16&gt;=Caminocrítico!$K$10+1,AI$16&lt;=Caminocrítico!$N$10),$G5,"")</f>
        <v/>
      </c>
      <c r="AJ5" s="99" t="str">
        <f>IF(AND(AJ$16&gt;=Caminocrítico!$K$10+1,AJ$16&lt;=Caminocrítico!$N$10),$G5,"")</f>
        <v/>
      </c>
      <c r="AK5" s="99" t="str">
        <f>IF(AND(AK$16&gt;=Caminocrítico!$K$10+1,AK$16&lt;=Caminocrítico!$N$10),$G5,"")</f>
        <v/>
      </c>
      <c r="AL5" s="52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</row>
    <row r="6" spans="1:84" ht="24.9" customHeight="1">
      <c r="A6" s="47" t="s">
        <v>3</v>
      </c>
      <c r="B6" s="48">
        <f>Enunciado!C23</f>
        <v>2</v>
      </c>
      <c r="C6" s="96">
        <f>Enunciado!D23</f>
        <v>1</v>
      </c>
      <c r="D6" s="48">
        <f>Enunciado!E23</f>
        <v>1400</v>
      </c>
      <c r="E6" s="93">
        <f>Enunciado!F23</f>
        <v>2100</v>
      </c>
      <c r="F6" s="45"/>
      <c r="G6" s="45" t="s">
        <v>20</v>
      </c>
      <c r="H6" s="49"/>
      <c r="I6" s="42" t="s">
        <v>3</v>
      </c>
      <c r="J6" s="99" t="str">
        <f>IF(AND(J$16&gt;=Caminocrítico!$Q$4+1,J$16&lt;=Caminocrítico!$T$4),$G6,"")</f>
        <v/>
      </c>
      <c r="K6" s="99" t="str">
        <f>IF(AND(K$16&gt;=Caminocrítico!$Q$4+1,K$16&lt;=Caminocrítico!$T$4),$G6,"")</f>
        <v/>
      </c>
      <c r="L6" s="99" t="str">
        <f>IF(AND(L$16&gt;=Caminocrítico!$Q$4+1,L$16&lt;=Caminocrítico!$T$4),$G6,"")</f>
        <v/>
      </c>
      <c r="M6" s="99" t="str">
        <f>IF(AND(M$16&gt;=Caminocrítico!$Q$4+1,M$16&lt;=Caminocrítico!$T$4),$G6,"")</f>
        <v/>
      </c>
      <c r="N6" s="99" t="str">
        <f>IF(AND(N$16&gt;=Caminocrítico!$Q$4+1,N$16&lt;=Caminocrítico!$T$4),$G6,"")</f>
        <v/>
      </c>
      <c r="O6" s="99" t="str">
        <f>IF(AND(O$16&gt;=Caminocrítico!$Q$4+1,O$16&lt;=Caminocrítico!$T$4),$G6,"")</f>
        <v/>
      </c>
      <c r="P6" s="99" t="str">
        <f>IF(AND(P$16&gt;=Caminocrítico!$Q$4+1,P$16&lt;=Caminocrítico!$T$4),$G6,"")</f>
        <v/>
      </c>
      <c r="Q6" s="99" t="str">
        <f>IF(AND(Q$16&gt;=Caminocrítico!$Q$4+1,Q$16&lt;=Caminocrítico!$T$4),$G6,"")</f>
        <v xml:space="preserve"> </v>
      </c>
      <c r="R6" s="99" t="str">
        <f>IF(AND(R$16&gt;=Caminocrítico!$Q$4+1,R$16&lt;=Caminocrítico!$T$4),$G6,"")</f>
        <v xml:space="preserve"> </v>
      </c>
      <c r="S6" s="99" t="str">
        <f>IF(AND(S$16&gt;=Caminocrítico!$Q$4+1,S$16&lt;=Caminocrítico!$T$4),$G6,"")</f>
        <v/>
      </c>
      <c r="T6" s="99" t="str">
        <f>IF(AND(T$16&gt;=Caminocrítico!$Q$4+1,T$16&lt;=Caminocrítico!$T$4),$G6,"")</f>
        <v/>
      </c>
      <c r="U6" s="99" t="str">
        <f>IF(AND(U$16&gt;=Caminocrítico!$Q$4+1,U$16&lt;=Caminocrítico!$T$4),$G6,"")</f>
        <v/>
      </c>
      <c r="V6" s="99" t="str">
        <f>IF(AND(V$16&gt;=Caminocrítico!$Q$4+1,V$16&lt;=Caminocrítico!$T$4),$G6,"")</f>
        <v/>
      </c>
      <c r="W6" s="99" t="str">
        <f>IF(AND(W$16&gt;=Caminocrítico!$Q$4+1,W$16&lt;=Caminocrítico!$T$4),$G6,"")</f>
        <v/>
      </c>
      <c r="X6" s="99" t="str">
        <f>IF(AND(X$16&gt;=Caminocrítico!$Q$4+1,X$16&lt;=Caminocrítico!$T$4),$G6,"")</f>
        <v/>
      </c>
      <c r="Y6" s="99" t="str">
        <f>IF(AND(Y$16&gt;=Caminocrítico!$Q$4+1,Y$16&lt;=Caminocrítico!$T$4),$G6,"")</f>
        <v/>
      </c>
      <c r="Z6" s="99" t="str">
        <f>IF(AND(Z$16&gt;=Caminocrítico!$Q$4+1,Z$16&lt;=Caminocrítico!$T$4),$G6,"")</f>
        <v/>
      </c>
      <c r="AA6" s="99" t="str">
        <f>IF(AND(AA$16&gt;=Caminocrítico!$Q$4+1,AA$16&lt;=Caminocrítico!$T$4),$G6,"")</f>
        <v/>
      </c>
      <c r="AB6" s="99" t="str">
        <f>IF(AND(AB$16&gt;=Caminocrítico!$Q$4+1,AB$16&lt;=Caminocrítico!$T$4),$G6,"")</f>
        <v/>
      </c>
      <c r="AC6" s="99" t="str">
        <f>IF(AND(AC$16&gt;=Caminocrítico!$Q$4+1,AC$16&lt;=Caminocrítico!$T$4),$G6,"")</f>
        <v/>
      </c>
      <c r="AD6" s="99" t="str">
        <f>IF(AND(AD$16&gt;=Caminocrítico!$Q$4+1,AD$16&lt;=Caminocrítico!$T$4),$G6,"")</f>
        <v/>
      </c>
      <c r="AE6" s="99" t="str">
        <f>IF(AND(AE$16&gt;=Caminocrítico!$Q$4+1,AE$16&lt;=Caminocrítico!$T$4),$G6,"")</f>
        <v/>
      </c>
      <c r="AF6" s="99" t="str">
        <f>IF(AND(AF$16&gt;=Caminocrítico!$Q$4+1,AF$16&lt;=Caminocrítico!$T$4),$G6,"")</f>
        <v/>
      </c>
      <c r="AG6" s="99" t="str">
        <f>IF(AND(AG$16&gt;=Caminocrítico!$Q$4+1,AG$16&lt;=Caminocrítico!$T$4),$G6,"")</f>
        <v/>
      </c>
      <c r="AH6" s="99" t="str">
        <f>IF(AND(AH$16&gt;=Caminocrítico!$Q$4+1,AH$16&lt;=Caminocrítico!$T$4),$G6,"")</f>
        <v/>
      </c>
      <c r="AI6" s="99" t="str">
        <f>IF(AND(AI$16&gt;=Caminocrítico!$Q$4+1,AI$16&lt;=Caminocrítico!$T$4),$G6,"")</f>
        <v/>
      </c>
      <c r="AJ6" s="99" t="str">
        <f>IF(AND(AJ$16&gt;=Caminocrítico!$Q$4+1,AJ$16&lt;=Caminocrítico!$T$4),$G6,"")</f>
        <v/>
      </c>
      <c r="AK6" s="99" t="str">
        <f>IF(AND(AK$16&gt;=Caminocrítico!$Q$4+1,AK$16&lt;=Caminocrítico!$T$4),$G6,"")</f>
        <v/>
      </c>
      <c r="AL6" s="52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84" ht="24.9" customHeight="1">
      <c r="A7" s="47" t="s">
        <v>1</v>
      </c>
      <c r="B7" s="48">
        <f>Enunciado!C24</f>
        <v>2</v>
      </c>
      <c r="C7" s="96">
        <f>Enunciado!D24</f>
        <v>1</v>
      </c>
      <c r="D7" s="48">
        <f>Enunciado!E24</f>
        <v>1400</v>
      </c>
      <c r="E7" s="93">
        <f>Enunciado!F24</f>
        <v>0</v>
      </c>
      <c r="F7" s="45"/>
      <c r="G7" s="45" t="s">
        <v>20</v>
      </c>
      <c r="H7" s="49"/>
      <c r="I7" s="42" t="s">
        <v>1</v>
      </c>
      <c r="J7" s="99" t="str">
        <f>IF(AND(J$16&gt;=Caminocrítico!$Q$10+1,J$16&lt;=Caminocrítico!$T$10),$G7,"")</f>
        <v/>
      </c>
      <c r="K7" s="99" t="str">
        <f>IF(AND(K$16&gt;=Caminocrítico!$Q$10+1,K$16&lt;=Caminocrítico!$T$10),$G7,"")</f>
        <v/>
      </c>
      <c r="L7" s="99" t="str">
        <f>IF(AND(L$16&gt;=Caminocrítico!$Q$10+1,L$16&lt;=Caminocrítico!$T$10),$G7,"")</f>
        <v/>
      </c>
      <c r="M7" s="99" t="str">
        <f>IF(AND(M$16&gt;=Caminocrítico!$Q$10+1,M$16&lt;=Caminocrítico!$T$10),$G7,"")</f>
        <v/>
      </c>
      <c r="N7" s="99" t="str">
        <f>IF(AND(N$16&gt;=Caminocrítico!$Q$10+1,N$16&lt;=Caminocrítico!$T$10),$G7,"")</f>
        <v/>
      </c>
      <c r="O7" s="99" t="str">
        <f>IF(AND(O$16&gt;=Caminocrítico!$Q$10+1,O$16&lt;=Caminocrítico!$T$10),$G7,"")</f>
        <v/>
      </c>
      <c r="P7" s="99" t="str">
        <f>IF(AND(P$16&gt;=Caminocrítico!$Q$10+1,P$16&lt;=Caminocrítico!$T$10),$G7,"")</f>
        <v/>
      </c>
      <c r="Q7" s="99" t="str">
        <f>IF(AND(Q$16&gt;=Caminocrítico!$Q$10+1,Q$16&lt;=Caminocrítico!$T$10),$G7,"")</f>
        <v xml:space="preserve"> </v>
      </c>
      <c r="R7" s="99" t="str">
        <f>IF(AND(R$16&gt;=Caminocrítico!$Q$10+1,R$16&lt;=Caminocrítico!$T$10),$G7,"")</f>
        <v xml:space="preserve"> </v>
      </c>
      <c r="S7" s="99" t="str">
        <f>IF(AND(S$16&gt;=Caminocrítico!$Q$10+1,S$16&lt;=Caminocrítico!$T$10),$G7,"")</f>
        <v/>
      </c>
      <c r="T7" s="99" t="str">
        <f>IF(AND(T$16&gt;=Caminocrítico!$Q$10+1,T$16&lt;=Caminocrítico!$T$10),$G7,"")</f>
        <v/>
      </c>
      <c r="U7" s="99" t="str">
        <f>IF(AND(U$16&gt;=Caminocrítico!$Q$10+1,U$16&lt;=Caminocrítico!$T$10),$G7,"")</f>
        <v/>
      </c>
      <c r="V7" s="99" t="str">
        <f>IF(AND(V$16&gt;=Caminocrítico!$Q$10+1,V$16&lt;=Caminocrítico!$T$10),$G7,"")</f>
        <v/>
      </c>
      <c r="W7" s="99" t="str">
        <f>IF(AND(W$16&gt;=Caminocrítico!$Q$10+1,W$16&lt;=Caminocrítico!$T$10),$G7,"")</f>
        <v/>
      </c>
      <c r="X7" s="99" t="str">
        <f>IF(AND(X$16&gt;=Caminocrítico!$Q$10+1,X$16&lt;=Caminocrítico!$T$10),$G7,"")</f>
        <v/>
      </c>
      <c r="Y7" s="99" t="str">
        <f>IF(AND(Y$16&gt;=Caminocrítico!$Q$10+1,Y$16&lt;=Caminocrítico!$T$10),$G7,"")</f>
        <v/>
      </c>
      <c r="Z7" s="99" t="str">
        <f>IF(AND(Z$16&gt;=Caminocrítico!$Q$10+1,Z$16&lt;=Caminocrítico!$T$10),$G7,"")</f>
        <v/>
      </c>
      <c r="AA7" s="99" t="str">
        <f>IF(AND(AA$16&gt;=Caminocrítico!$Q$10+1,AA$16&lt;=Caminocrítico!$T$10),$G7,"")</f>
        <v/>
      </c>
      <c r="AB7" s="99" t="str">
        <f>IF(AND(AB$16&gt;=Caminocrítico!$Q$10+1,AB$16&lt;=Caminocrítico!$T$10),$G7,"")</f>
        <v/>
      </c>
      <c r="AC7" s="99" t="str">
        <f>IF(AND(AC$16&gt;=Caminocrítico!$Q$10+1,AC$16&lt;=Caminocrítico!$T$10),$G7,"")</f>
        <v/>
      </c>
      <c r="AD7" s="99" t="str">
        <f>IF(AND(AD$16&gt;=Caminocrítico!$Q$10+1,AD$16&lt;=Caminocrítico!$T$10),$G7,"")</f>
        <v/>
      </c>
      <c r="AE7" s="99" t="str">
        <f>IF(AND(AE$16&gt;=Caminocrítico!$Q$10+1,AE$16&lt;=Caminocrítico!$T$10),$G7,"")</f>
        <v/>
      </c>
      <c r="AF7" s="99" t="str">
        <f>IF(AND(AF$16&gt;=Caminocrítico!$Q$10+1,AF$16&lt;=Caminocrítico!$T$10),$G7,"")</f>
        <v/>
      </c>
      <c r="AG7" s="99" t="str">
        <f>IF(AND(AG$16&gt;=Caminocrítico!$Q$10+1,AG$16&lt;=Caminocrítico!$T$10),$G7,"")</f>
        <v/>
      </c>
      <c r="AH7" s="99" t="str">
        <f>IF(AND(AH$16&gt;=Caminocrítico!$Q$10+1,AH$16&lt;=Caminocrítico!$T$10),$G7,"")</f>
        <v/>
      </c>
      <c r="AI7" s="99" t="str">
        <f>IF(AND(AI$16&gt;=Caminocrítico!$Q$10+1,AI$16&lt;=Caminocrítico!$T$10),$G7,"")</f>
        <v/>
      </c>
      <c r="AJ7" s="99" t="str">
        <f>IF(AND(AJ$16&gt;=Caminocrítico!$Q$10+1,AJ$16&lt;=Caminocrítico!$T$10),$G7,"")</f>
        <v/>
      </c>
      <c r="AK7" s="99" t="str">
        <f>IF(AND(AK$16&gt;=Caminocrítico!$Q$10+1,AK$16&lt;=Caminocrítico!$T$10),$G7,"")</f>
        <v/>
      </c>
      <c r="AL7" s="52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84" ht="24.9" customHeight="1" thickBot="1">
      <c r="A8" s="82" t="s">
        <v>12</v>
      </c>
      <c r="B8" s="83">
        <f>Enunciado!C25</f>
        <v>6</v>
      </c>
      <c r="C8" s="97">
        <f>Enunciado!D25</f>
        <v>1</v>
      </c>
      <c r="D8" s="83">
        <f>Enunciado!E25</f>
        <v>4200</v>
      </c>
      <c r="E8" s="94">
        <f>Enunciado!F25</f>
        <v>700</v>
      </c>
      <c r="F8" s="45"/>
      <c r="G8" s="45" t="s">
        <v>20</v>
      </c>
      <c r="H8" s="49"/>
      <c r="I8" s="42" t="s">
        <v>12</v>
      </c>
      <c r="J8" s="99" t="str">
        <f>IF(AND(J$16&gt;=Caminocrítico!$L$16+1,J$16&lt;=Caminocrítico!$O$16),$G8,"")</f>
        <v/>
      </c>
      <c r="K8" s="99" t="str">
        <f>IF(AND(K$16&gt;=Caminocrítico!$L$16+1,K$16&lt;=Caminocrítico!$O$16),$G8,"")</f>
        <v xml:space="preserve"> </v>
      </c>
      <c r="L8" s="99" t="str">
        <f>IF(AND(L$16&gt;=Caminocrítico!$L$16+1,L$16&lt;=Caminocrítico!$O$16),$G8,"")</f>
        <v xml:space="preserve"> </v>
      </c>
      <c r="M8" s="99" t="str">
        <f>IF(AND(M$16&gt;=Caminocrítico!$L$16+1,M$16&lt;=Caminocrítico!$O$16),$G8,"")</f>
        <v xml:space="preserve"> </v>
      </c>
      <c r="N8" s="99" t="str">
        <f>IF(AND(N$16&gt;=Caminocrítico!$L$16+1,N$16&lt;=Caminocrítico!$O$16),$G8,"")</f>
        <v xml:space="preserve"> </v>
      </c>
      <c r="O8" s="99" t="str">
        <f>IF(AND(O$16&gt;=Caminocrítico!$L$16+1,O$16&lt;=Caminocrítico!$O$16),$G8,"")</f>
        <v xml:space="preserve"> </v>
      </c>
      <c r="P8" s="99" t="str">
        <f>IF(AND(P$16&gt;=Caminocrítico!$L$16+1,P$16&lt;=Caminocrítico!$O$16),$G8,"")</f>
        <v xml:space="preserve"> </v>
      </c>
      <c r="Q8" s="99" t="str">
        <f>IF(AND(Q$16&gt;=Caminocrítico!$L$16+1,Q$16&lt;=Caminocrítico!$O$16),$G8,"")</f>
        <v/>
      </c>
      <c r="R8" s="99" t="str">
        <f>IF(AND(R$16&gt;=Caminocrítico!$L$16+1,R$16&lt;=Caminocrítico!$O$16),$G8,"")</f>
        <v/>
      </c>
      <c r="S8" s="99" t="str">
        <f>IF(AND(S$16&gt;=Caminocrítico!$L$16+1,S$16&lt;=Caminocrítico!$O$16),$G8,"")</f>
        <v/>
      </c>
      <c r="T8" s="99" t="str">
        <f>IF(AND(T$16&gt;=Caminocrítico!$L$16+1,T$16&lt;=Caminocrítico!$O$16),$G8,"")</f>
        <v/>
      </c>
      <c r="U8" s="99" t="str">
        <f>IF(AND(U$16&gt;=Caminocrítico!$L$16+1,U$16&lt;=Caminocrítico!$O$16),$G8,"")</f>
        <v/>
      </c>
      <c r="V8" s="99" t="str">
        <f>IF(AND(V$16&gt;=Caminocrítico!$L$16+1,V$16&lt;=Caminocrítico!$O$16),$G8,"")</f>
        <v/>
      </c>
      <c r="W8" s="99" t="str">
        <f>IF(AND(W$16&gt;=Caminocrítico!$L$16+1,W$16&lt;=Caminocrítico!$O$16),$G8,"")</f>
        <v/>
      </c>
      <c r="X8" s="99" t="str">
        <f>IF(AND(X$16&gt;=Caminocrítico!$L$16+1,X$16&lt;=Caminocrítico!$O$16),$G8,"")</f>
        <v/>
      </c>
      <c r="Y8" s="99" t="str">
        <f>IF(AND(Y$16&gt;=Caminocrítico!$L$16+1,Y$16&lt;=Caminocrítico!$O$16),$G8,"")</f>
        <v/>
      </c>
      <c r="Z8" s="99" t="str">
        <f>IF(AND(Z$16&gt;=Caminocrítico!$L$16+1,Z$16&lt;=Caminocrítico!$O$16),$G8,"")</f>
        <v/>
      </c>
      <c r="AA8" s="99" t="str">
        <f>IF(AND(AA$16&gt;=Caminocrítico!$L$16+1,AA$16&lt;=Caminocrítico!$O$16),$G8,"")</f>
        <v/>
      </c>
      <c r="AB8" s="99" t="str">
        <f>IF(AND(AB$16&gt;=Caminocrítico!$L$16+1,AB$16&lt;=Caminocrítico!$O$16),$G8,"")</f>
        <v/>
      </c>
      <c r="AC8" s="99" t="str">
        <f>IF(AND(AC$16&gt;=Caminocrítico!$L$16+1,AC$16&lt;=Caminocrítico!$O$16),$G8,"")</f>
        <v/>
      </c>
      <c r="AD8" s="99" t="str">
        <f>IF(AND(AD$16&gt;=Caminocrítico!$L$16+1,AD$16&lt;=Caminocrítico!$O$16),$G8,"")</f>
        <v/>
      </c>
      <c r="AE8" s="99" t="str">
        <f>IF(AND(AE$16&gt;=Caminocrítico!$L$16+1,AE$16&lt;=Caminocrítico!$O$16),$G8,"")</f>
        <v/>
      </c>
      <c r="AF8" s="99" t="str">
        <f>IF(AND(AF$16&gt;=Caminocrítico!$L$16+1,AF$16&lt;=Caminocrítico!$O$16),$G8,"")</f>
        <v/>
      </c>
      <c r="AG8" s="99" t="str">
        <f>IF(AND(AG$16&gt;=Caminocrítico!$L$16+1,AG$16&lt;=Caminocrítico!$O$16),$G8,"")</f>
        <v/>
      </c>
      <c r="AH8" s="99" t="str">
        <f>IF(AND(AH$16&gt;=Caminocrítico!$L$16+1,AH$16&lt;=Caminocrítico!$O$16),$G8,"")</f>
        <v/>
      </c>
      <c r="AI8" s="99" t="str">
        <f>IF(AND(AI$16&gt;=Caminocrítico!$L$16+1,AI$16&lt;=Caminocrítico!$O$16),$G8,"")</f>
        <v/>
      </c>
      <c r="AJ8" s="99" t="str">
        <f>IF(AND(AJ$16&gt;=Caminocrítico!$L$16+1,AJ$16&lt;=Caminocrítico!$O$16),$G8,"")</f>
        <v/>
      </c>
      <c r="AK8" s="99" t="str">
        <f>IF(AND(AK$16&gt;=Caminocrítico!$L$16+1,AK$16&lt;=Caminocrítico!$O$16),$G8,"")</f>
        <v/>
      </c>
      <c r="AL8" s="52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84" ht="24.9" customHeight="1" thickTop="1">
      <c r="A9" s="47" t="s">
        <v>2</v>
      </c>
      <c r="B9" s="48">
        <f>Enunciado!C26</f>
        <v>2</v>
      </c>
      <c r="C9" s="48">
        <v>0</v>
      </c>
      <c r="D9" s="48">
        <f>Enunciado!E26</f>
        <v>1400</v>
      </c>
      <c r="E9" s="95">
        <v>0</v>
      </c>
      <c r="F9" s="45"/>
      <c r="G9" s="45" t="s">
        <v>20</v>
      </c>
      <c r="H9" s="49"/>
      <c r="I9" s="42" t="s">
        <v>2</v>
      </c>
      <c r="J9" s="99" t="str">
        <f>IF(AND(J$16&gt;=Caminocrítico!$W$4+1,J$16&lt;=Caminocrítico!$Z$4),$G9,"")</f>
        <v/>
      </c>
      <c r="K9" s="99" t="str">
        <f>IF(AND(K$16&gt;=Caminocrítico!$W$4+1,K$16&lt;=Caminocrítico!$Z$4),$G9,"")</f>
        <v/>
      </c>
      <c r="L9" s="99" t="str">
        <f>IF(AND(L$16&gt;=Caminocrítico!$W$4+1,L$16&lt;=Caminocrítico!$Z$4),$G9,"")</f>
        <v/>
      </c>
      <c r="M9" s="99" t="str">
        <f>IF(AND(M$16&gt;=Caminocrítico!$W$4+1,M$16&lt;=Caminocrítico!$Z$4),$G9,"")</f>
        <v/>
      </c>
      <c r="N9" s="99" t="str">
        <f>IF(AND(N$16&gt;=Caminocrítico!$W$4+1,N$16&lt;=Caminocrítico!$Z$4),$G9,"")</f>
        <v/>
      </c>
      <c r="O9" s="99" t="str">
        <f>IF(AND(O$16&gt;=Caminocrítico!$W$4+1,O$16&lt;=Caminocrítico!$Z$4),$G9,"")</f>
        <v/>
      </c>
      <c r="P9" s="99" t="str">
        <f>IF(AND(P$16&gt;=Caminocrítico!$W$4+1,P$16&lt;=Caminocrítico!$Z$4),$G9,"")</f>
        <v/>
      </c>
      <c r="Q9" s="99" t="str">
        <f>IF(AND(Q$16&gt;=Caminocrítico!$W$4+1,Q$16&lt;=Caminocrítico!$Z$4),$G9,"")</f>
        <v/>
      </c>
      <c r="R9" s="99" t="str">
        <f>IF(AND(R$16&gt;=Caminocrítico!$W$4+1,R$16&lt;=Caminocrítico!$Z$4),$G9,"")</f>
        <v/>
      </c>
      <c r="S9" s="99" t="str">
        <f>IF(AND(S$16&gt;=Caminocrítico!$W$4+1,S$16&lt;=Caminocrítico!$Z$4),$G9,"")</f>
        <v xml:space="preserve"> </v>
      </c>
      <c r="T9" s="99" t="str">
        <f>IF(AND(T$16&gt;=Caminocrítico!$W$4+1,T$16&lt;=Caminocrítico!$Z$4),$G9,"")</f>
        <v xml:space="preserve"> </v>
      </c>
      <c r="U9" s="99" t="str">
        <f>IF(AND(U$16&gt;=Caminocrítico!$W$4+1,U$16&lt;=Caminocrítico!$Z$4),$G9,"")</f>
        <v/>
      </c>
      <c r="V9" s="99" t="str">
        <f>IF(AND(V$16&gt;=Caminocrítico!$W$4+1,V$16&lt;=Caminocrítico!$Z$4),$G9,"")</f>
        <v/>
      </c>
      <c r="W9" s="99" t="str">
        <f>IF(AND(W$16&gt;=Caminocrítico!$W$4+1,W$16&lt;=Caminocrítico!$Z$4),$G9,"")</f>
        <v/>
      </c>
      <c r="X9" s="99" t="str">
        <f>IF(AND(X$16&gt;=Caminocrítico!$W$4+1,X$16&lt;=Caminocrítico!$Z$4),$G9,"")</f>
        <v/>
      </c>
      <c r="Y9" s="99" t="str">
        <f>IF(AND(Y$16&gt;=Caminocrítico!$W$4+1,Y$16&lt;=Caminocrítico!$Z$4),$G9,"")</f>
        <v/>
      </c>
      <c r="Z9" s="99" t="str">
        <f>IF(AND(Z$16&gt;=Caminocrítico!$W$4+1,Z$16&lt;=Caminocrítico!$Z$4),$G9,"")</f>
        <v/>
      </c>
      <c r="AA9" s="99" t="str">
        <f>IF(AND(AA$16&gt;=Caminocrítico!$W$4+1,AA$16&lt;=Caminocrítico!$Z$4),$G9,"")</f>
        <v/>
      </c>
      <c r="AB9" s="99" t="str">
        <f>IF(AND(AB$16&gt;=Caminocrítico!$W$4+1,AB$16&lt;=Caminocrítico!$Z$4),$G9,"")</f>
        <v/>
      </c>
      <c r="AC9" s="99" t="str">
        <f>IF(AND(AC$16&gt;=Caminocrítico!$W$4+1,AC$16&lt;=Caminocrítico!$Z$4),$G9,"")</f>
        <v/>
      </c>
      <c r="AD9" s="99" t="str">
        <f>IF(AND(AD$16&gt;=Caminocrítico!$W$4+1,AD$16&lt;=Caminocrítico!$Z$4),$G9,"")</f>
        <v/>
      </c>
      <c r="AE9" s="99" t="str">
        <f>IF(AND(AE$16&gt;=Caminocrítico!$W$4+1,AE$16&lt;=Caminocrítico!$Z$4),$G9,"")</f>
        <v/>
      </c>
      <c r="AF9" s="99" t="str">
        <f>IF(AND(AF$16&gt;=Caminocrítico!$W$4+1,AF$16&lt;=Caminocrítico!$Z$4),$G9,"")</f>
        <v/>
      </c>
      <c r="AG9" s="99" t="str">
        <f>IF(AND(AG$16&gt;=Caminocrítico!$W$4+1,AG$16&lt;=Caminocrítico!$Z$4),$G9,"")</f>
        <v/>
      </c>
      <c r="AH9" s="99" t="str">
        <f>IF(AND(AH$16&gt;=Caminocrítico!$W$4+1,AH$16&lt;=Caminocrítico!$Z$4),$G9,"")</f>
        <v/>
      </c>
      <c r="AI9" s="99" t="str">
        <f>IF(AND(AI$16&gt;=Caminocrítico!$W$4+1,AI$16&lt;=Caminocrítico!$Z$4),$G9,"")</f>
        <v/>
      </c>
      <c r="AJ9" s="99" t="str">
        <f>IF(AND(AJ$16&gt;=Caminocrítico!$W$4+1,AJ$16&lt;=Caminocrítico!$Z$4),$G9,"")</f>
        <v/>
      </c>
      <c r="AK9" s="99" t="str">
        <f>IF(AND(AK$16&gt;=Caminocrítico!$W$4+1,AK$16&lt;=Caminocrítico!$Z$4),$G9,"")</f>
        <v/>
      </c>
      <c r="AL9" s="52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84" ht="24.9" customHeight="1">
      <c r="A10" s="47" t="s">
        <v>7</v>
      </c>
      <c r="B10" s="48">
        <f>Enunciado!C27</f>
        <v>2</v>
      </c>
      <c r="C10" s="48">
        <v>0</v>
      </c>
      <c r="D10" s="48">
        <f>Enunciado!E27</f>
        <v>1400</v>
      </c>
      <c r="E10" s="95">
        <v>0</v>
      </c>
      <c r="F10" s="45"/>
      <c r="G10" s="45" t="s">
        <v>20</v>
      </c>
      <c r="H10" s="49"/>
      <c r="I10" s="42" t="s">
        <v>7</v>
      </c>
      <c r="J10" s="99" t="str">
        <f>IF(AND(J$16&gt;=Caminocrítico!$R$16+1,J$16&lt;=Caminocrítico!$U$16),$G10,"")</f>
        <v/>
      </c>
      <c r="K10" s="99" t="str">
        <f>IF(AND(K$16&gt;=Caminocrítico!$R$16+1,K$16&lt;=Caminocrítico!$U$16),$G10,"")</f>
        <v/>
      </c>
      <c r="L10" s="99" t="str">
        <f>IF(AND(L$16&gt;=Caminocrítico!$R$16+1,L$16&lt;=Caminocrítico!$U$16),$G10,"")</f>
        <v/>
      </c>
      <c r="M10" s="99" t="str">
        <f>IF(AND(M$16&gt;=Caminocrítico!$R$16+1,M$16&lt;=Caminocrítico!$U$16),$G10,"")</f>
        <v/>
      </c>
      <c r="N10" s="99" t="str">
        <f>IF(AND(N$16&gt;=Caminocrítico!$R$16+1,N$16&lt;=Caminocrítico!$U$16),$G10,"")</f>
        <v/>
      </c>
      <c r="O10" s="99" t="str">
        <f>IF(AND(O$16&gt;=Caminocrítico!$R$16+1,O$16&lt;=Caminocrítico!$U$16),$G10,"")</f>
        <v/>
      </c>
      <c r="P10" s="99" t="str">
        <f>IF(AND(P$16&gt;=Caminocrítico!$R$16+1,P$16&lt;=Caminocrítico!$U$16),$G10,"")</f>
        <v/>
      </c>
      <c r="Q10" s="99" t="str">
        <f>IF(AND(Q$16&gt;=Caminocrítico!$R$16+1,Q$16&lt;=Caminocrítico!$U$16),$G10,"")</f>
        <v/>
      </c>
      <c r="R10" s="99" t="str">
        <f>IF(AND(R$16&gt;=Caminocrítico!$R$16+1,R$16&lt;=Caminocrítico!$U$16),$G10,"")</f>
        <v/>
      </c>
      <c r="S10" s="99" t="str">
        <f>IF(AND(S$16&gt;=Caminocrítico!$R$16+1,S$16&lt;=Caminocrítico!$U$16),$G10,"")</f>
        <v xml:space="preserve"> </v>
      </c>
      <c r="T10" s="99" t="str">
        <f>IF(AND(T$16&gt;=Caminocrítico!$R$16+1,T$16&lt;=Caminocrítico!$U$16),$G10,"")</f>
        <v xml:space="preserve"> </v>
      </c>
      <c r="U10" s="99" t="str">
        <f>IF(AND(U$16&gt;=Caminocrítico!$R$16+1,U$16&lt;=Caminocrítico!$U$16),$G10,"")</f>
        <v/>
      </c>
      <c r="V10" s="99" t="str">
        <f>IF(AND(V$16&gt;=Caminocrítico!$R$16+1,V$16&lt;=Caminocrítico!$U$16),$G10,"")</f>
        <v/>
      </c>
      <c r="W10" s="99" t="str">
        <f>IF(AND(W$16&gt;=Caminocrítico!$R$16+1,W$16&lt;=Caminocrítico!$U$16),$G10,"")</f>
        <v/>
      </c>
      <c r="X10" s="99" t="str">
        <f>IF(AND(X$16&gt;=Caminocrítico!$R$16+1,X$16&lt;=Caminocrítico!$U$16),$G10,"")</f>
        <v/>
      </c>
      <c r="Y10" s="99" t="str">
        <f>IF(AND(Y$16&gt;=Caminocrítico!$R$16+1,Y$16&lt;=Caminocrítico!$U$16),$G10,"")</f>
        <v/>
      </c>
      <c r="Z10" s="99" t="str">
        <f>IF(AND(Z$16&gt;=Caminocrítico!$R$16+1,Z$16&lt;=Caminocrítico!$U$16),$G10,"")</f>
        <v/>
      </c>
      <c r="AA10" s="99" t="str">
        <f>IF(AND(AA$16&gt;=Caminocrítico!$R$16+1,AA$16&lt;=Caminocrítico!$U$16),$G10,"")</f>
        <v/>
      </c>
      <c r="AB10" s="99" t="str">
        <f>IF(AND(AB$16&gt;=Caminocrítico!$R$16+1,AB$16&lt;=Caminocrítico!$U$16),$G10,"")</f>
        <v/>
      </c>
      <c r="AC10" s="99" t="str">
        <f>IF(AND(AC$16&gt;=Caminocrítico!$R$16+1,AC$16&lt;=Caminocrítico!$U$16),$G10,"")</f>
        <v/>
      </c>
      <c r="AD10" s="99" t="str">
        <f>IF(AND(AD$16&gt;=Caminocrítico!$R$16+1,AD$16&lt;=Caminocrítico!$U$16),$G10,"")</f>
        <v/>
      </c>
      <c r="AE10" s="99" t="str">
        <f>IF(AND(AE$16&gt;=Caminocrítico!$R$16+1,AE$16&lt;=Caminocrítico!$U$16),$G10,"")</f>
        <v/>
      </c>
      <c r="AF10" s="99" t="str">
        <f>IF(AND(AF$16&gt;=Caminocrítico!$R$16+1,AF$16&lt;=Caminocrítico!$U$16),$G10,"")</f>
        <v/>
      </c>
      <c r="AG10" s="99" t="str">
        <f>IF(AND(AG$16&gt;=Caminocrítico!$R$16+1,AG$16&lt;=Caminocrítico!$U$16),$G10,"")</f>
        <v/>
      </c>
      <c r="AH10" s="99" t="str">
        <f>IF(AND(AH$16&gt;=Caminocrítico!$R$16+1,AH$16&lt;=Caminocrítico!$U$16),$G10,"")</f>
        <v/>
      </c>
      <c r="AI10" s="99" t="str">
        <f>IF(AND(AI$16&gt;=Caminocrítico!$R$16+1,AI$16&lt;=Caminocrítico!$U$16),$G10,"")</f>
        <v/>
      </c>
      <c r="AJ10" s="99" t="str">
        <f>IF(AND(AJ$16&gt;=Caminocrítico!$R$16+1,AJ$16&lt;=Caminocrítico!$U$16),$G10,"")</f>
        <v/>
      </c>
      <c r="AK10" s="99" t="str">
        <f>IF(AND(AK$16&gt;=Caminocrítico!$R$16+1,AK$16&lt;=Caminocrítico!$U$16),$G10,"")</f>
        <v/>
      </c>
      <c r="AL10" s="52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84" ht="24.9" customHeight="1" thickBot="1">
      <c r="A11" s="47" t="s">
        <v>5</v>
      </c>
      <c r="B11" s="48">
        <f>Enunciado!C28</f>
        <v>4</v>
      </c>
      <c r="C11" s="48">
        <v>0</v>
      </c>
      <c r="D11" s="48">
        <f>Enunciado!E28</f>
        <v>2800</v>
      </c>
      <c r="E11" s="95">
        <v>0</v>
      </c>
      <c r="F11" s="45"/>
      <c r="G11" s="45" t="s">
        <v>20</v>
      </c>
      <c r="H11" s="49"/>
      <c r="I11" s="42" t="s">
        <v>5</v>
      </c>
      <c r="J11" s="107" t="str">
        <f>IF(AND(J$16&gt;=Caminocrítico!$W$10+1,J$16&lt;=Caminocrítico!$Z$10),$G11,"")</f>
        <v/>
      </c>
      <c r="K11" s="107" t="str">
        <f>IF(AND(K$16&gt;=Caminocrítico!$W$10+1,K$16&lt;=Caminocrítico!$Z$10),$G11,"")</f>
        <v/>
      </c>
      <c r="L11" s="107" t="str">
        <f>IF(AND(L$16&gt;=Caminocrítico!$W$10+1,L$16&lt;=Caminocrítico!$Z$10),$G11,"")</f>
        <v/>
      </c>
      <c r="M11" s="107" t="str">
        <f>IF(AND(M$16&gt;=Caminocrítico!$W$10+1,M$16&lt;=Caminocrítico!$Z$10),$G11,"")</f>
        <v/>
      </c>
      <c r="N11" s="107" t="str">
        <f>IF(AND(N$16&gt;=Caminocrítico!$W$10+1,N$16&lt;=Caminocrítico!$Z$10),$G11,"")</f>
        <v/>
      </c>
      <c r="O11" s="107" t="str">
        <f>IF(AND(O$16&gt;=Caminocrítico!$W$10+1,O$16&lt;=Caminocrítico!$Z$10),$G11,"")</f>
        <v/>
      </c>
      <c r="P11" s="107" t="str">
        <f>IF(AND(P$16&gt;=Caminocrítico!$W$10+1,P$16&lt;=Caminocrítico!$Z$10),$G11,"")</f>
        <v/>
      </c>
      <c r="Q11" s="107" t="str">
        <f>IF(AND(Q$16&gt;=Caminocrítico!$W$10+1,Q$16&lt;=Caminocrítico!$Z$10),$G11,"")</f>
        <v/>
      </c>
      <c r="R11" s="107" t="str">
        <f>IF(AND(R$16&gt;=Caminocrítico!$W$10+1,R$16&lt;=Caminocrítico!$Z$10),$G11,"")</f>
        <v/>
      </c>
      <c r="S11" s="107" t="str">
        <f>IF(AND(S$16&gt;=Caminocrítico!$W$10+1,S$16&lt;=Caminocrítico!$Z$10),$G11,"")</f>
        <v/>
      </c>
      <c r="T11" s="107" t="str">
        <f>IF(AND(T$16&gt;=Caminocrítico!$W$10+1,T$16&lt;=Caminocrítico!$Z$10),$G11,"")</f>
        <v/>
      </c>
      <c r="U11" s="107" t="str">
        <f>IF(AND(U$16&gt;=Caminocrítico!$W$10+1,U$16&lt;=Caminocrítico!$Z$10),$G11,"")</f>
        <v xml:space="preserve"> </v>
      </c>
      <c r="V11" s="107" t="str">
        <f>IF(AND(V$16&gt;=Caminocrítico!$W$10+1,V$16&lt;=Caminocrítico!$Z$10),$G11,"")</f>
        <v xml:space="preserve"> </v>
      </c>
      <c r="W11" s="107" t="str">
        <f>IF(AND(W$16&gt;=Caminocrítico!$W$10+1,W$16&lt;=Caminocrítico!$Z$10),$G11,"")</f>
        <v xml:space="preserve"> </v>
      </c>
      <c r="X11" s="107" t="str">
        <f>IF(AND(X$16&gt;=Caminocrítico!$W$10+1,X$16&lt;=Caminocrítico!$Z$10),$G11,"")</f>
        <v xml:space="preserve"> </v>
      </c>
      <c r="Y11" s="107" t="str">
        <f>IF(AND(Y$16&gt;=Caminocrítico!$W$10+1,Y$16&lt;=Caminocrítico!$Z$10),$G11,"")</f>
        <v/>
      </c>
      <c r="Z11" s="107" t="str">
        <f>IF(AND(Z$16&gt;=Caminocrítico!$W$10+1,Z$16&lt;=Caminocrítico!$Z$10),$G11,"")</f>
        <v/>
      </c>
      <c r="AA11" s="107" t="str">
        <f>IF(AND(AA$16&gt;=Caminocrítico!$W$10+1,AA$16&lt;=Caminocrítico!$Z$10),$G11,"")</f>
        <v/>
      </c>
      <c r="AB11" s="107" t="str">
        <f>IF(AND(AB$16&gt;=Caminocrítico!$W$10+1,AB$16&lt;=Caminocrítico!$Z$10),$G11,"")</f>
        <v/>
      </c>
      <c r="AC11" s="107" t="str">
        <f>IF(AND(AC$16&gt;=Caminocrítico!$W$10+1,AC$16&lt;=Caminocrítico!$Z$10),$G11,"")</f>
        <v/>
      </c>
      <c r="AD11" s="107" t="str">
        <f>IF(AND(AD$16&gt;=Caminocrítico!$W$10+1,AD$16&lt;=Caminocrítico!$Z$10),$G11,"")</f>
        <v/>
      </c>
      <c r="AE11" s="107" t="str">
        <f>IF(AND(AE$16&gt;=Caminocrítico!$W$10+1,AE$16&lt;=Caminocrítico!$Z$10),$G11,"")</f>
        <v/>
      </c>
      <c r="AF11" s="107" t="str">
        <f>IF(AND(AF$16&gt;=Caminocrítico!$W$10+1,AF$16&lt;=Caminocrítico!$Z$10),$G11,"")</f>
        <v/>
      </c>
      <c r="AG11" s="107" t="str">
        <f>IF(AND(AG$16&gt;=Caminocrítico!$W$10+1,AG$16&lt;=Caminocrítico!$Z$10),$G11,"")</f>
        <v/>
      </c>
      <c r="AH11" s="107" t="str">
        <f>IF(AND(AH$16&gt;=Caminocrítico!$W$10+1,AH$16&lt;=Caminocrítico!$Z$10),$G11,"")</f>
        <v/>
      </c>
      <c r="AI11" s="107" t="str">
        <f>IF(AND(AI$16&gt;=Caminocrítico!$W$10+1,AI$16&lt;=Caminocrítico!$Z$10),$G11,"")</f>
        <v/>
      </c>
      <c r="AJ11" s="107" t="str">
        <f>IF(AND(AJ$16&gt;=Caminocrítico!$W$10+1,AJ$16&lt;=Caminocrítico!$Z$10),$G11,"")</f>
        <v/>
      </c>
      <c r="AK11" s="107" t="str">
        <f>IF(AND(AK$16&gt;=Caminocrítico!$W$10+1,AK$16&lt;=Caminocrítico!$Z$10),$G11,"")</f>
        <v/>
      </c>
      <c r="AL11" s="52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84" ht="24.9" customHeight="1" thickTop="1">
      <c r="A12" s="47" t="s">
        <v>4</v>
      </c>
      <c r="B12" s="48">
        <f>Enunciado!C29</f>
        <v>1</v>
      </c>
      <c r="C12" s="48">
        <v>0</v>
      </c>
      <c r="D12" s="48">
        <f>Enunciado!E29</f>
        <v>700</v>
      </c>
      <c r="E12" s="95">
        <v>0</v>
      </c>
      <c r="F12" s="45"/>
      <c r="G12" s="45" t="s">
        <v>20</v>
      </c>
      <c r="H12" s="49"/>
      <c r="I12" s="42" t="s">
        <v>4</v>
      </c>
      <c r="J12" s="106" t="str">
        <f>IF(AND(J$16&gt;=Caminocrítico!$X$17+1,J$16&lt;=Caminocrítico!$AA$17),$G12,"")</f>
        <v/>
      </c>
      <c r="K12" s="106" t="str">
        <f>IF(AND(K$16&gt;=Caminocrítico!$X$17+1,K$16&lt;=Caminocrítico!$AA$17),$G12,"")</f>
        <v/>
      </c>
      <c r="L12" s="106" t="str">
        <f>IF(AND(L$16&gt;=Caminocrítico!$X$17+1,L$16&lt;=Caminocrítico!$AA$17),$G12,"")</f>
        <v/>
      </c>
      <c r="M12" s="106" t="str">
        <f>IF(AND(M$16&gt;=Caminocrítico!$X$17+1,M$16&lt;=Caminocrítico!$AA$17),$G12,"")</f>
        <v/>
      </c>
      <c r="N12" s="106" t="str">
        <f>IF(AND(N$16&gt;=Caminocrítico!$X$17+1,N$16&lt;=Caminocrítico!$AA$17),$G12,"")</f>
        <v/>
      </c>
      <c r="O12" s="106" t="str">
        <f>IF(AND(O$16&gt;=Caminocrítico!$X$17+1,O$16&lt;=Caminocrítico!$AA$17),$G12,"")</f>
        <v/>
      </c>
      <c r="P12" s="106" t="str">
        <f>IF(AND(P$16&gt;=Caminocrítico!$X$17+1,P$16&lt;=Caminocrítico!$AA$17),$G12,"")</f>
        <v/>
      </c>
      <c r="Q12" s="106" t="str">
        <f>IF(AND(Q$16&gt;=Caminocrítico!$X$17+1,Q$16&lt;=Caminocrítico!$AA$17),$G12,"")</f>
        <v/>
      </c>
      <c r="R12" s="106" t="str">
        <f>IF(AND(R$16&gt;=Caminocrítico!$X$17+1,R$16&lt;=Caminocrítico!$AA$17),$G12,"")</f>
        <v/>
      </c>
      <c r="S12" s="106" t="str">
        <f>IF(AND(S$16&gt;=Caminocrítico!$X$17+1,S$16&lt;=Caminocrítico!$AA$17),$G12,"")</f>
        <v/>
      </c>
      <c r="T12" s="106" t="str">
        <f>IF(AND(T$16&gt;=Caminocrítico!$X$17+1,T$16&lt;=Caminocrítico!$AA$17),$G12,"")</f>
        <v/>
      </c>
      <c r="U12" s="106" t="str">
        <f>IF(AND(U$16&gt;=Caminocrítico!$X$17+1,U$16&lt;=Caminocrítico!$AA$17),$G12,"")</f>
        <v/>
      </c>
      <c r="V12" s="106" t="str">
        <f>IF(AND(V$16&gt;=Caminocrítico!$X$17+1,V$16&lt;=Caminocrítico!$AA$17),$G12,"")</f>
        <v/>
      </c>
      <c r="W12" s="106" t="str">
        <f>IF(AND(W$16&gt;=Caminocrítico!$X$17+1,W$16&lt;=Caminocrítico!$AA$17),$G12,"")</f>
        <v/>
      </c>
      <c r="X12" s="106" t="str">
        <f>IF(AND(X$16&gt;=Caminocrítico!$X$17+1,X$16&lt;=Caminocrítico!$AA$17),$G12,"")</f>
        <v/>
      </c>
      <c r="Y12" s="106" t="str">
        <f>IF(AND(Y$16&gt;=Caminocrítico!$X$17+1,Y$16&lt;=Caminocrítico!$AA$17),$G12,"")</f>
        <v xml:space="preserve"> </v>
      </c>
      <c r="Z12" s="106" t="str">
        <f>IF(AND(Z$16&gt;=Caminocrítico!$X$17+1,Z$16&lt;=Caminocrítico!$AA$17),$G12,"")</f>
        <v/>
      </c>
      <c r="AA12" s="106" t="str">
        <f>IF(AND(AA$16&gt;=Caminocrítico!$X$17+1,AA$16&lt;=Caminocrítico!$AA$17),$G12,"")</f>
        <v/>
      </c>
      <c r="AB12" s="106" t="str">
        <f>IF(AND(AB$16&gt;=Caminocrítico!$X$17+1,AB$16&lt;=Caminocrítico!$AA$17),$G12,"")</f>
        <v/>
      </c>
      <c r="AC12" s="106" t="str">
        <f>IF(AND(AC$16&gt;=Caminocrítico!$X$17+1,AC$16&lt;=Caminocrítico!$AA$17),$G12,"")</f>
        <v/>
      </c>
      <c r="AD12" s="106" t="str">
        <f>IF(AND(AD$16&gt;=Caminocrítico!$X$17+1,AD$16&lt;=Caminocrítico!$AA$17),$G12,"")</f>
        <v/>
      </c>
      <c r="AE12" s="106" t="str">
        <f>IF(AND(AE$16&gt;=Caminocrítico!$X$17+1,AE$16&lt;=Caminocrítico!$AA$17),$G12,"")</f>
        <v/>
      </c>
      <c r="AF12" s="106" t="str">
        <f>IF(AND(AF$16&gt;=Caminocrítico!$X$17+1,AF$16&lt;=Caminocrítico!$AA$17),$G12,"")</f>
        <v/>
      </c>
      <c r="AG12" s="106" t="str">
        <f>IF(AND(AG$16&gt;=Caminocrítico!$X$17+1,AG$16&lt;=Caminocrítico!$AA$17),$G12,"")</f>
        <v/>
      </c>
      <c r="AH12" s="106" t="str">
        <f>IF(AND(AH$16&gt;=Caminocrítico!$X$17+1,AH$16&lt;=Caminocrítico!$AA$17),$G12,"")</f>
        <v/>
      </c>
      <c r="AI12" s="106" t="str">
        <f>IF(AND(AI$16&gt;=Caminocrítico!$X$17+1,AI$16&lt;=Caminocrítico!$AA$17),$G12,"")</f>
        <v/>
      </c>
      <c r="AJ12" s="106" t="str">
        <f>IF(AND(AJ$16&gt;=Caminocrítico!$X$17+1,AJ$16&lt;=Caminocrítico!$AA$17),$G12,"")</f>
        <v/>
      </c>
      <c r="AK12" s="106" t="str">
        <f>IF(AND(AK$16&gt;=Caminocrítico!$X$17+1,AK$16&lt;=Caminocrítico!$AA$17),$G12,"")</f>
        <v/>
      </c>
      <c r="AL12" s="52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84" ht="24.9" customHeight="1">
      <c r="A13" s="47" t="s">
        <v>8</v>
      </c>
      <c r="B13" s="48">
        <f>Enunciado!C30</f>
        <v>3</v>
      </c>
      <c r="C13" s="48">
        <v>0</v>
      </c>
      <c r="D13" s="48">
        <f>Enunciado!E30</f>
        <v>2100</v>
      </c>
      <c r="E13" s="95">
        <v>0</v>
      </c>
      <c r="F13" s="45"/>
      <c r="G13" s="45" t="s">
        <v>20</v>
      </c>
      <c r="H13" s="49"/>
      <c r="I13" s="42" t="s">
        <v>8</v>
      </c>
      <c r="J13" s="99" t="str">
        <f>IF(AND(J$16&gt;=Caminocrítico!$AC$12+1,J$16&lt;=Caminocrítico!$AF$12),$G13,"")</f>
        <v/>
      </c>
      <c r="K13" s="99" t="str">
        <f>IF(AND(K$16&gt;=Caminocrítico!$AC$12+1,K$16&lt;=Caminocrítico!$AF$12),$G13,"")</f>
        <v/>
      </c>
      <c r="L13" s="99" t="str">
        <f>IF(AND(L$16&gt;=Caminocrítico!$AC$12+1,L$16&lt;=Caminocrítico!$AF$12),$G13,"")</f>
        <v/>
      </c>
      <c r="M13" s="99" t="str">
        <f>IF(AND(M$16&gt;=Caminocrítico!$AC$12+1,M$16&lt;=Caminocrítico!$AF$12),$G13,"")</f>
        <v/>
      </c>
      <c r="N13" s="99" t="str">
        <f>IF(AND(N$16&gt;=Caminocrítico!$AC$12+1,N$16&lt;=Caminocrítico!$AF$12),$G13,"")</f>
        <v/>
      </c>
      <c r="O13" s="99" t="str">
        <f>IF(AND(O$16&gt;=Caminocrítico!$AC$12+1,O$16&lt;=Caminocrítico!$AF$12),$G13,"")</f>
        <v/>
      </c>
      <c r="P13" s="99" t="str">
        <f>IF(AND(P$16&gt;=Caminocrítico!$AC$12+1,P$16&lt;=Caminocrítico!$AF$12),$G13,"")</f>
        <v/>
      </c>
      <c r="Q13" s="99" t="str">
        <f>IF(AND(Q$16&gt;=Caminocrítico!$AC$12+1,Q$16&lt;=Caminocrítico!$AF$12),$G13,"")</f>
        <v/>
      </c>
      <c r="R13" s="99" t="str">
        <f>IF(AND(R$16&gt;=Caminocrítico!$AC$12+1,R$16&lt;=Caminocrítico!$AF$12),$G13,"")</f>
        <v/>
      </c>
      <c r="S13" s="99" t="str">
        <f>IF(AND(S$16&gt;=Caminocrítico!$AC$12+1,S$16&lt;=Caminocrítico!$AF$12),$G13,"")</f>
        <v/>
      </c>
      <c r="T13" s="99" t="str">
        <f>IF(AND(T$16&gt;=Caminocrítico!$AC$12+1,T$16&lt;=Caminocrítico!$AF$12),$G13,"")</f>
        <v/>
      </c>
      <c r="U13" s="99" t="str">
        <f>IF(AND(U$16&gt;=Caminocrítico!$AC$12+1,U$16&lt;=Caminocrítico!$AF$12),$G13,"")</f>
        <v/>
      </c>
      <c r="V13" s="99" t="str">
        <f>IF(AND(V$16&gt;=Caminocrítico!$AC$12+1,V$16&lt;=Caminocrítico!$AF$12),$G13,"")</f>
        <v/>
      </c>
      <c r="W13" s="99" t="str">
        <f>IF(AND(W$16&gt;=Caminocrítico!$AC$12+1,W$16&lt;=Caminocrítico!$AF$12),$G13,"")</f>
        <v/>
      </c>
      <c r="X13" s="99" t="str">
        <f>IF(AND(X$16&gt;=Caminocrítico!$AC$12+1,X$16&lt;=Caminocrítico!$AF$12),$G13,"")</f>
        <v/>
      </c>
      <c r="Y13" s="99" t="str">
        <f>IF(AND(Y$16&gt;=Caminocrítico!$AC$12+1,Y$16&lt;=Caminocrítico!$AF$12),$G13,"")</f>
        <v xml:space="preserve"> </v>
      </c>
      <c r="Z13" s="99" t="str">
        <f>IF(AND(Z$16&gt;=Caminocrítico!$AC$12+1,Z$16&lt;=Caminocrítico!$AF$12),$G13,"")</f>
        <v xml:space="preserve"> </v>
      </c>
      <c r="AA13" s="99" t="str">
        <f>IF(AND(AA$16&gt;=Caminocrítico!$AC$12+1,AA$16&lt;=Caminocrítico!$AF$12),$G13,"")</f>
        <v xml:space="preserve"> </v>
      </c>
      <c r="AB13" s="99" t="str">
        <f>IF(AND(AB$16&gt;=Caminocrítico!$AC$12+1,AB$16&lt;=Caminocrítico!$AF$12),$G13,"")</f>
        <v/>
      </c>
      <c r="AC13" s="99" t="str">
        <f>IF(AND(AC$16&gt;=Caminocrítico!$AC$12+1,AC$16&lt;=Caminocrítico!$AF$12),$G13,"")</f>
        <v/>
      </c>
      <c r="AD13" s="99" t="str">
        <f>IF(AND(AD$16&gt;=Caminocrítico!$AC$12+1,AD$16&lt;=Caminocrítico!$AF$12),$G13,"")</f>
        <v/>
      </c>
      <c r="AE13" s="99" t="str">
        <f>IF(AND(AE$16&gt;=Caminocrítico!$AC$12+1,AE$16&lt;=Caminocrítico!$AF$12),$G13,"")</f>
        <v/>
      </c>
      <c r="AF13" s="99" t="str">
        <f>IF(AND(AF$16&gt;=Caminocrítico!$AC$12+1,AF$16&lt;=Caminocrítico!$AF$12),$G13,"")</f>
        <v/>
      </c>
      <c r="AG13" s="99" t="str">
        <f>IF(AND(AG$16&gt;=Caminocrítico!$AC$12+1,AG$16&lt;=Caminocrítico!$AF$12),$G13,"")</f>
        <v/>
      </c>
      <c r="AH13" s="99" t="str">
        <f>IF(AND(AH$16&gt;=Caminocrítico!$AC$12+1,AH$16&lt;=Caminocrítico!$AF$12),$G13,"")</f>
        <v/>
      </c>
      <c r="AI13" s="99" t="str">
        <f>IF(AND(AI$16&gt;=Caminocrítico!$AC$12+1,AI$16&lt;=Caminocrítico!$AF$12),$G13,"")</f>
        <v/>
      </c>
      <c r="AJ13" s="99" t="str">
        <f>IF(AND(AJ$16&gt;=Caminocrítico!$AC$12+1,AJ$16&lt;=Caminocrítico!$AF$12),$G13,"")</f>
        <v/>
      </c>
      <c r="AK13" s="99" t="str">
        <f>IF(AND(AK$16&gt;=Caminocrítico!$AC$12+1,AK$16&lt;=Caminocrítico!$AF$12),$G13,"")</f>
        <v/>
      </c>
      <c r="AL13" s="53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pans="1:84" ht="24.9" customHeight="1">
      <c r="A14" s="47" t="s">
        <v>14</v>
      </c>
      <c r="B14" s="48">
        <f>Enunciado!C31</f>
        <v>2</v>
      </c>
      <c r="C14" s="48">
        <v>0</v>
      </c>
      <c r="D14" s="48">
        <f>Enunciado!E31</f>
        <v>1400</v>
      </c>
      <c r="E14" s="95">
        <v>0</v>
      </c>
      <c r="F14" s="45"/>
      <c r="G14" s="45" t="s">
        <v>20</v>
      </c>
      <c r="H14" s="49"/>
      <c r="I14" s="42" t="s">
        <v>14</v>
      </c>
      <c r="J14" s="99" t="str">
        <f>IF(AND(J$16&gt;=Caminocrítico!$X$23+1,J$16&lt;=Caminocrítico!$AA$23),$G14,"")</f>
        <v/>
      </c>
      <c r="K14" s="99" t="str">
        <f>IF(AND(K$16&gt;=Caminocrítico!$X$23+1,K$16&lt;=Caminocrítico!$AA$23),$G14,"")</f>
        <v/>
      </c>
      <c r="L14" s="99" t="str">
        <f>IF(AND(L$16&gt;=Caminocrítico!$X$23+1,L$16&lt;=Caminocrítico!$AA$23),$G14,"")</f>
        <v/>
      </c>
      <c r="M14" s="99" t="str">
        <f>IF(AND(M$16&gt;=Caminocrítico!$X$23+1,M$16&lt;=Caminocrítico!$AA$23),$G14,"")</f>
        <v/>
      </c>
      <c r="N14" s="99" t="str">
        <f>IF(AND(N$16&gt;=Caminocrítico!$X$23+1,N$16&lt;=Caminocrítico!$AA$23),$G14,"")</f>
        <v/>
      </c>
      <c r="O14" s="99" t="str">
        <f>IF(AND(O$16&gt;=Caminocrítico!$X$23+1,O$16&lt;=Caminocrítico!$AA$23),$G14,"")</f>
        <v/>
      </c>
      <c r="P14" s="99" t="str">
        <f>IF(AND(P$16&gt;=Caminocrítico!$X$23+1,P$16&lt;=Caminocrítico!$AA$23),$G14,"")</f>
        <v/>
      </c>
      <c r="Q14" s="99" t="str">
        <f>IF(AND(Q$16&gt;=Caminocrítico!$X$23+1,Q$16&lt;=Caminocrítico!$AA$23),$G14,"")</f>
        <v/>
      </c>
      <c r="R14" s="99" t="str">
        <f>IF(AND(R$16&gt;=Caminocrítico!$X$23+1,R$16&lt;=Caminocrítico!$AA$23),$G14,"")</f>
        <v/>
      </c>
      <c r="S14" s="99" t="str">
        <f>IF(AND(S$16&gt;=Caminocrítico!$X$23+1,S$16&lt;=Caminocrítico!$AA$23),$G14,"")</f>
        <v/>
      </c>
      <c r="T14" s="99" t="str">
        <f>IF(AND(T$16&gt;=Caminocrítico!$X$23+1,T$16&lt;=Caminocrítico!$AA$23),$G14,"")</f>
        <v/>
      </c>
      <c r="U14" s="99" t="str">
        <f>IF(AND(U$16&gt;=Caminocrítico!$X$23+1,U$16&lt;=Caminocrítico!$AA$23),$G14,"")</f>
        <v/>
      </c>
      <c r="V14" s="99" t="str">
        <f>IF(AND(V$16&gt;=Caminocrítico!$X$23+1,V$16&lt;=Caminocrítico!$AA$23),$G14,"")</f>
        <v/>
      </c>
      <c r="W14" s="99" t="str">
        <f>IF(AND(W$16&gt;=Caminocrítico!$X$23+1,W$16&lt;=Caminocrítico!$AA$23),$G14,"")</f>
        <v/>
      </c>
      <c r="X14" s="99" t="str">
        <f>IF(AND(X$16&gt;=Caminocrítico!$X$23+1,X$16&lt;=Caminocrítico!$AA$23),$G14,"")</f>
        <v/>
      </c>
      <c r="Y14" s="99" t="str">
        <f>IF(AND(Y$16&gt;=Caminocrítico!$X$23+1,Y$16&lt;=Caminocrítico!$AA$23),$G14,"")</f>
        <v/>
      </c>
      <c r="Z14" s="99" t="str">
        <f>IF(AND(Z$16&gt;=Caminocrítico!$X$23+1,Z$16&lt;=Caminocrítico!$AA$23),$G14,"")</f>
        <v xml:space="preserve"> </v>
      </c>
      <c r="AA14" s="99" t="str">
        <f>IF(AND(AA$16&gt;=Caminocrítico!$X$23+1,AA$16&lt;=Caminocrítico!$AA$23),$G14,"")</f>
        <v xml:space="preserve"> </v>
      </c>
      <c r="AB14" s="99" t="str">
        <f>IF(AND(AB$16&gt;=Caminocrítico!$X$23+1,AB$16&lt;=Caminocrítico!$AA$23),$G14,"")</f>
        <v/>
      </c>
      <c r="AC14" s="99" t="str">
        <f>IF(AND(AC$16&gt;=Caminocrítico!$X$23+1,AC$16&lt;=Caminocrítico!$AA$23),$G14,"")</f>
        <v/>
      </c>
      <c r="AD14" s="99" t="str">
        <f>IF(AND(AD$16&gt;=Caminocrítico!$X$23+1,AD$16&lt;=Caminocrítico!$AA$23),$G14,"")</f>
        <v/>
      </c>
      <c r="AE14" s="99" t="str">
        <f>IF(AND(AE$16&gt;=Caminocrítico!$X$23+1,AE$16&lt;=Caminocrítico!$AA$23),$G14,"")</f>
        <v/>
      </c>
      <c r="AF14" s="99" t="str">
        <f>IF(AND(AF$16&gt;=Caminocrítico!$X$23+1,AF$16&lt;=Caminocrítico!$AA$23),$G14,"")</f>
        <v/>
      </c>
      <c r="AG14" s="99" t="str">
        <f>IF(AND(AG$16&gt;=Caminocrítico!$X$23+1,AG$16&lt;=Caminocrítico!$AA$23),$G14,"")</f>
        <v/>
      </c>
      <c r="AH14" s="99" t="str">
        <f>IF(AND(AH$16&gt;=Caminocrítico!$X$23+1,AH$16&lt;=Caminocrítico!$AA$23),$G14,"")</f>
        <v/>
      </c>
      <c r="AI14" s="99" t="str">
        <f>IF(AND(AI$16&gt;=Caminocrítico!$X$23+1,AI$16&lt;=Caminocrítico!$AA$23),$G14,"")</f>
        <v/>
      </c>
      <c r="AJ14" s="99" t="str">
        <f>IF(AND(AJ$16&gt;=Caminocrítico!$X$23+1,AJ$16&lt;=Caminocrítico!$AA$23),$G14,"")</f>
        <v/>
      </c>
      <c r="AK14" s="99" t="str">
        <f>IF(AND(AK$16&gt;=Caminocrítico!$X$23+1,AK$16&lt;=Caminocrítico!$AA$23),$G14,"")</f>
        <v/>
      </c>
      <c r="AL14" s="5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84" ht="24.9" customHeight="1">
      <c r="A15" s="47" t="s">
        <v>15</v>
      </c>
      <c r="B15" s="48">
        <f>Enunciado!C32</f>
        <v>3</v>
      </c>
      <c r="C15" s="48">
        <v>0</v>
      </c>
      <c r="D15" s="48">
        <f>Enunciado!E32</f>
        <v>2100</v>
      </c>
      <c r="E15" s="95">
        <v>0</v>
      </c>
      <c r="F15" s="45"/>
      <c r="G15" s="45" t="s">
        <v>20</v>
      </c>
      <c r="H15" s="49"/>
      <c r="I15" s="42" t="s">
        <v>15</v>
      </c>
      <c r="J15" s="99" t="str">
        <f>IF(AND(J$16&gt;=Caminocrítico!$AC$20+1,J$16&lt;=Caminocrítico!$AF$20),$G15,"")</f>
        <v/>
      </c>
      <c r="K15" s="99" t="str">
        <f>IF(AND(K$16&gt;=Caminocrítico!$AC$20+1,K$16&lt;=Caminocrítico!$AF$20),$G15,"")</f>
        <v/>
      </c>
      <c r="L15" s="99" t="str">
        <f>IF(AND(L$16&gt;=Caminocrítico!$AC$20+1,L$16&lt;=Caminocrítico!$AF$20),$G15,"")</f>
        <v/>
      </c>
      <c r="M15" s="99" t="str">
        <f>IF(AND(M$16&gt;=Caminocrítico!$AC$20+1,M$16&lt;=Caminocrítico!$AF$20),$G15,"")</f>
        <v/>
      </c>
      <c r="N15" s="99" t="str">
        <f>IF(AND(N$16&gt;=Caminocrítico!$AC$20+1,N$16&lt;=Caminocrítico!$AF$20),$G15,"")</f>
        <v/>
      </c>
      <c r="O15" s="99" t="str">
        <f>IF(AND(O$16&gt;=Caminocrítico!$AC$20+1,O$16&lt;=Caminocrítico!$AF$20),$G15,"")</f>
        <v/>
      </c>
      <c r="P15" s="99" t="str">
        <f>IF(AND(P$16&gt;=Caminocrítico!$AC$20+1,P$16&lt;=Caminocrítico!$AF$20),$G15,"")</f>
        <v/>
      </c>
      <c r="Q15" s="99" t="str">
        <f>IF(AND(Q$16&gt;=Caminocrítico!$AC$20+1,Q$16&lt;=Caminocrítico!$AF$20),$G15,"")</f>
        <v/>
      </c>
      <c r="R15" s="99" t="str">
        <f>IF(AND(R$16&gt;=Caminocrítico!$AC$20+1,R$16&lt;=Caminocrítico!$AF$20),$G15,"")</f>
        <v/>
      </c>
      <c r="S15" s="99" t="str">
        <f>IF(AND(S$16&gt;=Caminocrítico!$AC$20+1,S$16&lt;=Caminocrítico!$AF$20),$G15,"")</f>
        <v/>
      </c>
      <c r="T15" s="99" t="str">
        <f>IF(AND(T$16&gt;=Caminocrítico!$AC$20+1,T$16&lt;=Caminocrítico!$AF$20),$G15,"")</f>
        <v/>
      </c>
      <c r="U15" s="99" t="str">
        <f>IF(AND(U$16&gt;=Caminocrítico!$AC$20+1,U$16&lt;=Caminocrítico!$AF$20),$G15,"")</f>
        <v/>
      </c>
      <c r="V15" s="99" t="str">
        <f>IF(AND(V$16&gt;=Caminocrítico!$AC$20+1,V$16&lt;=Caminocrítico!$AF$20),$G15,"")</f>
        <v/>
      </c>
      <c r="W15" s="99" t="str">
        <f>IF(AND(W$16&gt;=Caminocrítico!$AC$20+1,W$16&lt;=Caminocrítico!$AF$20),$G15,"")</f>
        <v/>
      </c>
      <c r="X15" s="99" t="str">
        <f>IF(AND(X$16&gt;=Caminocrítico!$AC$20+1,X$16&lt;=Caminocrítico!$AF$20),$G15,"")</f>
        <v/>
      </c>
      <c r="Y15" s="99" t="str">
        <f>IF(AND(Y$16&gt;=Caminocrítico!$AC$20+1,Y$16&lt;=Caminocrítico!$AF$20),$G15,"")</f>
        <v/>
      </c>
      <c r="Z15" s="99" t="str">
        <f>IF(AND(Z$16&gt;=Caminocrítico!$AC$20+1,Z$16&lt;=Caminocrítico!$AF$20),$G15,"")</f>
        <v/>
      </c>
      <c r="AA15" s="99" t="str">
        <f>IF(AND(AA$16&gt;=Caminocrítico!$AC$20+1,AA$16&lt;=Caminocrítico!$AF$20),$G15,"")</f>
        <v/>
      </c>
      <c r="AB15" s="99" t="str">
        <f>IF(AND(AB$16&gt;=Caminocrítico!$AC$20+1,AB$16&lt;=Caminocrítico!$AF$20),$G15,"")</f>
        <v xml:space="preserve"> </v>
      </c>
      <c r="AC15" s="99" t="str">
        <f>IF(AND(AC$16&gt;=Caminocrítico!$AC$20+1,AC$16&lt;=Caminocrítico!$AF$20),$G15,"")</f>
        <v xml:space="preserve"> </v>
      </c>
      <c r="AD15" s="99" t="str">
        <f>IF(AND(AD$16&gt;=Caminocrítico!$AC$20+1,AD$16&lt;=Caminocrítico!$AF$20),$G15,"")</f>
        <v xml:space="preserve"> </v>
      </c>
      <c r="AE15" s="99" t="str">
        <f>IF(AND(AE$16&gt;=Caminocrítico!$AC$20+1,AE$16&lt;=Caminocrítico!$AF$20),$G15,"")</f>
        <v/>
      </c>
      <c r="AF15" s="99" t="str">
        <f>IF(AND(AF$16&gt;=Caminocrítico!$AC$20+1,AF$16&lt;=Caminocrítico!$AF$20),$G15,"")</f>
        <v/>
      </c>
      <c r="AG15" s="99" t="str">
        <f>IF(AND(AG$16&gt;=Caminocrítico!$AC$20+1,AG$16&lt;=Caminocrítico!$AF$20),$G15,"")</f>
        <v/>
      </c>
      <c r="AH15" s="99" t="str">
        <f>IF(AND(AH$16&gt;=Caminocrítico!$AC$20+1,AH$16&lt;=Caminocrítico!$AF$20),$G15,"")</f>
        <v/>
      </c>
      <c r="AI15" s="99" t="str">
        <f>IF(AND(AI$16&gt;=Caminocrítico!$AC$20+1,AI$16&lt;=Caminocrítico!$AF$20),$G15,"")</f>
        <v/>
      </c>
      <c r="AJ15" s="99" t="str">
        <f>IF(AND(AJ$16&gt;=Caminocrítico!$AC$20+1,AJ$16&lt;=Caminocrítico!$AF$20),$G15,"")</f>
        <v/>
      </c>
      <c r="AK15" s="99" t="str">
        <f>IF(AND(AK$16&gt;=Caminocrítico!$AC$20+1,AK$16&lt;=Caminocrítico!$AF$20),$G15,"")</f>
        <v/>
      </c>
      <c r="AL15" s="51"/>
    </row>
    <row r="16" spans="1:84" s="15" customFormat="1" ht="24.9" customHeight="1">
      <c r="J16" s="50">
        <v>1</v>
      </c>
      <c r="K16" s="50">
        <v>2</v>
      </c>
      <c r="L16" s="50">
        <v>3</v>
      </c>
      <c r="M16" s="50">
        <v>4</v>
      </c>
      <c r="N16" s="50">
        <v>5</v>
      </c>
      <c r="O16" s="50">
        <v>6</v>
      </c>
      <c r="P16" s="50">
        <v>7</v>
      </c>
      <c r="Q16" s="50">
        <v>8</v>
      </c>
      <c r="R16" s="50">
        <v>9</v>
      </c>
      <c r="S16" s="50">
        <v>10</v>
      </c>
      <c r="T16" s="50">
        <v>11</v>
      </c>
      <c r="U16" s="50">
        <v>12</v>
      </c>
      <c r="V16" s="50">
        <v>13</v>
      </c>
      <c r="W16" s="50">
        <v>14</v>
      </c>
      <c r="X16" s="50">
        <v>15</v>
      </c>
      <c r="Y16" s="50">
        <v>16</v>
      </c>
      <c r="Z16" s="50">
        <v>17</v>
      </c>
      <c r="AA16" s="50">
        <v>18</v>
      </c>
      <c r="AB16" s="50">
        <v>19</v>
      </c>
      <c r="AC16" s="50">
        <v>20</v>
      </c>
      <c r="AD16" s="50">
        <v>21</v>
      </c>
      <c r="AE16" s="50">
        <v>22</v>
      </c>
      <c r="AF16" s="50">
        <v>23</v>
      </c>
      <c r="AG16" s="50">
        <v>24</v>
      </c>
      <c r="AH16" s="50">
        <v>25</v>
      </c>
      <c r="AI16" s="50">
        <v>26</v>
      </c>
      <c r="AJ16" s="50">
        <v>27</v>
      </c>
      <c r="AK16" s="50">
        <v>28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4"/>
      <c r="BA16" s="4"/>
      <c r="BB16" s="4"/>
      <c r="BC16" s="4"/>
      <c r="BD16" s="4"/>
      <c r="BE16" s="4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</row>
    <row r="17" spans="3:38" ht="24.9" customHeight="1">
      <c r="F17" s="74" t="s">
        <v>18</v>
      </c>
      <c r="G17" s="75"/>
      <c r="H17" s="56"/>
      <c r="I17" s="57"/>
      <c r="J17" s="85">
        <f>IF(J2&lt;&gt;"",1,0)*$D2/$B2+IF(J3&lt;&gt;"",1,0)*$D3/$B3+IF(J4&lt;&gt;"",1,0)*$D4/$B4+IF(J5&lt;&gt;"",1,0)*$D5/$B5+IF(J6&lt;&gt;"",1,0)*$D6/$B6+IF(J7&lt;&gt;"",1,0)*$D7/$B7+IF(J8&lt;&gt;"",1,0)*$D8/$B8+IF(J9&lt;&gt;"",1,0)*$D9/$B9+IF(J10&lt;&gt;"",1,0)*$D10/$B10+IF(J11&lt;&gt;"",1,0)*$D11/$B11+IF(J12&lt;&gt;"",1,0)*$D12/$B12+IF(J13&lt;&gt;"",1,0)*$D13/$B13+IF(J14&lt;&gt;"",1,0)*$D14/$B14+IF(J15&lt;&gt;"",1,0)*$D15/$B15</f>
        <v>1400</v>
      </c>
      <c r="K17" s="85">
        <f t="shared" ref="K17:AL17" si="0">IF(K2&lt;&gt;"",1,0)*$D2/$B2+IF(K3&lt;&gt;"",1,0)*$D3/$B3+IF(K4&lt;&gt;"",1,0)*$D4/$B4+IF(K5&lt;&gt;"",1,0)*$D5/$B5+IF(K6&lt;&gt;"",1,0)*$D6/$B6+IF(K7&lt;&gt;"",1,0)*$D7/$B7+IF(K8&lt;&gt;"",1,0)*$D8/$B8+IF(K9&lt;&gt;"",1,0)*$D9/$B9+IF(K10&lt;&gt;"",1,0)*$D10/$B10+IF(K11&lt;&gt;"",1,0)*$D11/$B11+IF(K12&lt;&gt;"",1,0)*$D12/$B12+IF(K13&lt;&gt;"",1,0)*$D13/$B13+IF(K14&lt;&gt;"",1,0)*$D14/$B14+IF(K15&lt;&gt;"",1,0)*$D15/$B15</f>
        <v>1400</v>
      </c>
      <c r="L17" s="85">
        <f t="shared" si="0"/>
        <v>2100</v>
      </c>
      <c r="M17" s="85">
        <f t="shared" si="0"/>
        <v>2100</v>
      </c>
      <c r="N17" s="85">
        <f t="shared" si="0"/>
        <v>1400</v>
      </c>
      <c r="O17" s="85">
        <f t="shared" si="0"/>
        <v>1400</v>
      </c>
      <c r="P17" s="85">
        <f t="shared" si="0"/>
        <v>1400</v>
      </c>
      <c r="Q17" s="85">
        <f t="shared" si="0"/>
        <v>1400</v>
      </c>
      <c r="R17" s="85">
        <f t="shared" si="0"/>
        <v>1400</v>
      </c>
      <c r="S17" s="85">
        <f t="shared" si="0"/>
        <v>1400</v>
      </c>
      <c r="T17" s="85">
        <f t="shared" si="0"/>
        <v>1400</v>
      </c>
      <c r="U17" s="85">
        <f t="shared" si="0"/>
        <v>700</v>
      </c>
      <c r="V17" s="85">
        <f t="shared" si="0"/>
        <v>700</v>
      </c>
      <c r="W17" s="85">
        <f t="shared" si="0"/>
        <v>700</v>
      </c>
      <c r="X17" s="85">
        <f t="shared" si="0"/>
        <v>700</v>
      </c>
      <c r="Y17" s="85">
        <f t="shared" si="0"/>
        <v>1400</v>
      </c>
      <c r="Z17" s="85">
        <f t="shared" si="0"/>
        <v>1400</v>
      </c>
      <c r="AA17" s="85">
        <f t="shared" si="0"/>
        <v>1400</v>
      </c>
      <c r="AB17" s="85">
        <f t="shared" si="0"/>
        <v>700</v>
      </c>
      <c r="AC17" s="85">
        <f t="shared" si="0"/>
        <v>700</v>
      </c>
      <c r="AD17" s="85">
        <f t="shared" si="0"/>
        <v>700</v>
      </c>
      <c r="AE17" s="85">
        <f t="shared" si="0"/>
        <v>0</v>
      </c>
      <c r="AF17" s="85">
        <f t="shared" si="0"/>
        <v>0</v>
      </c>
      <c r="AG17" s="85">
        <f t="shared" si="0"/>
        <v>0</v>
      </c>
      <c r="AH17" s="85">
        <f t="shared" si="0"/>
        <v>0</v>
      </c>
      <c r="AI17" s="85">
        <f t="shared" si="0"/>
        <v>0</v>
      </c>
      <c r="AJ17" s="85">
        <f t="shared" si="0"/>
        <v>0</v>
      </c>
      <c r="AK17" s="85">
        <f t="shared" si="0"/>
        <v>0</v>
      </c>
      <c r="AL17" s="55">
        <f t="shared" si="0"/>
        <v>0</v>
      </c>
    </row>
    <row r="18" spans="3:38" ht="24.9" customHeight="1">
      <c r="F18" s="98" t="s">
        <v>24</v>
      </c>
      <c r="G18" s="75"/>
      <c r="H18" s="56"/>
      <c r="I18" s="57"/>
      <c r="J18" s="85">
        <f>IF(J17&lt;&gt;0,SUM($J17:J17),0)</f>
        <v>1400</v>
      </c>
      <c r="K18" s="85">
        <f>IF(K17&lt;&gt;0,SUM($J17:K17),0)</f>
        <v>2800</v>
      </c>
      <c r="L18" s="85">
        <f>IF(L17&lt;&gt;0,SUM($J17:L17),0)</f>
        <v>4900</v>
      </c>
      <c r="M18" s="85">
        <f>IF(M17&lt;&gt;0,SUM($J17:M17),0)</f>
        <v>7000</v>
      </c>
      <c r="N18" s="85">
        <f>IF(N17&lt;&gt;0,SUM($J17:N17),0)</f>
        <v>8400</v>
      </c>
      <c r="O18" s="85">
        <f>IF(O17&lt;&gt;0,SUM($J17:O17),0)</f>
        <v>9800</v>
      </c>
      <c r="P18" s="85">
        <f>IF(P17&lt;&gt;0,SUM($J17:P17),0)</f>
        <v>11200</v>
      </c>
      <c r="Q18" s="85">
        <f>IF(Q17&lt;&gt;0,SUM($J17:Q17),0)</f>
        <v>12600</v>
      </c>
      <c r="R18" s="85">
        <f>IF(R17&lt;&gt;0,SUM($J17:R17),0)</f>
        <v>14000</v>
      </c>
      <c r="S18" s="85">
        <f>IF(S17&lt;&gt;0,SUM($J17:S17),0)</f>
        <v>15400</v>
      </c>
      <c r="T18" s="85">
        <f>IF(T17&lt;&gt;0,SUM($J17:T17),0)</f>
        <v>16800</v>
      </c>
      <c r="U18" s="85">
        <f>IF(U17&lt;&gt;0,SUM($J17:U17),0)</f>
        <v>17500</v>
      </c>
      <c r="V18" s="85">
        <f>IF(V17&lt;&gt;0,SUM($J17:V17),0)</f>
        <v>18200</v>
      </c>
      <c r="W18" s="85">
        <f>IF(W17&lt;&gt;0,SUM($J17:W17),0)</f>
        <v>18900</v>
      </c>
      <c r="X18" s="85">
        <f>IF(X17&lt;&gt;0,SUM($J17:X17),0)</f>
        <v>19600</v>
      </c>
      <c r="Y18" s="85">
        <f>IF(Y17&lt;&gt;0,SUM($J17:Y17),0)</f>
        <v>21000</v>
      </c>
      <c r="Z18" s="85">
        <f>IF(Z17&lt;&gt;0,SUM($J17:Z17),0)</f>
        <v>22400</v>
      </c>
      <c r="AA18" s="85">
        <f>IF(AA17&lt;&gt;0,SUM($J17:AA17),0)</f>
        <v>23800</v>
      </c>
      <c r="AB18" s="85">
        <f>IF(AB17&lt;&gt;0,SUM($J17:AB17),0)</f>
        <v>24500</v>
      </c>
      <c r="AC18" s="85">
        <f>IF(AC17&lt;&gt;0,SUM($J17:AC17),0)</f>
        <v>25200</v>
      </c>
      <c r="AD18" s="85">
        <f>IF(AD17&lt;&gt;0,SUM($J17:AD17),0)</f>
        <v>25900</v>
      </c>
      <c r="AE18" s="85">
        <f>IF(AE17&lt;&gt;0,SUM($J17:AE17),0)</f>
        <v>0</v>
      </c>
      <c r="AF18" s="85">
        <f>IF(AF17&lt;&gt;0,SUM($J17:AF17),0)</f>
        <v>0</v>
      </c>
      <c r="AG18" s="85">
        <f>IF(AG17&lt;&gt;0,SUM($J17:AG17),0)</f>
        <v>0</v>
      </c>
      <c r="AH18" s="85">
        <f>IF(AH17&lt;&gt;0,SUM($J17:AH17),0)</f>
        <v>0</v>
      </c>
      <c r="AI18" s="85">
        <f>IF(AI17&lt;&gt;0,SUM($J17:AI17),0)</f>
        <v>0</v>
      </c>
      <c r="AJ18" s="85">
        <f>IF(AJ17&lt;&gt;0,SUM($J17:AJ17),0)</f>
        <v>0</v>
      </c>
      <c r="AK18" s="85">
        <f>IF(AK17&lt;&gt;0,SUM($J17:AK17),0)</f>
        <v>0</v>
      </c>
      <c r="AL18" s="55">
        <f>IF(AL17&lt;&gt;0,SUM($J17:AL17),0)</f>
        <v>0</v>
      </c>
    </row>
    <row r="19" spans="3:38" ht="24.9" customHeight="1">
      <c r="F19" s="76" t="s">
        <v>25</v>
      </c>
      <c r="G19" s="75"/>
      <c r="H19" s="56"/>
      <c r="I19" s="57"/>
      <c r="J19" s="85">
        <f>(D2+E2)/(B2+C2) + (D3+E3)/(B3+C3)</f>
        <v>916.66666666666674</v>
      </c>
      <c r="K19" s="85">
        <f>(D2+E2)/(B2+C2) + (D3+E3)/(B3+C3) + J19</f>
        <v>1833.3333333333335</v>
      </c>
      <c r="L19" s="85">
        <f>(D2+E2)/(B2+C2) + (D8+E8)/(B8+C8) +K19</f>
        <v>2900</v>
      </c>
      <c r="M19" s="85">
        <f>(D4+E4)/(B4+C4) + (D5+E5)/(B5+C5) + (D8+E8)/(B8+C8) +L19</f>
        <v>5441.6666666666661</v>
      </c>
      <c r="N19" s="85">
        <f>(D4+E4)/(B4+C4) + (D5+E5)/(B5+C5) + (D8+E8)/(B8+C8) +M19</f>
        <v>7983.3333333333321</v>
      </c>
      <c r="O19" s="85">
        <f>(D4+E4)/(B4+C4) + (D5+E5)/(B5+C5) + (D8+E8)/(B8+C8) +N19</f>
        <v>10524.999999999998</v>
      </c>
      <c r="P19" s="85">
        <f>(D4+E4)/(B4+C4) + (D8+E8)/(B8+C8) +O19</f>
        <v>12199.999999999998</v>
      </c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55"/>
    </row>
    <row r="20" spans="3:38" ht="24.9" customHeight="1">
      <c r="F20" s="101" t="s">
        <v>26</v>
      </c>
      <c r="G20" s="77"/>
      <c r="H20" s="56"/>
      <c r="I20" s="57"/>
      <c r="J20" s="85">
        <f>D2/(B2+C2) +D3/(B3+C3)</f>
        <v>816.66666666666674</v>
      </c>
      <c r="K20" s="85">
        <f>D2/(B2+C2)+D3/(B3+C3) + J20</f>
        <v>1633.3333333333335</v>
      </c>
      <c r="L20" s="85">
        <f>D2/(B2+C2)+D8/(B8+C8)+K20</f>
        <v>2700</v>
      </c>
      <c r="M20" s="85">
        <f>D4/(B4+C4)+D5/(B5+C5)+D8/(B8+C8) +L20</f>
        <v>4641.666666666667</v>
      </c>
      <c r="N20" s="85">
        <f>D4/(B4+C4)+D5/(B5+C5)+D8/(B8+C8) +M20</f>
        <v>6583.3333333333339</v>
      </c>
      <c r="O20" s="85">
        <f>D4/(B4+C4)+D5/(B5+C5)+D8/(B8+C8) +N20</f>
        <v>8525</v>
      </c>
      <c r="P20" s="85">
        <f>D4/(B4+C4)+D8/(B8+C8) +O20</f>
        <v>10000</v>
      </c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55"/>
    </row>
    <row r="21" spans="3:38" ht="24.9" customHeight="1">
      <c r="F21" s="102" t="s">
        <v>32</v>
      </c>
      <c r="G21" s="77"/>
      <c r="H21" s="56"/>
      <c r="I21" s="57"/>
      <c r="J21" s="85">
        <f>J20-J18</f>
        <v>-583.33333333333326</v>
      </c>
      <c r="K21" s="85">
        <f>K20-K18</f>
        <v>-1166.6666666666665</v>
      </c>
      <c r="L21" s="85">
        <f t="shared" ref="K21:P21" si="1">L20-L18</f>
        <v>-2200</v>
      </c>
      <c r="M21" s="85">
        <f t="shared" si="1"/>
        <v>-2358.333333333333</v>
      </c>
      <c r="N21" s="85">
        <f t="shared" si="1"/>
        <v>-1816.6666666666661</v>
      </c>
      <c r="O21" s="85">
        <f t="shared" si="1"/>
        <v>-1275</v>
      </c>
      <c r="P21" s="85">
        <f t="shared" si="1"/>
        <v>-1200</v>
      </c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55"/>
    </row>
    <row r="22" spans="3:38" ht="24.9" customHeight="1">
      <c r="F22" s="74" t="s">
        <v>31</v>
      </c>
      <c r="G22" s="77"/>
      <c r="H22" s="56"/>
      <c r="I22" s="57"/>
      <c r="J22" s="85">
        <f>J20-J19</f>
        <v>-100</v>
      </c>
      <c r="K22" s="85">
        <f t="shared" ref="K22:P22" si="2">K20-K19</f>
        <v>-200</v>
      </c>
      <c r="L22" s="85">
        <f t="shared" si="2"/>
        <v>-200</v>
      </c>
      <c r="M22" s="85">
        <f t="shared" si="2"/>
        <v>-799.99999999999909</v>
      </c>
      <c r="N22" s="85">
        <f t="shared" si="2"/>
        <v>-1399.9999999999982</v>
      </c>
      <c r="O22" s="85">
        <f t="shared" si="2"/>
        <v>-1999.9999999999982</v>
      </c>
      <c r="P22" s="85">
        <f t="shared" si="2"/>
        <v>-2199.9999999999982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55"/>
    </row>
    <row r="24" spans="3:38" ht="24.9" customHeight="1">
      <c r="C24" s="86" t="s">
        <v>28</v>
      </c>
      <c r="F24" s="88" t="s">
        <v>29</v>
      </c>
      <c r="G24" s="89">
        <f>Caminocrítico!O16</f>
        <v>7</v>
      </c>
      <c r="H24" s="90" t="s">
        <v>30</v>
      </c>
      <c r="I24" s="46" t="s">
        <v>13</v>
      </c>
      <c r="AD24" s="27"/>
      <c r="AE24" s="27"/>
      <c r="AF24" s="27"/>
      <c r="AG24" s="27"/>
      <c r="AH24" s="27"/>
      <c r="AI24" s="27"/>
      <c r="AJ24" s="27"/>
      <c r="AK24" s="27"/>
    </row>
    <row r="25" spans="3:38" ht="24.9" customHeight="1">
      <c r="E25" s="4"/>
      <c r="F25" s="4" t="s">
        <v>20</v>
      </c>
      <c r="G25" s="4" t="s">
        <v>20</v>
      </c>
      <c r="H25" s="4"/>
      <c r="I25" s="42" t="s">
        <v>0</v>
      </c>
      <c r="J25" s="99" t="str">
        <f>IF(AND(J$16&gt;=Caminocrítico!$E$33+1,J$16&lt;=Caminocrítico!$H$33),IF(J35&lt;=$G$24,$G25,""),"")</f>
        <v xml:space="preserve"> </v>
      </c>
      <c r="K25" s="99" t="str">
        <f>IF(AND(K$16&gt;=Caminocrítico!$E$33+1,K$16&lt;=Caminocrítico!$H$33),IF(K35&lt;=$G$24,$G25,""),"")</f>
        <v xml:space="preserve"> </v>
      </c>
      <c r="L25" s="99" t="str">
        <f>IF(AND(L$16&gt;=Caminocrítico!$E$33+1,L$16&lt;=Caminocrítico!$H$33),IF(L35&lt;=$G$24,$G25,""),"")</f>
        <v xml:space="preserve"> </v>
      </c>
      <c r="M25" s="99" t="str">
        <f>IF(AND(M$16&gt;=Caminocrítico!$E$33+1,M$16&lt;=Caminocrítico!$H$33),IF(M35&lt;=$G$24,$G25,""),"")</f>
        <v/>
      </c>
      <c r="N25" s="99" t="str">
        <f>IF(AND(N$16&gt;=Caminocrítico!$E$33+1,N$16&lt;=Caminocrítico!$H$33),IF(N35&lt;=$G$24,$G25,""),"")</f>
        <v/>
      </c>
      <c r="O25" s="99" t="str">
        <f>IF(AND(O$16&gt;=Caminocrítico!$E$33+1,O$16&lt;=Caminocrítico!$H$33),IF(O35&lt;=$G$24,$G25,""),"")</f>
        <v/>
      </c>
      <c r="P25" s="99" t="str">
        <f>IF(AND(P$16&gt;=Caminocrítico!$E$33+1,P$16&lt;=Caminocrítico!$H$33),IF(P35&lt;=$G$24,$G25,""),"")</f>
        <v/>
      </c>
      <c r="Q25" s="99" t="str">
        <f>IF(AND(Q$16&gt;=Caminocrítico!$E$33+1,Q$16&lt;=Caminocrítico!$H$33),IF(Q35&lt;=$G$24,$G25,""),"")</f>
        <v/>
      </c>
      <c r="R25" s="99" t="str">
        <f>IF(AND(R$16&gt;=Caminocrítico!$E$33+1,R$16&lt;=Caminocrítico!$H$33),IF(R35&lt;=$G$24,$G25,""),"")</f>
        <v/>
      </c>
      <c r="S25" s="99" t="str">
        <f>IF(AND(S$16&gt;=Caminocrítico!$E$33+1,S$16&lt;=Caminocrítico!$H$33),IF(S35&lt;=$G$24,$G25,""),"")</f>
        <v/>
      </c>
      <c r="T25" s="99" t="str">
        <f>IF(AND(T$16&gt;=Caminocrítico!$E$33+1,T$16&lt;=Caminocrítico!$H$33),IF(T35&lt;=$G$24,$G25,""),"")</f>
        <v/>
      </c>
      <c r="U25" s="99" t="str">
        <f>IF(AND(U$16&gt;=Caminocrítico!$E$33+1,U$16&lt;=Caminocrítico!$H$33),IF(U35&lt;=$G$24,$G25,""),"")</f>
        <v/>
      </c>
      <c r="V25" s="99" t="str">
        <f>IF(AND(V$16&gt;=Caminocrítico!$E$33+1,V$16&lt;=Caminocrítico!$H$33),IF(V35&lt;=$G$24,$G25,""),"")</f>
        <v/>
      </c>
      <c r="W25" s="99" t="str">
        <f>IF(AND(W$16&gt;=Caminocrítico!$E$33+1,W$16&lt;=Caminocrítico!$H$33),IF(W35&lt;=$G$24,$G25,""),"")</f>
        <v/>
      </c>
      <c r="X25" s="99" t="str">
        <f>IF(AND(X$16&gt;=Caminocrítico!$E$33+1,X$16&lt;=Caminocrítico!$H$33),IF(X35&lt;=$G$24,$G25,""),"")</f>
        <v/>
      </c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 t="str">
        <f>IF(AND(AL$16&gt;=Caminocrítico!$E$33+1,AL$16&lt;=Caminocrítico!$H$33),$G24,"")</f>
        <v/>
      </c>
    </row>
    <row r="26" spans="3:38" ht="24.9" customHeight="1">
      <c r="G26" s="45" t="s">
        <v>20</v>
      </c>
      <c r="I26" s="42" t="s">
        <v>10</v>
      </c>
      <c r="J26" s="99" t="str">
        <f>IF(AND(J$16&gt;=Caminocrítico!$D$45+1,J$16&lt;=Caminocrítico!$G$45),IF(J35&lt;=$G$24,$G26,""),"")</f>
        <v xml:space="preserve"> </v>
      </c>
      <c r="K26" s="99" t="str">
        <f>IF(AND(K$16&gt;=Caminocrítico!$D$45+1,K$16&lt;=Caminocrítico!$G$45),IF(K35&lt;=$G$24,$G26,""),"")</f>
        <v xml:space="preserve"> </v>
      </c>
      <c r="L26" s="99" t="str">
        <f>IF(AND(L$16&gt;=Caminocrítico!$D$45+1,L$16&lt;=Caminocrítico!$G$45),IF(L35&lt;=$G$24,$G26,""),"")</f>
        <v/>
      </c>
      <c r="M26" s="99" t="str">
        <f>IF(AND(M$16&gt;=Caminocrítico!$D$45+1,M$16&lt;=Caminocrítico!$G$45),IF(M35&lt;=$G$24,$G26,""),"")</f>
        <v/>
      </c>
      <c r="N26" s="99" t="str">
        <f>IF(AND(N$16&gt;=Caminocrítico!$D$45+1,N$16&lt;=Caminocrítico!$G$45),IF(N35&lt;=$G$24,$G26,""),"")</f>
        <v/>
      </c>
      <c r="O26" s="99" t="str">
        <f>IF(AND(O$16&gt;=Caminocrítico!$D$45+1,O$16&lt;=Caminocrítico!$G$45),IF(O35&lt;=$G$24,$G26,""),"")</f>
        <v/>
      </c>
      <c r="P26" s="99" t="str">
        <f>IF(AND(P$16&gt;=Caminocrítico!$D$45+1,P$16&lt;=Caminocrítico!$G$45),IF(P35&lt;=$G$24,$G26,""),"")</f>
        <v/>
      </c>
      <c r="Q26" s="99" t="str">
        <f>IF(AND(Q$16&gt;=Caminocrítico!$D$45+1,Q$16&lt;=Caminocrítico!$G$45),IF(Q35&lt;=$G$24,$G26,""),"")</f>
        <v/>
      </c>
      <c r="R26" s="99" t="str">
        <f>IF(AND(R$16&gt;=Caminocrítico!$D$45+1,R$16&lt;=Caminocrítico!$G$45),IF(R35&lt;=$G$24,$G26,""),"")</f>
        <v/>
      </c>
      <c r="S26" s="99" t="str">
        <f>IF(AND(S$16&gt;=Caminocrítico!$D$45+1,S$16&lt;=Caminocrítico!$G$45),IF(S35&lt;=$G$24,$G26,""),"")</f>
        <v/>
      </c>
      <c r="T26" s="99" t="str">
        <f>IF(AND(T$16&gt;=Caminocrítico!$D$45+1,T$16&lt;=Caminocrítico!$G$45),IF(T35&lt;=$G$24,$G26,""),"")</f>
        <v/>
      </c>
      <c r="U26" s="99" t="str">
        <f>IF(AND(U$16&gt;=Caminocrítico!$D$45+1,U$16&lt;=Caminocrítico!$G$45),IF(U35&lt;=$G$24,$G26,""),"")</f>
        <v/>
      </c>
      <c r="V26" s="99" t="str">
        <f>IF(AND(V$16&gt;=Caminocrítico!$D$45+1,V$16&lt;=Caminocrítico!$G$45),IF(V35&lt;=$G$24,$G26,""),"")</f>
        <v/>
      </c>
      <c r="W26" s="99" t="str">
        <f>IF(AND(W$16&gt;=Caminocrítico!$D$45+1,W$16&lt;=Caminocrítico!$G$45),IF(W35&lt;=$G$24,$G26,""),"")</f>
        <v/>
      </c>
      <c r="X26" s="99" t="str">
        <f>IF(AND(X$16&gt;=Caminocrítico!$D$45+1,X$16&lt;=Caminocrítico!$G$45),IF(X35&lt;=$G$24,$G26,""),"")</f>
        <v/>
      </c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 t="str">
        <f>IF(AND(AL$16&gt;=Caminocrítico!$D$45+1,AL$16&lt;=Caminocrítico!$G$45),$G26,"")</f>
        <v/>
      </c>
    </row>
    <row r="27" spans="3:38" ht="24.9" customHeight="1">
      <c r="G27" s="45" t="s">
        <v>20</v>
      </c>
      <c r="I27" s="42" t="s">
        <v>6</v>
      </c>
      <c r="J27" s="99" t="str">
        <f>IF(AND(J$16&gt;=Caminocrítico!$K$31+1,J$16&lt;=Caminocrítico!$N$31),IF(J35&lt;=$G$24,$G27,""),"")</f>
        <v/>
      </c>
      <c r="K27" s="99" t="str">
        <f>IF(AND(K$16&gt;=Caminocrítico!$K$31+1,K$16&lt;=Caminocrítico!$N$31),IF(K35&lt;=$G$24,$G27,""),"")</f>
        <v/>
      </c>
      <c r="L27" s="99" t="str">
        <f>IF(AND(L$16&gt;=Caminocrítico!$K$31+1,L$16&lt;=Caminocrítico!$N$31),IF(L35&lt;=$G$24,$G27,""),"")</f>
        <v/>
      </c>
      <c r="M27" s="99" t="str">
        <f>IF(AND(M$16&gt;=Caminocrítico!$K$31+1,M$16&lt;=Caminocrítico!$N$31),IF(M35&lt;=$G$24,$G27,""),"")</f>
        <v xml:space="preserve"> </v>
      </c>
      <c r="N27" s="99" t="str">
        <f>IF(AND(N$16&gt;=Caminocrítico!$K$31+1,N$16&lt;=Caminocrítico!$N$31),IF(N35&lt;=$G$24,$G27,""),"")</f>
        <v xml:space="preserve"> </v>
      </c>
      <c r="O27" s="99" t="str">
        <f>IF(AND(O$16&gt;=Caminocrítico!$K$31+1,O$16&lt;=Caminocrítico!$N$31),IF(O35&lt;=$G$24,$G27,""),"")</f>
        <v xml:space="preserve"> </v>
      </c>
      <c r="P27" s="99" t="str">
        <f>IF(AND(P$16&gt;=Caminocrítico!$K$31+1,P$16&lt;=Caminocrítico!$N$31),IF(P35&lt;=$G$24,$G27,""),"")</f>
        <v xml:space="preserve"> </v>
      </c>
      <c r="Q27" s="99" t="str">
        <f>IF(AND(Q$16&gt;=Caminocrítico!$K$31+1,Q$16&lt;=Caminocrítico!$N$31),IF(Q35&lt;=$G$24,$G27,""),"")</f>
        <v/>
      </c>
      <c r="R27" s="99" t="str">
        <f>IF(AND(R$16&gt;=Caminocrítico!$K$31+1,R$16&lt;=Caminocrítico!$N$31),IF(R35&lt;=$G$24,$G27,""),"")</f>
        <v/>
      </c>
      <c r="S27" s="99" t="str">
        <f>IF(AND(S$16&gt;=Caminocrítico!$K$31+1,S$16&lt;=Caminocrítico!$N$31),IF(S35&lt;=$G$24,$G27,""),"")</f>
        <v/>
      </c>
      <c r="T27" s="99" t="str">
        <f>IF(AND(T$16&gt;=Caminocrítico!$K$31+1,T$16&lt;=Caminocrítico!$N$31),IF(T35&lt;=$G$24,$G27,""),"")</f>
        <v/>
      </c>
      <c r="U27" s="99" t="str">
        <f>IF(AND(U$16&gt;=Caminocrítico!$K$31+1,U$16&lt;=Caminocrítico!$N$31),IF(U35&lt;=$G$24,$G27,""),"")</f>
        <v/>
      </c>
      <c r="V27" s="99" t="str">
        <f>IF(AND(V$16&gt;=Caminocrítico!$K$31+1,V$16&lt;=Caminocrítico!$N$31),IF(V35&lt;=$G$24,$G27,""),"")</f>
        <v/>
      </c>
      <c r="W27" s="99" t="str">
        <f>IF(AND(W$16&gt;=Caminocrítico!$K$31+1,W$16&lt;=Caminocrítico!$N$31),IF(W35&lt;=$G$24,$G27,""),"")</f>
        <v/>
      </c>
      <c r="X27" s="99" t="str">
        <f>IF(AND(X$16&gt;=Caminocrítico!$K$31+1,X$16&lt;=Caminocrítico!$N$31),IF(X35&lt;=$G$24,$G27,""),"")</f>
        <v/>
      </c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 t="str">
        <f>IF(AND(AL$16&gt;=Caminocrítico!$K$31+1,AL$16&lt;=Caminocrítico!$N$31),$G27,"")</f>
        <v/>
      </c>
    </row>
    <row r="28" spans="3:38" ht="24.9" customHeight="1">
      <c r="G28" s="45" t="s">
        <v>20</v>
      </c>
      <c r="I28" s="42" t="s">
        <v>11</v>
      </c>
      <c r="J28" s="99" t="str">
        <f>IF(AND(J$16&gt;=Caminocrítico!$K$37+1,J$16&lt;=Caminocrítico!$N$37),IF(J35&lt;=$G$24,$G28,""),"")</f>
        <v/>
      </c>
      <c r="K28" s="99" t="str">
        <f>IF(AND(K$16&gt;=Caminocrítico!$K$37+1,K$16&lt;=Caminocrítico!$N$37),IF(K35&lt;=$G$24,$G28,""),"")</f>
        <v/>
      </c>
      <c r="L28" s="99" t="str">
        <f>IF(AND(L$16&gt;=Caminocrítico!$K$37+1,L$16&lt;=Caminocrítico!$N$37),IF(L35&lt;=$G$24,$G28,""),"")</f>
        <v/>
      </c>
      <c r="M28" s="99" t="str">
        <f>IF(AND(M$16&gt;=Caminocrítico!$K$37+1,M$16&lt;=Caminocrítico!$N$37),IF(M35&lt;=$G$24,$G28,""),"")</f>
        <v xml:space="preserve"> </v>
      </c>
      <c r="N28" s="99" t="str">
        <f>IF(AND(N$16&gt;=Caminocrítico!$K$37+1,N$16&lt;=Caminocrítico!$N$37),IF(N35&lt;=$G$24,$G28,""),"")</f>
        <v xml:space="preserve"> </v>
      </c>
      <c r="O28" s="99" t="str">
        <f>IF(AND(O$16&gt;=Caminocrítico!$K$37+1,O$16&lt;=Caminocrítico!$N$37),IF(O35&lt;=$G$24,$G28,""),"")</f>
        <v xml:space="preserve"> </v>
      </c>
      <c r="P28" s="99" t="str">
        <f>IF(AND(P$16&gt;=Caminocrítico!$K$37+1,P$16&lt;=Caminocrítico!$N$37),IF(P35&lt;=$G$24,$G28,""),"")</f>
        <v/>
      </c>
      <c r="Q28" s="99" t="str">
        <f>IF(AND(Q$16&gt;=Caminocrítico!$K$37+1,Q$16&lt;=Caminocrítico!$N$37),IF(Q35&lt;=$G$24,$G28,""),"")</f>
        <v/>
      </c>
      <c r="R28" s="99" t="str">
        <f>IF(AND(R$16&gt;=Caminocrítico!$K$37+1,R$16&lt;=Caminocrítico!$N$37),IF(R35&lt;=$G$24,$G28,""),"")</f>
        <v/>
      </c>
      <c r="S28" s="99" t="str">
        <f>IF(AND(S$16&gt;=Caminocrítico!$K$37+1,S$16&lt;=Caminocrítico!$N$37),IF(S35&lt;=$G$24,$G28,""),"")</f>
        <v/>
      </c>
      <c r="T28" s="99" t="str">
        <f>IF(AND(T$16&gt;=Caminocrítico!$K$37+1,T$16&lt;=Caminocrítico!$N$37),IF(T35&lt;=$G$24,$G28,""),"")</f>
        <v/>
      </c>
      <c r="U28" s="99" t="str">
        <f>IF(AND(U$16&gt;=Caminocrítico!$K$37+1,U$16&lt;=Caminocrítico!$N$37),IF(U35&lt;=$G$24,$G28,""),"")</f>
        <v/>
      </c>
      <c r="V28" s="99" t="str">
        <f>IF(AND(V$16&gt;=Caminocrítico!$K$37+1,V$16&lt;=Caminocrítico!$N$37),IF(V35&lt;=$G$24,$G28,""),"")</f>
        <v/>
      </c>
      <c r="W28" s="99" t="str">
        <f>IF(AND(W$16&gt;=Caminocrítico!$K$37+1,W$16&lt;=Caminocrítico!$N$37),IF(W35&lt;=$G$24,$G28,""),"")</f>
        <v/>
      </c>
      <c r="X28" s="99" t="str">
        <f>IF(AND(X$16&gt;=Caminocrítico!$K$37+1,X$16&lt;=Caminocrítico!$N$37),IF(X35&lt;=$G$24,$G28,""),"")</f>
        <v/>
      </c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 t="str">
        <f>IF(AND(AL$16&gt;=Caminocrítico!$K$37+1,AL$16&lt;=Caminocrítico!$N$37),$G28,"")</f>
        <v/>
      </c>
    </row>
    <row r="29" spans="3:38" ht="24.9" customHeight="1">
      <c r="G29" s="45" t="s">
        <v>20</v>
      </c>
      <c r="I29" s="42" t="s">
        <v>3</v>
      </c>
      <c r="J29" s="99" t="str">
        <f>IF(AND(J$16&gt;=Caminocrítico!$Q$31+1,J$16&lt;=Caminocrítico!$T$31),IF(J35&lt;=$G$24,$G29,""),"")</f>
        <v/>
      </c>
      <c r="K29" s="99" t="str">
        <f>IF(AND(K$16&gt;=Caminocrítico!$Q$31+1,K$16&lt;=Caminocrítico!$T$31),IF(K35&lt;=$G$24,$G29,""),"")</f>
        <v/>
      </c>
      <c r="L29" s="99" t="str">
        <f>IF(AND(L$16&gt;=Caminocrítico!$Q$31+1,L$16&lt;=Caminocrítico!$T$31),IF(L35&lt;=$G$24,$G29,""),"")</f>
        <v/>
      </c>
      <c r="M29" s="99" t="str">
        <f>IF(AND(M$16&gt;=Caminocrítico!$Q$31+1,M$16&lt;=Caminocrítico!$T$31),IF(M35&lt;=$G$24,$G29,""),"")</f>
        <v/>
      </c>
      <c r="N29" s="99" t="str">
        <f>IF(AND(N$16&gt;=Caminocrítico!$Q$31+1,N$16&lt;=Caminocrítico!$T$31),IF(N35&lt;=$G$24,$G29,""),"")</f>
        <v/>
      </c>
      <c r="O29" s="99" t="str">
        <f>IF(AND(O$16&gt;=Caminocrítico!$Q$31+1,O$16&lt;=Caminocrítico!$T$31),IF(O35&lt;=$G$24,$G29,""),"")</f>
        <v/>
      </c>
      <c r="P29" s="99" t="str">
        <f>IF(AND(P$16&gt;=Caminocrítico!$Q$31+1,P$16&lt;=Caminocrítico!$T$31),IF(P35&lt;=$G$24,$G29,""),"")</f>
        <v/>
      </c>
      <c r="Q29" s="99" t="str">
        <f>IF(AND(Q$16&gt;=Caminocrítico!$Q$31+1,Q$16&lt;=Caminocrítico!$T$31),IF(Q35&lt;=$G$24,$G29,""),"")</f>
        <v/>
      </c>
      <c r="R29" s="99" t="str">
        <f>IF(AND(R$16&gt;=Caminocrítico!$Q$31+1,R$16&lt;=Caminocrítico!$T$31),IF(R35&lt;=$G$24,$G29,""),"")</f>
        <v/>
      </c>
      <c r="S29" s="99" t="str">
        <f>IF(AND(S$16&gt;=Caminocrítico!$Q$31+1,S$16&lt;=Caminocrítico!$T$31),IF(S35&lt;=$G$24,$G29,""),"")</f>
        <v/>
      </c>
      <c r="T29" s="99" t="str">
        <f>IF(AND(T$16&gt;=Caminocrítico!$Q$31+1,T$16&lt;=Caminocrítico!$T$31),IF(T35&lt;=$G$24,$G29,""),"")</f>
        <v/>
      </c>
      <c r="U29" s="99" t="str">
        <f>IF(AND(U$16&gt;=Caminocrítico!$Q$31+1,U$16&lt;=Caminocrítico!$T$31),IF(U35&lt;=$G$24,$G29,""),"")</f>
        <v/>
      </c>
      <c r="V29" s="99" t="str">
        <f>IF(AND(V$16&gt;=Caminocrítico!$Q$31+1,V$16&lt;=Caminocrítico!$T$31),IF(V35&lt;=$G$24,$G29,""),"")</f>
        <v/>
      </c>
      <c r="W29" s="99" t="str">
        <f>IF(AND(W$16&gt;=Caminocrítico!$Q$31+1,W$16&lt;=Caminocrítico!$T$31),IF(W35&lt;=$G$24,$G29,""),"")</f>
        <v/>
      </c>
      <c r="X29" s="99" t="str">
        <f>IF(AND(X$16&gt;=Caminocrítico!$Q$31+1,X$16&lt;=Caminocrítico!$T$31),IF(X35&lt;=$G$24,$G29,""),"")</f>
        <v/>
      </c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 t="str">
        <f>IF(AND(AL$16&gt;=Caminocrítico!$Q$31+1,AL$16&lt;=Caminocrítico!$T$31),$G29,"")</f>
        <v/>
      </c>
    </row>
    <row r="30" spans="3:38" ht="24.9" customHeight="1">
      <c r="G30" s="45" t="s">
        <v>20</v>
      </c>
      <c r="I30" s="42" t="s">
        <v>1</v>
      </c>
      <c r="J30" s="99" t="str">
        <f>IF(AND(J$16&gt;=Caminocrítico!$Q$37+1,J$16&lt;=Caminocrítico!$T$37),IF(J35&lt;=$G$24,$G30,""),"")</f>
        <v/>
      </c>
      <c r="K30" s="99" t="str">
        <f>IF(AND(K$16&gt;=Caminocrítico!$Q$37+1,K$16&lt;=Caminocrítico!$T$37),IF(K35&lt;=$G$24,$G30,""),"")</f>
        <v/>
      </c>
      <c r="L30" s="99" t="str">
        <f>IF(AND(L$16&gt;=Caminocrítico!$Q$37+1,L$16&lt;=Caminocrítico!$T$37),IF(L35&lt;=$G$24,$G30,""),"")</f>
        <v/>
      </c>
      <c r="M30" s="99" t="str">
        <f>IF(AND(M$16&gt;=Caminocrítico!$Q$37+1,M$16&lt;=Caminocrítico!$T$37),IF(M35&lt;=$G$24,$G30,""),"")</f>
        <v/>
      </c>
      <c r="N30" s="99" t="str">
        <f>IF(AND(N$16&gt;=Caminocrítico!$Q$37+1,N$16&lt;=Caminocrítico!$T$37),IF(N35&lt;=$G$24,$G30,""),"")</f>
        <v/>
      </c>
      <c r="O30" s="99" t="str">
        <f>IF(AND(O$16&gt;=Caminocrítico!$Q$37+1,O$16&lt;=Caminocrítico!$T$37),IF(O35&lt;=$G$24,$G30,""),"")</f>
        <v/>
      </c>
      <c r="P30" s="99" t="str">
        <f>IF(AND(P$16&gt;=Caminocrítico!$Q$37+1,P$16&lt;=Caminocrítico!$T$37),IF(P35&lt;=$G$24,$G30,""),"")</f>
        <v/>
      </c>
      <c r="Q30" s="99" t="str">
        <f>IF(AND(Q$16&gt;=Caminocrítico!$Q$37+1,Q$16&lt;=Caminocrítico!$T$37),IF(Q35&lt;=$G$24,$G30,""),"")</f>
        <v/>
      </c>
      <c r="R30" s="99" t="str">
        <f>IF(AND(R$16&gt;=Caminocrítico!$Q$37+1,R$16&lt;=Caminocrítico!$T$37),IF(R35&lt;=$G$24,$G30,""),"")</f>
        <v/>
      </c>
      <c r="S30" s="99" t="str">
        <f>IF(AND(S$16&gt;=Caminocrítico!$Q$37+1,S$16&lt;=Caminocrítico!$T$37),IF(S35&lt;=$G$24,$G30,""),"")</f>
        <v/>
      </c>
      <c r="T30" s="99" t="str">
        <f>IF(AND(T$16&gt;=Caminocrítico!$Q$37+1,T$16&lt;=Caminocrítico!$T$37),IF(T35&lt;=$G$24,$G30,""),"")</f>
        <v/>
      </c>
      <c r="U30" s="99" t="str">
        <f>IF(AND(U$16&gt;=Caminocrítico!$Q$37+1,U$16&lt;=Caminocrítico!$T$37),IF(U35&lt;=$G$24,$G30,""),"")</f>
        <v/>
      </c>
      <c r="V30" s="99" t="str">
        <f>IF(AND(V$16&gt;=Caminocrítico!$Q$37+1,V$16&lt;=Caminocrítico!$T$37),IF(V35&lt;=$G$24,$G30,""),"")</f>
        <v/>
      </c>
      <c r="W30" s="99" t="str">
        <f>IF(AND(W$16&gt;=Caminocrítico!$Q$37+1,W$16&lt;=Caminocrítico!$T$37),IF(W35&lt;=$G$24,$G30,""),"")</f>
        <v/>
      </c>
      <c r="X30" s="99" t="str">
        <f>IF(AND(X$16&gt;=Caminocrítico!$Q$37+1,X$16&lt;=Caminocrítico!$T$37),IF(X35&lt;=$G$24,$G30,""),"")</f>
        <v/>
      </c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 t="str">
        <f>IF(AND(AL$16&gt;=Caminocrítico!$Q$37+1,AL$16&lt;=Caminocrítico!$T$37),$G30,"")</f>
        <v/>
      </c>
    </row>
    <row r="31" spans="3:38" ht="24.6" customHeight="1">
      <c r="G31" s="45" t="s">
        <v>20</v>
      </c>
      <c r="I31" s="42" t="s">
        <v>12</v>
      </c>
      <c r="J31" s="99" t="str">
        <f>IF(AND(J$16&gt;=Caminocrítico!$L$43+1,J$16&lt;=Caminocrítico!$O$43),IF(J35&lt;=$G$24,$G31,""),"")</f>
        <v/>
      </c>
      <c r="K31" s="99" t="str">
        <f>IF(AND(K$16&gt;=Caminocrítico!$L$43+1,K$16&lt;=Caminocrítico!$O$43),IF(K35&lt;=$G$24,$G31,""),"")</f>
        <v/>
      </c>
      <c r="L31" s="99" t="str">
        <f>IF(AND(L$16&gt;=Caminocrítico!$L$43+1,L$16&lt;=Caminocrítico!$O$43),IF(L35&lt;=$G$24,$G31,""),"")</f>
        <v xml:space="preserve"> </v>
      </c>
      <c r="M31" s="99" t="str">
        <f>IF(AND(M$16&gt;=Caminocrítico!$L$43+1,M$16&lt;=Caminocrítico!$O$43),IF(M35&lt;=$G$24,$G31,""),"")</f>
        <v xml:space="preserve"> </v>
      </c>
      <c r="N31" s="99" t="str">
        <f>IF(AND(N$16&gt;=Caminocrítico!$L$43+1,N$16&lt;=Caminocrítico!$O$43),IF(N35&lt;=$G$24,$G31,""),"")</f>
        <v xml:space="preserve"> </v>
      </c>
      <c r="O31" s="99" t="str">
        <f>IF(AND(O$16&gt;=Caminocrítico!$L$43+1,O$16&lt;=Caminocrítico!$O$43),IF(O35&lt;=$G$24,$G31,""),"")</f>
        <v xml:space="preserve"> </v>
      </c>
      <c r="P31" s="99" t="str">
        <f>IF(AND(P$16&gt;=Caminocrítico!$L$43+1,P$16&lt;=Caminocrítico!$O$43),IF(P35&lt;=$G$24,$G31,""),"")</f>
        <v xml:space="preserve"> </v>
      </c>
      <c r="Q31" s="99" t="str">
        <f>IF(AND(Q$16&gt;=Caminocrítico!$L$43+1,Q$16&lt;=Caminocrítico!$O$43),IF(Q35&lt;=$G$24,$G31,""),"")</f>
        <v/>
      </c>
      <c r="R31" s="99" t="str">
        <f>IF(AND(R$16&gt;=Caminocrítico!$L$43+1,R$16&lt;=Caminocrítico!$O$43),IF(R35&lt;=$G$24,$G31,""),"")</f>
        <v/>
      </c>
      <c r="S31" s="99" t="str">
        <f>IF(AND(S$16&gt;=Caminocrítico!$L$43+1,S$16&lt;=Caminocrítico!$O$43),IF(S35&lt;=$G$24,$G31,""),"")</f>
        <v/>
      </c>
      <c r="T31" s="99" t="str">
        <f>IF(AND(T$16&gt;=Caminocrítico!$L$43+1,T$16&lt;=Caminocrítico!$O$43),IF(T35&lt;=$G$24,$G31,""),"")</f>
        <v/>
      </c>
      <c r="U31" s="99" t="str">
        <f>IF(AND(U$16&gt;=Caminocrítico!$L$43+1,U$16&lt;=Caminocrítico!$O$43),IF(U35&lt;=$G$24,$G31,""),"")</f>
        <v/>
      </c>
      <c r="V31" s="99" t="str">
        <f>IF(AND(V$16&gt;=Caminocrítico!$L$43+1,V$16&lt;=Caminocrítico!$O$43),IF(V35&lt;=$G$24,$G31,""),"")</f>
        <v/>
      </c>
      <c r="W31" s="99" t="str">
        <f>IF(AND(W$16&gt;=Caminocrítico!$L$43+1,W$16&lt;=Caminocrítico!$O$43),IF(W35&lt;=$G$24,$G31,""),"")</f>
        <v/>
      </c>
      <c r="X31" s="99" t="str">
        <f>IF(AND(X$16&gt;=Caminocrítico!$L$43+1,X$16&lt;=Caminocrítico!$O$43),IF(X35&lt;=$G$24,$G31,""),"")</f>
        <v/>
      </c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 t="str">
        <f>IF(AND(AL$16&gt;=Caminocrítico!$L$43+1,AL$16&lt;=Caminocrítico!$O$43),$G31,"")</f>
        <v/>
      </c>
    </row>
    <row r="32" spans="3:38" ht="24.6" customHeight="1">
      <c r="G32" s="45" t="s">
        <v>20</v>
      </c>
      <c r="I32" s="42" t="s">
        <v>2</v>
      </c>
      <c r="J32" s="99" t="str">
        <f>IF(AND(J$16&gt;=Caminocrítico!$W$31+1,J$16&lt;=Caminocrítico!$Z$31),IF(J35&lt;=$G$24,$G32,""),"")</f>
        <v/>
      </c>
      <c r="K32" s="99" t="str">
        <f>IF(AND(K$16&gt;=Caminocrítico!$W$31+1,K$16&lt;=Caminocrítico!$Z$31),IF(K35&lt;=$G$24,$G32,""),"")</f>
        <v/>
      </c>
      <c r="L32" s="99" t="str">
        <f>IF(AND(L$16&gt;=Caminocrítico!$W$31+1,L$16&lt;=Caminocrítico!$Z$31),IF(L35&lt;=$G$24,$G32,""),"")</f>
        <v/>
      </c>
      <c r="M32" s="99" t="str">
        <f>IF(AND(M$16&gt;=Caminocrítico!$W$31+1,M$16&lt;=Caminocrítico!$Z$31),IF(M35&lt;=$G$24,$G32,""),"")</f>
        <v/>
      </c>
      <c r="N32" s="99" t="str">
        <f>IF(AND(N$16&gt;=Caminocrítico!$W$31+1,N$16&lt;=Caminocrítico!$Z$31),IF(N35&lt;=$G$24,$G32,""),"")</f>
        <v/>
      </c>
      <c r="O32" s="99" t="str">
        <f>IF(AND(O$16&gt;=Caminocrítico!$W$31+1,O$16&lt;=Caminocrítico!$Z$31),IF(O35&lt;=$G$24,$G32,""),"")</f>
        <v/>
      </c>
      <c r="P32" s="99" t="str">
        <f>IF(AND(P$16&gt;=Caminocrítico!$W$31+1,P$16&lt;=Caminocrítico!$Z$31),IF(P35&lt;=$G$24,$G32,""),"")</f>
        <v/>
      </c>
      <c r="Q32" s="99" t="str">
        <f>IF(AND(Q$16&gt;=Caminocrítico!$W$31+1,Q$16&lt;=Caminocrítico!$Z$31),IF(Q35&lt;=$G$24,$G32,""),"")</f>
        <v/>
      </c>
      <c r="R32" s="99" t="str">
        <f>IF(AND(R$16&gt;=Caminocrítico!$W$31+1,R$16&lt;=Caminocrítico!$Z$31),IF(R35&lt;=$G$24,$G32,""),"")</f>
        <v/>
      </c>
      <c r="S32" s="99" t="str">
        <f>IF(AND(S$16&gt;=Caminocrítico!$W$31+1,S$16&lt;=Caminocrítico!$Z$31),IF(S35&lt;=$G$24,$G32,""),"")</f>
        <v/>
      </c>
      <c r="T32" s="99" t="str">
        <f>IF(AND(T$16&gt;=Caminocrítico!$W$31+1,T$16&lt;=Caminocrítico!$Z$31),IF(T35&lt;=$G$24,$G32,""),"")</f>
        <v/>
      </c>
      <c r="U32" s="99" t="str">
        <f>IF(AND(U$16&gt;=Caminocrítico!$W$31+1,U$16&lt;=Caminocrítico!$Z$31),IF(U35&lt;=$G$24,$G32,""),"")</f>
        <v/>
      </c>
      <c r="V32" s="99" t="str">
        <f>IF(AND(V$16&gt;=Caminocrítico!$W$31+1,V$16&lt;=Caminocrítico!$Z$31),IF(V35&lt;=$G$24,$G32,""),"")</f>
        <v/>
      </c>
      <c r="W32" s="99" t="str">
        <f>IF(AND(W$16&gt;=Caminocrítico!$W$31+1,W$16&lt;=Caminocrítico!$Z$31),IF(W35&lt;=$G$24,$G32,""),"")</f>
        <v/>
      </c>
      <c r="X32" s="99" t="str">
        <f>IF(AND(X$16&gt;=Caminocrítico!$W$31+1,X$16&lt;=Caminocrítico!$Z$31),IF(X35&lt;=$G$24,$G32,""),"")</f>
        <v/>
      </c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</row>
    <row r="33" spans="7:38" ht="24.6" customHeight="1">
      <c r="G33" s="45" t="s">
        <v>20</v>
      </c>
      <c r="I33" s="42" t="s">
        <v>7</v>
      </c>
      <c r="J33" s="99" t="str">
        <f>IF(AND(J$16&gt;=Caminocrítico!$R$43+1,J$16&lt;=Caminocrítico!$U$43),IF(J35&lt;=$G$24,$G33,""),"")</f>
        <v/>
      </c>
      <c r="K33" s="99" t="str">
        <f>IF(AND(K$16&gt;=Caminocrítico!$R$43+1,K$16&lt;=Caminocrítico!$U$43),IF(K35&lt;=$G$24,$G33,""),"")</f>
        <v/>
      </c>
      <c r="L33" s="99" t="str">
        <f>IF(AND(L$16&gt;=Caminocrítico!$R$43+1,L$16&lt;=Caminocrítico!$U$43),IF(L35&lt;=$G$24,$G33,""),"")</f>
        <v/>
      </c>
      <c r="M33" s="99" t="str">
        <f>IF(AND(M$16&gt;=Caminocrítico!$R$43+1,M$16&lt;=Caminocrítico!$U$43),IF(M35&lt;=$G$24,$G33,""),"")</f>
        <v/>
      </c>
      <c r="N33" s="99" t="str">
        <f>IF(AND(N$16&gt;=Caminocrítico!$R$43+1,N$16&lt;=Caminocrítico!$U$43),IF(N35&lt;=$G$24,$G33,""),"")</f>
        <v/>
      </c>
      <c r="O33" s="99" t="str">
        <f>IF(AND(O$16&gt;=Caminocrítico!$R$43+1,O$16&lt;=Caminocrítico!$U$43),IF(O35&lt;=$G$24,$G33,""),"")</f>
        <v/>
      </c>
      <c r="P33" s="99" t="str">
        <f>IF(AND(P$16&gt;=Caminocrítico!$R$43+1,P$16&lt;=Caminocrítico!$U$43),IF(P35&lt;=$G$24,$G33,""),"")</f>
        <v/>
      </c>
      <c r="Q33" s="99" t="str">
        <f>IF(AND(Q$16&gt;=Caminocrítico!$R$43+1,Q$16&lt;=Caminocrítico!$U$43),IF(Q35&lt;=$G$24,$G33,""),"")</f>
        <v/>
      </c>
      <c r="R33" s="99" t="str">
        <f>IF(AND(R$16&gt;=Caminocrítico!$R$43+1,R$16&lt;=Caminocrítico!$U$43),IF(R35&lt;=$G$24,$G33,""),"")</f>
        <v/>
      </c>
      <c r="S33" s="99" t="str">
        <f>IF(AND(S$16&gt;=Caminocrítico!$R$43+1,S$16&lt;=Caminocrítico!$U$43),IF(S35&lt;=$G$24,$G33,""),"")</f>
        <v/>
      </c>
      <c r="T33" s="99" t="str">
        <f>IF(AND(T$16&gt;=Caminocrítico!$R$43+1,T$16&lt;=Caminocrítico!$U$43),IF(T35&lt;=$G$24,$G33,""),"")</f>
        <v/>
      </c>
      <c r="U33" s="99" t="str">
        <f>IF(AND(U$16&gt;=Caminocrítico!$R$43+1,U$16&lt;=Caminocrítico!$U$43),IF(U35&lt;=$G$24,$G33,""),"")</f>
        <v/>
      </c>
      <c r="V33" s="99" t="str">
        <f>IF(AND(V$16&gt;=Caminocrítico!$R$43+1,V$16&lt;=Caminocrítico!$U$43),IF(V35&lt;=$G$24,$G33,""),"")</f>
        <v/>
      </c>
      <c r="W33" s="99" t="str">
        <f>IF(AND(W$16&gt;=Caminocrítico!$R$43+1,W$16&lt;=Caminocrítico!$U$43),IF(W35&lt;=$G$24,$G33,""),"")</f>
        <v/>
      </c>
      <c r="X33" s="99" t="str">
        <f>IF(AND(X$16&gt;=Caminocrítico!$R$43+1,X$16&lt;=Caminocrítico!$U$43),IF(X35&lt;=$G$24,$G33,""),"")</f>
        <v/>
      </c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</row>
    <row r="34" spans="7:38" ht="24.9" customHeight="1" thickBot="1">
      <c r="G34" s="16" t="s">
        <v>20</v>
      </c>
      <c r="I34" s="42" t="s">
        <v>5</v>
      </c>
      <c r="J34" s="107" t="str">
        <f>IF(AND(J$16&gt;=Caminocrítico!$W$37+1,J$16&lt;=Caminocrítico!$Z$37),IF(J35&lt;=$G$24,$G34,""),"")</f>
        <v/>
      </c>
      <c r="K34" s="107" t="str">
        <f>IF(AND(K$16&gt;=Caminocrítico!$W$37+1,K$16&lt;=Caminocrítico!$Z$37),IF(K35&lt;=$G$24,$G34,""),"")</f>
        <v/>
      </c>
      <c r="L34" s="107" t="str">
        <f>IF(AND(L$16&gt;=Caminocrítico!$W$37+1,L$16&lt;=Caminocrítico!$Z$37),IF(L35&lt;=$G$24,$G34,""),"")</f>
        <v/>
      </c>
      <c r="M34" s="107" t="str">
        <f>IF(AND(M$16&gt;=Caminocrítico!$W$37+1,M$16&lt;=Caminocrítico!$Z$37),IF(M35&lt;=$G$24,$G34,""),"")</f>
        <v/>
      </c>
      <c r="N34" s="107" t="str">
        <f>IF(AND(N$16&gt;=Caminocrítico!$W$37+1,N$16&lt;=Caminocrítico!$Z$37),IF(N35&lt;=$G$24,$G34,""),"")</f>
        <v/>
      </c>
      <c r="O34" s="107" t="str">
        <f>IF(AND(O$16&gt;=Caminocrítico!$W$37+1,O$16&lt;=Caminocrítico!$Z$37),IF(O35&lt;=$G$24,$G34,""),"")</f>
        <v/>
      </c>
      <c r="P34" s="107" t="str">
        <f>IF(AND(P$16&gt;=Caminocrítico!$W$37+1,P$16&lt;=Caminocrítico!$Z$37),IF(P35&lt;=$G$24,$G34,""),"")</f>
        <v/>
      </c>
      <c r="Q34" s="107" t="str">
        <f>IF(AND(Q$16&gt;=Caminocrítico!$W$37+1,Q$16&lt;=Caminocrítico!$Z$37),IF(Q35&lt;=$G$24,$G34,""),"")</f>
        <v/>
      </c>
      <c r="R34" s="107" t="str">
        <f>IF(AND(R$16&gt;=Caminocrítico!$W$37+1,R$16&lt;=Caminocrítico!$Z$37),IF(R35&lt;=$G$24,$G34,""),"")</f>
        <v/>
      </c>
      <c r="S34" s="107" t="str">
        <f>IF(AND(S$16&gt;=Caminocrítico!$W$37+1,S$16&lt;=Caminocrítico!$Z$37),IF(S35&lt;=$G$24,$G34,""),"")</f>
        <v/>
      </c>
      <c r="T34" s="107" t="str">
        <f>IF(AND(T$16&gt;=Caminocrítico!$W$37+1,T$16&lt;=Caminocrítico!$Z$37),IF(T35&lt;=$G$24,$G34,""),"")</f>
        <v/>
      </c>
      <c r="U34" s="107" t="str">
        <f>IF(AND(U$16&gt;=Caminocrítico!$W$37+1,U$16&lt;=Caminocrítico!$Z$37),IF(U35&lt;=$G$24,$G34,""),"")</f>
        <v/>
      </c>
      <c r="V34" s="107" t="str">
        <f>IF(AND(V$16&gt;=Caminocrítico!$W$37+1,V$16&lt;=Caminocrítico!$Z$37),IF(V35&lt;=$G$24,$G34,""),"")</f>
        <v/>
      </c>
      <c r="W34" s="107" t="str">
        <f>IF(AND(W$16&gt;=Caminocrítico!$W$37+1,W$16&lt;=Caminocrítico!$Z$37),IF(W35&lt;=$G$24,$G34,""),"")</f>
        <v/>
      </c>
      <c r="X34" s="107" t="str">
        <f>IF(AND(X$16&gt;=Caminocrítico!$W$37+1,X$16&lt;=Caminocrítico!$Z$37),IF(X35&lt;=$G$24,$G34,""),"")</f>
        <v/>
      </c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</row>
    <row r="35" spans="7:38" ht="24.9" customHeight="1" thickTop="1">
      <c r="I35" s="15"/>
      <c r="J35" s="87">
        <v>1</v>
      </c>
      <c r="K35" s="87">
        <v>2</v>
      </c>
      <c r="L35" s="87">
        <v>3</v>
      </c>
      <c r="M35" s="87">
        <v>4</v>
      </c>
      <c r="N35" s="87">
        <v>5</v>
      </c>
      <c r="O35" s="87">
        <v>6</v>
      </c>
      <c r="P35" s="87">
        <v>7</v>
      </c>
      <c r="Q35" s="87">
        <v>8</v>
      </c>
      <c r="R35" s="87">
        <v>9</v>
      </c>
      <c r="S35" s="87">
        <v>10</v>
      </c>
      <c r="T35" s="87">
        <v>11</v>
      </c>
      <c r="U35" s="87">
        <v>12</v>
      </c>
      <c r="V35" s="87">
        <v>13</v>
      </c>
      <c r="W35" s="87">
        <v>14</v>
      </c>
      <c r="X35" s="87">
        <v>15</v>
      </c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</row>
    <row r="36" spans="7:38" ht="24.9" customHeight="1">
      <c r="J36" s="91"/>
      <c r="K36" s="91"/>
      <c r="L36" s="91"/>
      <c r="M36" s="91"/>
      <c r="N36" s="91"/>
      <c r="O36" s="91"/>
      <c r="P36" s="91"/>
      <c r="Q36" s="91"/>
    </row>
    <row r="40" spans="7:38" ht="24.9" customHeight="1"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</row>
    <row r="41" spans="7:38" ht="24.9" customHeight="1">
      <c r="I41" s="92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2"/>
    </row>
    <row r="42" spans="7:38" ht="24.9" customHeight="1">
      <c r="I42" s="92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2"/>
    </row>
  </sheetData>
  <conditionalFormatting sqref="J2:AK15 Y34:AK34 Y25:AL33 J25:X31">
    <cfRule type="expression" dxfId="9" priority="43">
      <formula>J2&lt;&gt;""</formula>
    </cfRule>
  </conditionalFormatting>
  <conditionalFormatting sqref="J33:X34">
    <cfRule type="expression" dxfId="8" priority="7">
      <formula>J33&lt;&gt;""</formula>
    </cfRule>
  </conditionalFormatting>
  <conditionalFormatting sqref="J32:X32">
    <cfRule type="expression" dxfId="7" priority="2">
      <formula>J32&lt;&gt;""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6225D3F7-692D-467D-8616-E3DBBE50271D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J2:AK15 Y34:AK34 Y25:AL33 J25:X31</xm:sqref>
        </x14:conditionalFormatting>
        <x14:conditionalFormatting xmlns:xm="http://schemas.microsoft.com/office/excel/2006/main">
          <x14:cfRule type="expression" priority="26" id="{A30D406B-4F42-47D8-816C-277ED9D573FA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J17:AL22</xm:sqref>
        </x14:conditionalFormatting>
        <x14:conditionalFormatting xmlns:xm="http://schemas.microsoft.com/office/excel/2006/main">
          <x14:cfRule type="expression" priority="6" id="{8FBD6B78-B8F2-4E11-A33D-2C205F8FDE56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J33:X34</xm:sqref>
        </x14:conditionalFormatting>
        <x14:conditionalFormatting xmlns:xm="http://schemas.microsoft.com/office/excel/2006/main">
          <x14:cfRule type="expression" priority="5" id="{2F804881-CF39-4858-8E2D-74C5FB3CA291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J36:Q36</xm:sqref>
        </x14:conditionalFormatting>
        <x14:conditionalFormatting xmlns:xm="http://schemas.microsoft.com/office/excel/2006/main">
          <x14:cfRule type="expression" priority="3" id="{A296410A-9868-429F-9948-A5CB4495A135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J42:V42</xm:sqref>
        </x14:conditionalFormatting>
        <x14:conditionalFormatting xmlns:xm="http://schemas.microsoft.com/office/excel/2006/main">
          <x14:cfRule type="expression" priority="4" id="{BCDD0BD8-4E4A-4485-B032-2C52BE646E20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J41:V41</xm:sqref>
        </x14:conditionalFormatting>
        <x14:conditionalFormatting xmlns:xm="http://schemas.microsoft.com/office/excel/2006/main">
          <x14:cfRule type="expression" priority="1" id="{422E19FF-FB6B-4F94-931C-2184F679B53D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J32:X32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topLeftCell="A10" zoomScale="55" zoomScaleNormal="55" workbookViewId="0">
      <selection activeCell="B40" sqref="B40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9">
        <f>Enunciado!C3</f>
        <v>46075555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123" t="s">
        <v>6</v>
      </c>
      <c r="L3" s="124"/>
      <c r="M3" s="125">
        <f>B6</f>
        <v>5</v>
      </c>
      <c r="N3" s="126"/>
      <c r="O3" s="1"/>
      <c r="P3" s="1"/>
      <c r="Q3" s="28" t="s">
        <v>3</v>
      </c>
      <c r="R3" s="29"/>
      <c r="S3" s="30">
        <f>B8</f>
        <v>2</v>
      </c>
      <c r="T3" s="31"/>
      <c r="U3" s="1"/>
      <c r="V3" s="1"/>
      <c r="W3" s="127" t="s">
        <v>2</v>
      </c>
      <c r="X3" s="128"/>
      <c r="Y3" s="129">
        <f>B11</f>
        <v>2</v>
      </c>
      <c r="Z3" s="130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>
        <f>Enunciado!C19</f>
        <v>2</v>
      </c>
      <c r="C4" s="1"/>
      <c r="D4" s="1"/>
      <c r="E4" s="1"/>
      <c r="F4" s="1"/>
      <c r="G4" s="1"/>
      <c r="H4" s="1"/>
      <c r="I4" s="1"/>
      <c r="J4" s="1"/>
      <c r="K4" s="11">
        <f>H6</f>
        <v>2</v>
      </c>
      <c r="L4" s="9"/>
      <c r="M4" s="12"/>
      <c r="N4" s="26">
        <f>K4+M3</f>
        <v>7</v>
      </c>
      <c r="O4" s="1"/>
      <c r="P4" s="1"/>
      <c r="Q4" s="25">
        <f>N4</f>
        <v>7</v>
      </c>
      <c r="R4" s="20"/>
      <c r="S4" s="12"/>
      <c r="T4" s="26">
        <f>Q4+S3</f>
        <v>9</v>
      </c>
      <c r="U4" s="1"/>
      <c r="V4" s="1"/>
      <c r="W4" s="25">
        <f>T4</f>
        <v>9</v>
      </c>
      <c r="X4" s="20"/>
      <c r="Y4" s="12"/>
      <c r="Z4" s="26">
        <f>W4+Y3</f>
        <v>11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>
        <f>Enunciado!C20</f>
        <v>1</v>
      </c>
      <c r="C5" s="1"/>
      <c r="D5" s="1"/>
      <c r="E5" s="127" t="s">
        <v>0</v>
      </c>
      <c r="F5" s="128"/>
      <c r="G5" s="129">
        <f>B4</f>
        <v>2</v>
      </c>
      <c r="H5" s="130"/>
      <c r="I5" s="9"/>
      <c r="J5" s="1"/>
      <c r="K5" s="23">
        <f>N5-M3</f>
        <v>2</v>
      </c>
      <c r="L5" s="3"/>
      <c r="M5" s="2"/>
      <c r="N5" s="13">
        <f>MIN(Q5,Q11)</f>
        <v>7</v>
      </c>
      <c r="O5" s="1"/>
      <c r="P5" s="1"/>
      <c r="Q5" s="23">
        <f>T5-S3</f>
        <v>7</v>
      </c>
      <c r="R5" s="3"/>
      <c r="S5" s="2"/>
      <c r="T5" s="26">
        <f>W5</f>
        <v>9</v>
      </c>
      <c r="U5" s="1"/>
      <c r="V5" s="1"/>
      <c r="W5" s="23">
        <f>Z5-Y3</f>
        <v>9</v>
      </c>
      <c r="X5" s="3"/>
      <c r="Y5" s="2"/>
      <c r="Z5" s="26">
        <f>W11</f>
        <v>11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>
        <f>Enunciado!C21</f>
        <v>5</v>
      </c>
      <c r="C6" s="1"/>
      <c r="D6" s="1"/>
      <c r="E6" s="25">
        <v>0</v>
      </c>
      <c r="F6" s="20"/>
      <c r="G6" s="12"/>
      <c r="H6" s="26">
        <f>E6+G5</f>
        <v>2</v>
      </c>
      <c r="I6" s="1"/>
      <c r="J6" s="1"/>
      <c r="K6" s="117">
        <f>N5-K4</f>
        <v>5</v>
      </c>
      <c r="L6" s="118"/>
      <c r="M6" s="119">
        <f>K6-M3</f>
        <v>0</v>
      </c>
      <c r="N6" s="120"/>
      <c r="O6" s="9"/>
      <c r="P6" s="20"/>
      <c r="Q6" s="117">
        <f>T5-Q4</f>
        <v>2</v>
      </c>
      <c r="R6" s="118"/>
      <c r="S6" s="119">
        <f>Q6-S3</f>
        <v>0</v>
      </c>
      <c r="T6" s="120"/>
      <c r="U6" s="9"/>
      <c r="V6" s="1"/>
      <c r="W6" s="117">
        <f>Z5-W4</f>
        <v>2</v>
      </c>
      <c r="X6" s="118"/>
      <c r="Y6" s="119">
        <f>W6-Y3</f>
        <v>0</v>
      </c>
      <c r="Z6" s="120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>
        <f>Enunciado!C22</f>
        <v>2</v>
      </c>
      <c r="C7" s="1"/>
      <c r="D7" s="1"/>
      <c r="E7" s="23">
        <f>H7-G5</f>
        <v>0</v>
      </c>
      <c r="F7" s="3"/>
      <c r="G7" s="2"/>
      <c r="H7" s="26">
        <f>MIN(K11,K5)</f>
        <v>2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>
        <f>Enunciado!C23</f>
        <v>2</v>
      </c>
      <c r="C8" s="1"/>
      <c r="D8" s="1"/>
      <c r="E8" s="117">
        <f>H7-E6</f>
        <v>2</v>
      </c>
      <c r="F8" s="118"/>
      <c r="G8" s="119">
        <f>E8-G5</f>
        <v>0</v>
      </c>
      <c r="H8" s="120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>
        <f>Enunciado!C24</f>
        <v>2</v>
      </c>
      <c r="C9" s="1"/>
      <c r="D9" s="1"/>
      <c r="E9" s="9"/>
      <c r="F9" s="9"/>
      <c r="G9" s="1"/>
      <c r="H9" s="1"/>
      <c r="I9" s="1"/>
      <c r="J9" s="20"/>
      <c r="K9" s="127" t="s">
        <v>11</v>
      </c>
      <c r="L9" s="128"/>
      <c r="M9" s="129">
        <f>B7</f>
        <v>2</v>
      </c>
      <c r="N9" s="130"/>
      <c r="O9" s="9"/>
      <c r="P9" s="1"/>
      <c r="Q9" s="28" t="s">
        <v>1</v>
      </c>
      <c r="R9" s="29"/>
      <c r="S9" s="32">
        <f>B9</f>
        <v>2</v>
      </c>
      <c r="T9" s="33"/>
      <c r="U9" s="1"/>
      <c r="V9" s="8"/>
      <c r="W9" s="127" t="s">
        <v>5</v>
      </c>
      <c r="X9" s="128"/>
      <c r="Y9" s="131">
        <f>B13</f>
        <v>4</v>
      </c>
      <c r="Z9" s="132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>
        <f>Enunciado!C25</f>
        <v>6</v>
      </c>
      <c r="H10" s="1"/>
      <c r="I10" s="1"/>
      <c r="J10" s="1"/>
      <c r="K10" s="25">
        <f>H6</f>
        <v>2</v>
      </c>
      <c r="L10" s="20"/>
      <c r="M10" s="12"/>
      <c r="N10" s="26">
        <f>K10+M9</f>
        <v>4</v>
      </c>
      <c r="O10" s="1"/>
      <c r="P10" s="1"/>
      <c r="Q10" s="25">
        <f>MAX(N10,N4)</f>
        <v>7</v>
      </c>
      <c r="R10" s="20"/>
      <c r="S10" s="12"/>
      <c r="T10" s="26">
        <f>Q10+S9</f>
        <v>9</v>
      </c>
      <c r="U10" s="9"/>
      <c r="V10" s="8"/>
      <c r="W10" s="11">
        <f>MAX(U16,Z4)</f>
        <v>11</v>
      </c>
      <c r="X10" s="9"/>
      <c r="Y10" s="12"/>
      <c r="Z10" s="26">
        <f>W10+Y9</f>
        <v>15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>
        <f>Enunciado!C26</f>
        <v>2</v>
      </c>
      <c r="H11" s="1"/>
      <c r="I11" s="1"/>
      <c r="J11" s="1"/>
      <c r="K11" s="23">
        <f>N11-M9</f>
        <v>5</v>
      </c>
      <c r="L11" s="3"/>
      <c r="M11" s="2"/>
      <c r="N11" s="26">
        <f>Q11</f>
        <v>7</v>
      </c>
      <c r="O11" s="1"/>
      <c r="P11" s="1"/>
      <c r="Q11" s="23">
        <f>T11-S9</f>
        <v>7</v>
      </c>
      <c r="R11" s="3"/>
      <c r="S11" s="2"/>
      <c r="T11" s="26">
        <f>R17</f>
        <v>9</v>
      </c>
      <c r="U11" s="9"/>
      <c r="V11" s="8"/>
      <c r="W11" s="23">
        <f>Z11-Y9</f>
        <v>11</v>
      </c>
      <c r="X11" s="3"/>
      <c r="Y11" s="2"/>
      <c r="Z11" s="13">
        <f>MIN(X18,AC13)</f>
        <v>15</v>
      </c>
      <c r="AA11" s="1"/>
      <c r="AB11" s="20"/>
      <c r="AC11" s="127" t="s">
        <v>8</v>
      </c>
      <c r="AD11" s="128"/>
      <c r="AE11" s="129">
        <f>B15</f>
        <v>3</v>
      </c>
      <c r="AF11" s="130"/>
    </row>
    <row r="12" spans="1:32" ht="13.95" customHeight="1" thickBot="1">
      <c r="A12" s="18" t="s">
        <v>7</v>
      </c>
      <c r="B12" s="6">
        <f>Enunciado!C27</f>
        <v>2</v>
      </c>
      <c r="H12" s="1"/>
      <c r="I12" s="1"/>
      <c r="J12" s="20"/>
      <c r="K12" s="117">
        <f>N11-K10</f>
        <v>5</v>
      </c>
      <c r="L12" s="118"/>
      <c r="M12" s="119">
        <f>K12-M9</f>
        <v>3</v>
      </c>
      <c r="N12" s="120"/>
      <c r="O12" s="9"/>
      <c r="P12" s="1"/>
      <c r="Q12" s="117">
        <f>T11-Q10</f>
        <v>2</v>
      </c>
      <c r="R12" s="118"/>
      <c r="S12" s="119">
        <f>Q12-S9</f>
        <v>0</v>
      </c>
      <c r="T12" s="120"/>
      <c r="U12" s="9"/>
      <c r="V12" s="8"/>
      <c r="W12" s="117">
        <f>Z11-W10</f>
        <v>4</v>
      </c>
      <c r="X12" s="118"/>
      <c r="Y12" s="119">
        <f>W12-Y9</f>
        <v>0</v>
      </c>
      <c r="Z12" s="120"/>
      <c r="AA12" s="1"/>
      <c r="AB12" s="1"/>
      <c r="AC12" s="25">
        <f>Z10</f>
        <v>15</v>
      </c>
      <c r="AD12" s="20"/>
      <c r="AE12" s="12"/>
      <c r="AF12" s="26">
        <f>AC12+AE11</f>
        <v>18</v>
      </c>
    </row>
    <row r="13" spans="1:32" ht="13.95" customHeight="1" thickTop="1" thickBot="1">
      <c r="A13" s="18" t="s">
        <v>5</v>
      </c>
      <c r="B13" s="6">
        <f>Enunciado!C28</f>
        <v>4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>
        <f>AF13-AE11</f>
        <v>15</v>
      </c>
      <c r="AD13" s="3"/>
      <c r="AE13" s="2"/>
      <c r="AF13" s="26">
        <f>AC21</f>
        <v>18</v>
      </c>
    </row>
    <row r="14" spans="1:32" ht="13.95" customHeight="1" thickBot="1">
      <c r="A14" s="18" t="s">
        <v>4</v>
      </c>
      <c r="B14" s="6">
        <f>Enunciado!C29</f>
        <v>1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117">
        <f>AF13-AC12</f>
        <v>3</v>
      </c>
      <c r="AD14" s="118"/>
      <c r="AE14" s="119">
        <f>AC14-AE11</f>
        <v>0</v>
      </c>
      <c r="AF14" s="120"/>
    </row>
    <row r="15" spans="1:32" ht="13.95" customHeight="1" thickTop="1" thickBot="1">
      <c r="A15" s="18" t="s">
        <v>8</v>
      </c>
      <c r="B15" s="6">
        <f>Enunciado!C30</f>
        <v>3</v>
      </c>
      <c r="H15" s="1"/>
      <c r="K15" s="1"/>
      <c r="L15" s="36" t="s">
        <v>12</v>
      </c>
      <c r="M15" s="29"/>
      <c r="N15" s="30">
        <f>B10</f>
        <v>6</v>
      </c>
      <c r="O15" s="37"/>
      <c r="P15" s="1"/>
      <c r="Q15" s="8"/>
      <c r="R15" s="28" t="s">
        <v>7</v>
      </c>
      <c r="S15" s="29"/>
      <c r="T15" s="30">
        <f>B12</f>
        <v>2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>
        <f>Enunciado!C31</f>
        <v>2</v>
      </c>
      <c r="C16" s="1"/>
      <c r="D16" s="1"/>
      <c r="E16" s="1"/>
      <c r="F16" s="9"/>
      <c r="G16" s="9"/>
      <c r="H16" s="1"/>
      <c r="K16" s="1"/>
      <c r="L16" s="11">
        <f>G18</f>
        <v>1</v>
      </c>
      <c r="M16" s="9"/>
      <c r="N16" s="12"/>
      <c r="O16" s="26">
        <f>L16+N15</f>
        <v>7</v>
      </c>
      <c r="P16" s="1"/>
      <c r="Q16" s="1"/>
      <c r="R16" s="11">
        <f>MAX(T10,O16)</f>
        <v>9</v>
      </c>
      <c r="S16" s="9"/>
      <c r="T16" s="12"/>
      <c r="U16" s="26">
        <f>R16+T15</f>
        <v>11</v>
      </c>
      <c r="V16" s="1"/>
      <c r="X16" s="34" t="s">
        <v>4</v>
      </c>
      <c r="Y16" s="35"/>
      <c r="Z16" s="121">
        <f>B14</f>
        <v>1</v>
      </c>
      <c r="AA16" s="122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6">
        <f>Enunciado!C32</f>
        <v>3</v>
      </c>
      <c r="C17" s="1"/>
      <c r="D17" s="123" t="s">
        <v>10</v>
      </c>
      <c r="E17" s="124"/>
      <c r="F17" s="125">
        <f>B5</f>
        <v>1</v>
      </c>
      <c r="G17" s="126"/>
      <c r="H17" s="1"/>
      <c r="K17" s="1"/>
      <c r="L17" s="23">
        <f>O17-N15</f>
        <v>3</v>
      </c>
      <c r="M17" s="3"/>
      <c r="N17" s="2"/>
      <c r="O17" s="13">
        <f>R17</f>
        <v>9</v>
      </c>
      <c r="P17" s="9"/>
      <c r="Q17" s="1"/>
      <c r="R17" s="23">
        <f>U17-T15</f>
        <v>9</v>
      </c>
      <c r="S17" s="3"/>
      <c r="T17" s="2"/>
      <c r="U17" s="13">
        <f>W11</f>
        <v>11</v>
      </c>
      <c r="V17" s="9"/>
      <c r="X17" s="23">
        <f>Z10</f>
        <v>15</v>
      </c>
      <c r="Y17" s="20"/>
      <c r="Z17" s="12"/>
      <c r="AA17" s="26">
        <f>X17+Z16</f>
        <v>16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>
        <f>D18+F17</f>
        <v>1</v>
      </c>
      <c r="H18" s="1"/>
      <c r="K18" s="8"/>
      <c r="L18" s="117">
        <f>O17-L16</f>
        <v>8</v>
      </c>
      <c r="M18" s="118"/>
      <c r="N18" s="119">
        <f>L18-N15</f>
        <v>2</v>
      </c>
      <c r="O18" s="120"/>
      <c r="Q18" s="8"/>
      <c r="R18" s="117">
        <f>U17-R16</f>
        <v>2</v>
      </c>
      <c r="S18" s="118"/>
      <c r="T18" s="119">
        <f>R18-T15</f>
        <v>0</v>
      </c>
      <c r="U18" s="120"/>
      <c r="V18" s="9"/>
      <c r="X18" s="23">
        <f>AA18-Z16</f>
        <v>17</v>
      </c>
      <c r="Y18" s="3"/>
      <c r="Z18" s="2"/>
      <c r="AA18" s="24">
        <f>MIN(X24,AC21)</f>
        <v>18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>
        <f>G19-F17</f>
        <v>2</v>
      </c>
      <c r="E19" s="3"/>
      <c r="F19" s="2"/>
      <c r="G19" s="13">
        <f>L17</f>
        <v>3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117">
        <f>AA18-X17</f>
        <v>3</v>
      </c>
      <c r="Y19" s="118"/>
      <c r="Z19" s="119">
        <f>X19-Z16</f>
        <v>2</v>
      </c>
      <c r="AA19" s="120"/>
      <c r="AC19" s="34" t="s">
        <v>15</v>
      </c>
      <c r="AD19" s="35"/>
      <c r="AE19" s="121">
        <f>B17</f>
        <v>3</v>
      </c>
      <c r="AF19" s="122"/>
      <c r="AG19" s="1"/>
    </row>
    <row r="20" spans="1:33" ht="13.95" customHeight="1" thickBot="1">
      <c r="A20" s="18"/>
      <c r="B20" s="6"/>
      <c r="C20" s="1"/>
      <c r="D20" s="117">
        <f>G19-D18</f>
        <v>3</v>
      </c>
      <c r="E20" s="118"/>
      <c r="F20" s="119">
        <f>D20-F17</f>
        <v>2</v>
      </c>
      <c r="G20" s="120"/>
      <c r="H20" s="1"/>
      <c r="X20" s="9"/>
      <c r="Y20" s="1"/>
      <c r="Z20" s="1"/>
      <c r="AA20" s="9"/>
      <c r="AC20" s="23">
        <f>MAX(AF12,AA17)</f>
        <v>18</v>
      </c>
      <c r="AD20" s="20"/>
      <c r="AE20" s="12"/>
      <c r="AF20" s="26">
        <f>AC20+AE19</f>
        <v>21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>
        <f>AF21-AE19</f>
        <v>18</v>
      </c>
      <c r="AD21" s="3"/>
      <c r="AE21" s="2"/>
      <c r="AF21" s="24">
        <f>MAX(AF20,AA23)</f>
        <v>21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121">
        <f>B16</f>
        <v>2</v>
      </c>
      <c r="AA22" s="122"/>
      <c r="AC22" s="117">
        <f>AF21-AC20</f>
        <v>3</v>
      </c>
      <c r="AD22" s="118"/>
      <c r="AE22" s="119">
        <f>AC22-AE19</f>
        <v>0</v>
      </c>
      <c r="AF22" s="120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>
        <f>AA17</f>
        <v>16</v>
      </c>
      <c r="Y23" s="20"/>
      <c r="Z23" s="12"/>
      <c r="AA23" s="26">
        <f>X23+Z22</f>
        <v>18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>
        <f>AA24-Z22</f>
        <v>19</v>
      </c>
      <c r="Y24" s="3"/>
      <c r="Z24" s="2"/>
      <c r="AA24" s="24">
        <f>MAX(AA23,AF20)</f>
        <v>21</v>
      </c>
      <c r="AB24" s="1"/>
      <c r="AC24" s="1"/>
      <c r="AD24" s="1"/>
      <c r="AE24" s="1"/>
      <c r="AF24" s="1"/>
    </row>
    <row r="25" spans="1:33" ht="13.95" customHeight="1" thickBot="1">
      <c r="X25" s="117">
        <f>AA24-X23</f>
        <v>5</v>
      </c>
      <c r="Y25" s="118"/>
      <c r="Z25" s="119">
        <f>X25-Z22</f>
        <v>3</v>
      </c>
      <c r="AA25" s="120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 thickBot="1"/>
    <row r="28" spans="1:33" ht="13.95" customHeight="1" thickBot="1">
      <c r="A28" s="5" t="s">
        <v>9</v>
      </c>
      <c r="B28" s="39">
        <f>Enunciado!C3</f>
        <v>46075555</v>
      </c>
    </row>
    <row r="29" spans="1:33" ht="13.95" customHeight="1" thickBot="1">
      <c r="J29" s="1"/>
      <c r="K29" s="9"/>
      <c r="L29" s="9"/>
      <c r="M29" s="1"/>
      <c r="N29" s="1"/>
      <c r="O29" s="1"/>
      <c r="P29" s="1"/>
      <c r="Q29" s="20"/>
      <c r="R29" s="20"/>
      <c r="S29" s="20"/>
      <c r="T29" s="20"/>
      <c r="U29" s="1"/>
      <c r="V29" s="1"/>
      <c r="W29" s="20"/>
      <c r="X29" s="1"/>
      <c r="Y29" s="1"/>
      <c r="Z29" s="20"/>
      <c r="AA29" s="1"/>
    </row>
    <row r="30" spans="1:33" ht="13.95" customHeight="1" thickTop="1" thickBot="1">
      <c r="A30" s="18" t="s">
        <v>13</v>
      </c>
      <c r="B30" s="6" t="s">
        <v>16</v>
      </c>
      <c r="C30" s="1"/>
      <c r="D30" s="1"/>
      <c r="E30" s="1"/>
      <c r="F30" s="1"/>
      <c r="G30" s="1"/>
      <c r="H30" s="1"/>
      <c r="I30" s="1"/>
      <c r="J30" s="1"/>
      <c r="K30" s="123" t="s">
        <v>6</v>
      </c>
      <c r="L30" s="124"/>
      <c r="M30" s="125">
        <f>B33</f>
        <v>4</v>
      </c>
      <c r="N30" s="126"/>
      <c r="O30" s="1"/>
      <c r="P30" s="1"/>
      <c r="Q30" s="58" t="s">
        <v>3</v>
      </c>
      <c r="R30" s="59"/>
      <c r="S30" s="60">
        <f>B35</f>
        <v>3</v>
      </c>
      <c r="T30" s="61"/>
      <c r="U30" s="1"/>
      <c r="V30" s="1"/>
      <c r="W30" s="127" t="s">
        <v>2</v>
      </c>
      <c r="X30" s="128"/>
      <c r="Y30" s="129">
        <f>B38</f>
        <v>2</v>
      </c>
      <c r="Z30" s="130"/>
      <c r="AA30" s="1"/>
      <c r="AB30" s="1"/>
      <c r="AC30" s="1"/>
      <c r="AD30" s="1"/>
      <c r="AE30" s="1"/>
      <c r="AF30" s="1"/>
    </row>
    <row r="31" spans="1:33" ht="13.95" customHeight="1" thickBot="1">
      <c r="A31" s="17" t="s">
        <v>0</v>
      </c>
      <c r="B31" s="6">
        <f>Enunciado!C19+Enunciado!D19</f>
        <v>3</v>
      </c>
      <c r="C31" s="1"/>
      <c r="D31" s="1"/>
      <c r="E31" s="1"/>
      <c r="F31" s="1"/>
      <c r="G31" s="1"/>
      <c r="H31" s="1"/>
      <c r="I31" s="1"/>
      <c r="J31" s="1"/>
      <c r="K31" s="11">
        <f>H33</f>
        <v>3</v>
      </c>
      <c r="L31" s="9"/>
      <c r="M31" s="12"/>
      <c r="N31" s="26">
        <f>K31+M30</f>
        <v>7</v>
      </c>
      <c r="O31" s="1"/>
      <c r="P31" s="1"/>
      <c r="Q31" s="25">
        <f>N31</f>
        <v>7</v>
      </c>
      <c r="R31" s="20"/>
      <c r="S31" s="12"/>
      <c r="T31" s="26">
        <f>Q31+S30</f>
        <v>10</v>
      </c>
      <c r="U31" s="1"/>
      <c r="V31" s="1"/>
      <c r="W31" s="25">
        <f>T31</f>
        <v>10</v>
      </c>
      <c r="X31" s="20"/>
      <c r="Y31" s="12"/>
      <c r="Z31" s="26">
        <f>W31+Y30</f>
        <v>12</v>
      </c>
      <c r="AA31" s="1"/>
      <c r="AB31" s="1"/>
      <c r="AC31" s="1"/>
      <c r="AD31" s="1"/>
      <c r="AE31" s="1"/>
      <c r="AF31" s="1"/>
    </row>
    <row r="32" spans="1:33" ht="13.95" customHeight="1" thickTop="1" thickBot="1">
      <c r="A32" s="18" t="s">
        <v>10</v>
      </c>
      <c r="B32" s="6">
        <f>Enunciado!C20+Enunciado!D20</f>
        <v>2</v>
      </c>
      <c r="C32" s="1"/>
      <c r="D32" s="1"/>
      <c r="E32" s="127" t="s">
        <v>0</v>
      </c>
      <c r="F32" s="128"/>
      <c r="G32" s="129">
        <f>B31</f>
        <v>3</v>
      </c>
      <c r="H32" s="130"/>
      <c r="I32" s="9"/>
      <c r="J32" s="1"/>
      <c r="K32" s="23">
        <f>N32-M30</f>
        <v>3</v>
      </c>
      <c r="L32" s="3"/>
      <c r="M32" s="2"/>
      <c r="N32" s="13">
        <f>MIN(Q32,Q38)</f>
        <v>7</v>
      </c>
      <c r="O32" s="1"/>
      <c r="P32" s="1"/>
      <c r="Q32" s="23">
        <f>T32-S30</f>
        <v>7</v>
      </c>
      <c r="R32" s="3"/>
      <c r="S32" s="2"/>
      <c r="T32" s="26">
        <f>W32</f>
        <v>10</v>
      </c>
      <c r="U32" s="1"/>
      <c r="V32" s="1"/>
      <c r="W32" s="23">
        <f>Z32-Y30</f>
        <v>10</v>
      </c>
      <c r="X32" s="3"/>
      <c r="Y32" s="2"/>
      <c r="Z32" s="26">
        <f>W38</f>
        <v>12</v>
      </c>
      <c r="AA32" s="1"/>
      <c r="AB32" s="1"/>
      <c r="AC32" s="1"/>
      <c r="AD32" s="1"/>
      <c r="AE32" s="1"/>
      <c r="AF32" s="1"/>
    </row>
    <row r="33" spans="1:33" ht="13.95" customHeight="1" thickBot="1">
      <c r="A33" s="18" t="s">
        <v>6</v>
      </c>
      <c r="B33" s="6">
        <f>Enunciado!C21+Enunciado!D21</f>
        <v>4</v>
      </c>
      <c r="C33" s="1"/>
      <c r="D33" s="1"/>
      <c r="E33" s="25">
        <v>0</v>
      </c>
      <c r="F33" s="20"/>
      <c r="G33" s="12"/>
      <c r="H33" s="26">
        <f>E33+G32</f>
        <v>3</v>
      </c>
      <c r="I33" s="1"/>
      <c r="J33" s="1"/>
      <c r="K33" s="117">
        <f>N32-K31</f>
        <v>4</v>
      </c>
      <c r="L33" s="118"/>
      <c r="M33" s="119">
        <f>K33-M30</f>
        <v>0</v>
      </c>
      <c r="N33" s="120"/>
      <c r="O33" s="9"/>
      <c r="P33" s="20"/>
      <c r="Q33" s="117">
        <f>T32-Q31</f>
        <v>3</v>
      </c>
      <c r="R33" s="118"/>
      <c r="S33" s="119">
        <f>Q33-S30</f>
        <v>0</v>
      </c>
      <c r="T33" s="120"/>
      <c r="U33" s="9"/>
      <c r="V33" s="1"/>
      <c r="W33" s="117">
        <f>Z32-W31</f>
        <v>2</v>
      </c>
      <c r="X33" s="118"/>
      <c r="Y33" s="119">
        <f>W33-Y30</f>
        <v>0</v>
      </c>
      <c r="Z33" s="120"/>
      <c r="AA33" s="1"/>
      <c r="AB33" s="1"/>
      <c r="AC33" s="1"/>
      <c r="AD33" s="1"/>
      <c r="AE33" s="1"/>
      <c r="AF33" s="1"/>
    </row>
    <row r="34" spans="1:33" ht="13.95" customHeight="1" thickBot="1">
      <c r="A34" s="18" t="s">
        <v>11</v>
      </c>
      <c r="B34" s="6">
        <f>Enunciado!C22+Enunciado!D22</f>
        <v>3</v>
      </c>
      <c r="C34" s="1"/>
      <c r="D34" s="1"/>
      <c r="E34" s="23">
        <f>H34-G32</f>
        <v>0</v>
      </c>
      <c r="F34" s="3"/>
      <c r="G34" s="2"/>
      <c r="H34" s="26">
        <f>MIN(K38,K32)</f>
        <v>3</v>
      </c>
      <c r="I34" s="1"/>
      <c r="J34" s="1"/>
      <c r="K34" s="9"/>
      <c r="L34" s="9"/>
      <c r="M34" s="9"/>
      <c r="N34" s="9"/>
      <c r="O34" s="9"/>
      <c r="P34" s="9"/>
      <c r="Q34" s="9"/>
      <c r="R34" s="9"/>
      <c r="S34" s="9"/>
      <c r="T34" s="1"/>
      <c r="U34" s="1"/>
      <c r="V34" s="9"/>
      <c r="W34" s="9"/>
      <c r="X34" s="1"/>
      <c r="Y34" s="1"/>
      <c r="Z34" s="9"/>
      <c r="AA34" s="1"/>
      <c r="AB34" s="1"/>
      <c r="AC34" s="1"/>
      <c r="AD34" s="1"/>
      <c r="AE34" s="1"/>
      <c r="AF34" s="1"/>
    </row>
    <row r="35" spans="1:33" ht="13.95" customHeight="1" thickBot="1">
      <c r="A35" s="18" t="s">
        <v>3</v>
      </c>
      <c r="B35" s="6">
        <f>Enunciado!C23+Enunciado!D23</f>
        <v>3</v>
      </c>
      <c r="C35" s="1"/>
      <c r="D35" s="1"/>
      <c r="E35" s="117">
        <f>H34-E33</f>
        <v>3</v>
      </c>
      <c r="F35" s="118"/>
      <c r="G35" s="119">
        <f>E35-G32</f>
        <v>0</v>
      </c>
      <c r="H35" s="120"/>
      <c r="I35" s="9"/>
      <c r="J35" s="1"/>
      <c r="K35" s="1"/>
      <c r="L35" s="1"/>
      <c r="M35" s="1"/>
      <c r="N35" s="1"/>
      <c r="O35" s="1"/>
      <c r="P35" s="9"/>
      <c r="Q35" s="20"/>
      <c r="R35" s="20"/>
      <c r="S35" s="20"/>
      <c r="T35" s="20"/>
      <c r="U35" s="1"/>
      <c r="V35" s="9"/>
      <c r="W35" s="20"/>
      <c r="X35" s="1"/>
      <c r="Y35" s="1"/>
      <c r="Z35" s="20"/>
      <c r="AA35" s="1"/>
      <c r="AB35" s="1"/>
      <c r="AC35" s="1"/>
      <c r="AD35" s="1"/>
      <c r="AE35" s="1"/>
      <c r="AF35" s="1"/>
    </row>
    <row r="36" spans="1:33" ht="13.95" customHeight="1" thickTop="1" thickBot="1">
      <c r="A36" s="18" t="s">
        <v>1</v>
      </c>
      <c r="B36" s="6">
        <f>Enunciado!C24+Enunciado!D24</f>
        <v>3</v>
      </c>
      <c r="C36" s="1"/>
      <c r="D36" s="1"/>
      <c r="E36" s="9"/>
      <c r="F36" s="9"/>
      <c r="G36" s="1"/>
      <c r="H36" s="1"/>
      <c r="I36" s="1"/>
      <c r="J36" s="20"/>
      <c r="K36" s="127" t="s">
        <v>11</v>
      </c>
      <c r="L36" s="128"/>
      <c r="M36" s="129">
        <f>B34</f>
        <v>3</v>
      </c>
      <c r="N36" s="130"/>
      <c r="O36" s="9"/>
      <c r="P36" s="1"/>
      <c r="Q36" s="58" t="s">
        <v>1</v>
      </c>
      <c r="R36" s="59"/>
      <c r="S36" s="32">
        <f>B36</f>
        <v>3</v>
      </c>
      <c r="T36" s="33"/>
      <c r="U36" s="1"/>
      <c r="V36" s="8"/>
      <c r="W36" s="127" t="s">
        <v>5</v>
      </c>
      <c r="X36" s="128"/>
      <c r="Y36" s="131">
        <f>B40</f>
        <v>4</v>
      </c>
      <c r="Z36" s="132"/>
      <c r="AA36" s="1"/>
      <c r="AB36" s="1"/>
      <c r="AC36" s="1"/>
      <c r="AD36" s="1"/>
      <c r="AE36" s="1"/>
      <c r="AF36" s="1"/>
    </row>
    <row r="37" spans="1:33" ht="13.95" customHeight="1" thickBot="1">
      <c r="A37" s="18" t="s">
        <v>12</v>
      </c>
      <c r="B37" s="6">
        <f>Enunciado!C25+Enunciado!D25</f>
        <v>7</v>
      </c>
      <c r="H37" s="1"/>
      <c r="I37" s="1"/>
      <c r="J37" s="1"/>
      <c r="K37" s="25">
        <f>H33</f>
        <v>3</v>
      </c>
      <c r="L37" s="20"/>
      <c r="M37" s="12"/>
      <c r="N37" s="26">
        <f>K37+M36</f>
        <v>6</v>
      </c>
      <c r="O37" s="1"/>
      <c r="P37" s="1"/>
      <c r="Q37" s="25">
        <f>MAX(N37,N31)</f>
        <v>7</v>
      </c>
      <c r="R37" s="20"/>
      <c r="S37" s="12"/>
      <c r="T37" s="26">
        <f>Q37+S36</f>
        <v>10</v>
      </c>
      <c r="U37" s="9"/>
      <c r="V37" s="8"/>
      <c r="W37" s="11">
        <f>MAX(U43,Z31)</f>
        <v>12</v>
      </c>
      <c r="X37" s="9"/>
      <c r="Y37" s="12"/>
      <c r="Z37" s="26">
        <f>W37+Y36</f>
        <v>16</v>
      </c>
      <c r="AA37" s="1"/>
      <c r="AB37" s="1"/>
      <c r="AC37" s="1"/>
      <c r="AD37" s="1"/>
      <c r="AE37" s="1"/>
      <c r="AF37" s="1"/>
    </row>
    <row r="38" spans="1:33" ht="13.95" customHeight="1" thickTop="1" thickBot="1">
      <c r="A38" s="18" t="s">
        <v>2</v>
      </c>
      <c r="B38" s="6">
        <f>Enunciado!C26+Enunciado!D26</f>
        <v>2</v>
      </c>
      <c r="H38" s="1"/>
      <c r="I38" s="1"/>
      <c r="J38" s="1"/>
      <c r="K38" s="23">
        <f>N38-M36</f>
        <v>4</v>
      </c>
      <c r="L38" s="3"/>
      <c r="M38" s="2"/>
      <c r="N38" s="26">
        <f>Q38</f>
        <v>7</v>
      </c>
      <c r="O38" s="1"/>
      <c r="P38" s="1"/>
      <c r="Q38" s="23">
        <f>T38-S36</f>
        <v>7</v>
      </c>
      <c r="R38" s="3"/>
      <c r="S38" s="2"/>
      <c r="T38" s="26">
        <f>R44</f>
        <v>10</v>
      </c>
      <c r="U38" s="9"/>
      <c r="V38" s="8"/>
      <c r="W38" s="23">
        <f>Z38-Y36</f>
        <v>12</v>
      </c>
      <c r="X38" s="3"/>
      <c r="Y38" s="2"/>
      <c r="Z38" s="13">
        <f>MIN(X45,AC40)</f>
        <v>16</v>
      </c>
      <c r="AA38" s="1"/>
      <c r="AB38" s="20"/>
      <c r="AC38" s="127" t="s">
        <v>8</v>
      </c>
      <c r="AD38" s="128"/>
      <c r="AE38" s="129">
        <f>B42</f>
        <v>3</v>
      </c>
      <c r="AF38" s="130"/>
    </row>
    <row r="39" spans="1:33" ht="13.95" customHeight="1" thickBot="1">
      <c r="A39" s="18" t="s">
        <v>7</v>
      </c>
      <c r="B39" s="6">
        <f>Enunciado!C27+Enunciado!D27</f>
        <v>2</v>
      </c>
      <c r="H39" s="1"/>
      <c r="I39" s="1"/>
      <c r="J39" s="20"/>
      <c r="K39" s="117">
        <f>N38-K37</f>
        <v>4</v>
      </c>
      <c r="L39" s="118"/>
      <c r="M39" s="119">
        <f>K39-M36</f>
        <v>1</v>
      </c>
      <c r="N39" s="120"/>
      <c r="O39" s="9"/>
      <c r="P39" s="1"/>
      <c r="Q39" s="117">
        <f>T38-Q37</f>
        <v>3</v>
      </c>
      <c r="R39" s="118"/>
      <c r="S39" s="119">
        <f>Q39-S36</f>
        <v>0</v>
      </c>
      <c r="T39" s="120"/>
      <c r="U39" s="9"/>
      <c r="V39" s="8"/>
      <c r="W39" s="117">
        <f>Z38-W37</f>
        <v>4</v>
      </c>
      <c r="X39" s="118"/>
      <c r="Y39" s="119">
        <f>W39-Y36</f>
        <v>0</v>
      </c>
      <c r="Z39" s="120"/>
      <c r="AA39" s="1"/>
      <c r="AB39" s="1"/>
      <c r="AC39" s="25">
        <f>Z37</f>
        <v>16</v>
      </c>
      <c r="AD39" s="20"/>
      <c r="AE39" s="12"/>
      <c r="AF39" s="26">
        <f>AC39+AE38</f>
        <v>19</v>
      </c>
    </row>
    <row r="40" spans="1:33" ht="13.95" customHeight="1" thickTop="1" thickBot="1">
      <c r="A40" s="18" t="s">
        <v>5</v>
      </c>
      <c r="B40" s="6">
        <f>Enunciado!C28+Enunciado!D28</f>
        <v>4</v>
      </c>
      <c r="H40" s="1"/>
      <c r="I40" s="1"/>
      <c r="J40" s="1"/>
      <c r="K40" s="9"/>
      <c r="L40" s="9"/>
      <c r="M40" s="1"/>
      <c r="N40" s="1"/>
      <c r="O40" s="1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"/>
      <c r="AB40" s="1"/>
      <c r="AC40" s="23">
        <f>AF40-AE38</f>
        <v>16</v>
      </c>
      <c r="AD40" s="3"/>
      <c r="AE40" s="2"/>
      <c r="AF40" s="26">
        <f>AC48</f>
        <v>19</v>
      </c>
    </row>
    <row r="41" spans="1:33" ht="13.95" customHeight="1" thickBot="1">
      <c r="A41" s="18" t="s">
        <v>4</v>
      </c>
      <c r="B41" s="6">
        <f>Enunciado!C29+Enunciado!D29</f>
        <v>1</v>
      </c>
      <c r="H41" s="1"/>
      <c r="K41" s="1"/>
      <c r="L41" s="10"/>
      <c r="M41" s="10"/>
      <c r="N41" s="10"/>
      <c r="O41" s="10"/>
      <c r="P41" s="9"/>
      <c r="Q41" s="9"/>
      <c r="R41" s="10"/>
      <c r="S41" s="10"/>
      <c r="T41" s="10"/>
      <c r="U41" s="10"/>
      <c r="V41" s="1"/>
      <c r="AB41" s="20"/>
      <c r="AC41" s="117">
        <f>AF40-AC39</f>
        <v>3</v>
      </c>
      <c r="AD41" s="118"/>
      <c r="AE41" s="119">
        <f>AC41-AE38</f>
        <v>0</v>
      </c>
      <c r="AF41" s="120"/>
    </row>
    <row r="42" spans="1:33" ht="13.95" customHeight="1" thickTop="1" thickBot="1">
      <c r="A42" s="18" t="s">
        <v>8</v>
      </c>
      <c r="B42" s="6">
        <f>Enunciado!C30+Enunciado!D30</f>
        <v>3</v>
      </c>
      <c r="H42" s="1"/>
      <c r="K42" s="1"/>
      <c r="L42" s="36" t="s">
        <v>12</v>
      </c>
      <c r="M42" s="59"/>
      <c r="N42" s="60">
        <f>B37</f>
        <v>7</v>
      </c>
      <c r="O42" s="37"/>
      <c r="P42" s="1"/>
      <c r="Q42" s="8"/>
      <c r="R42" s="58" t="s">
        <v>7</v>
      </c>
      <c r="S42" s="59"/>
      <c r="T42" s="60">
        <f>B39</f>
        <v>2</v>
      </c>
      <c r="U42" s="37"/>
      <c r="V42" s="1"/>
      <c r="W42" s="1"/>
      <c r="X42" s="1"/>
      <c r="Y42" s="1"/>
      <c r="Z42" s="1"/>
      <c r="AA42" s="20"/>
      <c r="AB42" s="1"/>
      <c r="AC42" s="1"/>
      <c r="AD42" s="1"/>
      <c r="AE42" s="1"/>
      <c r="AF42" s="1"/>
    </row>
    <row r="43" spans="1:33" ht="13.95" customHeight="1" thickTop="1" thickBot="1">
      <c r="A43" s="18" t="s">
        <v>14</v>
      </c>
      <c r="B43" s="6">
        <f>Enunciado!C31+Enunciado!D31</f>
        <v>2</v>
      </c>
      <c r="C43" s="1"/>
      <c r="D43" s="1"/>
      <c r="E43" s="1"/>
      <c r="F43" s="9"/>
      <c r="G43" s="9"/>
      <c r="H43" s="1"/>
      <c r="K43" s="1"/>
      <c r="L43" s="11">
        <f>G45</f>
        <v>2</v>
      </c>
      <c r="M43" s="9"/>
      <c r="N43" s="12"/>
      <c r="O43" s="26">
        <f>L43+N42</f>
        <v>9</v>
      </c>
      <c r="P43" s="1"/>
      <c r="Q43" s="1"/>
      <c r="R43" s="11">
        <f>MAX(T37,O43)</f>
        <v>10</v>
      </c>
      <c r="S43" s="9"/>
      <c r="T43" s="12"/>
      <c r="U43" s="26">
        <f>R43+T42</f>
        <v>12</v>
      </c>
      <c r="V43" s="1"/>
      <c r="X43" s="34" t="s">
        <v>4</v>
      </c>
      <c r="Y43" s="35"/>
      <c r="Z43" s="121">
        <f>B41</f>
        <v>1</v>
      </c>
      <c r="AA43" s="122"/>
      <c r="AB43" s="1"/>
      <c r="AC43" s="1"/>
      <c r="AD43" s="1"/>
      <c r="AE43" s="1"/>
      <c r="AF43" s="1"/>
    </row>
    <row r="44" spans="1:33" ht="13.95" customHeight="1" thickTop="1" thickBot="1">
      <c r="A44" s="19" t="s">
        <v>15</v>
      </c>
      <c r="B44" s="6">
        <f>Enunciado!C32+Enunciado!D32</f>
        <v>3</v>
      </c>
      <c r="C44" s="1"/>
      <c r="D44" s="123" t="s">
        <v>10</v>
      </c>
      <c r="E44" s="124"/>
      <c r="F44" s="125">
        <f>B32</f>
        <v>2</v>
      </c>
      <c r="G44" s="126"/>
      <c r="H44" s="1"/>
      <c r="K44" s="1"/>
      <c r="L44" s="23">
        <f>O44-N42</f>
        <v>3</v>
      </c>
      <c r="M44" s="3"/>
      <c r="N44" s="2"/>
      <c r="O44" s="13">
        <f>R44</f>
        <v>10</v>
      </c>
      <c r="P44" s="9"/>
      <c r="Q44" s="1"/>
      <c r="R44" s="23">
        <f>U44-T42</f>
        <v>10</v>
      </c>
      <c r="S44" s="3"/>
      <c r="T44" s="2"/>
      <c r="U44" s="13">
        <f>W38</f>
        <v>12</v>
      </c>
      <c r="V44" s="9"/>
      <c r="X44" s="23">
        <f>Z37</f>
        <v>16</v>
      </c>
      <c r="Y44" s="20"/>
      <c r="Z44" s="12"/>
      <c r="AA44" s="26">
        <f>X44+Z43</f>
        <v>17</v>
      </c>
      <c r="AB44" s="1"/>
      <c r="AC44" s="1"/>
      <c r="AD44" s="1"/>
      <c r="AE44" s="1"/>
      <c r="AF44" s="1"/>
    </row>
    <row r="45" spans="1:33" ht="13.95" customHeight="1" thickBot="1">
      <c r="A45" s="18"/>
      <c r="B45" s="6"/>
      <c r="C45" s="1"/>
      <c r="D45" s="14">
        <v>0</v>
      </c>
      <c r="E45" s="9"/>
      <c r="F45" s="12"/>
      <c r="G45" s="26">
        <f>D45+F44</f>
        <v>2</v>
      </c>
      <c r="H45" s="1"/>
      <c r="K45" s="8"/>
      <c r="L45" s="117">
        <f>O44-L43</f>
        <v>8</v>
      </c>
      <c r="M45" s="118"/>
      <c r="N45" s="119">
        <f>L45-N42</f>
        <v>1</v>
      </c>
      <c r="O45" s="120"/>
      <c r="Q45" s="8"/>
      <c r="R45" s="117">
        <f>U44-R43</f>
        <v>2</v>
      </c>
      <c r="S45" s="118"/>
      <c r="T45" s="119">
        <f>R45-T42</f>
        <v>0</v>
      </c>
      <c r="U45" s="120"/>
      <c r="V45" s="9"/>
      <c r="X45" s="23">
        <f>AA45-Z43</f>
        <v>18</v>
      </c>
      <c r="Y45" s="3"/>
      <c r="Z45" s="2"/>
      <c r="AA45" s="24">
        <f>MIN(X51,AC48)</f>
        <v>19</v>
      </c>
      <c r="AB45" s="1"/>
      <c r="AC45" s="1"/>
      <c r="AD45" s="1"/>
      <c r="AE45" s="1"/>
      <c r="AF45" s="20"/>
      <c r="AG45" s="1"/>
    </row>
    <row r="46" spans="1:33" ht="13.95" customHeight="1" thickTop="1" thickBot="1">
      <c r="A46" s="18"/>
      <c r="B46" s="6"/>
      <c r="C46" s="1"/>
      <c r="D46" s="23">
        <f>G46-F44</f>
        <v>1</v>
      </c>
      <c r="E46" s="3"/>
      <c r="F46" s="2"/>
      <c r="G46" s="13">
        <f>L44</f>
        <v>3</v>
      </c>
      <c r="H46" s="1"/>
      <c r="K46" s="21"/>
      <c r="L46" s="20"/>
      <c r="M46" s="20"/>
      <c r="N46" s="20"/>
      <c r="O46" s="20"/>
      <c r="Q46" s="9"/>
      <c r="R46" s="9"/>
      <c r="S46" s="9"/>
      <c r="T46" s="9"/>
      <c r="U46" s="9"/>
      <c r="X46" s="117">
        <f>AA45-X44</f>
        <v>3</v>
      </c>
      <c r="Y46" s="118"/>
      <c r="Z46" s="119">
        <f>X46-Z43</f>
        <v>2</v>
      </c>
      <c r="AA46" s="120"/>
      <c r="AC46" s="34" t="s">
        <v>15</v>
      </c>
      <c r="AD46" s="35"/>
      <c r="AE46" s="121">
        <f>B44</f>
        <v>3</v>
      </c>
      <c r="AF46" s="122"/>
      <c r="AG46" s="1"/>
    </row>
    <row r="47" spans="1:33" ht="13.95" customHeight="1" thickBot="1">
      <c r="A47" s="18"/>
      <c r="B47" s="6"/>
      <c r="C47" s="1"/>
      <c r="D47" s="117">
        <f>G46-D45</f>
        <v>3</v>
      </c>
      <c r="E47" s="118"/>
      <c r="F47" s="119">
        <f>D47-F44</f>
        <v>1</v>
      </c>
      <c r="G47" s="120"/>
      <c r="H47" s="1"/>
      <c r="X47" s="9"/>
      <c r="Y47" s="1"/>
      <c r="Z47" s="1"/>
      <c r="AA47" s="9"/>
      <c r="AC47" s="23">
        <f>MAX(AF39,AA44)</f>
        <v>19</v>
      </c>
      <c r="AD47" s="20"/>
      <c r="AE47" s="12"/>
      <c r="AF47" s="26">
        <f>AC47+AE46</f>
        <v>22</v>
      </c>
      <c r="AG47" s="1"/>
    </row>
    <row r="48" spans="1:33" ht="13.95" customHeight="1" thickTop="1" thickBot="1">
      <c r="A48" s="18"/>
      <c r="B48" s="6"/>
      <c r="C48" s="1"/>
      <c r="D48" s="1"/>
      <c r="E48" s="1"/>
      <c r="F48" s="9"/>
      <c r="G48" s="9"/>
      <c r="H48" s="1"/>
      <c r="J48" s="9"/>
      <c r="K48" s="9"/>
      <c r="L48" s="1"/>
      <c r="M48" s="1"/>
      <c r="W48" s="1"/>
      <c r="X48" s="1"/>
      <c r="Y48" s="1"/>
      <c r="Z48" s="1"/>
      <c r="AA48" s="20"/>
      <c r="AC48" s="23">
        <f>AF48-AE46</f>
        <v>19</v>
      </c>
      <c r="AD48" s="3"/>
      <c r="AE48" s="2"/>
      <c r="AF48" s="24">
        <f>MAX(AF47,AA50)</f>
        <v>22</v>
      </c>
      <c r="AG48" s="1"/>
    </row>
    <row r="49" spans="1:33" ht="13.95" customHeight="1" thickTop="1" thickBot="1">
      <c r="A49" s="18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X49" s="34" t="s">
        <v>14</v>
      </c>
      <c r="Y49" s="35"/>
      <c r="Z49" s="121">
        <f>B43</f>
        <v>2</v>
      </c>
      <c r="AA49" s="122"/>
      <c r="AC49" s="117">
        <f>AF48-AC47</f>
        <v>3</v>
      </c>
      <c r="AD49" s="118"/>
      <c r="AE49" s="119">
        <f>AC49-AE46</f>
        <v>0</v>
      </c>
      <c r="AF49" s="120"/>
      <c r="AG49" s="1"/>
    </row>
    <row r="50" spans="1:33" ht="13.95" customHeight="1" thickBot="1">
      <c r="A50" s="18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X50" s="23">
        <f>AA44</f>
        <v>17</v>
      </c>
      <c r="Y50" s="20"/>
      <c r="Z50" s="12"/>
      <c r="AA50" s="26">
        <f>X50+Z49</f>
        <v>19</v>
      </c>
      <c r="AC50" s="9"/>
      <c r="AD50" s="1"/>
      <c r="AE50" s="1"/>
      <c r="AF50" s="9"/>
      <c r="AG50" s="1"/>
    </row>
    <row r="51" spans="1:33" ht="13.95" customHeight="1" thickBo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  <c r="X51" s="23">
        <f>AA51-Z49</f>
        <v>20</v>
      </c>
      <c r="Y51" s="3"/>
      <c r="Z51" s="2"/>
      <c r="AA51" s="24">
        <f>MAX(AA50,AF47)</f>
        <v>22</v>
      </c>
      <c r="AB51" s="1"/>
      <c r="AC51" s="1"/>
      <c r="AD51" s="1"/>
      <c r="AE51" s="1"/>
      <c r="AF51" s="1"/>
    </row>
    <row r="52" spans="1:33" ht="13.95" customHeight="1" thickBot="1">
      <c r="X52" s="117">
        <f>AA51-X50</f>
        <v>5</v>
      </c>
      <c r="Y52" s="118"/>
      <c r="Z52" s="119">
        <f>X52-Z49</f>
        <v>3</v>
      </c>
      <c r="AA52" s="120"/>
      <c r="AB52" s="1"/>
    </row>
    <row r="53" spans="1:33" ht="13.95" customHeight="1" thickTop="1">
      <c r="X53" s="9"/>
      <c r="Y53" s="1"/>
      <c r="Z53" s="1"/>
      <c r="AA53" s="9"/>
      <c r="AB53" s="1"/>
    </row>
    <row r="54" spans="1:33" ht="13.95" customHeight="1"/>
    <row r="55" spans="1:33" ht="13.95" customHeight="1"/>
    <row r="56" spans="1:33" ht="13.95" customHeight="1"/>
    <row r="57" spans="1:33" ht="13.95" customHeight="1"/>
    <row r="58" spans="1:33" ht="13.95" customHeight="1"/>
    <row r="59" spans="1:33" ht="13.95" customHeight="1"/>
    <row r="60" spans="1:33" ht="13.95" customHeight="1"/>
    <row r="61" spans="1:33" ht="13.95" customHeight="1"/>
    <row r="62" spans="1:33" ht="13.95" customHeight="1"/>
    <row r="63" spans="1:33" ht="13.95" customHeight="1"/>
    <row r="64" spans="1:33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mergeCells count="90">
    <mergeCell ref="W12:X12"/>
    <mergeCell ref="Y12:Z12"/>
    <mergeCell ref="T18:U18"/>
    <mergeCell ref="Z16:AA16"/>
    <mergeCell ref="D20:E20"/>
    <mergeCell ref="F20:G20"/>
    <mergeCell ref="AC14:AD14"/>
    <mergeCell ref="AE14:AF14"/>
    <mergeCell ref="AE19:AF19"/>
    <mergeCell ref="L18:M18"/>
    <mergeCell ref="R18:S18"/>
    <mergeCell ref="N18:O18"/>
    <mergeCell ref="X19:Y19"/>
    <mergeCell ref="Z19:AA19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M9:N9"/>
    <mergeCell ref="Q6:R6"/>
    <mergeCell ref="S6:T6"/>
    <mergeCell ref="D17:E17"/>
    <mergeCell ref="F17:G17"/>
    <mergeCell ref="E5:F5"/>
    <mergeCell ref="G5:H5"/>
    <mergeCell ref="E8:F8"/>
    <mergeCell ref="G8:H8"/>
    <mergeCell ref="K9:L9"/>
    <mergeCell ref="Z22:AA22"/>
    <mergeCell ref="X25:Y25"/>
    <mergeCell ref="Z25:AA25"/>
    <mergeCell ref="AE22:AF22"/>
    <mergeCell ref="AC22:AD22"/>
    <mergeCell ref="K30:L30"/>
    <mergeCell ref="M30:N30"/>
    <mergeCell ref="W30:X30"/>
    <mergeCell ref="Y30:Z30"/>
    <mergeCell ref="E32:F32"/>
    <mergeCell ref="G32:H32"/>
    <mergeCell ref="Y33:Z33"/>
    <mergeCell ref="E35:F35"/>
    <mergeCell ref="G35:H35"/>
    <mergeCell ref="K36:L36"/>
    <mergeCell ref="M36:N36"/>
    <mergeCell ref="W36:X36"/>
    <mergeCell ref="Y36:Z36"/>
    <mergeCell ref="K33:L33"/>
    <mergeCell ref="M33:N33"/>
    <mergeCell ref="Q33:R33"/>
    <mergeCell ref="S33:T33"/>
    <mergeCell ref="W33:X33"/>
    <mergeCell ref="AC38:AD38"/>
    <mergeCell ref="AE38:AF38"/>
    <mergeCell ref="K39:L39"/>
    <mergeCell ref="M39:N39"/>
    <mergeCell ref="Q39:R39"/>
    <mergeCell ref="S39:T39"/>
    <mergeCell ref="W39:X39"/>
    <mergeCell ref="Y39:Z39"/>
    <mergeCell ref="AC41:AD41"/>
    <mergeCell ref="AE41:AF41"/>
    <mergeCell ref="Z43:AA43"/>
    <mergeCell ref="D44:E44"/>
    <mergeCell ref="F44:G44"/>
    <mergeCell ref="L45:M45"/>
    <mergeCell ref="N45:O45"/>
    <mergeCell ref="R45:S45"/>
    <mergeCell ref="T45:U45"/>
    <mergeCell ref="X46:Y46"/>
    <mergeCell ref="X52:Y52"/>
    <mergeCell ref="Z52:AA52"/>
    <mergeCell ref="Z46:AA46"/>
    <mergeCell ref="AE46:AF46"/>
    <mergeCell ref="D47:E47"/>
    <mergeCell ref="F47:G47"/>
    <mergeCell ref="Z49:AA49"/>
    <mergeCell ref="AC49:AD49"/>
    <mergeCell ref="AE49:AF49"/>
  </mergeCells>
  <conditionalFormatting sqref="C10">
    <cfRule type="expression" priority="2">
      <formula>"Y($C$10="" "";Caminocrítico!$S$6=0)"</formula>
    </cfRule>
  </conditionalFormatting>
  <conditionalFormatting sqref="C37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Planificación</vt:lpstr>
      <vt:lpstr>Caminocrítico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Stéphane</cp:lastModifiedBy>
  <dcterms:created xsi:type="dcterms:W3CDTF">2014-02-26T09:32:07Z</dcterms:created>
  <dcterms:modified xsi:type="dcterms:W3CDTF">2020-05-21T10:49:18Z</dcterms:modified>
</cp:coreProperties>
</file>