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Franco\"/>
    </mc:Choice>
  </mc:AlternateContent>
  <xr:revisionPtr revIDLastSave="0" documentId="8_{7B63675C-6003-4448-8E19-08A11D95EC3F}" xr6:coauthVersionLast="47" xr6:coauthVersionMax="47" xr10:uidLastSave="{00000000-0000-0000-0000-000000000000}"/>
  <bookViews>
    <workbookView xWindow="-120" yWindow="-120" windowWidth="29040" windowHeight="15720" firstSheet="17" activeTab="24" xr2:uid="{7E69436F-4E49-42A6-8CD5-B4D3C43FC02B}"/>
  </bookViews>
  <sheets>
    <sheet name="Buenaventura" sheetId="1" r:id="rId1"/>
    <sheet name="Cerro Verde" sheetId="2" r:id="rId2"/>
    <sheet name="Minsur" sheetId="3" r:id="rId3"/>
    <sheet name="Volcan" sheetId="5" r:id="rId4"/>
    <sheet name="Nexa Pe" sheetId="6" r:id="rId5"/>
    <sheet name="Nexa US" sheetId="7" r:id="rId6"/>
    <sheet name="HOC" sheetId="8" r:id="rId7"/>
    <sheet name="Orygen" sheetId="9" r:id="rId8"/>
    <sheet name="Pluzen" sheetId="10" r:id="rId9"/>
    <sheet name="Engie" sheetId="11" r:id="rId10"/>
    <sheet name="Ferrey" sheetId="12" r:id="rId11"/>
    <sheet name="Aenza" sheetId="13" r:id="rId12"/>
    <sheet name="Unacem" sheetId="14" r:id="rId13"/>
    <sheet name="Pacasmayo" sheetId="15" r:id="rId14"/>
    <sheet name="Inretail" sheetId="18" r:id="rId15"/>
    <sheet name="Alicorp" sheetId="16" r:id="rId16"/>
    <sheet name="BAP" sheetId="19" r:id="rId17"/>
    <sheet name="IFS" sheetId="20" r:id="rId18"/>
    <sheet name="BBVA" sheetId="21" r:id="rId19"/>
    <sheet name="El Comercio" sheetId="22" r:id="rId20"/>
    <sheet name="Consolidado" sheetId="4" r:id="rId21"/>
    <sheet name="_CIQHiddenCacheSheet" sheetId="29" state="veryHidden" r:id="rId22"/>
    <sheet name="Consolidado (usd)" sheetId="17" r:id="rId23"/>
    <sheet name="Consolidado (usd) Power BI" sheetId="28" r:id="rId24"/>
    <sheet name="Consolidado (usd) (Orygen)" sheetId="31" r:id="rId25"/>
    <sheet name="Sheet3" sheetId="32" r:id="rId26"/>
  </sheets>
  <definedNames>
    <definedName name="CIQWBGuid" hidden="1">"79eecd28-c868-4de7-b8ed-560d98e4699c"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"03/24/2025 13:12:32"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1" l="1"/>
  <c r="N6" i="31"/>
  <c r="O6" i="31"/>
  <c r="M7" i="31"/>
  <c r="N7" i="31"/>
  <c r="M8" i="31"/>
  <c r="N8" i="31"/>
  <c r="O8" i="31"/>
  <c r="M9" i="31"/>
  <c r="N9" i="31"/>
  <c r="O9" i="31"/>
  <c r="M10" i="31"/>
  <c r="N10" i="31"/>
  <c r="O10" i="31"/>
  <c r="M11" i="31"/>
  <c r="N11" i="31"/>
  <c r="O11" i="31"/>
  <c r="AF11" i="31"/>
  <c r="AG11" i="31"/>
  <c r="AI11" i="31"/>
  <c r="M12" i="31"/>
  <c r="N12" i="31"/>
  <c r="O12" i="31"/>
  <c r="AF12" i="31"/>
  <c r="AG12" i="31"/>
  <c r="N14" i="31"/>
  <c r="O14" i="31"/>
  <c r="AE14" i="31"/>
  <c r="AF14" i="31"/>
  <c r="N15" i="31"/>
  <c r="O15" i="31"/>
  <c r="M16" i="31"/>
  <c r="N16" i="31"/>
  <c r="O16" i="31"/>
  <c r="O18" i="31"/>
  <c r="O19" i="31"/>
  <c r="O20" i="31"/>
  <c r="O21" i="31"/>
  <c r="O23" i="31"/>
  <c r="M24" i="31"/>
  <c r="M26" i="31"/>
  <c r="O26" i="31"/>
  <c r="O27" i="31"/>
  <c r="O28" i="31"/>
  <c r="N36" i="31"/>
  <c r="C2" i="28"/>
  <c r="D2" i="28"/>
  <c r="C3" i="28"/>
  <c r="D3" i="28"/>
  <c r="E3" i="28"/>
  <c r="F3" i="28"/>
  <c r="G3" i="28"/>
  <c r="H3" i="28"/>
  <c r="C4" i="28"/>
  <c r="D4" i="28"/>
  <c r="C5" i="28"/>
  <c r="D5" i="28"/>
  <c r="C6" i="28"/>
  <c r="D6" i="28"/>
  <c r="C8" i="28"/>
  <c r="D8" i="28"/>
  <c r="C9" i="28"/>
  <c r="D9" i="28"/>
  <c r="C10" i="28"/>
  <c r="D10" i="28"/>
  <c r="C11" i="28"/>
  <c r="D11" i="28"/>
  <c r="E11" i="28"/>
  <c r="C12" i="28"/>
  <c r="D12" i="28"/>
  <c r="C13" i="28"/>
  <c r="D13" i="28"/>
  <c r="C14" i="28"/>
  <c r="D14" i="28"/>
  <c r="C15" i="28"/>
  <c r="D15" i="28"/>
  <c r="C16" i="28"/>
  <c r="D16" i="28"/>
  <c r="D17" i="28"/>
  <c r="C18" i="28"/>
  <c r="D18" i="28"/>
  <c r="G18" i="28"/>
  <c r="C19" i="28"/>
  <c r="D19" i="28"/>
  <c r="E19" i="28"/>
  <c r="G19" i="28"/>
  <c r="C20" i="28"/>
  <c r="D20" i="28"/>
  <c r="G20" i="28"/>
  <c r="D21" i="28"/>
  <c r="C22" i="28"/>
  <c r="D22" i="28"/>
  <c r="C23" i="28"/>
  <c r="D23" i="28"/>
  <c r="F23" i="28"/>
  <c r="G23" i="28"/>
  <c r="H23" i="28"/>
  <c r="C24" i="28"/>
  <c r="D24" i="28"/>
  <c r="C25" i="28"/>
  <c r="D25" i="28"/>
  <c r="E25" i="28"/>
  <c r="C26" i="28"/>
  <c r="D26" i="28"/>
  <c r="C28" i="28"/>
  <c r="D28" i="28"/>
  <c r="D29" i="28"/>
  <c r="C30" i="28"/>
  <c r="D30" i="28"/>
  <c r="C31" i="28"/>
  <c r="D31" i="28"/>
  <c r="D32" i="28"/>
  <c r="D33" i="28"/>
  <c r="D34" i="28"/>
  <c r="D35" i="28"/>
  <c r="D36" i="28"/>
  <c r="D37" i="28"/>
  <c r="D38" i="28"/>
  <c r="G38" i="28"/>
  <c r="D39" i="28"/>
  <c r="G39" i="28"/>
  <c r="D40" i="28"/>
  <c r="G40" i="28"/>
  <c r="D41" i="28"/>
  <c r="C42" i="28"/>
  <c r="D42" i="28"/>
  <c r="E42" i="28"/>
  <c r="C43" i="28"/>
  <c r="D43" i="28"/>
  <c r="F43" i="28"/>
  <c r="G43" i="28"/>
  <c r="H43" i="28"/>
  <c r="C44" i="28"/>
  <c r="D44" i="28"/>
  <c r="C45" i="28"/>
  <c r="D45" i="28"/>
  <c r="E45" i="28"/>
  <c r="C46" i="28"/>
  <c r="D46" i="28"/>
  <c r="E46" i="28"/>
  <c r="C48" i="28"/>
  <c r="D48" i="28"/>
  <c r="D49" i="28"/>
  <c r="D50" i="28"/>
  <c r="C51" i="28"/>
  <c r="D51" i="28"/>
  <c r="E51" i="28"/>
  <c r="D52" i="28"/>
  <c r="D53" i="28"/>
  <c r="D54" i="28"/>
  <c r="D55" i="28"/>
  <c r="D56" i="28"/>
  <c r="C57" i="28"/>
  <c r="D57" i="28"/>
  <c r="E57" i="28"/>
  <c r="F57" i="28"/>
  <c r="G57" i="28"/>
  <c r="H57" i="28"/>
  <c r="C58" i="28"/>
  <c r="D58" i="28"/>
  <c r="E58" i="28"/>
  <c r="F58" i="28"/>
  <c r="G58" i="28"/>
  <c r="H58" i="28"/>
  <c r="D59" i="28"/>
  <c r="G59" i="28"/>
  <c r="D60" i="28"/>
  <c r="G60" i="28"/>
  <c r="D61" i="28"/>
  <c r="M6" i="17"/>
  <c r="N6" i="17"/>
  <c r="E22" i="28" s="1"/>
  <c r="O6" i="17"/>
  <c r="E2" i="28" s="1"/>
  <c r="M7" i="17"/>
  <c r="E43" i="28" s="1"/>
  <c r="N7" i="17"/>
  <c r="E23" i="28" s="1"/>
  <c r="M8" i="17"/>
  <c r="E44" i="28" s="1"/>
  <c r="N8" i="17"/>
  <c r="E24" i="28" s="1"/>
  <c r="O8" i="17"/>
  <c r="E4" i="28" s="1"/>
  <c r="M9" i="17"/>
  <c r="N9" i="17"/>
  <c r="O9" i="17"/>
  <c r="E5" i="28" s="1"/>
  <c r="M10" i="17"/>
  <c r="N10" i="17"/>
  <c r="E26" i="28" s="1"/>
  <c r="O10" i="17"/>
  <c r="E6" i="28" s="1"/>
  <c r="M11" i="17"/>
  <c r="N11" i="17"/>
  <c r="O11" i="17"/>
  <c r="M12" i="17"/>
  <c r="E48" i="28" s="1"/>
  <c r="N12" i="17"/>
  <c r="E28" i="28" s="1"/>
  <c r="O12" i="17"/>
  <c r="E8" i="28" s="1"/>
  <c r="O14" i="17"/>
  <c r="E9" i="28" s="1"/>
  <c r="N15" i="17"/>
  <c r="E30" i="28" s="1"/>
  <c r="O15" i="17"/>
  <c r="E10" i="28" s="1"/>
  <c r="M16" i="17"/>
  <c r="N16" i="17"/>
  <c r="E31" i="28" s="1"/>
  <c r="O16" i="17"/>
  <c r="O18" i="17"/>
  <c r="E12" i="28" s="1"/>
  <c r="O19" i="17"/>
  <c r="E13" i="28" s="1"/>
  <c r="O20" i="17"/>
  <c r="E14" i="28" s="1"/>
  <c r="O21" i="17"/>
  <c r="E15" i="28" s="1"/>
  <c r="O23" i="17"/>
  <c r="E16" i="28" s="1"/>
  <c r="M24" i="17"/>
  <c r="M26" i="17"/>
  <c r="O26" i="17"/>
  <c r="E18" i="28" s="1"/>
  <c r="O27" i="17"/>
  <c r="O28" i="17"/>
  <c r="E20" i="28" s="1"/>
  <c r="N36" i="17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4" i="4"/>
  <c r="L14" i="4"/>
  <c r="K15" i="4"/>
  <c r="L15" i="4"/>
  <c r="K16" i="4"/>
  <c r="L16" i="4"/>
  <c r="K18" i="4"/>
  <c r="L18" i="4"/>
  <c r="K19" i="4"/>
  <c r="L19" i="4"/>
  <c r="K20" i="4"/>
  <c r="L20" i="4"/>
  <c r="K21" i="4"/>
  <c r="L21" i="4"/>
  <c r="K23" i="4"/>
  <c r="L23" i="4"/>
  <c r="K24" i="4"/>
  <c r="L24" i="4"/>
  <c r="K26" i="4"/>
  <c r="L26" i="4"/>
  <c r="G27" i="4"/>
  <c r="H27" i="4"/>
  <c r="K27" i="4"/>
  <c r="L27" i="4"/>
  <c r="G28" i="4"/>
  <c r="H28" i="4"/>
  <c r="K28" i="4"/>
  <c r="L28" i="4"/>
  <c r="S27" i="31" a="1"/>
  <c r="Y21" i="31" a="1"/>
  <c r="V20" i="31" a="1"/>
  <c r="S19" i="31" a="1"/>
  <c r="I37" i="31" a="1"/>
  <c r="Y16" i="31" a="1"/>
  <c r="Y15" i="31" a="1"/>
  <c r="V14" i="31" a="1"/>
  <c r="V12" i="31" a="1"/>
  <c r="U11" i="31" a="1"/>
  <c r="S11" i="31" a="1"/>
  <c r="R10" i="31" a="1"/>
  <c r="Y9" i="31" a="1"/>
  <c r="X8" i="31" a="1"/>
  <c r="V8" i="31" a="1"/>
  <c r="U6" i="31" a="1"/>
  <c r="S6" i="31" a="1"/>
  <c r="J37" i="17" a="1"/>
  <c r="S23" i="17" a="1"/>
  <c r="S20" i="17" a="1"/>
  <c r="Y18" i="17" a="1"/>
  <c r="Y15" i="17" a="1"/>
  <c r="U15" i="17" a="1"/>
  <c r="V14" i="17" a="1"/>
  <c r="V12" i="17" a="1"/>
  <c r="S12" i="17" a="1"/>
  <c r="X11" i="17" a="1"/>
  <c r="T11" i="17" a="1"/>
  <c r="X9" i="17" a="1"/>
  <c r="T9" i="17" a="1"/>
  <c r="Y8" i="17" a="1"/>
  <c r="U8" i="17" a="1"/>
  <c r="Q8" i="17" a="1"/>
  <c r="S23" i="31" a="1"/>
  <c r="V19" i="31" a="1"/>
  <c r="Q12" i="31" a="1"/>
  <c r="T9" i="31" a="1"/>
  <c r="S14" i="17" a="1"/>
  <c r="Q11" i="17" a="1"/>
  <c r="R8" i="17" a="1"/>
  <c r="S28" i="31" a="1"/>
  <c r="Y26" i="31" a="1"/>
  <c r="T16" i="31" a="1"/>
  <c r="U14" i="31" a="1"/>
  <c r="Y12" i="31" a="1"/>
  <c r="R11" i="31" a="1"/>
  <c r="T10" i="31" a="1"/>
  <c r="U8" i="31" a="1"/>
  <c r="W6" i="31" a="1"/>
  <c r="Y28" i="17" a="1"/>
  <c r="V23" i="17" a="1"/>
  <c r="V19" i="17" a="1"/>
  <c r="Y16" i="17" a="1"/>
  <c r="U12" i="17" a="1"/>
  <c r="X10" i="17" a="1"/>
  <c r="V9" i="17" a="1"/>
  <c r="Y6" i="17" a="1"/>
  <c r="U15" i="31" a="1"/>
  <c r="R12" i="31" a="1"/>
  <c r="T11" i="31" a="1"/>
  <c r="U9" i="31" a="1"/>
  <c r="W8" i="31" a="1"/>
  <c r="Y26" i="17" a="1"/>
  <c r="Y19" i="17" a="1"/>
  <c r="S18" i="17" a="1"/>
  <c r="Q16" i="17" a="1"/>
  <c r="W12" i="17" a="1"/>
  <c r="R11" i="17" a="1"/>
  <c r="Y9" i="17" a="1"/>
  <c r="S8" i="17" a="1"/>
  <c r="Q6" i="17" a="1"/>
  <c r="U16" i="31" a="1"/>
  <c r="H37" i="31" a="1"/>
  <c r="U10" i="31" a="1"/>
  <c r="X6" i="31" a="1"/>
  <c r="S27" i="17" a="1"/>
  <c r="V18" i="17" a="1"/>
  <c r="X15" i="17" a="1"/>
  <c r="U11" i="17" a="1"/>
  <c r="W9" i="17" a="1"/>
  <c r="V21" i="31" a="1"/>
  <c r="Y18" i="31" a="1"/>
  <c r="V15" i="31" a="1"/>
  <c r="X14" i="31" a="1"/>
  <c r="S12" i="31" a="1"/>
  <c r="V10" i="31" a="1"/>
  <c r="V9" i="31" a="1"/>
  <c r="Y6" i="31" a="1"/>
  <c r="Y27" i="17" a="1"/>
  <c r="Y23" i="17" a="1"/>
  <c r="S21" i="17" a="1"/>
  <c r="R16" i="17" a="1"/>
  <c r="X12" i="17" a="1"/>
  <c r="S11" i="17" a="1"/>
  <c r="Q10" i="17" a="1"/>
  <c r="T8" i="17" a="1"/>
  <c r="R6" i="17" a="1"/>
  <c r="V23" i="31" a="1"/>
  <c r="Y19" i="31" a="1"/>
  <c r="V16" i="31" a="1"/>
  <c r="Y14" i="31" a="1"/>
  <c r="T12" i="31" a="1"/>
  <c r="V11" i="31" a="1"/>
  <c r="W9" i="31" a="1"/>
  <c r="Y8" i="31" a="1"/>
  <c r="Q6" i="31" a="1"/>
  <c r="V21" i="17" a="1"/>
  <c r="U16" i="17" a="1"/>
  <c r="V11" i="17" a="1"/>
  <c r="T10" i="17" a="1"/>
  <c r="W8" i="17" a="1"/>
  <c r="V8" i="17" a="1"/>
  <c r="Y20" i="31" a="1"/>
  <c r="S18" i="31" a="1"/>
  <c r="W10" i="31" a="1"/>
  <c r="Q8" i="31" a="1"/>
  <c r="Y21" i="17" a="1"/>
  <c r="S16" i="17" a="1"/>
  <c r="Y12" i="17" a="1"/>
  <c r="R10" i="17" a="1"/>
  <c r="S6" i="17" a="1"/>
  <c r="Y28" i="31" a="1"/>
  <c r="X15" i="31" a="1"/>
  <c r="U12" i="31" a="1"/>
  <c r="W11" i="31" a="1"/>
  <c r="X9" i="31" a="1"/>
  <c r="Q9" i="31" a="1"/>
  <c r="R6" i="31" a="1"/>
  <c r="V16" i="17" a="1"/>
  <c r="Y14" i="17" a="1"/>
  <c r="H37" i="17" a="1"/>
  <c r="W11" i="17" a="1"/>
  <c r="U10" i="17" a="1"/>
  <c r="X8" i="17" a="1"/>
  <c r="V6" i="17" a="1"/>
  <c r="Y27" i="31" a="1"/>
  <c r="W16" i="31" a="1"/>
  <c r="Q16" i="31" a="1"/>
  <c r="R14" i="31" a="1"/>
  <c r="W12" i="31" a="1"/>
  <c r="X10" i="31" a="1"/>
  <c r="Q10" i="31" a="1"/>
  <c r="R8" i="31" a="1"/>
  <c r="T6" i="31" a="1"/>
  <c r="T16" i="17" a="1"/>
  <c r="R15" i="17" a="1"/>
  <c r="Q12" i="17" a="1"/>
  <c r="Y11" i="17" a="1"/>
  <c r="S10" i="17" a="1"/>
  <c r="Q9" i="17" a="1"/>
  <c r="T6" i="17" a="1"/>
  <c r="S26" i="31" a="1"/>
  <c r="R15" i="31" a="1"/>
  <c r="X11" i="31" a="1"/>
  <c r="R9" i="31" a="1"/>
  <c r="V20" i="17" a="1"/>
  <c r="W16" i="17" a="1"/>
  <c r="I37" i="17" a="1"/>
  <c r="V10" i="17" a="1"/>
  <c r="W6" i="17" a="1"/>
  <c r="J37" i="31" a="1"/>
  <c r="Y23" i="31" a="1"/>
  <c r="S20" i="31" a="1"/>
  <c r="X16" i="31" a="1"/>
  <c r="R16" i="31" a="1"/>
  <c r="S14" i="31" a="1"/>
  <c r="Y11" i="31" a="1"/>
  <c r="Y10" i="31" a="1"/>
  <c r="S9" i="31" a="1"/>
  <c r="S8" i="31" a="1"/>
  <c r="S28" i="17" a="1"/>
  <c r="S26" i="17" a="1"/>
  <c r="Y20" i="17" a="1"/>
  <c r="S19" i="17" a="1"/>
  <c r="S15" i="17" a="1"/>
  <c r="R12" i="17" a="1"/>
  <c r="Y10" i="17" a="1"/>
  <c r="S9" i="17" a="1"/>
  <c r="R9" i="17" a="1"/>
  <c r="U6" i="17" a="1"/>
  <c r="S21" i="31" a="1"/>
  <c r="V18" i="31" a="1"/>
  <c r="S16" i="31" a="1"/>
  <c r="S15" i="31" a="1"/>
  <c r="X12" i="31" a="1"/>
  <c r="Q11" i="31" a="1"/>
  <c r="S10" i="31" a="1"/>
  <c r="T8" i="31" a="1"/>
  <c r="V6" i="31" a="1"/>
  <c r="X16" i="17" a="1"/>
  <c r="V15" i="17" a="1"/>
  <c r="T12" i="17" a="1"/>
  <c r="W10" i="17" a="1"/>
  <c r="U9" i="17" a="1"/>
  <c r="X6" i="17" a="1"/>
  <c r="X6" i="17" l="1"/>
  <c r="H22" i="28" s="1"/>
  <c r="U9" i="17"/>
  <c r="G25" i="28" s="1"/>
  <c r="W10" i="17"/>
  <c r="H46" i="28" s="1"/>
  <c r="T12" i="17"/>
  <c r="G48" i="28" s="1"/>
  <c r="V15" i="17"/>
  <c r="G10" i="28" s="1"/>
  <c r="X16" i="17"/>
  <c r="H31" i="28" s="1"/>
  <c r="V6" i="31"/>
  <c r="T8" i="31"/>
  <c r="S10" i="31"/>
  <c r="Q11" i="31"/>
  <c r="X12" i="31"/>
  <c r="S15" i="31"/>
  <c r="S16" i="31"/>
  <c r="V18" i="31"/>
  <c r="S21" i="31"/>
  <c r="U6" i="17"/>
  <c r="G22" i="28" s="1"/>
  <c r="R9" i="17"/>
  <c r="F25" i="28" s="1"/>
  <c r="S9" i="17"/>
  <c r="F5" i="28" s="1"/>
  <c r="Y10" i="17"/>
  <c r="H6" i="28" s="1"/>
  <c r="R12" i="17"/>
  <c r="F28" i="28" s="1"/>
  <c r="S15" i="17"/>
  <c r="F10" i="28" s="1"/>
  <c r="S19" i="17"/>
  <c r="F13" i="28" s="1"/>
  <c r="Y20" i="17"/>
  <c r="H14" i="28" s="1"/>
  <c r="S26" i="17"/>
  <c r="F18" i="28" s="1"/>
  <c r="S28" i="17"/>
  <c r="F20" i="28" s="1"/>
  <c r="S8" i="31"/>
  <c r="S9" i="31"/>
  <c r="Y10" i="31"/>
  <c r="Y11" i="31"/>
  <c r="S14" i="31"/>
  <c r="R16" i="31"/>
  <c r="X16" i="31"/>
  <c r="S20" i="31"/>
  <c r="Y23" i="31"/>
  <c r="J37" i="31"/>
  <c r="J36" i="31" s="1"/>
  <c r="I30" i="31" s="1"/>
  <c r="W6" i="17"/>
  <c r="H42" i="28" s="1"/>
  <c r="V10" i="17"/>
  <c r="G6" i="28" s="1"/>
  <c r="I37" i="17"/>
  <c r="I36" i="17" s="1"/>
  <c r="W16" i="17"/>
  <c r="H51" i="28" s="1"/>
  <c r="V20" i="17"/>
  <c r="G14" i="28" s="1"/>
  <c r="R9" i="31"/>
  <c r="X11" i="31"/>
  <c r="R15" i="31"/>
  <c r="S26" i="31"/>
  <c r="T6" i="17"/>
  <c r="G42" i="28" s="1"/>
  <c r="Q9" i="17"/>
  <c r="F45" i="28" s="1"/>
  <c r="S10" i="17"/>
  <c r="F6" i="28" s="1"/>
  <c r="Y11" i="17"/>
  <c r="Q12" i="17"/>
  <c r="F48" i="28" s="1"/>
  <c r="R15" i="17"/>
  <c r="F30" i="28" s="1"/>
  <c r="T16" i="17"/>
  <c r="G51" i="28" s="1"/>
  <c r="T6" i="31"/>
  <c r="R8" i="31"/>
  <c r="Q10" i="31"/>
  <c r="X10" i="31"/>
  <c r="W12" i="31"/>
  <c r="R14" i="31"/>
  <c r="Q16" i="31"/>
  <c r="W16" i="31"/>
  <c r="Y27" i="31"/>
  <c r="V6" i="17"/>
  <c r="G2" i="28" s="1"/>
  <c r="X8" i="17"/>
  <c r="H24" i="28" s="1"/>
  <c r="U10" i="17"/>
  <c r="G26" i="28" s="1"/>
  <c r="W11" i="17"/>
  <c r="H37" i="17"/>
  <c r="H36" i="17" s="1"/>
  <c r="Y14" i="17"/>
  <c r="H9" i="28" s="1"/>
  <c r="V16" i="17"/>
  <c r="G11" i="28" s="1"/>
  <c r="R6" i="31"/>
  <c r="Q9" i="31"/>
  <c r="X9" i="31"/>
  <c r="W11" i="31"/>
  <c r="U12" i="31"/>
  <c r="X15" i="31"/>
  <c r="Y28" i="31"/>
  <c r="S6" i="17"/>
  <c r="F2" i="28" s="1"/>
  <c r="R10" i="17"/>
  <c r="F26" i="28" s="1"/>
  <c r="Y12" i="17"/>
  <c r="H8" i="28" s="1"/>
  <c r="S16" i="17"/>
  <c r="F11" i="28" s="1"/>
  <c r="Y21" i="17"/>
  <c r="H15" i="28" s="1"/>
  <c r="Q8" i="31"/>
  <c r="W10" i="31"/>
  <c r="S18" i="31"/>
  <c r="Y20" i="31"/>
  <c r="V8" i="17"/>
  <c r="G4" i="28" s="1"/>
  <c r="W8" i="17"/>
  <c r="H44" i="28" s="1"/>
  <c r="T10" i="17"/>
  <c r="G46" i="28" s="1"/>
  <c r="V11" i="17"/>
  <c r="U16" i="17"/>
  <c r="G31" i="28" s="1"/>
  <c r="V21" i="17"/>
  <c r="G15" i="28" s="1"/>
  <c r="Q6" i="31"/>
  <c r="Y8" i="31"/>
  <c r="W9" i="31"/>
  <c r="V11" i="31"/>
  <c r="T12" i="31"/>
  <c r="Y14" i="31"/>
  <c r="V16" i="31"/>
  <c r="Y19" i="31"/>
  <c r="V23" i="31"/>
  <c r="R6" i="17"/>
  <c r="F22" i="28" s="1"/>
  <c r="T8" i="17"/>
  <c r="G44" i="28" s="1"/>
  <c r="Q10" i="17"/>
  <c r="F46" i="28" s="1"/>
  <c r="S11" i="17"/>
  <c r="X12" i="17"/>
  <c r="H28" i="28" s="1"/>
  <c r="R16" i="17"/>
  <c r="F31" i="28" s="1"/>
  <c r="S21" i="17"/>
  <c r="F15" i="28" s="1"/>
  <c r="Y23" i="17"/>
  <c r="H16" i="28" s="1"/>
  <c r="Y27" i="17"/>
  <c r="H19" i="28" s="1"/>
  <c r="Y6" i="31"/>
  <c r="V9" i="31"/>
  <c r="V10" i="31"/>
  <c r="S12" i="31"/>
  <c r="X14" i="31"/>
  <c r="V15" i="31"/>
  <c r="Y18" i="31"/>
  <c r="V21" i="31"/>
  <c r="W9" i="17"/>
  <c r="H45" i="28" s="1"/>
  <c r="U11" i="17"/>
  <c r="X15" i="17"/>
  <c r="H30" i="28" s="1"/>
  <c r="V18" i="17"/>
  <c r="G12" i="28" s="1"/>
  <c r="S27" i="17"/>
  <c r="F19" i="28" s="1"/>
  <c r="X6" i="31"/>
  <c r="U10" i="31"/>
  <c r="H37" i="31"/>
  <c r="H36" i="31" s="1"/>
  <c r="U16" i="31"/>
  <c r="Q6" i="17"/>
  <c r="F42" i="28" s="1"/>
  <c r="S8" i="17"/>
  <c r="F4" i="28" s="1"/>
  <c r="Y9" i="17"/>
  <c r="H5" i="28" s="1"/>
  <c r="R11" i="17"/>
  <c r="W12" i="17"/>
  <c r="H48" i="28" s="1"/>
  <c r="Q16" i="17"/>
  <c r="F51" i="28" s="1"/>
  <c r="S18" i="17"/>
  <c r="F12" i="28" s="1"/>
  <c r="Y19" i="17"/>
  <c r="H13" i="28" s="1"/>
  <c r="Y26" i="17"/>
  <c r="H18" i="28" s="1"/>
  <c r="W8" i="31"/>
  <c r="U9" i="31"/>
  <c r="T11" i="31"/>
  <c r="R12" i="31"/>
  <c r="U15" i="31"/>
  <c r="Y6" i="17"/>
  <c r="H2" i="28" s="1"/>
  <c r="V9" i="17"/>
  <c r="G5" i="28" s="1"/>
  <c r="X10" i="17"/>
  <c r="H26" i="28" s="1"/>
  <c r="U12" i="17"/>
  <c r="G28" i="28" s="1"/>
  <c r="Y16" i="17"/>
  <c r="H11" i="28" s="1"/>
  <c r="V19" i="17"/>
  <c r="G13" i="28" s="1"/>
  <c r="V23" i="17"/>
  <c r="G16" i="28" s="1"/>
  <c r="Y28" i="17"/>
  <c r="H20" i="28" s="1"/>
  <c r="W6" i="31"/>
  <c r="U8" i="31"/>
  <c r="T10" i="31"/>
  <c r="R11" i="31"/>
  <c r="Y12" i="31"/>
  <c r="U14" i="31"/>
  <c r="T16" i="31"/>
  <c r="Y26" i="31"/>
  <c r="S28" i="31"/>
  <c r="R8" i="17"/>
  <c r="F24" i="28" s="1"/>
  <c r="Q11" i="17"/>
  <c r="S14" i="17"/>
  <c r="F9" i="28" s="1"/>
  <c r="T9" i="31"/>
  <c r="Q12" i="31"/>
  <c r="V19" i="31"/>
  <c r="S23" i="31"/>
  <c r="Q8" i="17"/>
  <c r="F44" i="28" s="1"/>
  <c r="U8" i="17"/>
  <c r="G24" i="28" s="1"/>
  <c r="Y8" i="17"/>
  <c r="H4" i="28" s="1"/>
  <c r="T9" i="17"/>
  <c r="G45" i="28" s="1"/>
  <c r="X9" i="17"/>
  <c r="H25" i="28" s="1"/>
  <c r="T11" i="17"/>
  <c r="X11" i="17"/>
  <c r="S12" i="17"/>
  <c r="F8" i="28" s="1"/>
  <c r="V12" i="17"/>
  <c r="G8" i="28" s="1"/>
  <c r="V14" i="17"/>
  <c r="G9" i="28" s="1"/>
  <c r="U15" i="17"/>
  <c r="G30" i="28" s="1"/>
  <c r="Y15" i="17"/>
  <c r="H10" i="28" s="1"/>
  <c r="Y18" i="17"/>
  <c r="H12" i="28" s="1"/>
  <c r="S20" i="17"/>
  <c r="F14" i="28" s="1"/>
  <c r="S23" i="17"/>
  <c r="F16" i="28" s="1"/>
  <c r="J37" i="17"/>
  <c r="J36" i="17" s="1"/>
  <c r="I30" i="17" s="1"/>
  <c r="S6" i="31"/>
  <c r="U6" i="31"/>
  <c r="V8" i="31"/>
  <c r="X8" i="31"/>
  <c r="Y9" i="31"/>
  <c r="R10" i="31"/>
  <c r="S11" i="31"/>
  <c r="U11" i="31"/>
  <c r="V12" i="31"/>
  <c r="V14" i="31"/>
  <c r="Y15" i="31"/>
  <c r="Y16" i="31"/>
  <c r="I37" i="31"/>
  <c r="I36" i="31" s="1"/>
  <c r="S19" i="31"/>
  <c r="V20" i="31"/>
  <c r="Y21" i="31"/>
  <c r="S27" i="31"/>
  <c r="H23" i="31" l="1"/>
  <c r="H30" i="31"/>
  <c r="H28" i="31"/>
  <c r="H18" i="31"/>
  <c r="H21" i="31"/>
  <c r="H26" i="31"/>
  <c r="H19" i="31"/>
  <c r="H27" i="31"/>
  <c r="H20" i="31"/>
  <c r="H24" i="31"/>
  <c r="O30" i="31"/>
  <c r="O30" i="17"/>
  <c r="E21" i="28" s="1"/>
  <c r="C21" i="28"/>
  <c r="G14" i="17"/>
  <c r="G23" i="17"/>
  <c r="G18" i="17"/>
  <c r="I24" i="17"/>
  <c r="G28" i="17"/>
  <c r="G21" i="17"/>
  <c r="G15" i="17"/>
  <c r="G19" i="17"/>
  <c r="G27" i="17"/>
  <c r="G20" i="17"/>
  <c r="G30" i="17"/>
  <c r="G23" i="31"/>
  <c r="G30" i="31"/>
  <c r="G14" i="31"/>
  <c r="I24" i="31"/>
  <c r="G28" i="31"/>
  <c r="G18" i="31"/>
  <c r="G21" i="31"/>
  <c r="G15" i="31"/>
  <c r="G19" i="31"/>
  <c r="G27" i="31"/>
  <c r="G20" i="31"/>
  <c r="H20" i="17"/>
  <c r="H24" i="17"/>
  <c r="H21" i="17"/>
  <c r="H26" i="17"/>
  <c r="H30" i="17"/>
  <c r="H14" i="17"/>
  <c r="H18" i="17"/>
  <c r="H28" i="17"/>
  <c r="H23" i="17"/>
  <c r="H27" i="17"/>
  <c r="H19" i="17"/>
  <c r="V30" i="31" a="1"/>
  <c r="S30" i="17" a="1"/>
  <c r="Y30" i="17" a="1"/>
  <c r="V30" i="17" a="1"/>
  <c r="Y30" i="31" a="1"/>
  <c r="S30" i="31" a="1"/>
  <c r="S30" i="31" l="1"/>
  <c r="Y30" i="31"/>
  <c r="V30" i="17"/>
  <c r="G21" i="28" s="1"/>
  <c r="Y30" i="17"/>
  <c r="H21" i="28" s="1"/>
  <c r="S30" i="17"/>
  <c r="F21" i="28" s="1"/>
  <c r="V30" i="31"/>
  <c r="N18" i="17"/>
  <c r="E32" i="28" s="1"/>
  <c r="C32" i="28"/>
  <c r="M18" i="31"/>
  <c r="M28" i="17"/>
  <c r="E60" i="28" s="1"/>
  <c r="C60" i="28"/>
  <c r="N14" i="17"/>
  <c r="E29" i="28" s="1"/>
  <c r="C29" i="28"/>
  <c r="M28" i="31"/>
  <c r="C17" i="28"/>
  <c r="O24" i="17"/>
  <c r="E17" i="28" s="1"/>
  <c r="C41" i="28"/>
  <c r="N30" i="17"/>
  <c r="E41" i="28" s="1"/>
  <c r="O24" i="31"/>
  <c r="C52" i="28"/>
  <c r="M18" i="17"/>
  <c r="E52" i="28" s="1"/>
  <c r="N24" i="31"/>
  <c r="C38" i="28"/>
  <c r="N26" i="17"/>
  <c r="E38" i="28" s="1"/>
  <c r="M14" i="31"/>
  <c r="M23" i="17"/>
  <c r="E56" i="28" s="1"/>
  <c r="C56" i="28"/>
  <c r="N20" i="31"/>
  <c r="N21" i="17"/>
  <c r="E35" i="28" s="1"/>
  <c r="C35" i="28"/>
  <c r="M30" i="31"/>
  <c r="M14" i="17"/>
  <c r="E49" i="28" s="1"/>
  <c r="C49" i="28"/>
  <c r="N27" i="31"/>
  <c r="N24" i="17"/>
  <c r="E37" i="28" s="1"/>
  <c r="C37" i="28"/>
  <c r="M23" i="31"/>
  <c r="N19" i="31"/>
  <c r="N20" i="17"/>
  <c r="E34" i="28" s="1"/>
  <c r="C34" i="28"/>
  <c r="C61" i="28"/>
  <c r="M30" i="17"/>
  <c r="E61" i="28" s="1"/>
  <c r="N26" i="31"/>
  <c r="M20" i="31"/>
  <c r="M20" i="17"/>
  <c r="E54" i="28" s="1"/>
  <c r="C54" i="28"/>
  <c r="N21" i="31"/>
  <c r="N19" i="17"/>
  <c r="E33" i="28" s="1"/>
  <c r="C33" i="28"/>
  <c r="M27" i="31"/>
  <c r="C59" i="28"/>
  <c r="M27" i="17"/>
  <c r="E59" i="28" s="1"/>
  <c r="N18" i="31"/>
  <c r="N27" i="17"/>
  <c r="E39" i="28" s="1"/>
  <c r="C39" i="28"/>
  <c r="M19" i="31"/>
  <c r="M19" i="17"/>
  <c r="E53" i="28" s="1"/>
  <c r="C53" i="28"/>
  <c r="N28" i="31"/>
  <c r="N23" i="17"/>
  <c r="E36" i="28" s="1"/>
  <c r="C36" i="28"/>
  <c r="M15" i="31"/>
  <c r="C50" i="28"/>
  <c r="M15" i="17"/>
  <c r="E50" i="28" s="1"/>
  <c r="N30" i="31"/>
  <c r="N28" i="17"/>
  <c r="E40" i="28" s="1"/>
  <c r="C40" i="28"/>
  <c r="M21" i="31"/>
  <c r="M21" i="17"/>
  <c r="E55" i="28" s="1"/>
  <c r="C55" i="28"/>
  <c r="N23" i="31"/>
  <c r="Q18" i="31" a="1"/>
  <c r="U30" i="17" a="1"/>
  <c r="Q30" i="31" a="1"/>
  <c r="R24" i="17" a="1"/>
  <c r="U19" i="31" a="1"/>
  <c r="R26" i="31" a="1"/>
  <c r="X21" i="31" a="1"/>
  <c r="Q19" i="31" a="1"/>
  <c r="X23" i="17" a="1"/>
  <c r="T15" i="17" a="1"/>
  <c r="Q21" i="31" a="1"/>
  <c r="W27" i="17" a="1"/>
  <c r="W19" i="31" a="1"/>
  <c r="X30" i="31" a="1"/>
  <c r="Q21" i="17" a="1"/>
  <c r="W28" i="31" a="1"/>
  <c r="V24" i="31" a="1"/>
  <c r="X24" i="31" a="1"/>
  <c r="Q23" i="17" a="1"/>
  <c r="W30" i="31" a="1"/>
  <c r="X26" i="31" a="1"/>
  <c r="T18" i="31" a="1"/>
  <c r="Q28" i="31" a="1"/>
  <c r="X26" i="17" a="1"/>
  <c r="T23" i="17" a="1"/>
  <c r="T30" i="31" a="1"/>
  <c r="U24" i="17" a="1"/>
  <c r="R20" i="17" a="1"/>
  <c r="T20" i="31" a="1"/>
  <c r="R21" i="31" a="1"/>
  <c r="Q27" i="17" a="1"/>
  <c r="T19" i="31" a="1"/>
  <c r="R23" i="17" a="1"/>
  <c r="U30" i="31" a="1"/>
  <c r="T21" i="17" a="1"/>
  <c r="R30" i="31" a="1"/>
  <c r="W28" i="17" a="1"/>
  <c r="Y24" i="17" a="1"/>
  <c r="Y24" i="31" a="1"/>
  <c r="X19" i="17" a="1"/>
  <c r="X18" i="31" a="1"/>
  <c r="T19" i="17" a="1"/>
  <c r="U23" i="17" a="1"/>
  <c r="T15" i="31" a="1"/>
  <c r="W21" i="17" a="1"/>
  <c r="Q15" i="31" a="1"/>
  <c r="U23" i="31" a="1"/>
  <c r="S24" i="17" a="1"/>
  <c r="S24" i="31" a="1"/>
  <c r="X20" i="31" a="1"/>
  <c r="T14" i="17" a="1"/>
  <c r="X24" i="17" a="1"/>
  <c r="U20" i="17" a="1"/>
  <c r="W20" i="31" a="1"/>
  <c r="R19" i="17" a="1"/>
  <c r="R18" i="31" a="1"/>
  <c r="W19" i="17" a="1"/>
  <c r="W15" i="31" a="1"/>
  <c r="X28" i="17" a="1"/>
  <c r="Q28" i="17" a="1"/>
  <c r="R26" i="17" a="1"/>
  <c r="R20" i="31" a="1"/>
  <c r="W14" i="17" a="1"/>
  <c r="T23" i="31" a="1"/>
  <c r="X20" i="17" a="1"/>
  <c r="Q20" i="31" a="1"/>
  <c r="Q15" i="17" a="1"/>
  <c r="U18" i="17" a="1"/>
  <c r="T14" i="31" a="1"/>
  <c r="U20" i="31" a="1"/>
  <c r="W23" i="31" a="1"/>
  <c r="Q30" i="17" a="1"/>
  <c r="U18" i="31" a="1"/>
  <c r="R18" i="17" a="1"/>
  <c r="R14" i="17" a="1"/>
  <c r="V24" i="17" a="1"/>
  <c r="T18" i="17" a="1"/>
  <c r="X21" i="17" a="1"/>
  <c r="Q23" i="31" a="1"/>
  <c r="Q20" i="17" a="1"/>
  <c r="U19" i="17" a="1"/>
  <c r="R27" i="17" a="1"/>
  <c r="Q19" i="17" a="1"/>
  <c r="R28" i="17" a="1"/>
  <c r="X23" i="31" a="1"/>
  <c r="X30" i="17" a="1"/>
  <c r="W18" i="17" a="1"/>
  <c r="W14" i="31" a="1"/>
  <c r="R21" i="17" a="1"/>
  <c r="Q14" i="17" a="1"/>
  <c r="T30" i="17" a="1"/>
  <c r="T20" i="17" a="1"/>
  <c r="Q27" i="31" a="1"/>
  <c r="R28" i="31" a="1"/>
  <c r="X18" i="17" a="1"/>
  <c r="U14" i="17" a="1"/>
  <c r="Q18" i="17" a="1"/>
  <c r="Q14" i="31" a="1"/>
  <c r="U21" i="17" a="1"/>
  <c r="X27" i="31" a="1"/>
  <c r="W30" i="17" a="1"/>
  <c r="W27" i="31" a="1"/>
  <c r="W15" i="17" a="1"/>
  <c r="W21" i="31" a="1"/>
  <c r="R23" i="31" a="1"/>
  <c r="X14" i="17" a="1"/>
  <c r="U24" i="31" a="1"/>
  <c r="W23" i="17" a="1"/>
  <c r="R27" i="31" a="1"/>
  <c r="X19" i="31" a="1"/>
  <c r="W20" i="17" a="1"/>
  <c r="X27" i="17" a="1"/>
  <c r="X28" i="31" a="1"/>
  <c r="T21" i="31" a="1"/>
  <c r="R19" i="31" a="1"/>
  <c r="W18" i="31" a="1"/>
  <c r="R30" i="17" a="1"/>
  <c r="R24" i="31" a="1"/>
  <c r="U21" i="31" a="1"/>
  <c r="U21" i="31" l="1"/>
  <c r="R24" i="31"/>
  <c r="R30" i="17"/>
  <c r="F41" i="28" s="1"/>
  <c r="W18" i="31"/>
  <c r="R19" i="31"/>
  <c r="T21" i="31"/>
  <c r="X28" i="31"/>
  <c r="X27" i="17"/>
  <c r="H39" i="28" s="1"/>
  <c r="W20" i="17"/>
  <c r="H54" i="28" s="1"/>
  <c r="X19" i="31"/>
  <c r="R27" i="31"/>
  <c r="W23" i="17"/>
  <c r="H56" i="28" s="1"/>
  <c r="U24" i="31"/>
  <c r="X14" i="17"/>
  <c r="H29" i="28" s="1"/>
  <c r="R23" i="31"/>
  <c r="W21" i="31"/>
  <c r="W15" i="17"/>
  <c r="H50" i="28" s="1"/>
  <c r="W27" i="31"/>
  <c r="W30" i="17"/>
  <c r="H61" i="28" s="1"/>
  <c r="X27" i="31"/>
  <c r="U21" i="17"/>
  <c r="G35" i="28" s="1"/>
  <c r="Q14" i="31"/>
  <c r="Q18" i="17"/>
  <c r="F52" i="28" s="1"/>
  <c r="U14" i="17"/>
  <c r="G29" i="28" s="1"/>
  <c r="X18" i="17"/>
  <c r="H32" i="28" s="1"/>
  <c r="R28" i="31"/>
  <c r="Q27" i="31"/>
  <c r="T20" i="17"/>
  <c r="G54" i="28" s="1"/>
  <c r="T30" i="17"/>
  <c r="G61" i="28" s="1"/>
  <c r="Q14" i="17"/>
  <c r="F49" i="28" s="1"/>
  <c r="R21" i="17"/>
  <c r="F35" i="28" s="1"/>
  <c r="W14" i="31"/>
  <c r="W18" i="17"/>
  <c r="H52" i="28" s="1"/>
  <c r="X30" i="17"/>
  <c r="H41" i="28" s="1"/>
  <c r="X23" i="31"/>
  <c r="R28" i="17"/>
  <c r="F40" i="28" s="1"/>
  <c r="Q19" i="17"/>
  <c r="F53" i="28" s="1"/>
  <c r="R27" i="17"/>
  <c r="F39" i="28" s="1"/>
  <c r="U19" i="17"/>
  <c r="G33" i="28" s="1"/>
  <c r="Q20" i="17"/>
  <c r="F54" i="28" s="1"/>
  <c r="Q23" i="31"/>
  <c r="X21" i="17"/>
  <c r="H35" i="28" s="1"/>
  <c r="T18" i="17"/>
  <c r="G52" i="28" s="1"/>
  <c r="V24" i="17"/>
  <c r="G17" i="28" s="1"/>
  <c r="R14" i="17"/>
  <c r="F29" i="28" s="1"/>
  <c r="R18" i="17"/>
  <c r="F32" i="28" s="1"/>
  <c r="U18" i="31"/>
  <c r="Q30" i="17"/>
  <c r="F61" i="28" s="1"/>
  <c r="W23" i="31"/>
  <c r="U20" i="31"/>
  <c r="T14" i="31"/>
  <c r="U18" i="17"/>
  <c r="G32" i="28" s="1"/>
  <c r="Q15" i="17"/>
  <c r="F50" i="28" s="1"/>
  <c r="Q20" i="31"/>
  <c r="X20" i="17"/>
  <c r="H34" i="28" s="1"/>
  <c r="T23" i="31"/>
  <c r="W14" i="17"/>
  <c r="H49" i="28" s="1"/>
  <c r="R20" i="31"/>
  <c r="R26" i="17"/>
  <c r="F38" i="28" s="1"/>
  <c r="Q28" i="17"/>
  <c r="F60" i="28" s="1"/>
  <c r="X28" i="17"/>
  <c r="H40" i="28" s="1"/>
  <c r="W15" i="31"/>
  <c r="W19" i="17"/>
  <c r="H53" i="28" s="1"/>
  <c r="R18" i="31"/>
  <c r="R19" i="17"/>
  <c r="F33" i="28" s="1"/>
  <c r="W20" i="31"/>
  <c r="U20" i="17"/>
  <c r="G34" i="28" s="1"/>
  <c r="X24" i="17"/>
  <c r="H37" i="28" s="1"/>
  <c r="T14" i="17"/>
  <c r="G49" i="28" s="1"/>
  <c r="X20" i="31"/>
  <c r="S24" i="31"/>
  <c r="S24" i="17"/>
  <c r="F17" i="28" s="1"/>
  <c r="U23" i="31"/>
  <c r="Q15" i="31"/>
  <c r="W21" i="17"/>
  <c r="H55" i="28" s="1"/>
  <c r="T15" i="31"/>
  <c r="U23" i="17"/>
  <c r="G36" i="28" s="1"/>
  <c r="T19" i="17"/>
  <c r="G53" i="28" s="1"/>
  <c r="X18" i="31"/>
  <c r="X19" i="17"/>
  <c r="H33" i="28" s="1"/>
  <c r="Y24" i="31"/>
  <c r="Y24" i="17"/>
  <c r="H17" i="28" s="1"/>
  <c r="W28" i="17"/>
  <c r="H60" i="28" s="1"/>
  <c r="R30" i="31"/>
  <c r="T21" i="17"/>
  <c r="G55" i="28" s="1"/>
  <c r="U30" i="31"/>
  <c r="R23" i="17"/>
  <c r="F36" i="28" s="1"/>
  <c r="T19" i="31"/>
  <c r="Q27" i="17"/>
  <c r="F59" i="28" s="1"/>
  <c r="R21" i="31"/>
  <c r="T20" i="31"/>
  <c r="R20" i="17"/>
  <c r="F34" i="28" s="1"/>
  <c r="U24" i="17"/>
  <c r="G37" i="28" s="1"/>
  <c r="T30" i="31"/>
  <c r="T23" i="17"/>
  <c r="G56" i="28" s="1"/>
  <c r="X26" i="17"/>
  <c r="H38" i="28" s="1"/>
  <c r="Q28" i="31"/>
  <c r="T18" i="31"/>
  <c r="X26" i="31"/>
  <c r="W30" i="31"/>
  <c r="Q23" i="17"/>
  <c r="F56" i="28" s="1"/>
  <c r="X24" i="31"/>
  <c r="V24" i="31"/>
  <c r="W28" i="31"/>
  <c r="Q21" i="17"/>
  <c r="F55" i="28" s="1"/>
  <c r="X30" i="31"/>
  <c r="W19" i="31"/>
  <c r="W27" i="17"/>
  <c r="H59" i="28" s="1"/>
  <c r="Q21" i="31"/>
  <c r="T15" i="17"/>
  <c r="G50" i="28" s="1"/>
  <c r="X23" i="17"/>
  <c r="H36" i="28" s="1"/>
  <c r="Q19" i="31"/>
  <c r="X21" i="31"/>
  <c r="R26" i="31"/>
  <c r="U19" i="31"/>
  <c r="R24" i="17"/>
  <c r="F37" i="28" s="1"/>
  <c r="Q30" i="31"/>
  <c r="U30" i="17"/>
  <c r="G41" i="28" s="1"/>
  <c r="Q18" i="3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<sst xmlns="http://schemas.openxmlformats.org/spreadsheetml/2006/main" count="395" uniqueCount="114">
  <si>
    <t xml:space="preserve">Remuneración Directores </t>
  </si>
  <si>
    <t>USD (000)</t>
  </si>
  <si>
    <t>No tiene</t>
  </si>
  <si>
    <t>Buenaventura</t>
  </si>
  <si>
    <t>USD</t>
  </si>
  <si>
    <t>Empresa</t>
  </si>
  <si>
    <t>Moneda</t>
  </si>
  <si>
    <t>Cerro Verde</t>
  </si>
  <si>
    <t>-</t>
  </si>
  <si>
    <t>Minsur</t>
  </si>
  <si>
    <t>Volcan</t>
  </si>
  <si>
    <t>Nexa Perú</t>
  </si>
  <si>
    <t>Nexa US</t>
  </si>
  <si>
    <t>Hochschild</t>
  </si>
  <si>
    <t>Remuneracion Directorio (000)</t>
  </si>
  <si>
    <t># Directores</t>
  </si>
  <si>
    <t>Prom. Por Director</t>
  </si>
  <si>
    <t>No separan Key Management y Directores</t>
  </si>
  <si>
    <t>Mineras</t>
  </si>
  <si>
    <t>Utilities</t>
  </si>
  <si>
    <t>Orygen</t>
  </si>
  <si>
    <t>PEN</t>
  </si>
  <si>
    <t>Pluzen</t>
  </si>
  <si>
    <t>Engie</t>
  </si>
  <si>
    <t>Construccion</t>
  </si>
  <si>
    <t>Ferreycorp</t>
  </si>
  <si>
    <t>Aenza</t>
  </si>
  <si>
    <t>UNACEM</t>
  </si>
  <si>
    <t>Pacasmayo</t>
  </si>
  <si>
    <t>TC</t>
  </si>
  <si>
    <t>Consumo</t>
  </si>
  <si>
    <t>Inretail</t>
  </si>
  <si>
    <t>Alicorp</t>
  </si>
  <si>
    <t>Financieras</t>
  </si>
  <si>
    <t>BAP</t>
  </si>
  <si>
    <t>IFS</t>
  </si>
  <si>
    <t>BBVA</t>
  </si>
  <si>
    <t>Remuneracion Directorio (USD 000)</t>
  </si>
  <si>
    <t>Individual</t>
  </si>
  <si>
    <t>No separan Key Management de Directores</t>
  </si>
  <si>
    <t>Construcción</t>
  </si>
  <si>
    <t>Otros</t>
  </si>
  <si>
    <t>El Comercio</t>
  </si>
  <si>
    <t>EL Comercio</t>
  </si>
  <si>
    <t>% Ingresos</t>
  </si>
  <si>
    <t>% EBITDA</t>
  </si>
  <si>
    <t>% Utilidad Neta</t>
  </si>
  <si>
    <t>IQ</t>
  </si>
  <si>
    <t>IQ873805</t>
  </si>
  <si>
    <t>IQ396812</t>
  </si>
  <si>
    <t>IQ35196267</t>
  </si>
  <si>
    <t>IQ392824</t>
  </si>
  <si>
    <t>IQ877687</t>
  </si>
  <si>
    <t>IQ284839929</t>
  </si>
  <si>
    <t>IQ880120</t>
  </si>
  <si>
    <t>IQ877515</t>
  </si>
  <si>
    <t>IQ6476057</t>
  </si>
  <si>
    <t>IQ883110</t>
  </si>
  <si>
    <t>IQ5885965</t>
  </si>
  <si>
    <t>IQ5704688</t>
  </si>
  <si>
    <t>IQ877414</t>
  </si>
  <si>
    <t>IQ882917</t>
  </si>
  <si>
    <t>IQ874008</t>
  </si>
  <si>
    <t>IQ877470</t>
  </si>
  <si>
    <t>IQ216401988</t>
  </si>
  <si>
    <t>IQ877482</t>
  </si>
  <si>
    <t>IQ4493526</t>
  </si>
  <si>
    <t>Servicios de Comunicación</t>
  </si>
  <si>
    <t>IQ_INT_INC_LOANS</t>
  </si>
  <si>
    <t>IQ_TOTAL_REV</t>
  </si>
  <si>
    <t>IQ29666569</t>
  </si>
  <si>
    <t>Año</t>
  </si>
  <si>
    <t>AENZA</t>
  </si>
  <si>
    <t>Nexa Atacocha</t>
  </si>
  <si>
    <t xml:space="preserve">Desde el 2018, los directores de Orygen reciben una retribución del US$ 2,000 por sesión de Directorio o comité asistida. Pluz Energía de igual manera. Para Engie la retribución es de US$ 5,000 por sesión de Directorio asistida y solo aplicable a los directores independientes. </t>
  </si>
  <si>
    <t>PLuzEn</t>
  </si>
  <si>
    <t>BAABTAVMT0NBTAFI/////wFQoQAAACdDSVEuSVEzOTI4MjQuSVFfVE9UQUxfUkVWLkZZMjAyNC4uLi5VU0QBAAAAeP4FAAIAAAAIMTE1NC42MDUBCAAAAAUAAAABMQEAAAALLTE5NTg4MDE2OTMDAAAAAzE2MAIAAAACMjgEAAAAATAHAAAACTMvMjcvMjAyNQgAAAAKMTIvMzEvMjAyNAkAAAABMPwPA4ZVbd0IPLThVFdt3QgnQ0lRLklRMzkyODI0LklRX1RPVEFMX1JFVi5GWTIwMjMuLi4uVVNEAQAAAHj+BQACAAAABzgyMy44NDUBCAAAAAUAAAABMQEAAAALLTIwMDY4NzQ2MjEDAAAAAzE2MAIAAAACMjgEAAAAATAHAAAACTMvMjcvMjAyNQgAAAAKMTIvMzEvMjAyMwkAAAABMPwPA4ZVbd0IPLThVFdt3QgnQ0lRLklRMzkyODI0LklRX1RPVEFMX1JFVi5GWTIwMjIuLi4uVVNEAQAAAHj+BQACAAAABzgyNC44MDIBCAAAAAUAAAABMQEAAAALLTIwMDY4NzQ2MTEDAAAAAzE2MAIAAAACMjgEAAAAATAHAAAACTMvMjcvMjAyNQgAAAAKMTIvMzEvMjAyMgkAAAABMPwPA4ZVbd0I37PgVFdt3QgkQ0lRLklRMzkyODI0LklRX0VCSVREQS5GWTIwMjQuLi4uVVNEAQAAAHj+BQACAAAABzQwMy4yNzUBCAAAAAUAAAABMQEAAAALLTE5NTg4MDE2OTMDAAAAAzE2MAIAAAAENDA1MQQAAAABMAcAAAAJMy8yNy8yMDI1CAAAAAoxMi8zMS8yMDI0CQAAAAEw/A8DhlVt3Qjfs+BUV23dCCRDSVEuSVEzOTI4MjQuSVFfRUJJVERB</t>
  </si>
  <si>
    <t>LkZZMjAyMy4uLi5VU0QBAAAAeP4FAAIAAAAHMTU4LjY2MwEIAAAABQAAAAExAQAAAAstMjAwNjg3NDYyMQMAAAADMTYwAgAAAAQ0MDUxBAAAAAEwBwAAAAkzLzI3LzIwMjUIAAAACjEyLzMxLzIwMjMJAAAAATD8DwOGVW3dCDy04VRXbd0IJENJUS5JUTM5MjgyNC5JUV9FQklUREEuRlkyMDIyLi4uLlVTRAEAAAB4/gUAAgAAAAcxMzIuMzYzAQgAAAAFAAAAATEBAAAACy0yMDA2ODc0NjExAwAAAAMxNjACAAAABDQwNTEEAAAAATAHAAAACTMvMjcvMjAyNQgAAAAKMTIvMzEvMjAyMgkAAAABMPwPA4ZVbd0IPLThVFdt3QggQ0lRLklRMzkyODI0LklRX05JLkZZMjAyNC4uLi5VU0QBAAAAeP4FAAIAAAAHNDAyLjY4OQEIAAAABQAAAAExAQAAAAstMTk1ODgwMTY5MwMAAAADMTYwAgAAAAIxNQQAAAABMAcAAAAJMy8yNy8yMDI1CAAAAAoxMi8zMS8yMDI0CQAAAAEw/A8DhlVt3Qg8tOFUV23dCCBDSVEuSVEzOTI4MjQuSVFfTkkuRlkyMDIzLi4uLlVTRAEAAAB4/gUAAgAAAAYxOS44NTUBCAAAAAUAAAABMQEAAAALLTIwMDY4NzQ2MjEDAAAAAzE2MAIAAAACMTUEAAAAATAHAAAACTMvMjcvMjAyNQgAAAAKMTIvMzEvMjAyMwkAAAABMPwPA4ZVbd0IPLThVFdt3QggQ0lRLklRMzkyODI0LklRX05JLkZZMjAyMi4uLi5VU0QBAAAAeP4FAAIAAAAGNjAyLjU1AQgAAAAFAAAAATEBAAAACy0yMDA2ODc0NjExAwAAAAMx</t>
  </si>
  <si>
    <t>NjACAAAAAjE1BAAAAAEwBwAAAAkzLzI3LzIwMjUIAAAACjEyLzMxLzIwMjIJAAAAATD8DwOGVW3dCDy04VRXbd0IJ0NJUS5JUTg4MDEyMC5JUV9UT1RBTF9SRVYuRlkyMDI0Li4uLlVTRAEAAAD4bQ0AAgAAAAgyMTcwLjQwMwEIAAAABQAAAAExAQAAAAstMTk1NTkwMzY1NAMAAAADMTYwAgAAAAIyOAQAAAABMAcAAAAJMy8yNy8yMDI1CAAAAAoxMi8zMS8yMDI0CQAAAAEw/A8DhlVt3Qg8tOFUV23dCCdDSVEuSVE4ODAxMjAuSVFfVE9UQUxfUkVWLkZZMjAyMy4uLi5VU0QBAAAA+G0NAAIAAAAHMjAxMC43NQEIAAAABQAAAAExAQAAAAstMTk1NTkwMzY1MgMAAAADMTYwAgAAAAIyOAQAAAABMAcAAAAJMy8yNy8yMDI1CAAAAAoxMi8zMS8yMDIzCQAAAAEw/A8DhlVt3Qg8tOFUV23dCCdDSVEuSVE4ODAxMjAuSVFfVE9UQUxfUkVWLkZZMjAyMi4uLi5VU0QBAAAA+G0NAAIAAAAIMjI3NC45NzkBCAAAAAUAAAABMQEAAAALLTIwMDIyNDA1NzYDAAAAAzE2MAIAAAACMjgEAAAAATAHAAAACTMvMjcvMjAyNQgAAAAKMTIvMzEvMjAyMgkAAAABMPwPA4ZVbd0IPLThVFdt3QgkQ0lRLklRODgwMTIwLklRX0VCSVREQS5GWTIwMjQuLi4uVVNEAQAAAPhtDQACAAAACDE0NDQuMDUzAQgAAAAFAAAAATEBAAAACy0xOTU1OTAzNjU0AwAAAAMxNjACAAAABDQwNTEEAAAAATAHAAAACTMvMjcvMjAyNQgAAAAKMTIvMzEvMjAy</t>
  </si>
  <si>
    <t>NAkAAAABMPwPA4ZVbd0I37PgVFdt3QgkQ0lRLklRODgwMTIwLklRX0VCSVREQS5GWTIwMjMuLi4uVVNEAQAAAPhtDQACAAAACDEyMTEuNjIxAQgAAAAFAAAAATEBAAAACy0xOTU1OTAzNjUyAwAAAAMxNjACAAAABDQwNTEEAAAAATAHAAAACTMvMjcvMjAyNQgAAAAKMTIvMzEvMjAyMwkAAAABMPwPA4ZVbd0IPLThVFdt3QgkQ0lRLklRODgwMTIwLklRX0VCSVREQS5GWTIwMjIuLi4uVVNEAQAAAPhtDQACAAAACDEzMDYuMTI4AQgAAAAFAAAAATEBAAAACy0yMDAyMjQwNTc2AwAAAAMxNjACAAAABDQwNTEEAAAAATAHAAAACTMvMjcvMjAyNQgAAAAKMTIvMzEvMjAyMgkAAAABMPwPA4ZVbd0IPLThVFdt3QggQ0lRLklRODgwMTIwLklRX05JLkZZMjAyNC4uLi5VU0QBAAAA+G0NAAIAAAAHNDYzLjU0NgEIAAAABQAAAAExAQAAAAstMTk1NTkwMzY1NAMAAAADMTYwAgAAAAIxNQQAAAABMAcAAAAJMy8yNy8yMDI1CAAAAAoxMi8zMS8yMDI0CQAAAAEw/A8DhlVt3Qjfs+BUV23dCCBDSVEuSVE4ODAxMjAuSVFfTkkuRlkyMDIzLi4uLlVTRAEAAAD4bQ0AAgAAAAczOTUuMzAzAQgAAAAFAAAAATEBAAAACy0xOTU1OTAzNjUyAwAAAAMxNjACAAAAAjE1BAAAAAEwBwAAAAkzLzI3LzIwMjUIAAAACjEyLzMxLzIwMjMJAAAAATD8DwOGVW3dCDy04VRXbd0IIENJUS5JUTg4MDEyMC5JUV9OSS5GWTIwMjIuLi4uVVNEAQAA</t>
  </si>
  <si>
    <t>APhtDQACAAAABzQ5Ni4yMzkBCAAAAAUAAAABMQEAAAALLTIwMDIyNDA1NzYDAAAAAzE2MAIAAAACMTUEAAAAATAHAAAACTMvMjcvMjAyNQgAAAAKMTIvMzEvMjAyMgkAAAABMPwPA4ZVbd0IPLThVFdt3QgnQ0lRLklRODc3NTE1LklRX1RPVEFMX1JFVi5GWTIwMjQuLi4uVVNEAQAAAMtjDQACAAAABzk2MC41MjEBCAAAAAUAAAABMQEAAAALLTE5NTUxNzM0MTIDAAAAAzE2MAIAAAACMjgEAAAAATAHAAAACTMvMjcvMjAyNQgAAAAKMTIvMzEvMjAyNAkAAAABMPwPA4ZVbd0IPLThVFdt3QgnQ0lRLklRODc3NTE1LklRX1RPVEFMX1JFVi5GWTIwMjMuLi4uVVNEAQAAAMtjDQACAAAABzg4My4wODYBCAAAAAUAAAABMQEAAAALLTE5NTUxNzM0MTYDAAAAAzE2MAIAAAACMjgEAAAAATAHAAAACTMvMjcvMjAyNQgAAAAKMTIvMzEvMjAyMwkAAAABMPwPA4ZVbd0I37PgVFdt3QgnQ0lRLklRODc3NTE1LklRX1RPVEFMX1JFVi5GWTIwMjIuLi4uVVNEAQAAAMtjDQACAAAABzk1MS4yNjYBCAAAAAUAAAABMQEAAAALLTIwMDQwNDY4MTcDAAAAAzE2MAIAAAACMjgEAAAAATAHAAAACTMvMjcvMjAyNQgAAAAKMTIvMzEvMjAyMgkAAAABMPwPA4ZVbd0IPLThVFdt3QgkQ0lRLklRODc3NTE1LklRX0VCSVREQS5GWTIwMjQuLi4uVVNEAQAAAMtjDQACAAAABzM4MS40NzYBCAAAAAUAAAABMQEAAAALLTE5NTUxNzM0MTIDAAAA</t>
  </si>
  <si>
    <t>AzE2MAIAAAAENDA1MQQAAAABMAcAAAAJMy8yNy8yMDI1CAAAAAoxMi8zMS8yMDI0CQAAAAEw/A8DhlVt3Qg8tOFUV23dCCRDSVEuSVE4Nzc1MTUuSVFfRUJJVERBLkZZMjAyMy4uLi5VU0QBAAAAy2MNAAIAAAAHMjU1LjA2NQEIAAAABQAAAAExAQAAAAstMTk1NTE3MzQxNgMAAAADMTYwAgAAAAQ0MDUxBAAAAAEwBwAAAAkzLzI3LzIwMjUIAAAACjEyLzMxLzIwMjMJAAAAATD8DwOGVW3dCDy04VRXbd0IJENJUS5JUTg3NzUxNS5JUV9FQklUREEuRlkyMDIyLi4uLlVTRAEAAADLYw0AAgAAAAcyODUuMzA0AQgAAAAFAAAAATEBAAAACy0yMDA0MDQ2ODE3AwAAAAMxNjACAAAABDQwNTEEAAAAATAHAAAACTMvMjcvMjAyNQgAAAAKMTIvMzEvMjAyMgkAAAABMPwPA4ZVbd0I37PgVFdt3QggQ0lRLklRODc3NTE1LklRX05JLkZZMjAyNC4uLi5VU0QBAAAAy2MNAAIAAAAHMTM3LjEzMwEIAAAABQAAAAExAQAAAAstMTk1NTE3MzQxMgMAAAADMTYwAgAAAAIxNQQAAAABMAcAAAAJMy8yNy8yMDI1CAAAAAoxMi8zMS8yMDI0CQAAAAEw/A8DhlVt3Qg8tOFUV23dCCBDSVEuSVE4Nzc1MTUuSVFfTkkuRlkyMDIzLi4uLlVTRAEAAADLYw0AAgAAAAYtOS45ODMBCAAAAAUAAAABMQEAAAALLTE5NTUxNzM0MTYDAAAAAzE2MAIAAAACMTUEAAAAATAHAAAACTMvMjcvMjAyNQgAAAAKMTIvMzEvMjAyMwkAAAABMPwPA4ZVbd0I</t>
  </si>
  <si>
    <t>PLThVFdt3QggQ0lRLklRODc3NTE1LklRX05JLkZZMjAyMi4uLi5VU0QBAAAAy2MNAAIAAAAHLTgxLjM4MgEIAAAABQAAAAExAQAAAAstMjAwNDA0NjgxNwMAAAADMTYwAgAAAAIxNQQAAAABMAcAAAAJMy8yNy8yMDI1CAAAAAoxMi8zMS8yMDIyCQAAAAEw/A8DhlVt3Qg8tOFUV23dCCdDSVEuSVE4Nzc2ODcuSVFfVE9UQUxfUkVWLkZZMjAyNC4uLi5VU0QBAAAAd2QNAAIAAAAHODgxLjEyMgEIAAAABQAAAAExAQAAAAstMTk1NzIyODM0OQMAAAADMTYwAgAAAAIyOAQAAAABMAcAAAAJMy8yNy8yMDI1CAAAAAoxMi8zMS8yMDI0CQAAAAEw/A8DhlVt3Qjfs+BUV23dCCdDSVEuSVE4Nzc2ODcuSVFfVE9UQUxfUkVWLkZZMjAyMy4uLi5VU0QBAAAAd2QNAAIAAAAHNzM1LjMzNwEIAAAABQAAAAExAQAAAAstMTk1NzIyODM1NAMAAAADMTYwAgAAAAIyOAQAAAABMAcAAAAJMy8yNy8yMDI1CAAAAAoxMi8zMS8yMDIzCQAAAAEw/A8DhlVt3Qg8tOFUV23dCCdDSVEuSVE4Nzc2ODcuSVFfVE9UQUxfUkVWLkZZMjAyMi4uLi5VU0QBAAAAd2QNAAIAAAAHODkyLjM4OQEIAAAABQAAAAExAQAAAAstMjAwODgxNjUzNAMAAAADMTYwAgAAAAIyOAQAAAABMAcAAAAJMy8yNy8yMDI1CAAAAAoxMi8zMS8yMDIyCQAAAAEw/A8DhlVt3Qg8tOFUV23dCCRDSVEuSVE4Nzc2ODcuSVFfRUJJVERBLkZZMjAyNC4uLi5VU0QBAAAAd2QN</t>
  </si>
  <si>
    <t>AAIAAAAHMzMzLjcwNQEIAAAABQAAAAExAQAAAAstMTk1NzIyODM0OQMAAAADMTYwAgAAAAQ0MDUxBAAAAAEwBwAAAAkzLzI3LzIwMjUIAAAACjEyLzMxLzIwMjQJAAAAATD8DwOGVW3dCDy04VRXbd0IJENJUS5JUTg3NzY4Ny5JUV9FQklUREEuRlkyMDIzLi4uLlVTRAEAAAB3ZA0AAgAAAAcxODcuODk2AQgAAAAFAAAAATEBAAAACy0xOTU3MjI4MzU0AwAAAAMxNjACAAAABDQwNTEEAAAAATAHAAAACTMvMjcvMjAyNQgAAAAKMTIvMzEvMjAyMwkAAAABMPwPA4ZVbd0IPLThVFdt3QgkQ0lRLklRODc3Njg3LklRX0VCSVREQS5GWTIwMjIuLi4uVVNEAQAAAHdkDQACAAAABzMxNi45NzQBCAAAAAUAAAABMQEAAAALLTIwMDg4MTY1MzQDAAAAAzE2MAIAAAAENDA1MQQAAAABMAcAAAAJMy8yNy8yMDI1CAAAAAoxMi8zMS8yMDIyCQAAAAEw/A8DhlVt3Qg8tOFUV23dCCBDSVEuSVE4Nzc2ODcuSVFfTkkuRlkyMDI0Li4uLlVTRAEAAAB3ZA0AAgAAAAU0LjIwNwEIAAAABQAAAAExAQAAAAstMTk1NzIyODM0OQMAAAADMTYwAgAAAAIxNQQAAAABMAcAAAAJMy8yNy8yMDI1CAAAAAoxMi8zMS8yMDI0CQAAAAEw/A8DhlVt3Qjfs+BUV23dCCBDSVEuSVE4Nzc2ODcuSVFfTkkuRlkyMDIzLi4uLlVTRAEAAAB3ZA0AAgAAAAY0Ni45MzEBCAAAAAUAAAABMQEAAAALLTE5NTcyMjgzNTQDAAAAAzE2MAIAAAACMTUEAAAAATAH</t>
  </si>
  <si>
    <t>AAAACTMvMjcvMjAyNQgAAAAKMTIvMzEvMjAyMwkAAAABMPwPA4ZVbd0IPLThVFdt3QggQ0lRLklRODc3Njg3LklRX05JLkZZMjAyMi4uLi5VU0QBAAAAd2QNAAIAAAAGOTQuODQ1AQgAAAAFAAAAATEBAAAACy0yMDA4ODE2NTM0AwAAAAMxNjACAAAAAjE1BAAAAAEwBwAAAAkzLzI3LzIwMjUIAAAACjEyLzMxLzIwMjIJAAAAATD8DwOGVW3dCDy04VRXbd0IKkNJUS5JUTI4NDgzOTkyOS5JUV9UT1RBTF9SRVYuRlkyMDI0Li4uLlVTRAEAAAD5T/oQAgAAAAgyNzY2LjQ4MQEIAAAABQAAAAExAQAAAAstMTk1ODQwNzA4MwMAAAADMTYwAgAAAAIyOAQAAAABMAcAAAAJMy8yNy8yMDI1CAAAAAoxMi8zMS8yMDI0CQAAAAEw/A8DhlVt3Qg8tOFUV23dCCpDSVEuSVEyODQ4Mzk5MjkuSVFfVE9UQUxfUkVWLkZZMjAyMy4uLi5VU0QBAAAA+U/6EAIAAAAIMjU3My4yMzMBCAAAAAUAAAABMQEAAAALLTE5NTg0MDcwNzcDAAAAAzE2MAIAAAACMjgEAAAAATAHAAAACTMvMjcvMjAyNQgAAAAKMTIvMzEvMjAyMwkAAAABMPwPA4ZVbd0IPLThVFdt3QgqQ0lRLklRMjg0ODM5OTI5LklRX1RPVEFMX1JFVi5GWTIwMjIuLi4uVVNEAQAAAPlP+hACAAAABzMwMzMuOTkBCAAAAAUAAAABMQEAAAALLTE5NTg0MDcwOTADAAAAAzE2MAIAAAACMjgEAAAAATAHAAAACTMvMjcvMjAyNQgAAAAKMTIvMzEvMjAyMgkAAAABMPwPA4ZVbd0I</t>
  </si>
  <si>
    <t>37PgVFdt3QgnQ0lRLklRMjg0ODM5OTI5LklRX0VCSVREQS5GWTIwMjQuLi4uVVNEAQAAAPlP+hACAAAABzYwOC41MTIBCAAAAAUAAAABMQEAAAALLTE5NTg0MDcwODMDAAAAAzE2MAIAAAAENDA1MQQAAAABMAcAAAAJMy8yNy8yMDI1CAAAAAoxMi8zMS8yMDI0CQAAAAEw/A8DhlVt3Qg8tOFUV23dCCdDSVEuSVEyODQ4Mzk5MjkuSVFfRUJJVERBLkZZMjAyMy4uLi5VU0QBAAAA+U/6EAIAAAAHMjczLjI0NwEIAAAABQAAAAExAQAAAAstMTk1ODQwNzA3NwMAAAADMTYwAgAAAAQ0MDUxBAAAAAEwBwAAAAkzLzI3LzIwMjUIAAAACjEyLzMxLzIwMjMJAAAAATD8DwOGVW3dCN+z4FRXbd0IJ0NJUS5JUTI4NDgzOTkyOS5JUV9FQklUREEuRlkyMDIyLi4uLlVTRAEAAAD5T/oQAgAAAAc2OTMuOTExAQgAAAAFAAAAATEBAAAACy0xOTU4NDA3MDkwAwAAAAMxNjACAAAABDQwNTEEAAAAATAHAAAACTMvMjcvMjAyNQgAAAAKMTIvMzEvMjAyMgkAAAABMPwPA4ZVbd0IPLThVFdt3QgjQ0lRLklRMjg0ODM5OTI5LklRX05JLkZZMjAyNC4uLi5VU0QBAAAA+U/6EAIAAAAHLTIwNS4wMwEIAAAABQAAAAExAQAAAAstMTk1ODQwNzA4MwMAAAADMTYwAgAAAAIxNQQAAAABMAcAAAAJMy8yNy8yMDI1CAAAAAoxMi8zMS8yMDI0CQAAAAEw/A8DhlVt3Qg8tOFUV23dCCNDSVEuSVEyODQ4Mzk5MjkuSVFfTkkuRlkyMDIzLi4uLlVT</t>
  </si>
  <si>
    <t>RAEAAAD5T/oQAgAAAAgtMjkxLjk2OAEIAAAABQAAAAExAQAAAAstMTk1ODQwNzA3NwMAAAADMTYwAgAAAAIxNQQAAAABMAcAAAAJMy8yNy8yMDI1CAAAAAoxMi8zMS8yMDIzCQAAAAEw/A8DhlVt3Qg8tOFUV23dCCNDSVEuSVEyODQ4Mzk5MjkuSVFfTkkuRlkyMDIyLi4uLlVTRAEAAAD5T/oQAgAAAAY0OS42OTUBCAAAAAUAAAABMQEAAAALLTE5NTg0MDcwOTADAAAAAzE2MAIAAAACMTUEAAAAATAHAAAACTMvMjcvMjAyNQgAAAAKMTIvMzEvMjAyMgkAAAABMPwPA4ZVbd0I37PgVFdt3QgpQ0lRLklRMjk2NjY1NjkuSVFfVE9UQUxfUkVWLkZZMjAyNC4uLi5VU0QBAAAACa3EAQIAAAAHOTQ3LjY5NgEIAAAABQAAAAExAQAAAAstMTk1NjI4OTcwMwMAAAADMTYwAgAAAAIyOAQAAAABMAcAAAAJMy8yNy8yMDI1CAAAAAoxMi8zMS8yMDI0CQAAAAEw/A8DhlVt3Qg8tOFUV23dCClDSVEuSVEyOTY2NjU2OS5JUV9UT1RBTF9SRVYuRlkyMDIzLi4uLlVTRAEAAAAJrcQBAgAAAAc2OTMuNzE2AQgAAAAFAAAAATEBAAAACy0xOTk0OTU3NTgyAwAAAAMxNjACAAAAAjI4BAAAAAEwBwAAAAkzLzI3LzIwMjUIAAAACjEyLzMxLzIwMjMJAAAAATD8DwOGVW3dCDy04VRXbd0IKUNJUS5JUTI5NjY2NTY5LklRX1RPVEFMX1JFVi5GWTIwMjIuLi4uVVNEAQAAAAmtxAECAAAABzczNS42NDMBCAAAAAUAAAABMQEAAAALLTE5OTQ5</t>
  </si>
  <si>
    <t>NTc1ODEDAAAAAzE2MAIAAAACMjgEAAAAATAHAAAACTMvMjcvMjAyNQgAAAAKMTIvMzEvMjAyMgkAAAABMPwPA4ZVbd0IPLThVFdt3QgmQ0lRLklRMjk2NjY1NjkuSVFfRUJJVERBLkZZMjAyNC4uLi5VU0QBAAAACa3EAQIAAAAHMzgwLjgzNgEIAAAABQAAAAExAQAAAAstMTk1NjI4OTcwMwMAAAADMTYwAgAAAAQ0MDUxBAAAAAEwBwAAAAkzLzI3LzIwMjUIAAAACjEyLzMxLzIwMjQJAAAAATD8DwOGVW3dCN+z4FRXbd0IJkNJUS5JUTI5NjY2NTY5LklRX0VCSVREQS5GWTIwMjMuLi4uVVNEAQAAAAmtxAECAAAABzIyNy4zMTIBCAAAAAUAAAABMQEAAAALLTE5OTQ5NTc1ODIDAAAAAzE2MAIAAAAENDA1MQQAAAABMAcAAAAJMy8yNy8yMDI1CAAAAAoxMi8zMS8yMDIzCQAAAAEw/A8DhlVt3Qg8tOFUV23dCCZDSVEuSVEyOTY2NjU2OS5JUV9FQklUREEuRlkyMDIyLi4uLlVTRAEAAAAJrcQBAgAAAAcxOTIuODU1AQgAAAAFAAAAATEBAAAACy0xOTk0OTU3NTgxAwAAAAMxNjACAAAABDQwNTEEAAAAATAHAAAACTMvMjcvMjAyNQgAAAAKMTIvMzEvMjAyMgkAAAABMPwPA4ZVbd0IPLThVFdt3QgiQ0lRLklRMjk2NjY1NjkuSVFfTkkuRlkyMDI0Li4uLlVTRAEAAAAJrcQBAgAAAAY5Ny4wMDUBCAAAAAUAAAABMQEAAAALLTE5NTYyODk3MDMDAAAAAzE2MAIAAAACMTUEAAAAATAHAAAACTMvMjcvMjAyNQgAAAAKMTIv</t>
  </si>
  <si>
    <t>MzEvMjAyNAkAAAABMPwPA4ZVbd0IPLThVFdt3QgiQ0lRLklRMjk2NjY1NjkuSVFfTkkuRlkyMDIzLi4uLlVTRAEAAAAJrcQBAgAAAActNTUuMDA2AQgAAAAFAAAAATEBAAAACy0xOTk0OTU3NTgyAwAAAAMxNjACAAAAAjE1BAAAAAEwBwAAAAkzLzI3LzIwMjUIAAAACjEyLzMxLzIwMjMJAAAAATD8DwOGVW3dCDy04VRXbd0IIkNJUS5JUTI5NjY2NTY5LklRX05JLkZZMjAyMi4uLi5VU0QBAAAACa3EAQIAAAAFMi45NjEBCAAAAAUAAAABMQEAAAALLTE5OTQ5NTc1ODEDAAAAAzE2MAIAAAACMTUEAAAAATAHAAAACTMvMjcvMjAyNQgAAAAKMTIvMzEvMjAyMgkAAAABMPwPA4ZVbd0IPLThVFdt3QgnQ0lRLklRODc3NDgyLklRX1RPVEFMX1JFVi5GWTIwMjQuLi4uVVNEAQAAAKpjDQACAAAACzI4MTAuMDM0OTk1AQgAAAAFAAAAATEBAAAACy0xOTU5MjA1NTgxAwAAAAMxNjACAAAAAjI4BAAAAAEwBwAAAAkzLzI3LzIwMjUIAAAACjEyLzMxLzIwMjQJAAAAATD8DwOGVW3dCDy04VRXbd0IIENJUS5JUTg3NzQ4Mi5JUV9UT1RBTF9SRVYuRlkyMDI0AQAAAKpjDQACAAAACTEwNTk4LjMyOAEIAAAABQAAAAExAQAAAAstMTk1OTIwNTU4MQMAAAADMTIyAgAAAAIyOAQAAAABMAcAAAAJMy8yNy8yMDI1CAAAAAoxMi8zMS8yMDI0CQAAAAEw/A8DhlVt3Qg8tOFUV23dCCdDSVEuSVE4Nzc0ODIuSVFfVE9UQUxfUkVWLkZZ</t>
  </si>
  <si>
    <t>MjAyMy4uLi5VU0QBAAAAqmMNAAIAAAALMzY3Ny4zMjk3NDQBCAAAAAUAAAABMQEAAAALLTE5OTM1OTgxNzUDAAAAAzE2MAIAAAACMjgEAAAAATAHAAAACTMvMjcvMjAyNQgAAAAKMTIvMzEvMjAyMwkAAAABMPwPA4ZVbd0IwhfkVFdt3QggQ0lRLklRODc3NDgyLklRX1RPVEFMX1JFVi5GWTIwMjMBAAAAqmMNAAIAAAAJMTM2NTUuNzY0AQgAAAAFAAAAATEBAAAACy0xOTkzNTk4MTc1AwAAAAMxMjICAAAAAjI4BAAAAAEwBwAAAAkzLzI3LzIwMjUIAAAACjEyLzMxLzIwMjMJAAAAATD8DwOGVW3dCDy04VRXbd0IJ0NJUS5JUTg4MzExMC5JUV9UT1RBTF9SRVYuRlkyMDI0Li4uLlVTRAEAAACmeQ0AAgAAAAo3NDEuOTUzODEyAQgAAAAFAAAAATEBAAAACy0xOTU2NDIxNDc2AwAAAAMxNjACAAAAAjI4BAAAAAEwBwAAAAkzLzI3LzIwMjUIAAAACjEyLzMxLzIwMjQJAAAAATD8DwOGVW3dCDy04VRXbd0IJ0NJUS5JUTg4MzExMC5JUV9UT1RBTF9SRVYuRlkyMDIzLi4uLlVTRAEAAACmeQ0AAgAAAAo3MDYuMjIzNTA5AQgAAAAFAAAAATEBAAAACy0yMDAwMzk3Mzk0AwAAAAMxNjACAAAAAjI4BAAAAAEwBwAAAAkzLzI3LzIwMjUIAAAACjEyLzMxLzIwMjMJAAAAATD8DwOGVW3dCC/vMctebd0IJ0NJUS5JUTg4MzExMC5JUV9UT1RBTF9SRVYuRlkyMDIyLi4uLlVTRAEAAACmeQ0AAgAAAAo2MjMuNTI2MjkxAQgAAAAF</t>
  </si>
  <si>
    <t>AAAAATEBAAAACy0yMDAwMzk3MzcxAwAAAAMxNjACAAAAAjI4BAAAAAEwBwAAAAkzLzI3LzIwMjUIAAAACjEyLzMxLzIwMjIJAAAAATD8DwOGVW3dCIl7qdZebd0IJENJUS5JUTg4MzExMC5JUV9FQklUREEuRlkyMDI0Li4uLlVTRAEAAACmeQ0AAgAAAAo0MjguMjYyNTQxAQgAAAAFAAAAATEBAAAACy0xOTU2NDIxNDc2AwAAAAMxNjACAAAABDQwNTEEAAAAATAHAAAACTMvMjcvMjAyNQgAAAAKMTIvMzEvMjAyNAkAAAABMPwPA4ZVbd0IwhfkVFdt3QgkQ0lRLklRODgzMTEwLklRX0VCSVREQS5GWTIwMjMuLi4uVVNEAQAAAKZ5DQACAAAACjM1My4xMTU5MjgBCAAAAAUAAAABMQEAAAALLTIwMDAzOTczOTQDAAAAAzE2MAIAAAAENDA1MQQAAAABMAcAAAAJMy8yNy8yMDI1CAAAAAoxMi8zMS8yMDIzCQAAAAEw/A8DhlVt3Qgv7zHLXm3dCCRDSVEuSVE4ODMxMTAuSVFfRUJJVERBLkZZMjAyMi4uLi5VU0QBAAAApnkNAAIAAAAKMzI5Ljg0MTY5NAEIAAAABQAAAAExAQAAAAstMjAwMDM5NzM3MQMAAAADMTYwAgAAAAQ0MDUxBAAAAAEwBwAAAAkzLzI3LzIwMjUIAAAACjEyLzMxLzIwMjIJAAAAATD8DwOGVW3dCIl7qdZebd0IIENJUS5JUTg4MzExMC5JUV9OSS5GWTIwMjQuLi4uVVNEAQAAAKZ5DQACAAAACjI0Ni4zMDc5MzMBCAAAAAUAAAABMQEAAAALLTE5NTY0MjE0NzYDAAAAAzE2MAIAAAACMTUEAAAAATAH</t>
  </si>
  <si>
    <t>AAAACTMvMjcvMjAyNQgAAAAKMTIvMzEvMjAyNAkAAAABMPwPA4ZVbd0IwhfkVFdt3QggQ0lRLklRODgzMTEwLklRX05JLkZZMjAyMy4uLi5VU0QBAAAApnkNAAIAAAAKMjE0LjczODY1NgEIAAAABQAAAAExAQAAAAstMjAwMDM5NzM5NAMAAAADMTYwAgAAAAIxNQQAAAABMAcAAAAJMy8yNy8yMDI1CAAAAAoxMi8zMS8yMDIzCQAAAAEw/A8DhlVt3Qgv7zHLXm3dCCBDSVEuSVE4ODMxMTAuSVFfTkkuRlkyMDIyLi4uLlVTRAEAAACmeQ0AAgAAAAoyMDcuMDg5NjAxAQgAAAAFAAAAATEBAAAACy0yMDAwMzk3MzcxAwAAAAMxNjACAAAAAjE1BAAAAAEwBwAAAAkzLzI3LzIwMjUIAAAACjEyLzMxLzIwMjIJAAAAATD8DwOGVW3dCIl7qdZebd0IKENJUS5JUTU4ODU5NjUuSVFfVE9UQUxfUkVWLkZZMjAyNC4uLi5VU0QBAAAADdBZAAIAAAALMTA4Ni45Mzc2MzgBCAAAAAUAAAABMQEAAAALLTE5NTYxODA1MjgDAAAAAzE2MAIAAAACMjgEAAAAATAHAAAACTMvMjcvMjAyNQgAAAAKMTIvMzEvMjAyNAkAAAABMPwPA4ZVbd0IwhfkVFdt3QgoQ0lRLklRNTg4NTk2NS5JUV9UT1RBTF9SRVYuRlkyMDIzLi4uLlVTRAEAAAAN0FkAAgAAAAsxMTE2LjgxODA5NgEIAAAABQAAAAExAQAAAAstMjAwMjc3NjA1OAMAAAADMTYwAgAAAAIyOAQAAAABMAcAAAAJMy8yNy8yMDI1CAAAAAoxMi8zMS8yMDIzCQAAAAEw/A8DhlVt3QiF</t>
  </si>
  <si>
    <t>7l3YWW3dCChDSVEuSVE1ODg1OTY1LklRX1RPVEFMX1JFVi5GWTIwMjIuLi4uVVNEAQAAAA3QWQACAAAACzEwMjkuNDIxNjQ3AQgAAAAFAAAAATEBAAAACy0yMDAyNzc2MDQ2AwAAAAMxNjACAAAAAjI4BAAAAAEwBwAAAAkzLzI3LzIwMjUIAAAACjEyLzMxLzIwMjIJAAAAATD8DwOGVW3dCBzbYyZabd0IJUNJUS5JUTU4ODU5NjUuSVFfRUJJVERBLkZZMjAyNC4uLi5VU0QBAAAADdBZAAIAAAAKMjY1LjMwOTk0OAEIAAAABQAAAAExAQAAAAstMTk1NjE4MDUyOAMAAAADMTYwAgAAAAQ0MDUxBAAAAAEwBwAAAAkzLzI3LzIwMjUIAAAACjEyLzMxLzIwMjQJAAAAATD8DwOGVW3dCMIX5FRXbd0IJUNJUS5JUTU4ODU5NjUuSVFfRUJJVERBLkZZMjAyMy4uLi5VU0QBAAAADdBZAAIAAAAKMjU1LjY2NjA4MwEIAAAABQAAAAExAQAAAAstMjAwMjc3NjA1OAMAAAADMTYwAgAAAAQ0MDUxBAAAAAEwBwAAAAkzLzI3LzIwMjUIAAAACjEyLzMxLzIwMjMJAAAAATD8DwOGVW3dCIXuXdhZbd0IJUNJUS5JUTU4ODU5NjUuSVFfRUJJVERBLkZZMjAyMi4uLi5VU0QBAAAADdBZAAIAAAAKMjU0Ljg1NDQyNwEIAAAABQAAAAExAQAAAAstMjAwMjc3NjA0NgMAAAADMTYwAgAAAAQ0MDUxBAAAAAEwBwAAAAkzLzI3LzIwMjUIAAAACjEyLzMxLzIwMjIJAAAAATD8DwOGVW3dCBzbYyZabd0IIUNJUS5JUTU4ODU5NjUuSVFfTkkuRlky</t>
  </si>
  <si>
    <t>MDI0Li4uLlVTRAEAAAAN0FkAAgAAAAoxMDEuNzE4ODk5AQgAAAAFAAAAATEBAAAACy0xOTU2MTgwNTI4AwAAAAMxNjACAAAAAjE1BAAAAAEwBwAAAAkzLzI3LzIwMjUIAAAACjEyLzMxLzIwMjQJAAAAATD8DwOGVW3dCMIX5FRXbd0IIUNJUS5JUTU4ODU5NjUuSVFfTkkuRlkyMDIzLi4uLlVTRAEAAAAN0FkAAgAAAAoxMTYuNzEwMTEyAQgAAAAFAAAAATEBAAAACy0yMDAyNzc2MDU4AwAAAAMxNjACAAAAAjE1BAAAAAEwBwAAAAkzLzI3LzIwMjUIAAAACjEyLzMxLzIwMjMJAAAAATD8DwOGVW3dCPdQYNhZbd0IIUNJUS5JUTU4ODU5NjUuSVFfTkkuRlkyMDIyLi4uLlVTRAEAAAAN0FkAAgAAAAoxMjUuNzYyNzc4AQgAAAAFAAAAATEBAAAACy0yMDAyNzc2MDQ2AwAAAAMxNjACAAAAAjE1BAAAAAEwBwAAAAkzLzI3LzIwMjUIAAAACjEyLzMxLzIwMjIJAAAAATD8DwOGVW3dCBzbYyZabd0IKENJUS5JUTU3MDQ2ODguSVFfVE9UQUxfUkVWLkZZMjAyNC4uLi5VU0QBAAAA8AtXAAIAAAAHNzI0LjIxNwEIAAAABQAAAAExAQAAAAstMTk1ODg4MjY5MwMAAAADMTYwAgAAAAIyOAQAAAABMAcAAAAJMy8yNy8yMDI1CAAAAAoxMi8zMS8yMDI0CQAAAAEw/A8DhlVt3Qjfs+BUV23dCChDSVEuSVE1NzA0Njg4LklRX1RPVEFMX1JFVi5GWTIwMjMuLi4uVVNEAQAAAPALVwACAAAABzY3MS44MDMBCAAAAAUAAAABMQEAAAAL</t>
  </si>
  <si>
    <t>LTIwMDUyNDY3OTgDAAAAAzE2MAIAAAACMjgEAAAAATAHAAAACTMvMjcvMjAyNQgAAAAKMTIvMzEvMjAyMwkAAAABMPwPA4ZVbd0I3pi0GVtt3QgoQ0lRLklRNTcwNDY4OC5JUV9UT1RBTF9SRVYuRlkyMDIyLi4uLlVTRAEAAADwC1cAAgAAAAc1NTQuOTA3AQgAAAAFAAAAATEBAAAACy0yMDA1MjQ2NzgzAwAAAAMxNjACAAAAAjI4BAAAAAEwBwAAAAkzLzI3LzIwMjUIAAAACjEyLzMxLzIwMjIJAAAAATD8DwOGVW3dCFtChFhbbd0IJUNJUS5JUTU3MDQ2ODguSVFfRUJJVERBLkZZMjAyNC4uLi5VU0QBAAAA8AtXAAIAAAAHMjU3LjQ3NwEIAAAABQAAAAExAQAAAAstMTk1ODg4MjY5MwMAAAADMTYwAgAAAAQ0MDUxBAAAAAEwBwAAAAkzLzI3LzIwMjUIAAAACjEyLzMxLzIwMjQJAAAAATD8DwOGVW3dCDy04VRXbd0IJUNJUS5JUTU3MDQ2ODguSVFfRUJJVERBLkZZMjAyMy4uLi5VU0QBAAAA8AtXAAIAAAAGMTYxLjE4AQgAAAAFAAAAATEBAAAACy0yMDA1MjQ2Nzk4AwAAAAMxNjACAAAABDQwNTEEAAAAATAHAAAACTMvMjcvMjAyNQgAAAAKMTIvMzEvMjAyMwkAAAABMPwPA4ZVbd0I3pi0GVtt3QglQ0lRLklRNTcwNDY4OC5JUV9FQklUREEuRlkyMDIyLi4uLlVTRAEAAADwC1cAAgAAAAcxODguNTYyAQgAAAAFAAAAATEBAAAACy0yMDA1MjQ2NzgzAwAAAAMxNjACAAAABDQwNTEEAAAAATAHAAAACTMvMjcvMjAy</t>
  </si>
  <si>
    <t>NQgAAAAKMTIvMzEvMjAyMgkAAAABMPwPA4ZVbd0IW0KEWFtt3QghQ0lRLklRNTcwNDY4OC5JUV9OSS5GWTIwMjQuLi4uVVNEAQAAAPALVwACAAAABjk4LjU3OQEIAAAABQAAAAExAQAAAAstMTk1ODg4MjY5MwMAAAADMTYwAgAAAAIxNQQAAAABMAcAAAAJMy8yNy8yMDI1CAAAAAoxMi8zMS8yMDI0CQAAAAEw/A8DhlVt3Qjfs+BUV23dCCFDSVEuSVE1NzA0Njg4LklRX05JLkZZMjAyMy4uLi5VU0QBAAAA8AtXAAIAAAABNgEIAAAABQAAAAExAQAAAAstMjAwNTI0Njc5OAMAAAADMTYwAgAAAAIxNQQAAAABMAcAAAAJMy8yNy8yMDI1CAAAAAoxMi8zMS8yMDIzCQAAAAEw/A8DhlVt3QjemLQZW23dCCFDSVEuSVE1NzA0Njg4LklRX05JLkZZMjAyMi4uLi5VU0QBAAAA8AtXAAIAAAAFNjUuMTUBCAAAAAUAAAABMQEAAAALLTIwMDUyNDY3ODMDAAAAAzE2MAIAAAACMTUEAAAAATAHAAAACTMvMjcvMjAyNQgAAAAKMTIvMzEvMjAyMgkAAAABMPwPA4ZVbd0IW0KEWFtt3QgnQ0lRLklRODc3NDE0LklRX1RPVEFMX1JFVi5GWTIwMjQuLi4uVVNEAQAAAGZjDQACAAAACzIwMTAuNTQ3MjQ1AQgAAAAFAAAAATEBAAAACy0xOTU5ODIyMTAzAwAAAAMxNjACAAAAAjI4BAAAAAEwBwAAAAkzLzI3LzIwMjUIAAAACjEyLzMxLzIwMjQJAAAAATD8DwOGVW3dCMIX5FRXbd0IJ0NJUS5JUTg3NzQxNC5JUV9UT1RBTF9SRVYuRlky</t>
  </si>
  <si>
    <t>MDIzLi4uLlVTRAEAAABmYw0AAgAAAAsxODY5LjM1NjQwMwEIAAAABQAAAAExAQAAAAstMjAwMjI5NDQ4MAMAAAADMTYwAgAAAAIyOAQAAAABMAcAAAAJMy8yNy8yMDI1CAAAAAoxMi8zMS8yMDIzCQAAAAEw/A8DhlVt3QjCF+RUV23dCCdDSVEuSVE4Nzc0MTQuSVFfVE9UQUxfUkVWLkZZMjAyMi4uLi5VU0QBAAAAZmMNAAIAAAALMTcyNi40OTIwODIBCAAAAAUAAAABMQEAAAALLTIwMDIyOTQ0NzcDAAAAAzE2MAIAAAACMjgEAAAAATAHAAAACTMvMjcvMjAyNQgAAAAKMTIvMzEvMjAyMgkAAAABMPwPA4ZVbd0IPLThVFdt3QgkQ0lRLklRODc3NDE0LklRX0VCSVREQS5GWTIwMjQuLi4uVVNEAQAAAGZjDQACAAAACjI3Mi40MDEzNjgBCAAAAAUAAAABMQEAAAALLTE5NTk4MjIxMDMDAAAAAzE2MAIAAAAENDA1MQQAAAABMAcAAAAJMy8yNy8yMDI1CAAAAAoxMi8zMS8yMDI0CQAAAAEw/A8DhlVt3QjCF+RUV23dCCRDSVEuSVE4Nzc0MTQuSVFfRUJJVERBLkZZMjAyMy4uLi5VU0QBAAAAZmMNAAIAAAAKMjE5LjcyODU1OAEIAAAABQAAAAExAQAAAAstMjAwMjI5NDQ4MAMAAAADMTYwAgAAAAQ0MDUxBAAAAAEwBwAAAAkzLzI3LzIwMjUIAAAACjEyLzMxLzIwMjMJAAAAATD8DwOGVW3dCMIX5FRXbd0IJENJUS5JUTg3NzQxNC5JUV9FQklUREEuRlkyMDIyLi4uLlVTRAEAAABmYw0AAgAAAAoxOTUuMjE1MTQyAQgA</t>
  </si>
  <si>
    <t>AAAFAAAAATEBAAAACy0yMDAyMjk0NDc3AwAAAAMxNjACAAAABDQwNTEEAAAAATAHAAAACTMvMjcvMjAyNQgAAAAKMTIvMzEvMjAyMgkAAAABMPwPA4ZVbd0IPLThVFdt3QggQ0lRLklRODc3NDE0LklRX05JLkZZMjAyNC4uLi5VU0QBAAAAZmMNAAIAAAAKMTI5LjYwMDk2NQEIAAAABQAAAAExAQAAAAstMTk1OTgyMjEwMwMAAAADMTYwAgAAAAIxNQQAAAABMAcAAAAJMy8yNy8yMDI1CAAAAAoxMi8zMS8yMDI0CQAAAAEw/A8DhlVt3QjCF+RUV23dCCBDSVEuSVE4Nzc0MTQuSVFfTkkuRlkyMDIzLi4uLlVTRAEAAABmYw0AAgAAAAoxMTYuODMwNzUzAQgAAAAFAAAAATEBAAAACy0yMDAyMjk0NDgwAwAAAAMxNjACAAAAAjE1BAAAAAEwBwAAAAkzLzI3LzIwMjUIAAAACjEyLzMxLzIwMjMJAAAAATD8DwOGVW3dCMIX5FRXbd0IIENJUS5JUTg3NzQxNC5JUV9OSS5GWTIwMjIuLi4uVVNEAQAAAGZjDQACAAAACjEwOS45Njc5NzEBCAAAAAUAAAABMQEAAAALLTIwMDIyOTQ0NzcDAAAAAzE2MAIAAAACMTUEAAAAATAHAAAACTMvMjcvMjAyNQgAAAAKMTIvMzEvMjAyMgkAAAABMPwPA4ZVbd0IPLThVFdt3QgnQ0lRLklRODgyOTE3LklRX1RPVEFMX1JFVi5GWTIwMjQuLi4uVVNEAQAAAOV4DQACAAAACzEwNTEuODk1NDgxAQgAAAAFAAAAATEBAAAACy0xOTU2OTcyOTMzAwAAAAMxNjACAAAAAjI4BAAAAAEwBwAAAAkz</t>
  </si>
  <si>
    <t>LzI3LzIwMjUIAAAACjEyLzMxLzIwMjQJAAAAATD8DwOGVW3dCDy04VRXbd0IJ0NJUS5JUTg4MjkxNy5JUV9UT1RBTF9SRVYuRlkyMDIzLi4uLlVTRAEAAADleA0AAgAAAAsxMTU4LjMzNDQ1NgEIAAAABQAAAAExAQAAAAstMjAwNzU3NTgzMgMAAAADMTYwAgAAAAIyOAQAAAABMAcAAAAJMy8yNy8yMDI1CAAAAAoxMi8zMS8yMDIzCQAAAAEw/A8DhlVt3QjCF+RUV23dCCdDSVEuSVE4ODI5MTcuSVFfVE9UQUxfUkVWLkZZMjAyMi4uLi5VU0QBAAAA5XgNAAIAAAALMTE1Ni40NzM3MDYBCAAAAAUAAAABMQEAAAALLTIwMDc1NzU4MzgDAAAAAzE2MAIAAAACMjgEAAAAATAHAAAACTMvMjcvMjAyNQgAAAAKMTIvMzEvMjAyMgkAAAABMPwPA4ZVbd0IPLThVFdt3QgkQ0lRLklRODgyOTE3LklRX0VCSVREQS5GWTIwMjQuLi4uVVNEAQAAAOV4DQACAAAACTgyLjI1NTAxMQEIAAAABQAAAAExAQAAAAstMTk1Njk3MjkzMwMAAAADMTYwAgAAAAQ0MDUxBAAAAAEwBwAAAAkzLzI3LzIwMjUIAAAACjEyLzMxLzIwMjQJAAAAATD8DwOGVW3dCMIX5FRXbd0IJENJUS5JUTg4MjkxNy5JUV9FQklUREEuRlkyMDIzLi4uLlVTRAEAAADleA0AAgAAAAkxNjEuMTA3NTgBCAAAAAUAAAABMQEAAAALLTIwMDc1NzU4MzIDAAAAAzE2MAIAAAAENDA1MQQAAAABMAcAAAAJMy8yNy8yMDI1CAAAAAoxMi8zMS8yMDIzCQAAAAEw/A8DhlVt</t>
  </si>
  <si>
    <t>3QjCF+RUV23dCCRDSVEuSVE4ODI5MTcuSVFfRUJJVERBLkZZMjAyMi4uLi5VU0QBAAAA5XgNAAIAAAAJMTAzLjQ2NTkxAQgAAAAFAAAAATEBAAAACy0yMDA3NTc1ODM4AwAAAAMxNjACAAAABDQwNTEEAAAAATAHAAAACTMvMjcvMjAyNQgAAAAKMTIvMzEvMjAyMgkAAAABMPwPA4ZVbd0IPLThVFdt3QggQ0lRLklRODgyOTE3LklRX05JLkZZMjAyNC4uLi5VU0QBAAAA5XgNAAIAAAAKLTY1LjYxODgzNQEIAAAABQAAAAExAQAAAAstMTk1Njk3MjkzMwMAAAADMTYwAgAAAAIxNQQAAAABMAcAAAAJMy8yNy8yMDI1CAAAAAoxMi8zMS8yMDI0CQAAAAEw/A8DhlVt3QjCF+RUV23dCCBDSVEuSVE4ODI5MTcuSVFfTkkuRlkyMDIzLi4uLlVTRAEAAADleA0AAgAAAAkyMi43ODE0NzMBCAAAAAUAAAABMQEAAAALLTIwMDc1NzU4MzIDAAAAAzE2MAIAAAACMTUEAAAAATAHAAAACTMvMjcvMjAyNQgAAAAKMTIvMzEvMjAyMwkAAAABMPwPA4ZVbd0IPLThVFdt3QggQ0lRLklRODgyOTE3LklRX05JLkZZMjAyMi4uLi5VU0QBAAAA5XgNAAIAAAALLTExOC40NDAzMTQBCAAAAAUAAAABMQEAAAALLTIwMDc1NzU4MzgDAAAAAzE2MAIAAAACMTUEAAAAATAHAAAACTMvMjcvMjAyNQgAAAAKMTIvMzEvMjAyMgkAAAABMPwPA4ZVbd0IPLThVFdt3QgnQ0lRLklRODc0MDA4LklRX1RPVEFMX1JFVi5GWTIwMjQuLi4uVVNEAQAAABhW</t>
  </si>
  <si>
    <t>DQACAAAACzE4MTcuNTMwMjIzAQgAAAAFAAAAATEBAAAACy0xOTU3NjA1MDIyAwAAAAMxNjACAAAAAjI4BAAAAAEwBwAAAAkzLzI3LzIwMjUIAAAACjEyLzMxLzIwMjQJAAAAATD8DwOGVW3dCMIX5FRXbd0IJ0NJUS5JUTg3NDAwOC5JUV9UT1RBTF9SRVYuRlkyMDIzLi4uLlVTRAEAAAAYVg0AAgAAAAsxNzE3LjA1MjM3NwEIAAAABQAAAAExAQAAAAstMjAwMTkwNTg2MgMAAAADMTYwAgAAAAIyOAQAAAABMAcAAAAJMy8yNy8yMDI1CAAAAAoxMi8zMS8yMDIzCQAAAAEw/A8DhlVt3QjCF+RUV23dCCdDSVEuSVE4NzQwMDguSVFfVE9UQUxfUkVWLkZZMjAyMi4uLi5VU0QBAAAAGFYNAAIAAAALMTU2OS42MjA5MDYBCAAAAAUAAAABMQEAAAALLTIwMDE5MDU4NzEDAAAAAzE2MAIAAAACMjgEAAAAATAHAAAACTMvMjcvMjAyNQgAAAAKMTIvMzEvMjAyMgkAAAABMPwPA4ZVbd0I37PgVFdt3QgkQ0lRLklRODc0MDA4LklRX0VCSVREQS5GWTIwMjQuLi4uVVNEAQAAABhWDQACAAAACjQyOS4zNDY5NjEBCAAAAAUAAAABMQEAAAALLTE5NTc2MDUwMjIDAAAAAzE2MAIAAAAENDA1MQQAAAABMAcAAAAJMy8yNy8yMDI1CAAAAAoxMi8zMS8yMDI0CQAAAAEw/A8DhlVt3Qg8tOFUV23dCCRDSVEuSVE4NzQwMDguSVFfRUJJVERBLkZZMjAyMy4uLi5VU0QBAAAAGFYNAAIAAAAKMzkyLjc0Mzc3MwEIAAAABQAAAAExAQAAAAst</t>
  </si>
  <si>
    <t>MjAwMTkwNTg2MgMAAAADMTYwAgAAAAQ0MDUxBAAAAAEwBwAAAAkzLzI3LzIwMjUIAAAACjEyLzMxLzIwMjMJAAAAATD8DwOGVW3dCMIX5FRXbd0IJENJUS5JUTg3NDAwOC5JUV9FQklUREEuRlkyMDIyLi4uLlVTRAEAAAAYVg0AAgAAAAo0MDEuMzM0Njk4AQgAAAAFAAAAATEBAAAACy0yMDAxOTA1ODcxAwAAAAMxNjACAAAABDQwNTEEAAAAATAHAAAACTMvMjcvMjAyNQgAAAAKMTIvMzEvMjAyMgkAAAABMPwPA4ZVbd0IPLThVFdt3QggQ0lRLklRODc0MDA4LklRX05JLkZZMjAyNC4uLi5VU0QBAAAAGFYNAAIAAAAKMTE5LjM0ODI4NwEIAAAABQAAAAExAQAAAAstMTk1NzYwNTAyMgMAAAADMTYwAgAAAAIxNQQAAAABMAcAAAAJMy8yNy8yMDI1CAAAAAoxMi8zMS8yMDI0CQAAAAEw/A8DhlVt3QjCF+RUV23dCCBDSVEuSVE4NzQwMDguSVFfTkkuRlkyMDIzLi4uLlVTRAEAAAAYVg0AAgAAAAkxMzcuMjA2MTQBCAAAAAUAAAABMQEAAAALLTIwMDE5MDU4NjIDAAAAAzE2MAIAAAACMTUEAAAAATAHAAAACTMvMjcvMjAyNQgAAAAKMTIvMzEvMjAyMwkAAAABMPwPA4ZVbd0IwhfkVFdt3QggQ0lRLklRODc0MDA4LklRX05JLkZZMjAyMi4uLi5VU0QBAAAAGFYNAAIAAAAKMTQ1LjYxMjYxMgEIAAAABQAAAAExAQAAAAstMjAwMTkwNTg3MQMAAAADMTYwAgAAAAIxNQQAAAABMAcAAAAJMy8yNy8yMDI1CAAAAAoxMi8z</t>
  </si>
  <si>
    <t>MS8yMDIyCQAAAAEw/A8DhlVt3Qjfs+BUV23dCCdDSVEuSVE4Nzc0NzAuSVFfVE9UQUxfUkVWLkZZMjAyNC4uLi5VU0QBAAAAnmMNAAIAAAAKNTI0LjQ2NDY4MwEIAAAABQAAAAExAQAAAAstMTk1OTY5NjE0NQMAAAADMTYwAgAAAAIyOAQAAAABMAcAAAAJMy8yNy8yMDI1CAAAAAoxMi8zMS8yMDI0CQAAAAEw/A8DhlVt3QjCF+RUV23dCCdDSVEuSVE4Nzc0NzAuSVFfVE9UQUxfUkVWLkZZMjAyMy4uLi5VU0QBAAAAnmMNAAIAAAAKNTI1LjEzMTI3OAEIAAAABQAAAAExAQAAAAstMTk1OTY5NjE0NwMAAAADMTYwAgAAAAIyOAQAAAABMAcAAAAJMy8yNy8yMDI1CAAAAAoxMi8zMS8yMDIzCQAAAAEw/A8DhlVt3QjCF+RUV23dCCdDSVEuSVE4Nzc0NzAuSVFfVE9UQUxfUkVWLkZZMjAyMi4uLi5VU0QBAAAAnmMNAAIAAAAKNTU1LjQ0NTExNwEIAAAABQAAAAExAQAAAAstMTk1OTY5NjEyNQMAAAADMTYwAgAAAAIyOAQAAAABMAcAAAAJMy8yNy8yMDI1CAAAAAoxMi8zMS8yMDIyCQAAAAEw/A8DhlVt3Qjfs+BUV23dCCRDSVEuSVE4Nzc0NzAuSVFfRUJJVERBLkZZMjAyNC4uLi5VU0QBAAAAnmMNAAIAAAAKMTQyLjE3NTIwNAEIAAAABQAAAAExAQAAAAstMTk1OTY5NjE0NQMAAAADMTYwAgAAAAQ0MDUxBAAAAAEwBwAAAAkzLzI3LzIwMjUIAAAACjEyLzMxLzIwMjQJAAAAATD8DwOGVW3dCMIX5FRXbd0IJENJUS5J</t>
  </si>
  <si>
    <t>UTg3NzQ3MC5JUV9FQklUREEuRlkyMDIzLi4uLlVTRAEAAACeYw0AAgAAAAoxMzcuMjQ4MTQ5AQgAAAAFAAAAATEBAAAACy0xOTU5Njk2MTQ3AwAAAAMxNjACAAAABDQwNTEEAAAAATAHAAAACTMvMjcvMjAyNQgAAAAKMTIvMzEvMjAyMwkAAAABMPwPA4ZVbd0IwhfkVFdt3QgkQ0lRLklRODc3NDcwLklRX0VCSVREQS5GWTIwMjIuLi4uVVNEAQAAAJ5jDQACAAAACjEyOS42NTE4ODYBCAAAAAUAAAABMQEAAAALLTE5NTk2OTYxMjUDAAAAAzE2MAIAAAAENDA1MQQAAAABMAcAAAAJMy8yNy8yMDI1CAAAAAoxMi8zMS8yMDIyCQAAAAEw/A8DhlVt3Qjfs+BUV23dCCBDSVEuSVE4Nzc0NzAuSVFfTkkuRlkyMDI0Li4uLlVTRAEAAACeYw0AAgAAAAk1Mi43Mjk2MTEBCAAAAAUAAAABMQEAAAALLTE5NTk2OTYxNDUDAAAAAzE2MAIAAAACMTUEAAAAATAHAAAACTMvMjcvMjAyNQgAAAAKMTIvMzEvMjAyNAkAAAABMPwPA4ZVbd0IwhfkVFdt3QggQ0lRLklRODc3NDcwLklRX05JLkZZMjAyMy4uLi5VU0QBAAAAnmMNAAIAAAAJNDUuNDgyNjk4AQgAAAAFAAAAATEBAAAACy0xOTU5Njk2MTQ3AwAAAAMxNjACAAAAAjE1BAAAAAEwBwAAAAkzLzI3LzIwMjUIAAAACjEyLzMxLzIwMjMJAAAAATD8DwOGVW3dCMIX5FRXbd0IIENJUS5JUTg3NzQ3MC5JUV9OSS5GWTIwMjIuLi4uVVNEAQAAAJ5jDQACAAAACTQ2LjQyMjUxNAEI</t>
  </si>
  <si>
    <t>AAAABQAAAAExAQAAAAstMTk1OTY5NjEyNQMAAAADMTYwAgAAAAIxNQQAAAABMAcAAAAJMy8yNy8yMDI1CAAAAAoxMi8zMS8yMDIyCQAAAAEw/A8DhlVt3Qjfs+BUV23dCCpDSVEuSVEyMTY0MDE5ODguSVFfVE9UQUxfUkVWLkZZMjAyNC4uLi5VU0QBAAAARAjmDAIAAAALNTc0OS4xMTQ5NTcBCAAAAAUAAAABMQEAAAALLTE5NTgyNzQwODcDAAAAAzE2MAIAAAACMjgEAAAAATAHAAAACTMvMjcvMjAyNQgAAAAKMTIvMzEvMjAyNAkAAAABMPwPA4ZVbd0IwhfkVFdt3QgqQ0lRLklRMjE2NDAxOTg4LklRX1RPVEFMX1JFVi5GWTIwMjMuLi4uVVNEAQAAAEQI5gwCAAAACzU2MTguMDc0MzI1AQgAAAAFAAAAATEBAAAACy0xOTk0Mzc2MjM2AwAAAAMxNjACAAAAAjI4BAAAAAEwBwAAAAkzLzI3LzIwMjUIAAAACjEyLzMxLzIwMjMJAAAAATD8DwOGVW3dCMIX5FRXbd0IKkNJUS5JUTIxNjQwMTk4OC5JUV9UT1RBTF9SRVYuRlkyMDIyLi4uLlVTRAEAAABECOYMAgAAAAs1MTkzLjM4NDI1NwEIAAAABQAAAAExAQAAAAstMTk5NDM3NjI0MwMAAAADMTYwAgAAAAIyOAQAAAABMAcAAAAJMy8yNy8yMDI1CAAAAAoxMi8zMS8yMDIyCQAAAAEw/A8DhlVt3Qjfs+BUV23dCCdDSVEuSVEyMTY0MDE5ODguSVFfRUJJVERBLkZZMjAyNC4uLi5VU0QBAAAARAjmDAIAAAAJNzQ5Ljg2Nzk2AQgAAAAFAAAAATEBAAAACy0xOTU4Mjc0</t>
  </si>
  <si>
    <t>MDg3AwAAAAMxNjACAAAABDQwNTEEAAAAATAHAAAACTMvMjcvMjAyNQgAAAAKMTIvMzEvMjAyNAkAAAABMPwPA4ZVbd0IPLThVFdt3QgnQ0lRLklRMjE2NDAxOTg4LklRX0VCSVREQS5GWTIwMjMuLi4uVVNEAQAAAEQI5gwCAAAACjcwMS42MTg0MTkBCAAAAAUAAAABMQEAAAALLTE5OTQzNzYyMzYDAAAAAzE2MAIAAAAENDA1MQQAAAABMAcAAAAJMy8yNy8yMDI1CAAAAAoxMi8zMS8yMDIzCQAAAAEw/A8DhlVt3QjCF+RUV23dCCdDSVEuSVEyMTY0MDE5ODguSVFfRUJJVERBLkZZMjAyMi4uLi5VU0QBAAAARAjmDAIAAAAKNTQzLjA3NzM2NwEIAAAABQAAAAExAQAAAAstMTk5NDM3NjI0MwMAAAADMTYwAgAAAAQ0MDUxBAAAAAEwBwAAAAkzLzI3LzIwMjUIAAAACjEyLzMxLzIwMjIJAAAAATD8DwOGVW3dCDy04VRXbd0II0NJUS5JUTIxNjQwMTk4OC5JUV9OSS5GWTIwMjQuLi4uVVNEAQAAAEQI5gwCAAAACjI1Ny41NDQyNzgBCAAAAAUAAAABMQEAAAALLTE5NTgyNzQwODcDAAAAAzE2MAIAAAACMTUEAAAAATAHAAAACTMvMjcvMjAyNQgAAAAKMTIvMzEvMjAyNAkAAAABMPwPA4ZVbd0IwhfkVFdt3QgjQ0lRLklRMjE2NDAxOTg4LklRX05JLkZZMjAyMy4uLi5VU0QBAAAARAjmDAIAAAAKMjUxLjk5MDAzNgEIAAAABQAAAAExAQAAAAstMTk5NDM3NjIzNgMAAAADMTYwAgAAAAIxNQQAAAABMAcAAAAJMy8yNy8y</t>
  </si>
  <si>
    <t>MDI1CAAAAAoxMi8zMS8yMDIzCQAAAAEw/A8DhlVt3QjCF+RUV23dCCNDSVEuSVEyMTY0MDE5ODguSVFfTkkuRlkyMDIyLi4uLlVTRAEAAABECOYMAgAAAAoxOTMuMjk5OTkyAQgAAAAFAAAAATEBAAAACy0xOTk0Mzc2MjQzAwAAAAMxNjACAAAAAjE1BAAAAAEwBwAAAAkzLzI3LzIwMjUIAAAACjEyLzMxLzIwMjIJAAAAATD8DwOGVW3dCN+z4FRXbd0IJ0NJUS5JUTg3NzQ4Mi5JUV9UT1RBTF9SRVYuRlkyMDIyLi4uLlVTRAEAAACqYw0AAgAAAAs0MDQwLjk1NTA3NQEIAAAABQAAAAExAQAAAAstMTk5MzU5ODE3MwMAAAADMTYwAgAAAAIyOAQAAAABMAcAAAAJMy8yNy8yMDI1CAAAAAoxMi8zMS8yMDIyCQAAAAEw/A8DhlVt3QjCF+RUV23dCCRDSVEuSVE4Nzc0ODIuSVFfRUJJVERBLkZZMjAyMy4uLi5VU0QBAAAAqmMNAAIAAAAKMjkyLjc4MzM1OAEIAAAABQAAAAExAQAAAAstMTk5MzU5ODE3NQMAAAADMTYwAgAAAAQ0MDUxBAAAAAEwBwAAAAkzLzI3LzIwMjUIAAAACjEyLzMxLzIwMjMJAAAAATD8DwOGVW3dCMIX5FRXbd0IJENJUS5JUTg3NzQ4Mi5JUV9FQklUREEuRlkyMDIyLi4uLlVTRAEAAACqYw0AAgAAAAo0MTAuNzcxMDQ4AQgAAAAFAAAAATEBAAAACy0xOTkzNTk4MTczAwAAAAMxNjACAAAABDQwNTEEAAAAATAHAAAACTMvMjcvMjAyNQgAAAAKMTIvMzEvMjAyMgkAAAABMPwPA4ZVbd0IwhfkVFdt</t>
  </si>
  <si>
    <t>3QggQ0lRLklRODc3NDgyLklRX05JLkZZMjAyMy4uLi5VU0QBAAAAqmMNAAIAAAAJNTAuNzI1NDYxAQgAAAAFAAAAATEBAAAACy0xOTkzNTk4MTc1AwAAAAMxNjACAAAAAjE1BAAAAAEwBwAAAAkzLzI3LzIwMjUIAAAACjEyLzMxLzIwMjMJAAAAATD8DwOGVW3dCDy04VRXbd0IIENJUS5JUTg3NzQ4Mi5JUV9OSS5GWTIwMjIuLi4uVVNEAQAAAKpjDQACAAAACjEzNy42MDI4NDYBCAAAAAUAAAABMQEAAAALLTE5OTM1OTgxNzMDAAAAAzE2MAIAAAACMTUEAAAAATAHAAAACTMvMjcvMjAyNQgAAAAKMTIvMzEvMjAyMgkAAAABMPwPA4ZVbd0IwhfkVFdt3QgrQ0lRLklRMzk2ODEyLklRX0lOVF9JTkNfTE9BTlMuRlkyMDIzLi4uLlVTRAEAAAAMDgYAAgAAAAs1MDYyLjIwNDEyMQEIAAAABQAAAAExAQAAAAstMTk1NzA5OTkxNgMAAAADMTYwAgAAAAMyMTIEAAAAATAHAAAACTMvMjcvMjAyNQgAAAAKMTIvMzEvMjAyMwkAAAABMPwPA4ZVbd0IPLThVFdt3QgrQ0lRLklRMzk2ODEyLklRX0lOVF9JTkNfTE9BTlMuRlkyMDIyLi4uLlVTRAEAAAAMDgYAAgAAAAszOTQwLjg5OTk0NQEIAAAABQAAAAExAQAAAAstMTk1NzA5OTkxNwMAAAADMTYwAgAAAAMyMTIEAAAAATAHAAAACTMvMjcvMjAyNQgAAAAKMTIvMzEvMjAyMgkAAAABMPwPA4ZVbd0I37PgVFdt3QggQ0lRLklRMzk2ODEyLklRX05JLkZZMjAyMy4uLi5VU0QB</t>
  </si>
  <si>
    <t>AAAADA4GAAIAAAALMTMxMC4yMzAyNDEBCAAAAAUAAAABMQEAAAALLTE5NTcwOTk5MTYDAAAAAzE2MAIAAAACMTUEAAAAATAHAAAACTMvMjcvMjAyNQgAAAAKMTIvMzEvMjAyMwkAAAABMPwPA4ZVbd0IwhfkVFdt3QggQ0lRLklRMzk2ODEyLklRX05JLkZZMjAyMi4uLi5VU0QBAAAADA4GAAIAAAALMTIyMC4xODc5NjkBCAAAAAUAAAABMQEAAAALLTE5NTcwOTk5MTcDAAAAAzE2MAIAAAACMTUEAAAAATAHAAAACTMvMjcvMjAyNQgAAAAKMTIvMzEvMjAyMgkAAAABMPwPA4ZVbd0IPLThVFdt3QgtQ0lRLklRMzUxOTYyNjcuSVFfSU5UX0lOQ19MT0FOUy5GWTIwMjQuLi4uVVNEAQAAAGsNGQICAAAACzE4NjMuNzY4OTU1AQgAAAAFAAAAATEBAAAACy0xOTU1MzEyNzg0AwAAAAMxNjACAAAAAzIxMgQAAAABMAcAAAAJMy8yNy8yMDI1CAAAAAoxMi8zMS8yMDI0CQAAAAEw/A8DhlVt3Qg8tOFUV23dCC1DSVEuSVEzNTE5NjI2Ny5JUV9JTlRfSU5DX0xPQU5TLkZZMjAyMy4uLi5VU0QBAAAAaw0ZAgIAAAALMTkxNy40MzkzNDMBCAAAAAUAAAABMQEAAAALLTE5NTUzMTI3OTMDAAAAAzE2MAIAAAADMjEyBAAAAAEwBwAAAAkzLzI3LzIwMjUIAAAACjEyLzMxLzIwMjMJAAAAATD8DwOGVW3dCMIX5FRXbd0ILUNJUS5JUTM1MTk2MjY3LklRX0lOVF9JTkNfTE9BTlMuRlkyMDIyLi4uLlVTRAEAAABrDRkCAgAAAAsxNTQx</t>
  </si>
  <si>
    <t>LjM4ODI1MgEIAAAABQAAAAExAQAAAAstMTk1NTMxMjc4OAMAAAADMTYwAgAAAAMyMTIEAAAAATAHAAAACTMvMjcvMjAyNQgAAAAKMTIvMzEvMjAyMgkAAAABMPwPA4ZVbd0IPLThVFdt3QgiQ0lRLklRMzUxOTYyNjcuSVFfTkkuRlkyMDI0Li4uLlVTRAEAAABrDRkCAgAAAAozNDQuNzAxOTgzAQgAAAAFAAAAATEBAAAACy0xOTU1MzEyNzg0AwAAAAMxNjACAAAAAjE1BAAAAAEwBwAAAAkzLzI3LzIwMjUIAAAACjEyLzMxLzIwMjQJAAAAATD8DwOGVW3dCMIX5FRXbd0IIkNJUS5JUTM1MTk2MjY3LklRX05JLkZZMjAyMy4uLi5VU0QBAAAAaw0ZAgIAAAAKMjg4Ljg3MjQ5MgEIAAAABQAAAAExAQAAAAstMTk1NTMxMjc5MwMAAAADMTYwAgAAAAIxNQQAAAABMAcAAAAJMy8yNy8yMDI1CAAAAAoxMi8zMS8yMDIzCQAAAAEw/A8DhlVt3QjCF+RUV23dCCJDSVEuSVEzNTE5NjI2Ny5JUV9OSS5GWTIwMjIuLi4uVVNEAQAAAGsNGQICAAAACjQzNy45MDU1NDEBCAAAAAUAAAABMQEAAAALLTE5NTUzMTI3ODgDAAAAAzE2MAIAAAACMTUEAAAAATAHAAAACTMvMjcvMjAyNQgAAAAKMTIvMzEvMjAyMgkAAAABMPwPA4ZVbd0IPLThVFdt3QgrQ0lRLklRODczODA1LklRX0lOVF9JTkNfTE9BTlMuRlkyMDI0Li4uLlVTRAEAAABNVQ0AAgAAAAsyMTQzLjE3MTU5NQEIAAAABQAAAAExAQAAAAstMTk1NjE4MDUxNwMAAAADMTYw</t>
  </si>
  <si>
    <t>AgAAAAMyMTIEAAAAATAHAAAACTMvMjcvMjAyNQgAAAAKMTIvMzEvMjAyNAkAAAABMPwPA4ZVbd0IwhfkVFdt3QgrQ0lRLklRODczODA1LklRX0lOVF9JTkNfTE9BTlMuRlkyMDIzLi4uLlVTRAEAAABNVQ0AAgAAAAsyMDQyLjc4ODQ3NQEIAAAABQAAAAExAQAAAAstMjAwNzY1MDM3MAMAAAADMTYwAgAAAAMyMTIEAAAAATAHAAAACTMvMjcvMjAyNQgAAAAKMTIvMzEvMjAyMwkAAAABMPwPA4ZVbd0IwhfkVFdt3QgrQ0lRLklRODczODA1LklRX0lOVF9JTkNfTE9BTlMuRlkyMDIyLi4uLlVTRAEAAABNVQ0AAgAAAAsxNTA2LjY5NzkwNQEIAAAABQAAAAExAQAAAAstMjAwNzY1MDM3MQMAAAADMTYwAgAAAAMyMTIEAAAAATAHAAAACTMvMjcvMjAyNQgAAAAKMTIvMzEvMjAyMgkAAAABMPwPA4ZVbd0IPLThVFdt3QggQ0lRLklRODczODA1LklRX05JLkZZMjAyNC4uLi5VU0QBAAAATVUNAAIAAAAKNDk5LjE5NzE1NwEIAAAABQAAAAExAQAAAAstMTk1NjE4MDUxNwMAAAADMTYwAgAAAAIxNQQAAAABMAcAAAAJMy8yNy8yMDI1CAAAAAoxMi8zMS8yMDI0CQAAAAEw/A8DhlVt3QjCF+RUV23dCCBDSVEuSVE4NzM4MDUuSVFfTkkuRlkyMDIzLi4uLlVTRAEAAABNVQ0AAgAAAAo1MDQuNTc0MTIyAQgAAAAFAAAAATEBAAAACy0yMDA3NjUwMzcwAwAAAAMxNjACAAAAAjE1BAAAAAEwBwAAAAkzLzI3LzIwMjUIAAAACjEy</t>
  </si>
  <si>
    <t>LzMxLzIwMjMJAAAAATD8DwOGVW3dCMIX5FRXbd0IIENJUS5JUTg3MzgwNS5JUV9OSS5GWTIwMjIuLi4uVVNEAQAAAE1VDQACAAAACjUwNC41MTc4NjQBCAAAAAUAAAABMQEAAAALLTIwMDc2NTAzNzEDAAAAAzE2MAIAAAACMTUEAAAAATAHAAAACTMvMjcvMjAyNQgAAAAKMTIvMzEvMjAyMgkAAAABMPwPA4ZVbd0IPLThVFdt3QggQ0lRLklRODc3NDgyLklRX1RPVEFMX1JFVi5GWTIwMjIBAAAAqmMNAAIAAAAJMTUzOTIuNDAyAQgAAAAFAAAAATEBAAAACy0xOTkzNTk4MTczAwAAAAMxMjICAAAAAjI4BAAAAAEwBwAAAAkzLzI3LzIwMjUIAAAACjEyLzMxLzIwMjIJAAAAATD8DwOGVW3dCN+z4FRXbd0IKENJUS5JUTQ0OTM1MjYuSVFfVE9UQUxfUkVWLkZZMjAyNC4uLi5VU0QBAAAA1pBEAAIAAAAKMTkyLjg0MTIzNAEIAAAABQAAAAExAQAAAAstMTk1NjgyMjkzOQMAAAADMTYwAgAAAAIyOAQAAAABMAcAAAAJMy8yNy8yMDI1CAAAAAoxMi8zMS8yMDI0CQAAAAEw/A8DhlVt3QjCF+RUV23dCChDSVEuSVE0NDkzNTI2LklRX1RPVEFMX1JFVi5GWTIwMjMuLi4uVVNEAQAAANaQRAACAAAACjE5MC4wMTUzNDkBCAAAAAUAAAABMQEAAAALLTE5OTM4NjY5MzQDAAAAAzE2MAIAAAACMjgEAAAAATAHAAAACTMvMjcvMjAyNQgAAAAKMTIvMzEvMjAyMwkAAAABMPwPA4ZVbd0IPLThVFdt3QgoQ0lRLklRNDQ5MzUyNi5J</t>
  </si>
  <si>
    <t>UV9UT1RBTF9SRVYuRlkyMDIyLi4uLlVTRAEAAADWkEQAAgAAAAoyMDkuMzc5MTE4AQgAAAAFAAAAATEBAAAACy0xOTkzODY2ODk1AwAAAAMxNjACAAAAAjI4BAAAAAEwBwAAAAkzLzI3LzIwMjUIAAAACjEyLzMxLzIwMjIJAAAAATD8DwOGVW3dCDy04VRXbd0IJUNJUS5JUTQ0OTM1MjYuSVFfRUJJVERBLkZZMjAyNC4uLi5VU0QBAAAA1pBEAAIAAAAJMTguNzUwOTI4AQgAAAAFAAAAATEBAAAACy0xOTU2ODIyOTM5AwAAAAMxNjACAAAABDQwNTEEAAAAATAHAAAACTMvMjcvMjAyNQgAAAAKMTIvMzEvMjAyNAkAAAABMPwPA4ZVbd0IwhfkVFdt3QglQ0lRLklRNDQ5MzUyNi5JUV9FQklUREEuRlkyMDIzLi4uLlVTRAEAAADWkEQAAgAAAAg2LjU1OTg0OQEIAAAABQAAAAExAQAAAAstMTk5Mzg2NjkzNAMAAAADMTYwAgAAAAQ0MDUxBAAAAAEwBwAAAAkzLzI3LzIwMjUIAAAACjEyLzMxLzIwMjMJAAAAATD8DwOGVW3dCDy04VRXbd0IJUNJUS5JUTQ0OTM1MjYuSVFfRUJJVERBLkZZMjAyMi4uLi5VU0QBAAAA1pBEAAIAAAAJMjkuNTcwNzY1AQgAAAAFAAAAATEBAAAACy0xOTkzODY2ODk1AwAAAAMxNjACAAAABDQwNTEEAAAAATAHAAAACTMvMjcvMjAyNQgAAAAKMTIvMzEvMjAyMgkAAAABMPwPA4ZVbd0IPLThVFdt3QghQ0lRLklRNDQ5MzUyNi5JUV9OSS5GWTIwMjQuLi4uVVNEAQAAANaQRAACAAAACS0zLjIz</t>
  </si>
  <si>
    <t>MzExMQEIAAAABQAAAAExAQAAAAstMTk1NjgyMjkzOQMAAAADMTYwAgAAAAIxNQQAAAABMAcAAAAJMy8yNy8yMDI1CAAAAAoxMi8zMS8yMDI0CQAAAAEw/A8DhlVt3QjCF+RUV23dCCFDSVEuSVE0NDkzNTI2LklRX05JLkZZMjAyMy4uLi5VU0QBAAAA1pBEAAIAAAAKLTE5LjM0Njk3NwEIAAAABQAAAAExAQAAAAstMTk5Mzg2NjkzNAMAAAADMTYwAgAAAAIxNQQAAAABMAcAAAAJMy8yNy8yMDI1CAAAAAoxMi8zMS8yMDIzCQAAAAEw/A8DhlVt3QjCF+RUV23dCCFDSVEuSVE0NDkzNTI2LklRX05JLkZZMjAyMi4uLi5VU0QBAAAA1pBEAAIAAAAINC40MDg5MTUBCAAAAAUAAAABMQEAAAALLTE5OTM4NjY4OTUDAAAAAzE2MAIAAAACMTUEAAAAATAHAAAACTMvMjcvMjAyNQgAAAAKMTIvMzEvMjAyMgkAAAABMPwPA4ZVbd0IPLThVFdt3Q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</si>
</sst>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1"/>
      <name val="Trebuchet MS"/>
      <family val="2"/>
    </font>
    <font>
      <sz val="11"/>
      <color theme="0"/>
      <name val="Trebuchet MS"/>
      <family val="2"/>
    </font>
    <font>
      <b/>
      <i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/>
    <xf numFmtId="43" fontId="0" fillId="0" borderId="0" xfId="0" applyNumberFormat="1"/>
    <xf numFmtId="0" fontId="0" fillId="0" borderId="2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2" borderId="7" xfId="0" applyFill="1" applyBorder="1"/>
    <xf numFmtId="0" fontId="0" fillId="2" borderId="4" xfId="0" applyFill="1" applyBorder="1"/>
    <xf numFmtId="164" fontId="0" fillId="0" borderId="7" xfId="1" quotePrefix="1" applyNumberFormat="1" applyFont="1" applyBorder="1" applyAlignment="1">
      <alignment horizontal="right" vertical="center"/>
    </xf>
    <xf numFmtId="164" fontId="0" fillId="0" borderId="0" xfId="1" quotePrefix="1" applyNumberFormat="1" applyFont="1" applyBorder="1" applyAlignment="1">
      <alignment horizontal="right" vertical="center"/>
    </xf>
    <xf numFmtId="164" fontId="0" fillId="0" borderId="0" xfId="1" applyNumberFormat="1" applyFont="1" applyBorder="1" applyAlignment="1">
      <alignment horizontal="right" vertical="center"/>
    </xf>
    <xf numFmtId="164" fontId="0" fillId="0" borderId="8" xfId="1" applyNumberFormat="1" applyFont="1" applyBorder="1" applyAlignment="1">
      <alignment horizontal="right" vertical="center"/>
    </xf>
    <xf numFmtId="164" fontId="0" fillId="0" borderId="7" xfId="1" applyNumberFormat="1" applyFont="1" applyBorder="1" applyAlignment="1">
      <alignment horizontal="right" vertical="center"/>
    </xf>
    <xf numFmtId="164" fontId="0" fillId="2" borderId="7" xfId="1" applyNumberFormat="1" applyFont="1" applyFill="1" applyBorder="1" applyAlignment="1">
      <alignment horizontal="right" vertical="center"/>
    </xf>
    <xf numFmtId="164" fontId="0" fillId="2" borderId="0" xfId="1" applyNumberFormat="1" applyFont="1" applyFill="1" applyBorder="1" applyAlignment="1">
      <alignment horizontal="right" vertical="center"/>
    </xf>
    <xf numFmtId="164" fontId="0" fillId="2" borderId="8" xfId="1" applyNumberFormat="1" applyFont="1" applyFill="1" applyBorder="1" applyAlignment="1">
      <alignment horizontal="right" vertical="center"/>
    </xf>
    <xf numFmtId="164" fontId="0" fillId="2" borderId="4" xfId="1" applyNumberFormat="1" applyFont="1" applyFill="1" applyBorder="1" applyAlignment="1">
      <alignment horizontal="right" vertical="center"/>
    </xf>
    <xf numFmtId="164" fontId="0" fillId="2" borderId="1" xfId="1" applyNumberFormat="1" applyFont="1" applyFill="1" applyBorder="1" applyAlignment="1">
      <alignment horizontal="right" vertical="center"/>
    </xf>
    <xf numFmtId="164" fontId="0" fillId="2" borderId="5" xfId="1" applyNumberFormat="1" applyFont="1" applyFill="1" applyBorder="1" applyAlignment="1">
      <alignment horizontal="right" vertical="center"/>
    </xf>
    <xf numFmtId="0" fontId="0" fillId="0" borderId="9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2" borderId="9" xfId="0" quotePrefix="1" applyFill="1" applyBorder="1" applyAlignment="1">
      <alignment horizontal="center"/>
    </xf>
    <xf numFmtId="164" fontId="0" fillId="2" borderId="7" xfId="1" quotePrefix="1" applyNumberFormat="1" applyFont="1" applyFill="1" applyBorder="1" applyAlignment="1">
      <alignment horizontal="right" vertical="center"/>
    </xf>
    <xf numFmtId="164" fontId="0" fillId="2" borderId="0" xfId="1" quotePrefix="1" applyNumberFormat="1" applyFont="1" applyFill="1" applyBorder="1" applyAlignment="1">
      <alignment horizontal="right" vertical="center"/>
    </xf>
    <xf numFmtId="164" fontId="0" fillId="0" borderId="0" xfId="0" applyNumberFormat="1"/>
    <xf numFmtId="0" fontId="0" fillId="0" borderId="14" xfId="0" quotePrefix="1" applyBorder="1" applyAlignment="1">
      <alignment horizontal="center"/>
    </xf>
    <xf numFmtId="164" fontId="0" fillId="0" borderId="2" xfId="1" quotePrefix="1" applyNumberFormat="1" applyFont="1" applyBorder="1" applyAlignment="1">
      <alignment horizontal="right" vertical="center"/>
    </xf>
    <xf numFmtId="164" fontId="0" fillId="0" borderId="6" xfId="1" quotePrefix="1" applyNumberFormat="1" applyFont="1" applyBorder="1" applyAlignment="1">
      <alignment horizontal="right" vertical="center"/>
    </xf>
    <xf numFmtId="164" fontId="0" fillId="0" borderId="6" xfId="1" applyNumberFormat="1" applyFont="1" applyBorder="1" applyAlignment="1">
      <alignment horizontal="right" vertical="center"/>
    </xf>
    <xf numFmtId="164" fontId="0" fillId="0" borderId="3" xfId="1" applyNumberFormat="1" applyFont="1" applyBorder="1" applyAlignment="1">
      <alignment horizontal="right" vertical="center"/>
    </xf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2" xfId="0" applyFont="1" applyFill="1" applyBorder="1"/>
    <xf numFmtId="0" fontId="3" fillId="3" borderId="6" xfId="0" applyFont="1" applyFill="1" applyBorder="1"/>
    <xf numFmtId="0" fontId="3" fillId="3" borderId="3" xfId="0" applyFont="1" applyFill="1" applyBorder="1"/>
    <xf numFmtId="0" fontId="3" fillId="0" borderId="9" xfId="0" applyFont="1" applyBorder="1"/>
    <xf numFmtId="0" fontId="3" fillId="0" borderId="7" xfId="0" applyFont="1" applyBorder="1"/>
    <xf numFmtId="164" fontId="3" fillId="0" borderId="7" xfId="1" applyNumberFormat="1" applyFont="1" applyBorder="1" applyAlignment="1">
      <alignment horizontal="right" vertical="center"/>
    </xf>
    <xf numFmtId="164" fontId="3" fillId="0" borderId="0" xfId="1" applyNumberFormat="1" applyFont="1" applyBorder="1" applyAlignment="1">
      <alignment horizontal="right" vertical="center"/>
    </xf>
    <xf numFmtId="3" fontId="3" fillId="0" borderId="0" xfId="0" applyNumberFormat="1" applyFont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13" xfId="1" applyNumberFormat="1" applyFont="1" applyBorder="1" applyAlignment="1">
      <alignment horizontal="right" vertical="center"/>
    </xf>
    <xf numFmtId="10" fontId="3" fillId="0" borderId="7" xfId="2" applyNumberFormat="1" applyFont="1" applyBorder="1" applyAlignment="1">
      <alignment horizontal="right" vertical="center"/>
    </xf>
    <xf numFmtId="10" fontId="3" fillId="0" borderId="0" xfId="2" applyNumberFormat="1" applyFont="1" applyBorder="1" applyAlignment="1">
      <alignment horizontal="right" vertical="center"/>
    </xf>
    <xf numFmtId="10" fontId="3" fillId="0" borderId="13" xfId="2" applyNumberFormat="1" applyFont="1" applyBorder="1" applyAlignment="1">
      <alignment horizontal="right" vertical="center"/>
    </xf>
    <xf numFmtId="0" fontId="3" fillId="0" borderId="9" xfId="0" quotePrefix="1" applyFont="1" applyBorder="1" applyAlignment="1">
      <alignment horizontal="center"/>
    </xf>
    <xf numFmtId="164" fontId="3" fillId="0" borderId="7" xfId="1" quotePrefix="1" applyNumberFormat="1" applyFont="1" applyBorder="1" applyAlignment="1">
      <alignment horizontal="right" vertical="center"/>
    </xf>
    <xf numFmtId="164" fontId="3" fillId="0" borderId="0" xfId="1" quotePrefix="1" applyNumberFormat="1" applyFont="1" applyBorder="1" applyAlignment="1">
      <alignment horizontal="right" vertical="center"/>
    </xf>
    <xf numFmtId="164" fontId="3" fillId="0" borderId="8" xfId="1" applyNumberFormat="1" applyFont="1" applyBorder="1" applyAlignment="1">
      <alignment horizontal="right" vertical="center"/>
    </xf>
    <xf numFmtId="10" fontId="3" fillId="0" borderId="8" xfId="2" applyNumberFormat="1" applyFont="1" applyBorder="1" applyAlignment="1">
      <alignment horizontal="right" vertical="center"/>
    </xf>
    <xf numFmtId="0" fontId="3" fillId="2" borderId="7" xfId="0" applyFont="1" applyFill="1" applyBorder="1"/>
    <xf numFmtId="0" fontId="3" fillId="2" borderId="9" xfId="0" quotePrefix="1" applyFont="1" applyFill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right" vertical="center"/>
    </xf>
    <xf numFmtId="164" fontId="3" fillId="2" borderId="0" xfId="1" quotePrefix="1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7" xfId="1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horizontal="right" vertical="center"/>
    </xf>
    <xf numFmtId="164" fontId="3" fillId="2" borderId="8" xfId="1" applyNumberFormat="1" applyFont="1" applyFill="1" applyBorder="1" applyAlignment="1">
      <alignment horizontal="right" vertical="center"/>
    </xf>
    <xf numFmtId="10" fontId="3" fillId="2" borderId="7" xfId="2" applyNumberFormat="1" applyFont="1" applyFill="1" applyBorder="1" applyAlignment="1">
      <alignment horizontal="right" vertical="center"/>
    </xf>
    <xf numFmtId="10" fontId="3" fillId="2" borderId="0" xfId="2" applyNumberFormat="1" applyFont="1" applyFill="1" applyBorder="1" applyAlignment="1">
      <alignment horizontal="right" vertical="center"/>
    </xf>
    <xf numFmtId="10" fontId="3" fillId="2" borderId="8" xfId="2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10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right" vertical="center"/>
    </xf>
    <xf numFmtId="10" fontId="3" fillId="2" borderId="4" xfId="2" applyNumberFormat="1" applyFont="1" applyFill="1" applyBorder="1" applyAlignment="1">
      <alignment horizontal="right" vertical="center"/>
    </xf>
    <xf numFmtId="10" fontId="3" fillId="2" borderId="1" xfId="2" applyNumberFormat="1" applyFont="1" applyFill="1" applyBorder="1" applyAlignment="1">
      <alignment horizontal="right" vertical="center"/>
    </xf>
    <xf numFmtId="10" fontId="3" fillId="2" borderId="5" xfId="2" applyNumberFormat="1" applyFont="1" applyFill="1" applyBorder="1" applyAlignment="1">
      <alignment horizontal="right" vertical="center"/>
    </xf>
    <xf numFmtId="10" fontId="3" fillId="3" borderId="2" xfId="2" applyNumberFormat="1" applyFont="1" applyFill="1" applyBorder="1"/>
    <xf numFmtId="10" fontId="3" fillId="3" borderId="6" xfId="2" applyNumberFormat="1" applyFont="1" applyFill="1" applyBorder="1"/>
    <xf numFmtId="10" fontId="3" fillId="3" borderId="3" xfId="2" applyNumberFormat="1" applyFont="1" applyFill="1" applyBorder="1"/>
    <xf numFmtId="0" fontId="3" fillId="2" borderId="11" xfId="0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/>
    </xf>
    <xf numFmtId="164" fontId="3" fillId="0" borderId="2" xfId="1" quotePrefix="1" applyNumberFormat="1" applyFont="1" applyBorder="1" applyAlignment="1">
      <alignment horizontal="right" vertical="center"/>
    </xf>
    <xf numFmtId="164" fontId="3" fillId="0" borderId="6" xfId="1" quotePrefix="1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horizontal="right" vertical="center"/>
    </xf>
    <xf numFmtId="164" fontId="3" fillId="0" borderId="6" xfId="1" applyNumberFormat="1" applyFont="1" applyBorder="1" applyAlignment="1">
      <alignment horizontal="right" vertical="center"/>
    </xf>
    <xf numFmtId="164" fontId="3" fillId="0" borderId="3" xfId="1" applyNumberFormat="1" applyFont="1" applyBorder="1" applyAlignment="1">
      <alignment horizontal="right" vertical="center"/>
    </xf>
    <xf numFmtId="0" fontId="3" fillId="0" borderId="10" xfId="0" applyFont="1" applyBorder="1"/>
    <xf numFmtId="10" fontId="3" fillId="0" borderId="2" xfId="2" applyNumberFormat="1" applyFont="1" applyBorder="1" applyAlignment="1">
      <alignment horizontal="right" vertical="center"/>
    </xf>
    <xf numFmtId="10" fontId="3" fillId="0" borderId="6" xfId="2" applyNumberFormat="1" applyFont="1" applyBorder="1" applyAlignment="1">
      <alignment horizontal="right" vertical="center"/>
    </xf>
    <xf numFmtId="10" fontId="3" fillId="0" borderId="3" xfId="2" applyNumberFormat="1" applyFont="1" applyBorder="1" applyAlignment="1">
      <alignment horizontal="right" vertical="center"/>
    </xf>
    <xf numFmtId="0" fontId="3" fillId="0" borderId="11" xfId="0" applyFont="1" applyBorder="1"/>
    <xf numFmtId="0" fontId="3" fillId="0" borderId="13" xfId="0" applyFont="1" applyBorder="1"/>
    <xf numFmtId="0" fontId="4" fillId="0" borderId="0" xfId="0" applyFont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14" xfId="1" quotePrefix="1" applyNumberFormat="1" applyFont="1" applyBorder="1" applyAlignment="1">
      <alignment horizontal="center"/>
    </xf>
    <xf numFmtId="10" fontId="0" fillId="0" borderId="14" xfId="2" quotePrefix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quotePrefix="1" applyFont="1" applyBorder="1" applyAlignment="1">
      <alignment horizontal="center"/>
    </xf>
    <xf numFmtId="0" fontId="3" fillId="2" borderId="7" xfId="0" quotePrefix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3" fontId="3" fillId="0" borderId="8" xfId="0" applyNumberFormat="1" applyFont="1" applyBorder="1"/>
    <xf numFmtId="164" fontId="3" fillId="0" borderId="8" xfId="1" quotePrefix="1" applyNumberFormat="1" applyFont="1" applyBorder="1" applyAlignment="1">
      <alignment horizontal="right" vertical="center"/>
    </xf>
    <xf numFmtId="164" fontId="3" fillId="2" borderId="8" xfId="1" quotePrefix="1" applyNumberFormat="1" applyFont="1" applyFill="1" applyBorder="1" applyAlignment="1">
      <alignment horizontal="right" vertical="center"/>
    </xf>
    <xf numFmtId="164" fontId="3" fillId="0" borderId="3" xfId="1" quotePrefix="1" applyNumberFormat="1" applyFont="1" applyBorder="1" applyAlignment="1">
      <alignment horizontal="right" vertical="center"/>
    </xf>
    <xf numFmtId="164" fontId="3" fillId="5" borderId="7" xfId="1" applyNumberFormat="1" applyFont="1" applyFill="1" applyBorder="1" applyAlignment="1">
      <alignment horizontal="right" vertical="center"/>
    </xf>
    <xf numFmtId="164" fontId="3" fillId="5" borderId="8" xfId="1" applyNumberFormat="1" applyFont="1" applyFill="1" applyBorder="1" applyAlignment="1">
      <alignment horizontal="right" vertical="center"/>
    </xf>
    <xf numFmtId="0" fontId="3" fillId="6" borderId="7" xfId="0" applyFont="1" applyFill="1" applyBorder="1"/>
    <xf numFmtId="0" fontId="3" fillId="6" borderId="7" xfId="0" applyFont="1" applyFill="1" applyBorder="1" applyAlignment="1">
      <alignment horizontal="center"/>
    </xf>
    <xf numFmtId="164" fontId="3" fillId="6" borderId="7" xfId="1" applyNumberFormat="1" applyFont="1" applyFill="1" applyBorder="1" applyAlignment="1">
      <alignment horizontal="right" vertical="center"/>
    </xf>
    <xf numFmtId="164" fontId="3" fillId="6" borderId="8" xfId="1" applyNumberFormat="1" applyFont="1" applyFill="1" applyBorder="1" applyAlignment="1">
      <alignment horizontal="right" vertical="center"/>
    </xf>
    <xf numFmtId="164" fontId="3" fillId="6" borderId="0" xfId="1" applyNumberFormat="1" applyFont="1" applyFill="1" applyBorder="1" applyAlignment="1">
      <alignment horizontal="right" vertical="center"/>
    </xf>
    <xf numFmtId="0" fontId="3" fillId="6" borderId="9" xfId="0" applyFont="1" applyFill="1" applyBorder="1"/>
    <xf numFmtId="10" fontId="3" fillId="6" borderId="7" xfId="2" applyNumberFormat="1" applyFont="1" applyFill="1" applyBorder="1" applyAlignment="1">
      <alignment horizontal="right" vertical="center"/>
    </xf>
    <xf numFmtId="10" fontId="3" fillId="6" borderId="0" xfId="2" applyNumberFormat="1" applyFont="1" applyFill="1" applyBorder="1" applyAlignment="1">
      <alignment horizontal="right" vertical="center"/>
    </xf>
    <xf numFmtId="10" fontId="3" fillId="6" borderId="8" xfId="2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7" xfId="0" applyFont="1" applyFill="1" applyBorder="1"/>
    <xf numFmtId="0" fontId="3" fillId="5" borderId="7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164" fontId="3" fillId="5" borderId="0" xfId="1" applyNumberFormat="1" applyFont="1" applyFill="1" applyBorder="1" applyAlignment="1">
      <alignment horizontal="right" vertical="center"/>
    </xf>
    <xf numFmtId="0" fontId="3" fillId="5" borderId="9" xfId="0" applyFont="1" applyFill="1" applyBorder="1"/>
    <xf numFmtId="10" fontId="3" fillId="5" borderId="7" xfId="2" applyNumberFormat="1" applyFont="1" applyFill="1" applyBorder="1" applyAlignment="1">
      <alignment horizontal="right" vertical="center"/>
    </xf>
    <xf numFmtId="10" fontId="3" fillId="5" borderId="0" xfId="2" applyNumberFormat="1" applyFont="1" applyFill="1" applyBorder="1" applyAlignment="1">
      <alignment horizontal="right" vertical="center"/>
    </xf>
    <xf numFmtId="10" fontId="3" fillId="5" borderId="8" xfId="2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4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180975</xdr:rowOff>
    </xdr:from>
    <xdr:to>
      <xdr:col>11</xdr:col>
      <xdr:colOff>77067</xdr:colOff>
      <xdr:row>11</xdr:row>
      <xdr:rowOff>9767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F0610-5D5A-DCBF-1192-F4CDC2E92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371475"/>
          <a:ext cx="6211167" cy="17337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8</xdr:col>
      <xdr:colOff>448333</xdr:colOff>
      <xdr:row>14</xdr:row>
      <xdr:rowOff>133395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E34335-132F-86B5-CDF9-BB33CE1F6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476500"/>
          <a:ext cx="4715533" cy="32389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15</xdr:row>
      <xdr:rowOff>28575</xdr:rowOff>
    </xdr:from>
    <xdr:to>
      <xdr:col>12</xdr:col>
      <xdr:colOff>543939</xdr:colOff>
      <xdr:row>31</xdr:row>
      <xdr:rowOff>124264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579F73-DF1F-34A9-DAE4-F540D669E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2886075"/>
          <a:ext cx="7268589" cy="3143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505236</xdr:colOff>
      <xdr:row>2</xdr:row>
      <xdr:rowOff>133395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8B72F-7590-E165-97F7-0AE55A4F3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943636" cy="3238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16</xdr:col>
      <xdr:colOff>467896</xdr:colOff>
      <xdr:row>42</xdr:row>
      <xdr:rowOff>162958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B2E0D-1217-1041-D190-D45B386BC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762000"/>
          <a:ext cx="8392696" cy="74019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12</xdr:col>
      <xdr:colOff>438977</xdr:colOff>
      <xdr:row>16</xdr:row>
      <xdr:rowOff>114555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A3DD1-F972-5F87-E682-185C6BD4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333500"/>
          <a:ext cx="5925377" cy="18290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6</xdr:row>
      <xdr:rowOff>152400</xdr:rowOff>
    </xdr:from>
    <xdr:to>
      <xdr:col>14</xdr:col>
      <xdr:colOff>143681</xdr:colOff>
      <xdr:row>17</xdr:row>
      <xdr:rowOff>124113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C4594-FC59-7F1A-8F39-12079A43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1295400"/>
          <a:ext cx="5772956" cy="2067213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5</xdr:row>
      <xdr:rowOff>9525</xdr:rowOff>
    </xdr:from>
    <xdr:to>
      <xdr:col>9</xdr:col>
      <xdr:colOff>495768</xdr:colOff>
      <xdr:row>6</xdr:row>
      <xdr:rowOff>9552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5A9F5-5D17-B799-8274-3C99011E8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8900" y="962025"/>
          <a:ext cx="3353268" cy="1905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428855</xdr:colOff>
      <xdr:row>4</xdr:row>
      <xdr:rowOff>95290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5C5C7-D976-4A26-B3BB-9F4E5D581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648055" cy="2857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13</xdr:col>
      <xdr:colOff>391430</xdr:colOff>
      <xdr:row>13</xdr:row>
      <xdr:rowOff>171687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FE7E21-016D-4B8C-12A1-B9AC9761E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952500"/>
          <a:ext cx="6487430" cy="16956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4</xdr:row>
      <xdr:rowOff>85725</xdr:rowOff>
    </xdr:from>
    <xdr:to>
      <xdr:col>6</xdr:col>
      <xdr:colOff>591026</xdr:colOff>
      <xdr:row>6</xdr:row>
      <xdr:rowOff>57199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2C781-9DF3-F278-26A7-AE704741C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847725"/>
          <a:ext cx="3410426" cy="3524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14</xdr:col>
      <xdr:colOff>363022</xdr:colOff>
      <xdr:row>16</xdr:row>
      <xdr:rowOff>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20094C-DDF8-C861-F8DC-26FE9DE3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333500"/>
          <a:ext cx="7678222" cy="17147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14</xdr:col>
      <xdr:colOff>334443</xdr:colOff>
      <xdr:row>34</xdr:row>
      <xdr:rowOff>38557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F1ABC0-82AC-4C06-F112-8927DE34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3238500"/>
          <a:ext cx="7649643" cy="32770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15</xdr:col>
      <xdr:colOff>39211</xdr:colOff>
      <xdr:row>59</xdr:row>
      <xdr:rowOff>86349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05FBAC-3F74-47CF-F7F7-1EF3516ED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6858000"/>
          <a:ext cx="7964011" cy="446784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15</xdr:row>
      <xdr:rowOff>47625</xdr:rowOff>
    </xdr:from>
    <xdr:to>
      <xdr:col>13</xdr:col>
      <xdr:colOff>39040</xdr:colOff>
      <xdr:row>16</xdr:row>
      <xdr:rowOff>114336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5F31D7-536A-9F8C-BEB9-49BFABF58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8725" y="2905125"/>
          <a:ext cx="6735115" cy="2572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400050</xdr:colOff>
      <xdr:row>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17200-2DF5-0D27-9277-2C4C91146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86450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142875</xdr:rowOff>
    </xdr:from>
    <xdr:to>
      <xdr:col>9</xdr:col>
      <xdr:colOff>152400</xdr:colOff>
      <xdr:row>13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B42122-1CF8-1F66-CFDB-8AA2869F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75"/>
          <a:ext cx="56388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352425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BB770-8C2C-1E8C-57DF-2998BFEE3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1002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142875</xdr:colOff>
      <xdr:row>14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88F6-A461-9056-6CFF-482B44680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29275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438381</xdr:colOff>
      <xdr:row>1</xdr:row>
      <xdr:rowOff>95290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793E9-0C15-85BD-B42B-77FE969B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57581" cy="285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57150</xdr:rowOff>
    </xdr:from>
    <xdr:to>
      <xdr:col>9</xdr:col>
      <xdr:colOff>766</xdr:colOff>
      <xdr:row>11</xdr:row>
      <xdr:rowOff>38337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B430D3-568D-87C9-C467-51C969ABA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"/>
          <a:ext cx="5487166" cy="16956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8</xdr:col>
      <xdr:colOff>67365</xdr:colOff>
      <xdr:row>3</xdr:row>
      <xdr:rowOff>66726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18D21-0448-23C8-A134-C2676727F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25"/>
          <a:ext cx="4944165" cy="3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10</xdr:col>
      <xdr:colOff>67535</xdr:colOff>
      <xdr:row>11</xdr:row>
      <xdr:rowOff>38265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DEBEC4-FD61-9988-819C-D3B4267D2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00"/>
          <a:ext cx="6163535" cy="11812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381819</xdr:colOff>
      <xdr:row>21</xdr:row>
      <xdr:rowOff>124401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5DAB6-47F8-E033-20A9-01E846FD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68219" cy="41249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</xdr:row>
      <xdr:rowOff>47625</xdr:rowOff>
    </xdr:from>
    <xdr:to>
      <xdr:col>12</xdr:col>
      <xdr:colOff>524872</xdr:colOff>
      <xdr:row>23</xdr:row>
      <xdr:rowOff>133920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97C61-1BFF-C2F7-84AB-2A7E6FB3A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28625"/>
          <a:ext cx="7144747" cy="40867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28919</xdr:colOff>
      <xdr:row>1</xdr:row>
      <xdr:rowOff>66711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55D721-C73D-6075-45BA-B583B0610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67319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10</xdr:col>
      <xdr:colOff>581872</xdr:colOff>
      <xdr:row>12</xdr:row>
      <xdr:rowOff>28818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47D7F-02BA-22C2-9175-DCD11C5D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1500"/>
          <a:ext cx="6068272" cy="17433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10</xdr:col>
      <xdr:colOff>353325</xdr:colOff>
      <xdr:row>23</xdr:row>
      <xdr:rowOff>114741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DEADE1-B37F-4816-7DDE-B204D005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6449325" cy="316274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12</xdr:row>
      <xdr:rowOff>85725</xdr:rowOff>
    </xdr:from>
    <xdr:to>
      <xdr:col>12</xdr:col>
      <xdr:colOff>281316</xdr:colOff>
      <xdr:row>19</xdr:row>
      <xdr:rowOff>104980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FF68D-6119-4601-B908-1D1803A3A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2371725"/>
          <a:ext cx="4777116" cy="135275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182021</xdr:colOff>
      <xdr:row>20</xdr:row>
      <xdr:rowOff>67216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68170-D2AF-8D9F-1535-01CBBF1D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97221" cy="3877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4066</xdr:rowOff>
    </xdr:from>
    <xdr:to>
      <xdr:col>18</xdr:col>
      <xdr:colOff>0</xdr:colOff>
      <xdr:row>36</xdr:row>
      <xdr:rowOff>162404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4FBCB-8155-F640-AAD3-06B52D4CE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4066"/>
          <a:ext cx="10972800" cy="3206338"/>
        </a:xfrm>
        <a:prstGeom prst="rect">
          <a:avLst/>
        </a:prstGeom>
      </xdr:spPr>
    </xdr:pic>
    <xdr:clientData/>
  </xdr:twoCellAnchor>
  <xdr:twoCellAnchor editAs="oneCell">
    <xdr:from>
      <xdr:col>18</xdr:col>
      <xdr:colOff>552450</xdr:colOff>
      <xdr:row>0</xdr:row>
      <xdr:rowOff>0</xdr:rowOff>
    </xdr:from>
    <xdr:to>
      <xdr:col>28</xdr:col>
      <xdr:colOff>543775</xdr:colOff>
      <xdr:row>25</xdr:row>
      <xdr:rowOff>134033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3D1C7B-EE1F-A5A0-1E3B-A69BB100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25250" y="0"/>
          <a:ext cx="6087325" cy="489653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29</xdr:col>
      <xdr:colOff>305608</xdr:colOff>
      <xdr:row>48</xdr:row>
      <xdr:rowOff>114874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905CF5-1236-6D72-E1E7-C4B54639C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0" y="5143500"/>
          <a:ext cx="5792008" cy="41153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31</xdr:row>
      <xdr:rowOff>9940</xdr:rowOff>
    </xdr:from>
    <xdr:to>
      <xdr:col>4</xdr:col>
      <xdr:colOff>876300</xdr:colOff>
      <xdr:row>32</xdr:row>
      <xdr:rowOff>17808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1F6C88-DF41-5A6E-D5B1-F7D446803356}"/>
            </a:ext>
          </a:extLst>
        </xdr:cNvPr>
        <xdr:cNvSpPr/>
      </xdr:nvSpPr>
      <xdr:spPr>
        <a:xfrm>
          <a:off x="2621446" y="5799483"/>
          <a:ext cx="209550" cy="19836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31</xdr:row>
      <xdr:rowOff>9940</xdr:rowOff>
    </xdr:from>
    <xdr:to>
      <xdr:col>4</xdr:col>
      <xdr:colOff>876300</xdr:colOff>
      <xdr:row>32</xdr:row>
      <xdr:rowOff>17808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B49957-E18E-4415-92C1-05FEBAD91A48}"/>
            </a:ext>
          </a:extLst>
        </xdr:cNvPr>
        <xdr:cNvSpPr/>
      </xdr:nvSpPr>
      <xdr:spPr>
        <a:xfrm>
          <a:off x="2867025" y="6315490"/>
          <a:ext cx="209550" cy="19836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7CA4-42F4-42C9-90EB-1C840F901410}">
  <dimension ref="Q5:S7"/>
  <sheetViews>
    <sheetView zoomScale="115" zoomScaleNormal="115" workbookViewId="0">
      <selection activeCell="J12" sqref="J12"/>
    </sheetView>
  </sheetViews>
  <sheetFormatPr defaultRowHeight="15" x14ac:dyDescent="0.25"/>
  <cols>
    <col min="17" max="17" width="24.140625" bestFit="1" customWidth="1"/>
  </cols>
  <sheetData>
    <row r="5" spans="17:19" x14ac:dyDescent="0.25">
      <c r="Q5" t="s">
        <v>0</v>
      </c>
    </row>
    <row r="6" spans="17:19" x14ac:dyDescent="0.25">
      <c r="R6" s="1">
        <v>2024</v>
      </c>
      <c r="S6" s="2">
        <v>2023</v>
      </c>
    </row>
    <row r="7" spans="17:19" x14ac:dyDescent="0.25">
      <c r="Q7" t="s">
        <v>1</v>
      </c>
      <c r="R7" s="3">
        <v>4415</v>
      </c>
      <c r="S7" s="4">
        <v>2223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8896-54B4-4867-BD41-23B81E3A1D78}">
  <dimension ref="C4"/>
  <sheetViews>
    <sheetView workbookViewId="0">
      <selection activeCell="C4" sqref="C4"/>
    </sheetView>
  </sheetViews>
  <sheetFormatPr defaultRowHeight="15" x14ac:dyDescent="0.25"/>
  <sheetData>
    <row r="4" spans="3:3" x14ac:dyDescent="0.25">
      <c r="C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3AC6-1C7D-48E2-B96E-78A2ED5C35FC}">
  <dimension ref="A1"/>
  <sheetViews>
    <sheetView topLeftCell="A9" workbookViewId="0">
      <selection activeCell="D5" sqref="D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B318-01A8-4106-9FC2-D0A75C4264ED}">
  <dimension ref="D8"/>
  <sheetViews>
    <sheetView workbookViewId="0">
      <selection activeCell="D8" sqref="D8"/>
    </sheetView>
  </sheetViews>
  <sheetFormatPr defaultRowHeight="15" x14ac:dyDescent="0.25"/>
  <sheetData>
    <row r="8" spans="4:4" x14ac:dyDescent="0.25">
      <c r="D8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EB23-E041-4A96-8C4B-762F1D2F0DB4}">
  <dimension ref="A1"/>
  <sheetViews>
    <sheetView workbookViewId="0">
      <selection activeCell="D7" sqref="D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EB15-9CF3-4E32-AD26-BE117B59D7DA}">
  <dimension ref="A1"/>
  <sheetViews>
    <sheetView workbookViewId="0">
      <selection activeCell="H26" sqref="H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D5B7-E816-48B2-A588-03CB7016950B}">
  <dimension ref="A1"/>
  <sheetViews>
    <sheetView workbookViewId="0">
      <selection activeCell="P21" sqref="P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6A62-BD8C-41A9-9A92-2C9E6C5F6B1B}">
  <dimension ref="A1"/>
  <sheetViews>
    <sheetView workbookViewId="0">
      <selection activeCell="I22" sqref="I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3AD8-2DA4-4C18-8D29-29DAB5F619B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F265-0784-455F-80A5-5210E23ECCD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BE2C-DD47-42DF-B88D-1D06D7726ACF}">
  <dimension ref="A1"/>
  <sheetViews>
    <sheetView workbookViewId="0">
      <selection activeCell="H22" sqref="H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7318-4F0D-4C51-B65F-D99B300D7887}">
  <dimension ref="A1"/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9146-2B28-4D98-871F-FD40D129071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70AB-7925-4D73-82D0-DBE25372AB7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F8B5-5D37-4D59-9176-2679721E230B}">
  <dimension ref="A1"/>
  <sheetViews>
    <sheetView workbookViewId="0">
      <selection activeCell="B4" sqref="B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B1CC-1C42-45CE-A2E5-1B84A73C7FA2}">
  <dimension ref="C4"/>
  <sheetViews>
    <sheetView workbookViewId="0">
      <selection activeCell="C5" sqref="C5"/>
    </sheetView>
  </sheetViews>
  <sheetFormatPr defaultRowHeight="15" x14ac:dyDescent="0.25"/>
  <sheetData>
    <row r="4" spans="3:3" x14ac:dyDescent="0.25">
      <c r="C4" t="s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3750-E83B-4B01-99AE-864D32E8B76D}">
  <dimension ref="D7"/>
  <sheetViews>
    <sheetView workbookViewId="0">
      <selection activeCell="D8" sqref="D8"/>
    </sheetView>
  </sheetViews>
  <sheetFormatPr defaultRowHeight="15" x14ac:dyDescent="0.25"/>
  <sheetData>
    <row r="7" spans="4:4" x14ac:dyDescent="0.25">
      <c r="D7" t="s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ECE1-BC09-41C1-8690-1A6B5A2F52D3}">
  <dimension ref="B4"/>
  <sheetViews>
    <sheetView zoomScale="175" zoomScaleNormal="175" workbookViewId="0">
      <selection activeCell="B4" sqref="B4"/>
    </sheetView>
  </sheetViews>
  <sheetFormatPr defaultRowHeight="15" x14ac:dyDescent="0.25"/>
  <sheetData>
    <row r="4" spans="2:2" x14ac:dyDescent="0.25">
      <c r="B4" t="s">
        <v>38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567F-B58D-49B4-8624-BE58E77F0701}">
  <dimension ref="A1"/>
  <sheetViews>
    <sheetView workbookViewId="0">
      <selection activeCell="L25" sqref="L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C6DC-11FC-4FDC-A150-55A78C4B914A}">
  <dimension ref="A1"/>
  <sheetViews>
    <sheetView topLeftCell="A17" workbookViewId="0">
      <selection activeCell="O19" sqref="O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4A05-75DF-4EE9-B8F8-73D5D165D590}">
  <dimension ref="E3:O30"/>
  <sheetViews>
    <sheetView showGridLines="0" workbookViewId="0">
      <selection activeCell="H30" sqref="H30"/>
    </sheetView>
  </sheetViews>
  <sheetFormatPr defaultRowHeight="15" x14ac:dyDescent="0.25"/>
  <cols>
    <col min="5" max="5" width="13.28515625" bestFit="1" customWidth="1"/>
    <col min="6" max="6" width="8.140625" bestFit="1" customWidth="1"/>
    <col min="7" max="8" width="15.5703125" customWidth="1"/>
    <col min="9" max="12" width="8.85546875" customWidth="1"/>
    <col min="14" max="14" width="3.7109375" customWidth="1"/>
  </cols>
  <sheetData>
    <row r="3" spans="5:15" x14ac:dyDescent="0.25">
      <c r="G3" s="165" t="s">
        <v>14</v>
      </c>
      <c r="H3" s="166"/>
      <c r="I3" s="165" t="s">
        <v>15</v>
      </c>
      <c r="J3" s="167"/>
      <c r="K3" s="166" t="s">
        <v>16</v>
      </c>
      <c r="L3" s="167"/>
    </row>
    <row r="4" spans="5:15" x14ac:dyDescent="0.25">
      <c r="E4" s="7" t="s">
        <v>5</v>
      </c>
      <c r="F4" s="10" t="s">
        <v>6</v>
      </c>
      <c r="G4" s="8">
        <v>2024</v>
      </c>
      <c r="H4" s="8">
        <v>2023</v>
      </c>
      <c r="I4" s="29">
        <v>2024</v>
      </c>
      <c r="J4" s="9">
        <v>2023</v>
      </c>
      <c r="K4" s="8">
        <v>2024</v>
      </c>
      <c r="L4" s="9">
        <v>2023</v>
      </c>
      <c r="N4" s="5"/>
      <c r="O4" t="s">
        <v>17</v>
      </c>
    </row>
    <row r="5" spans="5:15" x14ac:dyDescent="0.25">
      <c r="E5" s="36" t="s">
        <v>18</v>
      </c>
      <c r="F5" s="37"/>
      <c r="G5" s="37"/>
      <c r="H5" s="37"/>
      <c r="I5" s="37"/>
      <c r="J5" s="37"/>
      <c r="K5" s="37"/>
      <c r="L5" s="38"/>
      <c r="O5">
        <v>1</v>
      </c>
    </row>
    <row r="6" spans="5:15" x14ac:dyDescent="0.25">
      <c r="E6" s="11" t="s">
        <v>3</v>
      </c>
      <c r="F6" s="26" t="s">
        <v>4</v>
      </c>
      <c r="G6" s="18">
        <v>3383</v>
      </c>
      <c r="H6" s="16">
        <v>999</v>
      </c>
      <c r="I6" s="30">
        <v>9</v>
      </c>
      <c r="J6" s="31">
        <v>7</v>
      </c>
      <c r="K6" s="16">
        <f>IFERROR(G6/I6,"-")</f>
        <v>375.88888888888891</v>
      </c>
      <c r="L6" s="17">
        <f>IFERROR(H6/J6,"-")</f>
        <v>142.71428571428572</v>
      </c>
    </row>
    <row r="7" spans="5:15" x14ac:dyDescent="0.25">
      <c r="E7" s="11" t="s">
        <v>7</v>
      </c>
      <c r="F7" s="25" t="s">
        <v>8</v>
      </c>
      <c r="G7" s="14" t="s">
        <v>8</v>
      </c>
      <c r="H7" s="15" t="s">
        <v>8</v>
      </c>
      <c r="I7" s="30">
        <v>5</v>
      </c>
      <c r="J7" s="31">
        <v>5</v>
      </c>
      <c r="K7" s="16" t="str">
        <f t="shared" ref="K7:K12" si="0">IFERROR(G7/I7,"-")</f>
        <v>-</v>
      </c>
      <c r="L7" s="17" t="str">
        <f t="shared" ref="L7:L12" si="1">IFERROR(H7/J7,"-")</f>
        <v>-</v>
      </c>
    </row>
    <row r="8" spans="5:15" x14ac:dyDescent="0.25">
      <c r="E8" s="11" t="s">
        <v>9</v>
      </c>
      <c r="F8" s="26" t="s">
        <v>4</v>
      </c>
      <c r="G8" s="18">
        <v>540</v>
      </c>
      <c r="H8" s="16">
        <v>538</v>
      </c>
      <c r="I8" s="30">
        <v>8</v>
      </c>
      <c r="J8" s="31">
        <v>8</v>
      </c>
      <c r="K8" s="16">
        <f t="shared" si="0"/>
        <v>67.5</v>
      </c>
      <c r="L8" s="17">
        <f t="shared" si="1"/>
        <v>67.25</v>
      </c>
    </row>
    <row r="9" spans="5:15" x14ac:dyDescent="0.25">
      <c r="E9" s="12" t="s">
        <v>10</v>
      </c>
      <c r="F9" s="39" t="s">
        <v>4</v>
      </c>
      <c r="G9" s="40">
        <v>14433</v>
      </c>
      <c r="H9" s="41">
        <v>10571</v>
      </c>
      <c r="I9" s="32">
        <v>7</v>
      </c>
      <c r="J9" s="33">
        <v>7</v>
      </c>
      <c r="K9" s="20">
        <f t="shared" si="0"/>
        <v>2061.8571428571427</v>
      </c>
      <c r="L9" s="21">
        <f t="shared" si="1"/>
        <v>1510.1428571428571</v>
      </c>
    </row>
    <row r="10" spans="5:15" x14ac:dyDescent="0.25">
      <c r="E10" s="11" t="s">
        <v>11</v>
      </c>
      <c r="F10" s="25" t="s">
        <v>4</v>
      </c>
      <c r="G10" s="14">
        <v>11342</v>
      </c>
      <c r="H10" s="15">
        <v>13951</v>
      </c>
      <c r="I10" s="30">
        <v>5</v>
      </c>
      <c r="J10" s="31">
        <v>5</v>
      </c>
      <c r="K10" s="16">
        <f t="shared" si="0"/>
        <v>2268.4</v>
      </c>
      <c r="L10" s="17">
        <f t="shared" si="1"/>
        <v>2790.2</v>
      </c>
    </row>
    <row r="11" spans="5:15" x14ac:dyDescent="0.25">
      <c r="E11" s="12" t="s">
        <v>12</v>
      </c>
      <c r="F11" s="27" t="s">
        <v>4</v>
      </c>
      <c r="G11" s="19">
        <v>7829</v>
      </c>
      <c r="H11" s="20">
        <v>7353</v>
      </c>
      <c r="I11" s="32">
        <v>9</v>
      </c>
      <c r="J11" s="33">
        <v>9</v>
      </c>
      <c r="K11" s="20">
        <f t="shared" si="0"/>
        <v>869.88888888888891</v>
      </c>
      <c r="L11" s="21">
        <f t="shared" si="1"/>
        <v>817</v>
      </c>
    </row>
    <row r="12" spans="5:15" x14ac:dyDescent="0.25">
      <c r="E12" s="13" t="s">
        <v>13</v>
      </c>
      <c r="F12" s="28" t="s">
        <v>4</v>
      </c>
      <c r="G12" s="22">
        <v>8284</v>
      </c>
      <c r="H12" s="23">
        <v>7416</v>
      </c>
      <c r="I12" s="34">
        <v>9</v>
      </c>
      <c r="J12" s="35">
        <v>9</v>
      </c>
      <c r="K12" s="23">
        <f t="shared" si="0"/>
        <v>920.44444444444446</v>
      </c>
      <c r="L12" s="24">
        <f t="shared" si="1"/>
        <v>824</v>
      </c>
    </row>
    <row r="13" spans="5:15" x14ac:dyDescent="0.25">
      <c r="E13" s="36" t="s">
        <v>19</v>
      </c>
      <c r="F13" s="37"/>
      <c r="G13" s="37"/>
      <c r="H13" s="37"/>
      <c r="I13" s="37"/>
      <c r="J13" s="37"/>
      <c r="K13" s="37"/>
      <c r="L13" s="38"/>
    </row>
    <row r="14" spans="5:15" x14ac:dyDescent="0.25">
      <c r="E14" s="12" t="s">
        <v>20</v>
      </c>
      <c r="F14" s="27" t="s">
        <v>21</v>
      </c>
      <c r="G14" s="19">
        <v>9339</v>
      </c>
      <c r="H14" s="20">
        <v>9008</v>
      </c>
      <c r="I14" s="32">
        <v>7</v>
      </c>
      <c r="J14" s="33">
        <v>7</v>
      </c>
      <c r="K14" s="20">
        <f t="shared" ref="K14:L16" si="2">IFERROR(G14/I14,"-")</f>
        <v>1334.1428571428571</v>
      </c>
      <c r="L14" s="21">
        <f t="shared" si="2"/>
        <v>1286.8571428571429</v>
      </c>
    </row>
    <row r="15" spans="5:15" x14ac:dyDescent="0.25">
      <c r="E15" s="12" t="s">
        <v>22</v>
      </c>
      <c r="F15" s="27" t="s">
        <v>21</v>
      </c>
      <c r="G15" s="19">
        <v>9514</v>
      </c>
      <c r="H15" s="20">
        <v>7315</v>
      </c>
      <c r="I15" s="32">
        <v>7</v>
      </c>
      <c r="J15" s="33">
        <v>7</v>
      </c>
      <c r="K15" s="20">
        <f t="shared" si="2"/>
        <v>1359.1428571428571</v>
      </c>
      <c r="L15" s="21">
        <f t="shared" si="2"/>
        <v>1045</v>
      </c>
    </row>
    <row r="16" spans="5:15" x14ac:dyDescent="0.25">
      <c r="E16" s="12" t="s">
        <v>23</v>
      </c>
      <c r="F16" s="27" t="s">
        <v>4</v>
      </c>
      <c r="G16" s="19">
        <v>1974</v>
      </c>
      <c r="H16" s="20">
        <v>869</v>
      </c>
      <c r="I16" s="32">
        <v>7</v>
      </c>
      <c r="J16" s="33">
        <v>7</v>
      </c>
      <c r="K16" s="20">
        <f t="shared" si="2"/>
        <v>282</v>
      </c>
      <c r="L16" s="21">
        <f t="shared" si="2"/>
        <v>124.14285714285714</v>
      </c>
    </row>
    <row r="17" spans="5:14" x14ac:dyDescent="0.25">
      <c r="E17" s="36" t="s">
        <v>24</v>
      </c>
      <c r="F17" s="37"/>
      <c r="G17" s="37"/>
      <c r="H17" s="37"/>
      <c r="I17" s="37"/>
      <c r="J17" s="37"/>
      <c r="K17" s="37"/>
      <c r="L17" s="38"/>
    </row>
    <row r="18" spans="5:14" x14ac:dyDescent="0.25">
      <c r="E18" s="12" t="s">
        <v>25</v>
      </c>
      <c r="F18" s="27" t="s">
        <v>21</v>
      </c>
      <c r="G18" s="19">
        <v>44340</v>
      </c>
      <c r="H18" s="20">
        <v>42031</v>
      </c>
      <c r="I18" s="32">
        <v>9</v>
      </c>
      <c r="J18" s="33">
        <v>9</v>
      </c>
      <c r="K18" s="20">
        <f t="shared" ref="K18:L21" si="3">IFERROR(G18/I18,"-")</f>
        <v>4926.666666666667</v>
      </c>
      <c r="L18" s="21">
        <f t="shared" si="3"/>
        <v>4670.1111111111113</v>
      </c>
      <c r="N18" s="6"/>
    </row>
    <row r="19" spans="5:14" x14ac:dyDescent="0.25">
      <c r="E19" s="12" t="s">
        <v>26</v>
      </c>
      <c r="F19" s="27" t="s">
        <v>21</v>
      </c>
      <c r="G19" s="19">
        <v>32000</v>
      </c>
      <c r="H19" s="20">
        <v>36500</v>
      </c>
      <c r="I19" s="32">
        <v>9</v>
      </c>
      <c r="J19" s="33">
        <v>9</v>
      </c>
      <c r="K19" s="20">
        <f t="shared" si="3"/>
        <v>3555.5555555555557</v>
      </c>
      <c r="L19" s="21">
        <f t="shared" si="3"/>
        <v>4055.5555555555557</v>
      </c>
    </row>
    <row r="20" spans="5:14" x14ac:dyDescent="0.25">
      <c r="E20" s="11" t="s">
        <v>27</v>
      </c>
      <c r="F20" s="25" t="s">
        <v>21</v>
      </c>
      <c r="G20" s="14">
        <v>6724</v>
      </c>
      <c r="H20" s="15">
        <v>6323</v>
      </c>
      <c r="I20" s="30">
        <v>11</v>
      </c>
      <c r="J20" s="31">
        <v>11</v>
      </c>
      <c r="K20" s="16">
        <f t="shared" si="3"/>
        <v>611.27272727272725</v>
      </c>
      <c r="L20" s="17">
        <f t="shared" si="3"/>
        <v>574.81818181818187</v>
      </c>
    </row>
    <row r="21" spans="5:14" x14ac:dyDescent="0.25">
      <c r="E21" s="11" t="s">
        <v>28</v>
      </c>
      <c r="F21" s="25" t="s">
        <v>21</v>
      </c>
      <c r="G21" s="14">
        <v>6032</v>
      </c>
      <c r="H21" s="15">
        <v>5941</v>
      </c>
      <c r="I21" s="30">
        <v>7</v>
      </c>
      <c r="J21" s="31">
        <v>7</v>
      </c>
      <c r="K21" s="16">
        <f t="shared" si="3"/>
        <v>861.71428571428567</v>
      </c>
      <c r="L21" s="17">
        <f t="shared" si="3"/>
        <v>848.71428571428567</v>
      </c>
    </row>
    <row r="22" spans="5:14" x14ac:dyDescent="0.25">
      <c r="E22" s="36" t="s">
        <v>30</v>
      </c>
      <c r="F22" s="37"/>
      <c r="G22" s="37"/>
      <c r="H22" s="37"/>
      <c r="I22" s="37"/>
      <c r="J22" s="37"/>
      <c r="K22" s="37"/>
      <c r="L22" s="38"/>
    </row>
    <row r="23" spans="5:14" x14ac:dyDescent="0.25">
      <c r="E23" s="12" t="s">
        <v>31</v>
      </c>
      <c r="F23" s="27" t="s">
        <v>21</v>
      </c>
      <c r="G23" s="19">
        <v>72200</v>
      </c>
      <c r="H23" s="20">
        <v>65609</v>
      </c>
      <c r="I23" s="32">
        <v>6</v>
      </c>
      <c r="J23" s="33">
        <v>6</v>
      </c>
      <c r="K23" s="20">
        <f>IFERROR(G23/I23,"-")</f>
        <v>12033.333333333334</v>
      </c>
      <c r="L23" s="21">
        <f>IFERROR(H23/J23,"-")</f>
        <v>10934.833333333334</v>
      </c>
    </row>
    <row r="24" spans="5:14" x14ac:dyDescent="0.25">
      <c r="E24" s="11" t="s">
        <v>32</v>
      </c>
      <c r="F24" s="25" t="s">
        <v>8</v>
      </c>
      <c r="G24" s="14" t="s">
        <v>8</v>
      </c>
      <c r="H24" s="15" t="s">
        <v>8</v>
      </c>
      <c r="I24" s="30">
        <v>9</v>
      </c>
      <c r="J24" s="31">
        <v>9</v>
      </c>
      <c r="K24" s="16" t="str">
        <f>IFERROR(G24/I24,"-")</f>
        <v>-</v>
      </c>
      <c r="L24" s="17" t="str">
        <f>IFERROR(H24/J24,"-")</f>
        <v>-</v>
      </c>
    </row>
    <row r="25" spans="5:14" x14ac:dyDescent="0.25">
      <c r="E25" s="36" t="s">
        <v>33</v>
      </c>
      <c r="F25" s="37"/>
      <c r="G25" s="37"/>
      <c r="H25" s="37"/>
      <c r="I25" s="37"/>
      <c r="J25" s="37"/>
      <c r="K25" s="37"/>
      <c r="L25" s="38"/>
    </row>
    <row r="26" spans="5:14" x14ac:dyDescent="0.25">
      <c r="E26" s="11" t="s">
        <v>34</v>
      </c>
      <c r="F26" s="25" t="s">
        <v>21</v>
      </c>
      <c r="G26" s="14" t="s">
        <v>8</v>
      </c>
      <c r="H26" s="15" t="s">
        <v>8</v>
      </c>
      <c r="I26" s="30">
        <v>9</v>
      </c>
      <c r="J26" s="31">
        <v>9</v>
      </c>
      <c r="K26" s="16" t="str">
        <f t="shared" ref="K26:L28" si="4">IFERROR(G26/I26,"-")</f>
        <v>-</v>
      </c>
      <c r="L26" s="17" t="str">
        <f t="shared" si="4"/>
        <v>-</v>
      </c>
    </row>
    <row r="27" spans="5:14" x14ac:dyDescent="0.25">
      <c r="E27" s="11" t="s">
        <v>35</v>
      </c>
      <c r="F27" s="25" t="s">
        <v>21</v>
      </c>
      <c r="G27" s="14">
        <f>2160/O5</f>
        <v>2160</v>
      </c>
      <c r="H27" s="15">
        <f>2104/O5</f>
        <v>2104</v>
      </c>
      <c r="I27" s="30">
        <v>7</v>
      </c>
      <c r="J27" s="31">
        <v>7</v>
      </c>
      <c r="K27" s="16">
        <f t="shared" si="4"/>
        <v>308.57142857142856</v>
      </c>
      <c r="L27" s="17">
        <f t="shared" si="4"/>
        <v>300.57142857142856</v>
      </c>
    </row>
    <row r="28" spans="5:14" x14ac:dyDescent="0.25">
      <c r="E28" s="13" t="s">
        <v>36</v>
      </c>
      <c r="F28" s="28" t="s">
        <v>21</v>
      </c>
      <c r="G28" s="22">
        <f>16000/O5</f>
        <v>16000</v>
      </c>
      <c r="H28" s="23">
        <f>15000/O5</f>
        <v>15000</v>
      </c>
      <c r="I28" s="34">
        <v>11</v>
      </c>
      <c r="J28" s="35">
        <v>11</v>
      </c>
      <c r="K28" s="23">
        <f t="shared" si="4"/>
        <v>1454.5454545454545</v>
      </c>
      <c r="L28" s="24">
        <f t="shared" si="4"/>
        <v>1363.6363636363637</v>
      </c>
    </row>
    <row r="29" spans="5:14" x14ac:dyDescent="0.25">
      <c r="E29" s="36" t="s">
        <v>41</v>
      </c>
      <c r="F29" s="37"/>
      <c r="G29" s="37"/>
      <c r="H29" s="37"/>
      <c r="I29" s="37"/>
      <c r="J29" s="37"/>
      <c r="K29" s="37"/>
      <c r="L29" s="38"/>
    </row>
    <row r="30" spans="5:14" x14ac:dyDescent="0.25">
      <c r="E30" s="7" t="s">
        <v>42</v>
      </c>
      <c r="F30" s="43" t="s">
        <v>21</v>
      </c>
      <c r="G30" s="44"/>
      <c r="H30" s="45"/>
      <c r="I30" s="29"/>
      <c r="J30" s="9"/>
      <c r="K30" s="46"/>
      <c r="L30" s="47"/>
    </row>
  </sheetData>
  <mergeCells count="3">
    <mergeCell ref="G3:H3"/>
    <mergeCell ref="I3:J3"/>
    <mergeCell ref="K3:L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A6C0-D290-45DA-8709-0A8A17E36D1C}">
  <dimension ref="A1:AM1"/>
  <sheetViews>
    <sheetView workbookViewId="0"/>
  </sheetViews>
  <sheetFormatPr defaultRowHeight="15" x14ac:dyDescent="0.25"/>
  <sheetData>
    <row r="1" spans="1:39" x14ac:dyDescent="0.25">
      <c r="A1">
        <v>39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175B-9E7B-476E-8D3A-3AC4D7A5403B}">
  <dimension ref="B2:AB37"/>
  <sheetViews>
    <sheetView showGridLines="0" zoomScaleNormal="100" workbookViewId="0">
      <selection activeCell="H16" sqref="H16"/>
    </sheetView>
  </sheetViews>
  <sheetFormatPr defaultRowHeight="15" x14ac:dyDescent="0.25"/>
  <cols>
    <col min="2" max="2" width="13" bestFit="1" customWidth="1"/>
    <col min="4" max="4" width="1.7109375" customWidth="1"/>
    <col min="5" max="5" width="15.140625" customWidth="1"/>
    <col min="6" max="6" width="8.140625" hidden="1" customWidth="1"/>
    <col min="7" max="9" width="11.42578125" customWidth="1"/>
    <col min="10" max="12" width="8.28515625" customWidth="1"/>
    <col min="13" max="15" width="10.5703125" customWidth="1"/>
    <col min="16" max="16" width="0.28515625" customWidth="1"/>
    <col min="17" max="25" width="9.28515625" customWidth="1"/>
  </cols>
  <sheetData>
    <row r="2" spans="2:28" x14ac:dyDescent="0.25">
      <c r="Q2" s="48" t="s">
        <v>68</v>
      </c>
      <c r="R2" s="48" t="s">
        <v>69</v>
      </c>
    </row>
    <row r="3" spans="2:28" ht="16.5" x14ac:dyDescent="0.3">
      <c r="E3" s="49"/>
      <c r="F3" s="49"/>
      <c r="G3" s="159" t="s">
        <v>37</v>
      </c>
      <c r="H3" s="160"/>
      <c r="I3" s="161"/>
      <c r="J3" s="159" t="s">
        <v>15</v>
      </c>
      <c r="K3" s="160"/>
      <c r="L3" s="160"/>
      <c r="M3" s="162" t="s">
        <v>16</v>
      </c>
      <c r="N3" s="163"/>
      <c r="O3" s="164"/>
      <c r="P3" s="55"/>
      <c r="Q3" s="162" t="s">
        <v>44</v>
      </c>
      <c r="R3" s="163"/>
      <c r="S3" s="164"/>
      <c r="T3" s="162" t="s">
        <v>45</v>
      </c>
      <c r="U3" s="163"/>
      <c r="V3" s="164"/>
      <c r="W3" s="162" t="s">
        <v>46</v>
      </c>
      <c r="X3" s="163"/>
      <c r="Y3" s="164"/>
    </row>
    <row r="4" spans="2:28" ht="16.5" x14ac:dyDescent="0.3">
      <c r="B4" t="s">
        <v>47</v>
      </c>
      <c r="E4" s="56" t="s">
        <v>5</v>
      </c>
      <c r="F4" s="57" t="s">
        <v>6</v>
      </c>
      <c r="G4" s="50">
        <v>2024</v>
      </c>
      <c r="H4" s="51">
        <v>2023</v>
      </c>
      <c r="I4" s="51">
        <v>2022</v>
      </c>
      <c r="J4" s="50">
        <v>2024</v>
      </c>
      <c r="K4" s="51">
        <v>2023</v>
      </c>
      <c r="L4" s="58">
        <v>2022</v>
      </c>
      <c r="M4" s="50">
        <v>2024</v>
      </c>
      <c r="N4" s="51">
        <v>2023</v>
      </c>
      <c r="O4" s="54">
        <v>2022</v>
      </c>
      <c r="P4" s="59"/>
      <c r="Q4" s="50">
        <v>2024</v>
      </c>
      <c r="R4" s="51">
        <v>2023</v>
      </c>
      <c r="S4" s="52">
        <v>2022</v>
      </c>
      <c r="T4" s="50">
        <v>2024</v>
      </c>
      <c r="U4" s="51">
        <v>2023</v>
      </c>
      <c r="V4" s="52">
        <v>2022</v>
      </c>
      <c r="W4" s="50">
        <v>2024</v>
      </c>
      <c r="X4" s="51">
        <v>2023</v>
      </c>
      <c r="Y4" s="52">
        <v>2022</v>
      </c>
      <c r="AB4" s="118">
        <v>2024</v>
      </c>
    </row>
    <row r="5" spans="2:28" ht="16.5" x14ac:dyDescent="0.3">
      <c r="E5" s="60" t="s">
        <v>18</v>
      </c>
      <c r="F5" s="61"/>
      <c r="G5" s="61"/>
      <c r="H5" s="61"/>
      <c r="I5" s="61"/>
      <c r="J5" s="61"/>
      <c r="K5" s="61"/>
      <c r="L5" s="61"/>
      <c r="M5" s="60"/>
      <c r="N5" s="61"/>
      <c r="O5" s="62"/>
      <c r="P5" s="63"/>
      <c r="Q5" s="61"/>
      <c r="R5" s="61"/>
      <c r="S5" s="61"/>
      <c r="T5" s="61"/>
      <c r="U5" s="61"/>
      <c r="V5" s="61"/>
      <c r="W5" s="60"/>
      <c r="X5" s="61"/>
      <c r="Y5" s="62"/>
      <c r="AB5" s="118">
        <v>2023</v>
      </c>
    </row>
    <row r="6" spans="2:28" ht="16.5" x14ac:dyDescent="0.3">
      <c r="B6" t="s">
        <v>51</v>
      </c>
      <c r="E6" s="64" t="s">
        <v>3</v>
      </c>
      <c r="F6" s="59" t="s">
        <v>4</v>
      </c>
      <c r="G6" s="65">
        <v>3383</v>
      </c>
      <c r="H6" s="66">
        <v>999</v>
      </c>
      <c r="I6" s="67">
        <v>2873</v>
      </c>
      <c r="J6" s="68">
        <v>9</v>
      </c>
      <c r="K6" s="69">
        <v>7</v>
      </c>
      <c r="L6" s="53">
        <v>7</v>
      </c>
      <c r="M6" s="65">
        <f t="shared" ref="M6:N12" si="0">IFERROR(G6/J6,"-")</f>
        <v>375.88888888888891</v>
      </c>
      <c r="N6" s="66">
        <f t="shared" si="0"/>
        <v>142.71428571428572</v>
      </c>
      <c r="O6" s="70">
        <f>I6/L6</f>
        <v>410.42857142857144</v>
      </c>
      <c r="P6" s="63"/>
      <c r="Q6" s="71" cm="1">
        <f t="array" ref="Q6">G6/(_xll.ciqfunctions.udf.CIQ($B6,$R$2,"FY"&amp;Q$4, , , , "USD")*1000)</f>
        <v>2.9300063658134166E-3</v>
      </c>
      <c r="R6" s="72" cm="1">
        <f t="array" ref="R6">H6/(_xll.ciqfunctions.udf.CIQ($B6,$R$2,"FY"&amp;R$4, , , , "USD")*1000)</f>
        <v>1.2126067403455747E-3</v>
      </c>
      <c r="S6" s="73" cm="1">
        <f t="array" ref="S6">I6/(_xll.ciqfunctions.udf.CIQ($B6,$R$2,"FY"&amp;S$4, , , , "USD")*1000)</f>
        <v>3.483260224878213E-3</v>
      </c>
      <c r="T6" s="71" cm="1">
        <f t="array" ref="T6">G6/(_xll.ciqfunctions.udf.CIQ($B6,"IQ_EBITDA","FY"&amp;Q$4, , , , "USD")*1000)</f>
        <v>8.6220079109407492E-3</v>
      </c>
      <c r="U6" s="72" cm="1">
        <f t="array" ref="U6">H6/(_xll.ciqfunctions.udf.CIQ($B6,"IQ_EBITDA","FY"&amp;R$4, , , , "USD")*1000)</f>
        <v>6.1043420875750059E-3</v>
      </c>
      <c r="V6" s="73" cm="1">
        <f t="array" ref="V6">I6/(_xll.ciqfunctions.udf.CIQ($B6,"IQ_EBITDA","FY"&amp;S$4, , , , "USD")*1000)</f>
        <v>2.2570862925020425E-2</v>
      </c>
      <c r="W6" s="71" cm="1">
        <f t="array" ref="W6">G6/(_xll.ciqfunctions.udf.CIQ($B6,"IQ_ni","FY"&amp;Q$4, , , , "USD")*1000)</f>
        <v>8.4010241153843288E-3</v>
      </c>
      <c r="X6" s="72" cm="1">
        <f t="array" ref="X6">H6/(_xll.ciqfunctions.udf.CIQ($B6,"IQ_ni","FY"&amp;R$4, , , , "USD")*1000)</f>
        <v>5.031478217073785E-2</v>
      </c>
      <c r="Y6" s="73" cm="1">
        <f t="array" ref="Y6">I6/(_xll.ciqfunctions.udf.CIQ($B6,"IQ_ni","FY"&amp;S$4, , , , "USD")*1000)</f>
        <v>4.7680690399136997E-3</v>
      </c>
      <c r="AB6" s="118">
        <v>2022</v>
      </c>
    </row>
    <row r="7" spans="2:28" ht="16.5" x14ac:dyDescent="0.3">
      <c r="B7" t="s">
        <v>56</v>
      </c>
      <c r="E7" s="64" t="s">
        <v>7</v>
      </c>
      <c r="F7" s="74" t="s">
        <v>8</v>
      </c>
      <c r="G7" s="75" t="s">
        <v>8</v>
      </c>
      <c r="H7" s="76" t="s">
        <v>8</v>
      </c>
      <c r="I7" s="76" t="s">
        <v>8</v>
      </c>
      <c r="J7" s="68">
        <v>5</v>
      </c>
      <c r="K7" s="69">
        <v>5</v>
      </c>
      <c r="L7" s="69">
        <v>5</v>
      </c>
      <c r="M7" s="65" t="str">
        <f t="shared" si="0"/>
        <v>-</v>
      </c>
      <c r="N7" s="66" t="str">
        <f t="shared" si="0"/>
        <v>-</v>
      </c>
      <c r="O7" s="77" t="s">
        <v>8</v>
      </c>
      <c r="P7" s="63"/>
      <c r="Q7" s="71" t="s">
        <v>8</v>
      </c>
      <c r="R7" s="72" t="s">
        <v>8</v>
      </c>
      <c r="S7" s="78" t="s">
        <v>8</v>
      </c>
      <c r="T7" s="71" t="s">
        <v>8</v>
      </c>
      <c r="U7" s="72" t="s">
        <v>8</v>
      </c>
      <c r="V7" s="78" t="s">
        <v>8</v>
      </c>
      <c r="W7" s="71" t="s">
        <v>8</v>
      </c>
      <c r="X7" s="72" t="s">
        <v>8</v>
      </c>
      <c r="Y7" s="78" t="s">
        <v>8</v>
      </c>
    </row>
    <row r="8" spans="2:28" ht="16.5" x14ac:dyDescent="0.3">
      <c r="B8" t="s">
        <v>54</v>
      </c>
      <c r="E8" s="64" t="s">
        <v>9</v>
      </c>
      <c r="F8" s="59" t="s">
        <v>4</v>
      </c>
      <c r="G8" s="65">
        <v>540</v>
      </c>
      <c r="H8" s="66">
        <v>538</v>
      </c>
      <c r="I8" s="66">
        <v>530</v>
      </c>
      <c r="J8" s="68">
        <v>8</v>
      </c>
      <c r="K8" s="69">
        <v>8</v>
      </c>
      <c r="L8" s="69">
        <v>8</v>
      </c>
      <c r="M8" s="65">
        <f t="shared" si="0"/>
        <v>67.5</v>
      </c>
      <c r="N8" s="66">
        <f t="shared" si="0"/>
        <v>67.25</v>
      </c>
      <c r="O8" s="77">
        <f t="shared" ref="O8:O12" si="1">I8/L8</f>
        <v>66.25</v>
      </c>
      <c r="P8" s="63"/>
      <c r="Q8" s="71" cm="1">
        <f t="array" ref="Q8">G8/(_xll.ciqfunctions.udf.CIQ($B8,$R$2,"FY"&amp;Q$4, , , , "USD")*1000)</f>
        <v>2.4880172023352347E-4</v>
      </c>
      <c r="R8" s="72" cm="1">
        <f t="array" ref="R8">H8/(_xll.ciqfunctions.udf.CIQ($B8,$R$2,"FY"&amp;R$4, , , , "USD")*1000)</f>
        <v>2.6756185502921793E-4</v>
      </c>
      <c r="S8" s="78" cm="1">
        <f t="array" ref="S8">I8/(_xll.ciqfunctions.udf.CIQ($B8,$R$2,"FY"&amp;S$4, , , , "USD")*1000)</f>
        <v>2.3296918345180328E-4</v>
      </c>
      <c r="T8" s="71" cm="1">
        <f t="array" ref="T8">G8/(_xll.ciqfunctions.udf.CIQ($B8,"IQ_EBITDA","FY"&amp;Q$4, , , , "USD")*1000)</f>
        <v>3.8019681521801117E-4</v>
      </c>
      <c r="U8" s="72" cm="1">
        <f t="array" ref="U8">H8/(_xll.ciqfunctions.udf.CIQ($B8,"IQ_EBITDA","FY"&amp;R$4, , , , "USD")*1000)</f>
        <v>4.4403324141790214E-4</v>
      </c>
      <c r="V8" s="78" cm="1">
        <f t="array" ref="V8">I8/(_xll.ciqfunctions.udf.CIQ($B8,"IQ_EBITDA","FY"&amp;S$4, , , , "USD")*1000)</f>
        <v>4.0577952543701691E-4</v>
      </c>
      <c r="W8" s="71" cm="1">
        <f t="array" ref="W8">G8/(_xll.ciqfunctions.udf.CIQ($B8,"IQ_ni","FY"&amp;Q$4, , , , "USD")*1000)</f>
        <v>1.1649329300651931E-3</v>
      </c>
      <c r="X8" s="72" cm="1">
        <f t="array" ref="X8">H8/(_xll.ciqfunctions.udf.CIQ($B8,"IQ_ni","FY"&amp;R$4, , , , "USD")*1000)</f>
        <v>1.3609813231875295E-3</v>
      </c>
      <c r="Y8" s="78" cm="1">
        <f t="array" ref="Y8">I8/(_xll.ciqfunctions.udf.CIQ($B8,"IQ_ni","FY"&amp;S$4, , , , "USD")*1000)</f>
        <v>1.0680337498664959E-3</v>
      </c>
    </row>
    <row r="9" spans="2:28" ht="16.5" x14ac:dyDescent="0.3">
      <c r="B9" t="s">
        <v>55</v>
      </c>
      <c r="E9" s="79" t="s">
        <v>10</v>
      </c>
      <c r="F9" s="80" t="s">
        <v>4</v>
      </c>
      <c r="G9" s="81">
        <v>14433</v>
      </c>
      <c r="H9" s="82">
        <v>10571</v>
      </c>
      <c r="I9" s="82">
        <v>7573</v>
      </c>
      <c r="J9" s="83">
        <v>7</v>
      </c>
      <c r="K9" s="84">
        <v>7</v>
      </c>
      <c r="L9" s="84">
        <v>7</v>
      </c>
      <c r="M9" s="85">
        <f t="shared" si="0"/>
        <v>2061.8571428571427</v>
      </c>
      <c r="N9" s="86">
        <f t="shared" si="0"/>
        <v>1510.1428571428571</v>
      </c>
      <c r="O9" s="87">
        <f t="shared" si="1"/>
        <v>1081.8571428571429</v>
      </c>
      <c r="P9" s="63"/>
      <c r="Q9" s="88" cm="1">
        <f t="array" ref="Q9">G9/(_xll.ciqfunctions.udf.CIQ($B9,$R$2,"FY"&amp;Q$4, , , , "USD")*1000)</f>
        <v>1.5026220145108748E-2</v>
      </c>
      <c r="R9" s="89" cm="1">
        <f t="array" ref="R9">H9/(_xll.ciqfunctions.udf.CIQ($B9,$R$2,"FY"&amp;R$4, , , , "USD")*1000)</f>
        <v>1.1970521557356815E-2</v>
      </c>
      <c r="S9" s="90" cm="1">
        <f t="array" ref="S9">I9/(_xll.ciqfunctions.udf.CIQ($B9,$R$2,"FY"&amp;S$4, , , , "USD")*1000)</f>
        <v>7.9609699074706768E-3</v>
      </c>
      <c r="T9" s="88" cm="1">
        <f t="array" ref="T9">G9/(_xll.ciqfunctions.udf.CIQ($B9,"IQ_EBITDA","FY"&amp;Q$4, , , , "USD")*1000)</f>
        <v>3.1959061931892414E-2</v>
      </c>
      <c r="U9" s="89" cm="1">
        <f t="array" ref="U9">H9/(_xll.ciqfunctions.udf.CIQ($B9,"IQ_EBITDA","FY"&amp;R$4, , , , "USD")*1000)</f>
        <v>4.1041429675155006E-2</v>
      </c>
      <c r="V9" s="90" cm="1">
        <f t="array" ref="V9">I9/(_xll.ciqfunctions.udf.CIQ($B9,"IQ_EBITDA","FY"&amp;S$4, , , , "USD")*1000)</f>
        <v>2.6543616633485687E-2</v>
      </c>
      <c r="W9" s="88" cm="1">
        <f t="array" ref="W9">G9/(_xll.ciqfunctions.udf.CIQ($B9,"IQ_ni","FY"&amp;Q$4, , , , "USD")*1000)</f>
        <v>0.10524818971363567</v>
      </c>
      <c r="X9" s="89" cm="1">
        <f t="array" ref="X9">H9/(_xll.ciqfunctions.udf.CIQ($B9,"IQ_ni","FY"&amp;R$4, , , , "USD")*1000)</f>
        <v>-1.0589001302213763</v>
      </c>
      <c r="Y9" s="90" cm="1">
        <f t="array" ref="Y9">I9/(_xll.ciqfunctions.udf.CIQ($B9,"IQ_ni","FY"&amp;S$4, , , , "USD")*1000)</f>
        <v>-9.3054975301663762E-2</v>
      </c>
    </row>
    <row r="10" spans="2:28" ht="16.5" x14ac:dyDescent="0.3">
      <c r="B10" t="s">
        <v>52</v>
      </c>
      <c r="E10" s="79" t="s">
        <v>11</v>
      </c>
      <c r="F10" s="91" t="s">
        <v>8</v>
      </c>
      <c r="G10" s="85">
        <v>11342</v>
      </c>
      <c r="H10" s="86">
        <v>13951</v>
      </c>
      <c r="I10" s="86">
        <v>5496</v>
      </c>
      <c r="J10" s="83">
        <v>5</v>
      </c>
      <c r="K10" s="84">
        <v>5</v>
      </c>
      <c r="L10" s="84">
        <v>5</v>
      </c>
      <c r="M10" s="85">
        <f t="shared" si="0"/>
        <v>2268.4</v>
      </c>
      <c r="N10" s="86">
        <f t="shared" si="0"/>
        <v>2790.2</v>
      </c>
      <c r="O10" s="87">
        <f t="shared" si="1"/>
        <v>1099.2</v>
      </c>
      <c r="P10" s="63"/>
      <c r="Q10" s="88" cm="1">
        <f t="array" ref="Q10">G10/(_xll.ciqfunctions.udf.CIQ($B10,$R$2,"FY"&amp;Q$4, , , , "USD")*1000)</f>
        <v>1.2872224277682318E-2</v>
      </c>
      <c r="R10" s="89" cm="1">
        <f t="array" ref="R10">H10/(_xll.ciqfunctions.udf.CIQ($B10,$R$2,"FY"&amp;R$4, , , , "USD")*1000)</f>
        <v>1.8972253538173653E-2</v>
      </c>
      <c r="S10" s="90" cm="1">
        <f t="array" ref="S10">I10/(_xll.ciqfunctions.udf.CIQ($B10,$R$2,"FY"&amp;S$4, , , , "USD")*1000)</f>
        <v>6.1587491553571367E-3</v>
      </c>
      <c r="T10" s="88" cm="1">
        <f t="array" ref="T10">G10/(_xll.ciqfunctions.udf.CIQ($B10,"IQ_EBITDA","FY"&amp;Q$4, , , , "USD")*1000)</f>
        <v>3.8106565335859884E-2</v>
      </c>
      <c r="U10" s="89" cm="1">
        <f t="array" ref="U10">H10/(_xll.ciqfunctions.udf.CIQ($B10,"IQ_EBITDA","FY"&amp;R$4, , , , "USD")*1000)</f>
        <v>7.5530025770405185E-2</v>
      </c>
      <c r="V10" s="90" cm="1">
        <f t="array" ref="V10">I10/(_xll.ciqfunctions.udf.CIQ($B10,"IQ_EBITDA","FY"&amp;S$4, , , , "USD")*1000)</f>
        <v>1.7338961555206419E-2</v>
      </c>
      <c r="W10" s="88" cm="1">
        <f t="array" ref="W10">G10/(_xll.ciqfunctions.udf.CIQ($B10,"IQ_ni","FY"&amp;Q$4, , , , "USD")*1000)</f>
        <v>2.695982885666746</v>
      </c>
      <c r="X10" s="89" cm="1">
        <f t="array" ref="X10">H10/(_xll.ciqfunctions.udf.CIQ($B10,"IQ_ni","FY"&amp;R$4, , , , "USD")*1000)</f>
        <v>0.29726619931388637</v>
      </c>
      <c r="Y10" s="90" cm="1">
        <f t="array" ref="Y10">I10/(_xll.ciqfunctions.udf.CIQ($B10,"IQ_ni","FY"&amp;S$4, , , , "USD")*1000)</f>
        <v>5.7947176972955879E-2</v>
      </c>
    </row>
    <row r="11" spans="2:28" ht="16.5" x14ac:dyDescent="0.3">
      <c r="B11" t="s">
        <v>53</v>
      </c>
      <c r="E11" s="79" t="s">
        <v>12</v>
      </c>
      <c r="F11" s="91" t="s">
        <v>4</v>
      </c>
      <c r="G11" s="85">
        <v>7829</v>
      </c>
      <c r="H11" s="86">
        <v>7353</v>
      </c>
      <c r="I11" s="86">
        <v>7529</v>
      </c>
      <c r="J11" s="83">
        <v>9</v>
      </c>
      <c r="K11" s="84">
        <v>9</v>
      </c>
      <c r="L11" s="84">
        <v>9</v>
      </c>
      <c r="M11" s="85">
        <f t="shared" si="0"/>
        <v>869.88888888888891</v>
      </c>
      <c r="N11" s="86">
        <f t="shared" si="0"/>
        <v>817</v>
      </c>
      <c r="O11" s="87">
        <f t="shared" si="1"/>
        <v>836.55555555555554</v>
      </c>
      <c r="P11" s="63"/>
      <c r="Q11" s="88" cm="1">
        <f t="array" ref="Q11">G11/(_xll.ciqfunctions.udf.CIQ($B11,$R$2,"FY"&amp;Q$4, , , , "USD")*1000)</f>
        <v>2.8299489495861351E-3</v>
      </c>
      <c r="R11" s="89" cm="1">
        <f t="array" ref="R11">H11/(_xll.ciqfunctions.udf.CIQ($B11,$R$2,"FY"&amp;R$4, , , , "USD")*1000)</f>
        <v>2.8574948323762364E-3</v>
      </c>
      <c r="S11" s="90" cm="1">
        <f t="array" ref="S11">I11/(_xll.ciqfunctions.udf.CIQ($B11,$R$2,"FY"&amp;S$4, , , , "USD")*1000)</f>
        <v>2.4815506972666358E-3</v>
      </c>
      <c r="T11" s="88" cm="1">
        <f t="array" ref="T11">G11/(_xll.ciqfunctions.udf.CIQ($B11,"IQ_EBITDA","FY"&amp;Q$4, , , , "USD")*1000)</f>
        <v>1.2865810370214557E-2</v>
      </c>
      <c r="U11" s="89" cm="1">
        <f t="array" ref="U11">H11/(_xll.ciqfunctions.udf.CIQ($B11,"IQ_EBITDA","FY"&amp;R$4, , , , "USD")*1000)</f>
        <v>2.5339269837550228E-2</v>
      </c>
      <c r="V11" s="90" cm="1">
        <f t="array" ref="V11">I11/(_xll.ciqfunctions.udf.CIQ($B11,"IQ_EBITDA","FY"&amp;S$4, , , , "USD")*1000)</f>
        <v>1.08500946086746E-2</v>
      </c>
      <c r="W11" s="88" cm="1">
        <f t="array" ref="W11">G11/(_xll.ciqfunctions.udf.CIQ($B11,"IQ_ni","FY"&amp;Q$4, , , , "USD")*1000)</f>
        <v>-3.8184655904014049E-2</v>
      </c>
      <c r="X11" s="89" cm="1">
        <f t="array" ref="X11">H11/(_xll.ciqfunctions.udf.CIQ($B11,"IQ_ni","FY"&amp;R$4, , , , "USD")*1000)</f>
        <v>-2.5184266768960982E-2</v>
      </c>
      <c r="Y11" s="90" cm="1">
        <f t="array" ref="Y11">I11/(_xll.ciqfunctions.udf.CIQ($B11,"IQ_ni","FY"&amp;S$4, , , , "USD")*1000)</f>
        <v>0.15150417547036926</v>
      </c>
    </row>
    <row r="12" spans="2:28" ht="16.5" x14ac:dyDescent="0.3">
      <c r="B12" t="s">
        <v>70</v>
      </c>
      <c r="E12" s="92" t="s">
        <v>13</v>
      </c>
      <c r="F12" s="93" t="s">
        <v>4</v>
      </c>
      <c r="G12" s="94">
        <v>8284</v>
      </c>
      <c r="H12" s="95">
        <v>7416</v>
      </c>
      <c r="I12" s="95">
        <v>8295</v>
      </c>
      <c r="J12" s="96">
        <v>9</v>
      </c>
      <c r="K12" s="97">
        <v>9</v>
      </c>
      <c r="L12" s="97">
        <v>9</v>
      </c>
      <c r="M12" s="94">
        <f t="shared" si="0"/>
        <v>920.44444444444446</v>
      </c>
      <c r="N12" s="95">
        <f t="shared" si="0"/>
        <v>824</v>
      </c>
      <c r="O12" s="98">
        <f t="shared" si="1"/>
        <v>921.66666666666663</v>
      </c>
      <c r="P12" s="63"/>
      <c r="Q12" s="99" cm="1">
        <f t="array" ref="Q12">G12/(_xll.ciqfunctions.udf.CIQ($B12,$R$2,"FY"&amp;Q$4, , , , "USD")*1000)</f>
        <v>8.7411997096115204E-3</v>
      </c>
      <c r="R12" s="100" cm="1">
        <f t="array" ref="R12">H12/(_xll.ciqfunctions.udf.CIQ($B12,$R$2,"FY"&amp;R$4, , , , "USD")*1000)</f>
        <v>1.0690253648467096E-2</v>
      </c>
      <c r="S12" s="101" cm="1">
        <f t="array" ref="S12">I12/(_xll.ciqfunctions.udf.CIQ($B12,$R$2,"FY"&amp;S$4, , , , "USD")*1000)</f>
        <v>1.1275849834770398E-2</v>
      </c>
      <c r="T12" s="99" cm="1">
        <f t="array" ref="T12">G12/(_xll.ciqfunctions.udf.CIQ($B12,"IQ_EBITDA","FY"&amp;Q$4, , , , "USD")*1000)</f>
        <v>2.0628209150717405E-2</v>
      </c>
      <c r="U12" s="100" cm="1">
        <f t="array" ref="U12">H12/(_xll.ciqfunctions.udf.CIQ($B12,"IQ_EBITDA","FY"&amp;R$4, , , , "USD")*1000)</f>
        <v>3.2382158373905637E-2</v>
      </c>
      <c r="V12" s="101" cm="1">
        <f t="array" ref="V12">I12/(_xll.ciqfunctions.udf.CIQ($B12,"IQ_EBITDA","FY"&amp;S$4, , , , "USD")*1000)</f>
        <v>4.3011589017655755E-2</v>
      </c>
      <c r="W12" s="99" cm="1">
        <f t="array" ref="W12">G12/(_xll.ciqfunctions.udf.CIQ($B12,"IQ_ni","FY"&amp;Q$4, , , , "USD")*1000)</f>
        <v>8.5397659914437402E-2</v>
      </c>
      <c r="X12" s="100" cm="1">
        <f t="array" ref="X12">H12/(_xll.ciqfunctions.udf.CIQ($B12,"IQ_ni","FY"&amp;R$4, , , , "USD")*1000)</f>
        <v>-0.13482165581936517</v>
      </c>
      <c r="Y12" s="101" cm="1">
        <f t="array" ref="Y12">I12/(_xll.ciqfunctions.udf.CIQ($B12,"IQ_ni","FY"&amp;S$4, , , , "USD")*1000)</f>
        <v>2.8014184397163122</v>
      </c>
    </row>
    <row r="13" spans="2:28" ht="16.5" x14ac:dyDescent="0.3">
      <c r="E13" s="60" t="s">
        <v>19</v>
      </c>
      <c r="F13" s="61"/>
      <c r="G13" s="61"/>
      <c r="H13" s="61"/>
      <c r="I13" s="61"/>
      <c r="J13" s="61"/>
      <c r="K13" s="61"/>
      <c r="L13" s="61"/>
      <c r="M13" s="60"/>
      <c r="N13" s="61"/>
      <c r="O13" s="62"/>
      <c r="P13" s="63"/>
      <c r="Q13" s="102"/>
      <c r="R13" s="103"/>
      <c r="S13" s="104"/>
      <c r="T13" s="102"/>
      <c r="U13" s="103"/>
      <c r="V13" s="104"/>
      <c r="W13" s="102"/>
      <c r="X13" s="103"/>
      <c r="Y13" s="104"/>
    </row>
    <row r="14" spans="2:28" ht="16.5" x14ac:dyDescent="0.3">
      <c r="B14" t="s">
        <v>57</v>
      </c>
      <c r="E14" s="79" t="s">
        <v>20</v>
      </c>
      <c r="F14" s="91" t="s">
        <v>21</v>
      </c>
      <c r="G14" s="85">
        <f>9339/H36</f>
        <v>2476.1374496996132</v>
      </c>
      <c r="H14" s="86">
        <f>9008/I36</f>
        <v>2425.7439118378438</v>
      </c>
      <c r="I14" s="86">
        <v>1589</v>
      </c>
      <c r="J14" s="83">
        <v>7</v>
      </c>
      <c r="K14" s="105">
        <v>7</v>
      </c>
      <c r="L14" s="105">
        <v>7</v>
      </c>
      <c r="M14" s="85">
        <f t="shared" ref="M14:N16" si="2">IFERROR(G14/J14,"-")</f>
        <v>353.73392138565902</v>
      </c>
      <c r="N14" s="86">
        <f t="shared" si="2"/>
        <v>346.53484454826338</v>
      </c>
      <c r="O14" s="87">
        <f>I14/L14</f>
        <v>227</v>
      </c>
      <c r="P14" s="63"/>
      <c r="Q14" s="88" cm="1">
        <f t="array" ref="Q14">G14/(_xll.ciqfunctions.udf.CIQ($B14,$R$2,"FY"&amp;Q$4, , , , "USD")*1000)</f>
        <v>3.3373202163347786E-3</v>
      </c>
      <c r="R14" s="89" cm="1">
        <f t="array" ref="R14">H14/(_xll.ciqfunctions.udf.CIQ($B14,$R$2,"FY"&amp;R$4, , , , "USD")*1000)</f>
        <v>3.4348104778299492E-3</v>
      </c>
      <c r="S14" s="90" cm="1">
        <f t="array" ref="S14">I14/(_xll.ciqfunctions.udf.CIQ($B14,$R$2,"FY"&amp;S$4, , , , "USD")*1000)</f>
        <v>2.5484089852891366E-3</v>
      </c>
      <c r="T14" s="88" cm="1">
        <f t="array" ref="T14">G14/(_xll.ciqfunctions.udf.CIQ($B14,"IQ_EBITDA","FY"&amp;Q$4, , , , "USD")*1000)</f>
        <v>5.781917905385364E-3</v>
      </c>
      <c r="U14" s="89" cm="1">
        <f t="array" ref="U14">H14/(_xll.ciqfunctions.udf.CIQ($B14,"IQ_EBITDA","FY"&amp;R$4, , , , "USD")*1000)</f>
        <v>6.8688116455633995E-3</v>
      </c>
      <c r="V14" s="90" cm="1">
        <f t="array" ref="V14">I14/(_xll.ciqfunctions.udf.CIQ($B14,"IQ_EBITDA","FY"&amp;S$4, , , , "USD")*1000)</f>
        <v>4.817462583338086E-3</v>
      </c>
      <c r="W14" s="88" cm="1">
        <f t="array" ref="W14">G14/(_xll.ciqfunctions.udf.CIQ($B14,"IQ_ni","FY"&amp;Q$4, , , , "USD")*1000)</f>
        <v>1.0053015547244514E-2</v>
      </c>
      <c r="X14" s="89" cm="1">
        <f t="array" ref="X14">H14/(_xll.ciqfunctions.udf.CIQ($B14,"IQ_ni","FY"&amp;R$4, , , , "USD")*1000)</f>
        <v>1.1296260821585847E-2</v>
      </c>
      <c r="Y14" s="90" cm="1">
        <f t="array" ref="Y14">I14/(_xll.ciqfunctions.udf.CIQ($B14,"IQ_ni","FY"&amp;S$4, , , , "USD")*1000)</f>
        <v>7.6730072393785117E-3</v>
      </c>
    </row>
    <row r="15" spans="2:28" ht="16.5" x14ac:dyDescent="0.3">
      <c r="B15" t="s">
        <v>58</v>
      </c>
      <c r="E15" s="79" t="s">
        <v>22</v>
      </c>
      <c r="F15" s="91" t="s">
        <v>21</v>
      </c>
      <c r="G15" s="85">
        <f>9514/H36</f>
        <v>2522.5368558134833</v>
      </c>
      <c r="H15" s="86">
        <v>130</v>
      </c>
      <c r="I15" s="86">
        <v>2311</v>
      </c>
      <c r="J15" s="83">
        <v>7</v>
      </c>
      <c r="K15" s="84">
        <v>7</v>
      </c>
      <c r="L15" s="84">
        <v>7</v>
      </c>
      <c r="M15" s="85">
        <f t="shared" si="2"/>
        <v>360.36240797335478</v>
      </c>
      <c r="N15" s="86">
        <f t="shared" si="2"/>
        <v>18.571428571428573</v>
      </c>
      <c r="O15" s="87">
        <f>I15/L15</f>
        <v>330.14285714285717</v>
      </c>
      <c r="P15" s="63"/>
      <c r="Q15" s="88" cm="1">
        <f t="array" ref="Q15">G15/(_xll.ciqfunctions.udf.CIQ($B15,$R$2,"FY"&amp;Q$4, , , , "USD")*1000)</f>
        <v>2.3208285841579985E-3</v>
      </c>
      <c r="R15" s="89" cm="1">
        <f t="array" ref="R15">H15/(_xll.ciqfunctions.udf.CIQ($B15,$R$2,"FY"&amp;R$4, , , , "USD")*1000)</f>
        <v>1.1680065993451024E-4</v>
      </c>
      <c r="S15" s="90" cm="1">
        <f t="array" ref="S15">I15/(_xll.ciqfunctions.udf.CIQ($B15,$R$2,"FY"&amp;S$4, , , , "USD")*1000)</f>
        <v>2.2449498706385278E-3</v>
      </c>
      <c r="T15" s="88" cm="1">
        <f t="array" ref="T15">G15/(_xll.ciqfunctions.udf.CIQ($B15,"IQ_EBITDA","FY"&amp;Q$4, , , , "USD")*1000)</f>
        <v>9.5078863639056245E-3</v>
      </c>
      <c r="U15" s="89" cm="1">
        <f t="array" ref="U15">H15/(_xll.ciqfunctions.udf.CIQ($B15,"IQ_EBITDA","FY"&amp;R$4, , , , "USD")*1000)</f>
        <v>5.0330598471854629E-4</v>
      </c>
      <c r="V15" s="90" cm="1">
        <f t="array" ref="V15">I15/(_xll.ciqfunctions.udf.CIQ($B15,"IQ_EBITDA","FY"&amp;S$4, , , , "USD")*1000)</f>
        <v>9.0679216366770631E-3</v>
      </c>
      <c r="W15" s="88" cm="1">
        <f t="array" ref="W15">G15/(_xll.ciqfunctions.udf.CIQ($B15,"IQ_ni","FY"&amp;Q$4, , , , "USD")*1000)</f>
        <v>2.4799096881833002E-2</v>
      </c>
      <c r="X15" s="89" cm="1">
        <f t="array" ref="X15">H15/(_xll.ciqfunctions.udf.CIQ($B15,"IQ_ni","FY"&amp;R$4, , , , "USD")*1000)</f>
        <v>1.1138709405723291E-3</v>
      </c>
      <c r="Y15" s="90" cm="1">
        <f t="array" ref="Y15">I15/(_xll.ciqfunctions.udf.CIQ($B15,"IQ_ni","FY"&amp;S$4, , , , "USD")*1000)</f>
        <v>1.8375866055123778E-2</v>
      </c>
    </row>
    <row r="16" spans="2:28" ht="16.5" x14ac:dyDescent="0.3">
      <c r="B16" t="s">
        <v>59</v>
      </c>
      <c r="E16" s="79" t="s">
        <v>23</v>
      </c>
      <c r="F16" s="91" t="s">
        <v>4</v>
      </c>
      <c r="G16" s="85">
        <v>1974</v>
      </c>
      <c r="H16" s="86">
        <v>869</v>
      </c>
      <c r="I16" s="86">
        <v>45</v>
      </c>
      <c r="J16" s="83">
        <v>7</v>
      </c>
      <c r="K16" s="97">
        <v>7</v>
      </c>
      <c r="L16" s="97">
        <v>7</v>
      </c>
      <c r="M16" s="85">
        <f t="shared" si="2"/>
        <v>282</v>
      </c>
      <c r="N16" s="86">
        <f t="shared" si="2"/>
        <v>124.14285714285714</v>
      </c>
      <c r="O16" s="87">
        <f>I16/L16</f>
        <v>6.4285714285714288</v>
      </c>
      <c r="P16" s="63"/>
      <c r="Q16" s="88" cm="1">
        <f t="array" ref="Q16">G16/(_xll.ciqfunctions.udf.CIQ($B16,$R$2,"FY"&amp;Q$4, , , , "USD")*1000)</f>
        <v>2.7257023792592551E-3</v>
      </c>
      <c r="R16" s="89" cm="1">
        <f t="array" ref="R16">H16/(_xll.ciqfunctions.udf.CIQ($B16,$R$2,"FY"&amp;R$4, , , , "USD")*1000)</f>
        <v>1.293533967547034E-3</v>
      </c>
      <c r="S16" s="90" cm="1">
        <f t="array" ref="S16">I16/(_xll.ciqfunctions.udf.CIQ($B16,$R$2,"FY"&amp;S$4, , , , "USD")*1000)</f>
        <v>8.1094669917661878E-5</v>
      </c>
      <c r="T16" s="88" cm="1">
        <f t="array" ref="T16">G16/(_xll.ciqfunctions.udf.CIQ($B16,"IQ_EBITDA","FY"&amp;Q$4, , , , "USD")*1000)</f>
        <v>7.5640008736535961E-3</v>
      </c>
      <c r="U16" s="89" cm="1">
        <f t="array" ref="U16">H16/(_xll.ciqfunctions.udf.CIQ($B16,"IQ_EBITDA","FY"&amp;R$4, , , , "USD")*1000)</f>
        <v>5.3140746538819037E-3</v>
      </c>
      <c r="V16" s="90" cm="1">
        <f t="array" ref="V16">I16/(_xll.ciqfunctions.udf.CIQ($B16,"IQ_EBITDA","FY"&amp;S$4, , , , "USD")*1000)</f>
        <v>2.3864829605116619E-4</v>
      </c>
      <c r="W16" s="88" cm="1">
        <f t="array" ref="W16">G16/(_xll.ciqfunctions.udf.CIQ($B16,"IQ_ni","FY"&amp;Q$4, , , , "USD")*1000)</f>
        <v>2.002414258325641E-2</v>
      </c>
      <c r="X16" s="89" cm="1">
        <f t="array" ref="X16">H16/(_xll.ciqfunctions.udf.CIQ($B16,"IQ_ni","FY"&amp;R$4, , , , "USD")*1000)</f>
        <v>0.14483333333333334</v>
      </c>
      <c r="Y16" s="90" cm="1">
        <f t="array" ref="Y16">I16/(_xll.ciqfunctions.udf.CIQ($B16,"IQ_ni","FY"&amp;S$4, , , , "USD")*1000)</f>
        <v>6.9071373752877961E-4</v>
      </c>
    </row>
    <row r="17" spans="2:25" ht="16.5" x14ac:dyDescent="0.3">
      <c r="E17" s="60" t="s">
        <v>40</v>
      </c>
      <c r="F17" s="61"/>
      <c r="G17" s="61"/>
      <c r="H17" s="61"/>
      <c r="I17" s="61"/>
      <c r="J17" s="61"/>
      <c r="K17" s="61"/>
      <c r="L17" s="61"/>
      <c r="M17" s="60"/>
      <c r="N17" s="61"/>
      <c r="O17" s="62"/>
      <c r="P17" s="63"/>
      <c r="Q17" s="102"/>
      <c r="R17" s="103"/>
      <c r="S17" s="104"/>
      <c r="T17" s="102"/>
      <c r="U17" s="103"/>
      <c r="V17" s="104"/>
      <c r="W17" s="102"/>
      <c r="X17" s="103"/>
      <c r="Y17" s="104"/>
    </row>
    <row r="18" spans="2:25" ht="16.5" x14ac:dyDescent="0.3">
      <c r="B18" t="s">
        <v>60</v>
      </c>
      <c r="E18" s="79" t="s">
        <v>25</v>
      </c>
      <c r="F18" s="91" t="s">
        <v>21</v>
      </c>
      <c r="G18" s="85">
        <f>44340/H36</f>
        <v>11756.28381193713</v>
      </c>
      <c r="H18" s="86">
        <f>42031/I36</f>
        <v>11318.432766258484</v>
      </c>
      <c r="I18" s="86">
        <v>15183</v>
      </c>
      <c r="J18" s="83">
        <v>9</v>
      </c>
      <c r="K18" s="105">
        <v>9</v>
      </c>
      <c r="L18" s="84">
        <v>9</v>
      </c>
      <c r="M18" s="85">
        <f t="shared" ref="M18:N21" si="3">IFERROR(G18/J18,"-")</f>
        <v>1306.2537568819034</v>
      </c>
      <c r="N18" s="86">
        <f t="shared" si="3"/>
        <v>1257.6036406953872</v>
      </c>
      <c r="O18" s="87">
        <f>I18/L18</f>
        <v>1687</v>
      </c>
      <c r="P18" s="63"/>
      <c r="Q18" s="88" cm="1">
        <f t="array" ref="Q18">G18/(_xll.ciqfunctions.udf.CIQ($B18,$R$2,"FY"&amp;Q$4, , , , "USD")*1000)</f>
        <v>5.8478946067781427E-3</v>
      </c>
      <c r="R18" s="89" cm="1">
        <f t="array" ref="R18">H18/(_xll.ciqfunctions.udf.CIQ($B18,$R$2,"FY"&amp;R$4, , , , "USD")*1000)</f>
        <v>6.0547217032870162E-3</v>
      </c>
      <c r="S18" s="90" cm="1">
        <f t="array" ref="S18">I18/(_xll.ciqfunctions.udf.CIQ($B18,$R$2,"FY"&amp;S$4, , , , "USD")*1000)</f>
        <v>8.7941324352904058E-3</v>
      </c>
      <c r="T18" s="88" cm="1">
        <f t="array" ref="T18">G18/(_xll.ciqfunctions.udf.CIQ($B18,"IQ_EBITDA","FY"&amp;Q$4, , , , "USD")*1000)</f>
        <v>4.4382029185036843E-2</v>
      </c>
      <c r="U18" s="89" cm="1">
        <f t="array" ref="U18">H18/(_xll.ciqfunctions.udf.CIQ($B18,"IQ_EBITDA","FY"&amp;R$4, , , , "USD")*1000)</f>
        <v>5.1510976844605379E-2</v>
      </c>
      <c r="V18" s="90" cm="1">
        <f t="array" ref="V18">I18/(_xll.ciqfunctions.udf.CIQ($B18,"IQ_EBITDA","FY"&amp;S$4, , , , "USD")*1000)</f>
        <v>7.7775729894720258E-2</v>
      </c>
      <c r="W18" s="88" cm="1">
        <f t="array" ref="W18">G18/(_xll.ciqfunctions.udf.CIQ($B18,"IQ_ni","FY"&amp;Q$4, , , , "USD")*1000)</f>
        <v>9.0711387514592914E-2</v>
      </c>
      <c r="X18" s="89" cm="1">
        <f t="array" ref="X18">H18/(_xll.ciqfunctions.udf.CIQ($B18,"IQ_ni","FY"&amp;R$4, , , , "USD")*1000)</f>
        <v>9.6878884764999659E-2</v>
      </c>
      <c r="Y18" s="90" cm="1">
        <f t="array" ref="Y18">I18/(_xll.ciqfunctions.udf.CIQ($B18,"IQ_ni","FY"&amp;S$4, , , , "USD")*1000)</f>
        <v>0.13806747546581064</v>
      </c>
    </row>
    <row r="19" spans="2:25" ht="16.5" x14ac:dyDescent="0.3">
      <c r="B19" t="s">
        <v>61</v>
      </c>
      <c r="E19" s="79" t="s">
        <v>26</v>
      </c>
      <c r="F19" s="91" t="s">
        <v>21</v>
      </c>
      <c r="G19" s="85">
        <f>32000/H36</f>
        <v>8484.4628322505214</v>
      </c>
      <c r="H19" s="86">
        <f>36500/I36</f>
        <v>9829.0023070694169</v>
      </c>
      <c r="I19" s="86">
        <v>438</v>
      </c>
      <c r="J19" s="83">
        <v>9</v>
      </c>
      <c r="K19" s="84">
        <v>9</v>
      </c>
      <c r="L19" s="84">
        <v>9</v>
      </c>
      <c r="M19" s="85">
        <f t="shared" si="3"/>
        <v>942.7180924722802</v>
      </c>
      <c r="N19" s="86">
        <f t="shared" si="3"/>
        <v>1092.1113674521575</v>
      </c>
      <c r="O19" s="87">
        <f>I19/L19</f>
        <v>48.666666666666664</v>
      </c>
      <c r="P19" s="63"/>
      <c r="Q19" s="88" cm="1">
        <f t="array" ref="Q19">G19/(_xll.ciqfunctions.udf.CIQ($B19,$R$2,"FY"&amp;Q$4, , , , "USD")*1000)</f>
        <v>1.8249309638251308E-2</v>
      </c>
      <c r="R19" s="89" cm="1">
        <f t="array" ref="R19">H19/(_xll.ciqfunctions.udf.CIQ($B19,$R$2,"FY"&amp;R$4, , , , "USD")*1000)</f>
        <v>8.4854613641291623E-3</v>
      </c>
      <c r="S19" s="90" cm="1">
        <f t="array" ref="S19">I19/(_xll.ciqfunctions.udf.CIQ($B19,$R$2,"FY"&amp;S$4, , , , "USD")*1000)</f>
        <v>3.7873753308235601E-4</v>
      </c>
      <c r="T19" s="88" cm="1">
        <f t="array" ref="T19">G19/(_xll.ciqfunctions.udf.CIQ($B19,"IQ_EBITDA","FY"&amp;Q$4, , , , "USD")*1000)</f>
        <v>6.9362558461177976E-2</v>
      </c>
      <c r="U19" s="89" cm="1">
        <f t="array" ref="U19">H19/(_xll.ciqfunctions.udf.CIQ($B19,"IQ_EBITDA","FY"&amp;R$4, , , , "USD")*1000)</f>
        <v>6.1072634458524441E-2</v>
      </c>
      <c r="V19" s="90" cm="1">
        <f t="array" ref="V19">I19/(_xll.ciqfunctions.udf.CIQ($B19,"IQ_EBITDA","FY"&amp;S$4, , , , "USD")*1000)</f>
        <v>4.2332783812562037E-3</v>
      </c>
      <c r="W19" s="88" cm="1">
        <f t="array" ref="W19">G19/(_xll.ciqfunctions.udf.CIQ($B19,"IQ_ni","FY"&amp;Q$4, , , , "USD")*1000)</f>
        <v>-0.12929918956583994</v>
      </c>
      <c r="X19" s="89" cm="1">
        <f t="array" ref="X19">H19/(_xll.ciqfunctions.udf.CIQ($B19,"IQ_ni","FY"&amp;R$4, , , , "USD")*1000)</f>
        <v>0.43144723791175099</v>
      </c>
      <c r="Y19" s="90" cm="1">
        <f t="array" ref="Y19">I19/(_xll.ciqfunctions.udf.CIQ($B19,"IQ_ni","FY"&amp;S$4, , , , "USD")*1000)</f>
        <v>-3.6980652955062344E-3</v>
      </c>
    </row>
    <row r="20" spans="2:25" ht="16.5" x14ac:dyDescent="0.3">
      <c r="B20" t="s">
        <v>62</v>
      </c>
      <c r="E20" s="64" t="s">
        <v>27</v>
      </c>
      <c r="F20" s="74" t="s">
        <v>21</v>
      </c>
      <c r="G20" s="75">
        <f>6724/H36</f>
        <v>1782.7977526266409</v>
      </c>
      <c r="H20" s="76">
        <f>6323/I36</f>
        <v>1702.7063448657514</v>
      </c>
      <c r="I20" s="76">
        <v>2122</v>
      </c>
      <c r="J20" s="68">
        <v>11</v>
      </c>
      <c r="K20" s="69">
        <v>11</v>
      </c>
      <c r="L20" s="69">
        <v>11</v>
      </c>
      <c r="M20" s="65">
        <f t="shared" si="3"/>
        <v>162.07252296605827</v>
      </c>
      <c r="N20" s="66">
        <f t="shared" si="3"/>
        <v>154.79148589688648</v>
      </c>
      <c r="O20" s="77">
        <f>I20/L20</f>
        <v>192.90909090909091</v>
      </c>
      <c r="P20" s="63"/>
      <c r="Q20" s="71" cm="1">
        <f t="array" ref="Q20">G20/(_xll.ciqfunctions.udf.CIQ($B20,$R$2,"FY"&amp;Q$4, , , , "USD")*1000)</f>
        <v>9.8089029442747903E-4</v>
      </c>
      <c r="R20" s="72" cm="1">
        <f t="array" ref="R20">H20/(_xll.ciqfunctions.udf.CIQ($B20,$R$2,"FY"&amp;R$4, , , , "USD")*1000)</f>
        <v>9.9164496360079082E-4</v>
      </c>
      <c r="S20" s="78" cm="1">
        <f t="array" ref="S20">I20/(_xll.ciqfunctions.udf.CIQ($B20,$R$2,"FY"&amp;S$4, , , , "USD")*1000)</f>
        <v>1.3519187891043066E-3</v>
      </c>
      <c r="T20" s="71" cm="1">
        <f t="array" ref="T20">G20/(_xll.ciqfunctions.udf.CIQ($B20,"IQ_EBITDA","FY"&amp;Q$4, , , , "USD")*1000)</f>
        <v>4.2135552773667978E-3</v>
      </c>
      <c r="U20" s="72" cm="1">
        <f t="array" ref="U20">H20/(_xll.ciqfunctions.udf.CIQ($B20,"IQ_EBITDA","FY"&amp;R$4, , , , "USD")*1000)</f>
        <v>4.3552321071869387E-3</v>
      </c>
      <c r="V20" s="78" cm="1">
        <f t="array" ref="V20">I20/(_xll.ciqfunctions.udf.CIQ($B20,"IQ_EBITDA","FY"&amp;S$4, , , , "USD")*1000)</f>
        <v>5.2873574101616428E-3</v>
      </c>
      <c r="W20" s="71" cm="1">
        <f t="array" ref="W20">G20/(_xll.ciqfunctions.udf.CIQ($B20,"IQ_ni","FY"&amp;Q$4, , , , "USD")*1000)</f>
        <v>1.4937773742938762E-2</v>
      </c>
      <c r="X20" s="72" cm="1">
        <f t="array" ref="X20">H20/(_xll.ciqfunctions.udf.CIQ($B20,"IQ_ni","FY"&amp;R$4, , , , "USD")*1000)</f>
        <v>1.240984073209662E-2</v>
      </c>
      <c r="Y20" s="78" cm="1">
        <f t="array" ref="Y20">I20/(_xll.ciqfunctions.udf.CIQ($B20,"IQ_ni","FY"&amp;S$4, , , , "USD")*1000)</f>
        <v>1.4572913705756666E-2</v>
      </c>
    </row>
    <row r="21" spans="2:25" ht="16.5" x14ac:dyDescent="0.3">
      <c r="B21" t="s">
        <v>63</v>
      </c>
      <c r="E21" s="64" t="s">
        <v>28</v>
      </c>
      <c r="F21" s="74" t="s">
        <v>21</v>
      </c>
      <c r="G21" s="75">
        <f>6032/H36</f>
        <v>1599.3212438792234</v>
      </c>
      <c r="H21" s="76">
        <f>5941/I36</f>
        <v>1599.8384303095727</v>
      </c>
      <c r="I21" s="76">
        <v>1361</v>
      </c>
      <c r="J21" s="68">
        <v>7</v>
      </c>
      <c r="K21" s="58">
        <v>7</v>
      </c>
      <c r="L21" s="69">
        <v>7</v>
      </c>
      <c r="M21" s="65">
        <f t="shared" si="3"/>
        <v>228.47446341131763</v>
      </c>
      <c r="N21" s="66">
        <f t="shared" si="3"/>
        <v>228.54834718708182</v>
      </c>
      <c r="O21" s="77">
        <f>I21/L21</f>
        <v>194.42857142857142</v>
      </c>
      <c r="P21" s="63"/>
      <c r="Q21" s="71" cm="1">
        <f t="array" ref="Q21">G21/(_xll.ciqfunctions.udf.CIQ($B21,$R$2,"FY"&amp;Q$4, , , , "USD")*1000)</f>
        <v>3.0494355575655225E-3</v>
      </c>
      <c r="R21" s="72" cm="1">
        <f t="array" ref="R21">H21/(_xll.ciqfunctions.udf.CIQ($B21,$R$2,"FY"&amp;R$4, , , , "USD")*1000)</f>
        <v>3.0465494843681241E-3</v>
      </c>
      <c r="S21" s="78" cm="1">
        <f t="array" ref="S21">I21/(_xll.ciqfunctions.udf.CIQ($B21,$R$2,"FY"&amp;S$4, , , , "USD")*1000)</f>
        <v>2.4502870778664865E-3</v>
      </c>
      <c r="T21" s="71" cm="1">
        <f t="array" ref="T21">G21/(_xll.ciqfunctions.udf.CIQ($B21,"IQ_EBITDA","FY"&amp;Q$4, , , , "USD")*1000)</f>
        <v>1.1251569337599465E-2</v>
      </c>
      <c r="U21" s="72" cm="1">
        <f t="array" ref="U21">H21/(_xll.ciqfunctions.udf.CIQ($B21,"IQ_EBITDA","FY"&amp;R$4, , , , "USD")*1000)</f>
        <v>1.1502932467728664E-2</v>
      </c>
      <c r="V21" s="78" cm="1">
        <f t="array" ref="V21">I21/(_xll.ciqfunctions.udf.CIQ($B21,"IQ_EBITDA","FY"&amp;S$4, , , , "USD")*1000)</f>
        <v>1.049734022388721E-2</v>
      </c>
      <c r="W21" s="71" cm="1">
        <f t="array" ref="W21">G21/(_xll.ciqfunctions.udf.CIQ($B21,"IQ_ni","FY"&amp;Q$4, , , , "USD")*1000)</f>
        <v>3.0330610142559816E-2</v>
      </c>
      <c r="X21" s="72" cm="1">
        <f t="array" ref="X21">H21/(_xll.ciqfunctions.udf.CIQ($B21,"IQ_ni","FY"&amp;R$4, , , , "USD")*1000)</f>
        <v>3.5174658283469815E-2</v>
      </c>
      <c r="Y21" s="78" cm="1">
        <f t="array" ref="Y21">I21/(_xll.ciqfunctions.udf.CIQ($B21,"IQ_ni","FY"&amp;S$4, , , , "USD")*1000)</f>
        <v>2.9317673688906521E-2</v>
      </c>
    </row>
    <row r="22" spans="2:25" ht="16.5" x14ac:dyDescent="0.3">
      <c r="E22" s="60" t="s">
        <v>30</v>
      </c>
      <c r="F22" s="61"/>
      <c r="G22" s="61"/>
      <c r="H22" s="61"/>
      <c r="I22" s="61"/>
      <c r="J22" s="61"/>
      <c r="K22" s="61"/>
      <c r="L22" s="61"/>
      <c r="M22" s="60"/>
      <c r="N22" s="61"/>
      <c r="O22" s="62"/>
      <c r="P22" s="63"/>
      <c r="Q22" s="102"/>
      <c r="R22" s="103"/>
      <c r="S22" s="104"/>
      <c r="T22" s="102"/>
      <c r="U22" s="103"/>
      <c r="V22" s="104"/>
      <c r="W22" s="102"/>
      <c r="X22" s="103"/>
      <c r="Y22" s="104"/>
    </row>
    <row r="23" spans="2:25" ht="16.5" x14ac:dyDescent="0.3">
      <c r="B23" t="s">
        <v>64</v>
      </c>
      <c r="E23" s="79" t="s">
        <v>31</v>
      </c>
      <c r="F23" s="91" t="s">
        <v>21</v>
      </c>
      <c r="G23" s="85">
        <f>72200/H36</f>
        <v>19143.06926526524</v>
      </c>
      <c r="H23" s="86">
        <f>65609/I36</f>
        <v>17667.698968890887</v>
      </c>
      <c r="I23" s="86">
        <v>15182</v>
      </c>
      <c r="J23" s="83">
        <v>6</v>
      </c>
      <c r="K23" s="105">
        <v>6</v>
      </c>
      <c r="L23" s="84">
        <v>6</v>
      </c>
      <c r="M23" s="85">
        <f>IFERROR(G23/J23,"-")</f>
        <v>3190.5115442108731</v>
      </c>
      <c r="N23" s="86">
        <f>IFERROR(H23/K23,"-")</f>
        <v>2944.6164948151477</v>
      </c>
      <c r="O23" s="87">
        <f>I23/L23</f>
        <v>2530.3333333333335</v>
      </c>
      <c r="P23" s="63"/>
      <c r="Q23" s="88" cm="1">
        <f t="array" ref="Q23">G23/(_xll.ciqfunctions.udf.CIQ($B23,$R$2,"FY"&amp;Q$4, , , , "USD")*1000)</f>
        <v>3.3297419513185801E-3</v>
      </c>
      <c r="R23" s="89" cm="1">
        <f t="array" ref="R23">H23/(_xll.ciqfunctions.udf.CIQ($B23,$R$2,"FY"&amp;R$4, , , , "USD")*1000)</f>
        <v>3.1447962292963979E-3</v>
      </c>
      <c r="S23" s="90" cm="1">
        <f t="array" ref="S23">I23/(_xll.ciqfunctions.udf.CIQ($B23,$R$2,"FY"&amp;S$4, , , , "USD")*1000)</f>
        <v>2.923334619572325E-3</v>
      </c>
      <c r="T23" s="88" cm="1">
        <f t="array" ref="T23">G23/(_xll.ciqfunctions.udf.CIQ($B23,"IQ_EBITDA","FY"&amp;Q$4, , , , "USD")*1000)</f>
        <v>2.8913504958369852E-2</v>
      </c>
      <c r="U23" s="89" cm="1">
        <f t="array" ref="U23">H23/(_xll.ciqfunctions.udf.CIQ($B23,"IQ_EBITDA","FY"&amp;R$4, , , , "USD")*1000)</f>
        <v>2.8010681924109302E-2</v>
      </c>
      <c r="V23" s="90" cm="1">
        <f t="array" ref="V23">I23/(_xll.ciqfunctions.udf.CIQ($B23,"IQ_EBITDA","FY"&amp;S$4, , , , "USD")*1000)</f>
        <v>2.7955501073447415E-2</v>
      </c>
      <c r="W23" s="88" cm="1">
        <f t="array" ref="W23">G23/(_xll.ciqfunctions.udf.CIQ($B23,"IQ_ni","FY"&amp;Q$4, , , , "USD")*1000)</f>
        <v>7.4329234822319637E-2</v>
      </c>
      <c r="X23" s="89" cm="1">
        <f t="array" ref="X23">H23/(_xll.ciqfunctions.udf.CIQ($B23,"IQ_ni","FY"&amp;R$4, , , , "USD")*1000)</f>
        <v>7.011268766373023E-2</v>
      </c>
      <c r="Y23" s="90" cm="1">
        <f t="array" ref="Y23">I23/(_xll.ciqfunctions.udf.CIQ($B23,"IQ_ni","FY"&amp;S$4, , , , "USD")*1000)</f>
        <v>7.8541131843824719E-2</v>
      </c>
    </row>
    <row r="24" spans="2:25" ht="16.5" x14ac:dyDescent="0.3">
      <c r="B24" t="s">
        <v>65</v>
      </c>
      <c r="E24" s="64" t="s">
        <v>32</v>
      </c>
      <c r="F24" s="74" t="s">
        <v>8</v>
      </c>
      <c r="G24" s="75" t="s">
        <v>8</v>
      </c>
      <c r="H24" s="76">
        <f>3474/I36</f>
        <v>935.50558944545628</v>
      </c>
      <c r="I24" s="76">
        <f>3691/H36</f>
        <v>978.62975980739611</v>
      </c>
      <c r="J24" s="68">
        <v>9</v>
      </c>
      <c r="K24" s="58">
        <v>9</v>
      </c>
      <c r="L24" s="69">
        <v>9</v>
      </c>
      <c r="M24" s="65" t="str">
        <f>IFERROR(G24/J24,"-")</f>
        <v>-</v>
      </c>
      <c r="N24" s="66">
        <f>IFERROR(H24/K24,"-")</f>
        <v>103.94506549393958</v>
      </c>
      <c r="O24" s="77">
        <f>I24/L24</f>
        <v>108.73663997859957</v>
      </c>
      <c r="P24" s="63"/>
      <c r="Q24" s="71" t="s">
        <v>8</v>
      </c>
      <c r="R24" s="72" cm="1">
        <f t="array" ref="R24">H24/(_xll.ciqfunctions.udf.CIQ($B24,$R$2,"FY"&amp;R$4, , , , "USD")*1000)</f>
        <v>3.146991972996381E-4</v>
      </c>
      <c r="S24" s="78" cm="1">
        <f t="array" ref="S24">I24/(_xll.ciqfunctions.udf.CIQ($B24,$R$2,"FY"&amp;S$4, , , , "USD")*1000)</f>
        <v>2.4217783678194118E-4</v>
      </c>
      <c r="T24" s="71" t="s">
        <v>8</v>
      </c>
      <c r="U24" s="72" cm="1">
        <f t="array" ref="U24">H24/(_xll.ciqfunctions.udf.CIQ($B24,"IQ_EBITDA","FY"&amp;R$4, , , , "USD")*1000)</f>
        <v>3.1917913602612113E-3</v>
      </c>
      <c r="V24" s="78" cm="1">
        <f t="array" ref="V24">I24/(_xll.ciqfunctions.udf.CIQ($B24,"IQ_EBITDA","FY"&amp;S$4, , , , "USD")*1000)</f>
        <v>2.3824214481702063E-3</v>
      </c>
      <c r="W24" s="71" t="s">
        <v>8</v>
      </c>
      <c r="X24" s="72" cm="1">
        <f t="array" ref="X24">H24/(_xll.ciqfunctions.udf.CIQ($B24,"IQ_ni","FY"&amp;R$4, , , , "USD")*1000)</f>
        <v>1.844252549795421E-2</v>
      </c>
      <c r="Y24" s="78" cm="1">
        <f t="array" ref="Y24">I24/(_xll.ciqfunctions.udf.CIQ($B24,"IQ_ni","FY"&amp;S$4, , , , "USD")*1000)</f>
        <v>7.111987577345936E-3</v>
      </c>
    </row>
    <row r="25" spans="2:25" ht="16.5" x14ac:dyDescent="0.3">
      <c r="E25" s="60" t="s">
        <v>33</v>
      </c>
      <c r="F25" s="61"/>
      <c r="G25" s="61"/>
      <c r="H25" s="61"/>
      <c r="I25" s="61"/>
      <c r="J25" s="61"/>
      <c r="K25" s="61"/>
      <c r="L25" s="61"/>
      <c r="M25" s="60"/>
      <c r="N25" s="61"/>
      <c r="O25" s="62"/>
      <c r="P25" s="63"/>
      <c r="Q25" s="102"/>
      <c r="R25" s="103"/>
      <c r="S25" s="104"/>
      <c r="T25" s="102"/>
      <c r="U25" s="103"/>
      <c r="V25" s="104"/>
      <c r="W25" s="102"/>
      <c r="X25" s="103"/>
      <c r="Y25" s="104"/>
    </row>
    <row r="26" spans="2:25" ht="16.5" x14ac:dyDescent="0.3">
      <c r="B26" t="s">
        <v>49</v>
      </c>
      <c r="E26" s="64" t="s">
        <v>34</v>
      </c>
      <c r="F26" s="74" t="s">
        <v>21</v>
      </c>
      <c r="G26" s="75" t="s">
        <v>8</v>
      </c>
      <c r="H26" s="76">
        <f>7387/I36</f>
        <v>1989.2284943101859</v>
      </c>
      <c r="I26" s="76">
        <v>2060</v>
      </c>
      <c r="J26" s="68">
        <v>9</v>
      </c>
      <c r="K26" s="53">
        <v>9</v>
      </c>
      <c r="L26" s="69">
        <v>9</v>
      </c>
      <c r="M26" s="65" t="str">
        <f t="shared" ref="M26:N28" si="4">IFERROR(G26/J26,"-")</f>
        <v>-</v>
      </c>
      <c r="N26" s="66">
        <f t="shared" si="4"/>
        <v>221.02538825668731</v>
      </c>
      <c r="O26" s="77">
        <f>I26/L26</f>
        <v>228.88888888888889</v>
      </c>
      <c r="P26" s="63"/>
      <c r="Q26" s="71" t="s">
        <v>8</v>
      </c>
      <c r="R26" s="72" cm="1">
        <f t="array" ref="R26">H26/(_xll.ciqfunctions.udf.CIQ($B26,$Q$2,"FY"&amp;R$4, , , , "USD")*1000)</f>
        <v>3.9295699010852725E-4</v>
      </c>
      <c r="S26" s="78" cm="1">
        <f t="array" ref="S26">I26/(_xll.ciqfunctions.udf.CIQ($B26,$Q$2,"FY"&amp;S$4, , , , "USD")*1000)</f>
        <v>5.2272324244110788E-4</v>
      </c>
      <c r="T26" s="71" t="s">
        <v>8</v>
      </c>
      <c r="U26" s="72" t="s">
        <v>8</v>
      </c>
      <c r="V26" s="78" t="s">
        <v>8</v>
      </c>
      <c r="W26" s="71" t="s">
        <v>8</v>
      </c>
      <c r="X26" s="72" cm="1">
        <f t="array" ref="X26">H26/(_xll.ciqfunctions.udf.CIQ($B26,"IQ_ni","FY"&amp;R$4, , , , "USD")*1000)</f>
        <v>1.5182281965268837E-3</v>
      </c>
      <c r="Y26" s="78" cm="1">
        <f t="array" ref="Y26">I26/(_xll.ciqfunctions.udf.CIQ($B26,"IQ_ni","FY"&amp;S$4, , , , "USD")*1000)</f>
        <v>1.6882644728910088E-3</v>
      </c>
    </row>
    <row r="27" spans="2:25" ht="16.5" x14ac:dyDescent="0.3">
      <c r="B27" t="s">
        <v>50</v>
      </c>
      <c r="E27" s="64" t="s">
        <v>35</v>
      </c>
      <c r="F27" s="74" t="s">
        <v>21</v>
      </c>
      <c r="G27" s="75">
        <f>2160/H36</f>
        <v>572.70124117691023</v>
      </c>
      <c r="H27" s="76">
        <f>2104/I36</f>
        <v>566.58139326230275</v>
      </c>
      <c r="I27" s="76">
        <v>1029</v>
      </c>
      <c r="J27" s="68">
        <v>7</v>
      </c>
      <c r="K27" s="69">
        <v>7</v>
      </c>
      <c r="L27" s="69">
        <v>7</v>
      </c>
      <c r="M27" s="65">
        <f t="shared" si="4"/>
        <v>81.814463025272886</v>
      </c>
      <c r="N27" s="66">
        <f t="shared" si="4"/>
        <v>80.940199037471828</v>
      </c>
      <c r="O27" s="77">
        <f>I27/L27</f>
        <v>147</v>
      </c>
      <c r="P27" s="63"/>
      <c r="Q27" s="71" cm="1">
        <f t="array" ref="Q27">G27/(_xll.ciqfunctions.udf.CIQ($B27,$Q$2,"FY"&amp;Q$4, , , , "USD")*1000)</f>
        <v>3.0728124218621505E-4</v>
      </c>
      <c r="R27" s="72" cm="1">
        <f t="array" ref="R27">H27/(_xll.ciqfunctions.udf.CIQ($B27,$Q$2,"FY"&amp;R$4, , , , "USD")*1000)</f>
        <v>2.9548856198095049E-4</v>
      </c>
      <c r="S27" s="78" cm="1">
        <f t="array" ref="S27">I27/(_xll.ciqfunctions.udf.CIQ($B27,$Q$2,"FY"&amp;S$4, , , , "USD")*1000)</f>
        <v>6.6758002080267575E-4</v>
      </c>
      <c r="T27" s="71" t="s">
        <v>8</v>
      </c>
      <c r="U27" s="72" t="s">
        <v>8</v>
      </c>
      <c r="V27" s="78" t="s">
        <v>8</v>
      </c>
      <c r="W27" s="71" cm="1">
        <f t="array" ref="W27">G27/(_xll.ciqfunctions.udf.CIQ($B27,"IQ_ni","FY"&amp;Q$4, , , , "USD")*1000)</f>
        <v>1.6614387917844576E-3</v>
      </c>
      <c r="X27" s="72" cm="1">
        <f t="array" ref="X27">H27/(_xll.ciqfunctions.udf.CIQ($B27,"IQ_ni","FY"&amp;R$4, , , , "USD")*1000)</f>
        <v>1.9613546214189612E-3</v>
      </c>
      <c r="Y27" s="78" cm="1">
        <f t="array" ref="Y27">I27/(_xll.ciqfunctions.udf.CIQ($B27,"IQ_ni","FY"&amp;S$4, , , , "USD")*1000)</f>
        <v>2.3498218360060025E-3</v>
      </c>
    </row>
    <row r="28" spans="2:25" ht="16.5" x14ac:dyDescent="0.3">
      <c r="B28" t="s">
        <v>48</v>
      </c>
      <c r="E28" s="92" t="s">
        <v>36</v>
      </c>
      <c r="F28" s="93" t="s">
        <v>21</v>
      </c>
      <c r="G28" s="94">
        <f>16000/H36</f>
        <v>4242.2314161252607</v>
      </c>
      <c r="H28" s="95">
        <f>15000/I36</f>
        <v>4039.3160166038697</v>
      </c>
      <c r="I28" s="95">
        <v>4460</v>
      </c>
      <c r="J28" s="96">
        <v>11</v>
      </c>
      <c r="K28" s="97">
        <v>11</v>
      </c>
      <c r="L28" s="97">
        <v>11</v>
      </c>
      <c r="M28" s="94">
        <f t="shared" si="4"/>
        <v>385.65740146593276</v>
      </c>
      <c r="N28" s="95">
        <f t="shared" si="4"/>
        <v>367.21054696398818</v>
      </c>
      <c r="O28" s="98">
        <f>I28/L28</f>
        <v>405.45454545454544</v>
      </c>
      <c r="P28" s="63"/>
      <c r="Q28" s="99" cm="1">
        <f t="array" ref="Q28">G28/(_xll.ciqfunctions.udf.CIQ($B28,$Q$2,"FY"&amp;Q$4, , , , "USD")*1000)</f>
        <v>1.9794175212686006E-3</v>
      </c>
      <c r="R28" s="100" cm="1">
        <f t="array" ref="R28">H28/(_xll.ciqfunctions.udf.CIQ($B28,$Q$2,"FY"&amp;R$4, , , , "USD")*1000)</f>
        <v>1.9773540217946938E-3</v>
      </c>
      <c r="S28" s="101" cm="1">
        <f t="array" ref="S28">I28/(_xll.ciqfunctions.udf.CIQ($B28,$Q$2,"FY"&amp;S$4, , , , "USD")*1000)</f>
        <v>2.9601156080451452E-3</v>
      </c>
      <c r="T28" s="99" t="s">
        <v>8</v>
      </c>
      <c r="U28" s="100" t="s">
        <v>8</v>
      </c>
      <c r="V28" s="101" t="s">
        <v>8</v>
      </c>
      <c r="W28" s="99" cm="1">
        <f t="array" ref="W28">G28/(_xll.ciqfunctions.udf.CIQ($B28,"IQ_ni","FY"&amp;Q$4, , , , "USD")*1000)</f>
        <v>8.4981080744234629E-3</v>
      </c>
      <c r="X28" s="100" cm="1">
        <f t="array" ref="X28">H28/(_xll.ciqfunctions.udf.CIQ($B28,"IQ_ni","FY"&amp;R$4, , , , "USD")*1000)</f>
        <v>8.005396742512022E-3</v>
      </c>
      <c r="Y28" s="101" cm="1">
        <f t="array" ref="Y28">I28/(_xll.ciqfunctions.udf.CIQ($B28,"IQ_ni","FY"&amp;S$4, , , , "USD")*1000)</f>
        <v>8.8401231226977774E-3</v>
      </c>
    </row>
    <row r="29" spans="2:25" ht="16.5" x14ac:dyDescent="0.3">
      <c r="E29" s="60" t="s">
        <v>67</v>
      </c>
      <c r="F29" s="61"/>
      <c r="G29" s="61"/>
      <c r="H29" s="61"/>
      <c r="I29" s="61"/>
      <c r="J29" s="61"/>
      <c r="K29" s="61"/>
      <c r="L29" s="61"/>
      <c r="M29" s="60"/>
      <c r="N29" s="61"/>
      <c r="O29" s="62"/>
      <c r="P29" s="63"/>
      <c r="Q29" s="102"/>
      <c r="R29" s="103"/>
      <c r="S29" s="104"/>
      <c r="T29" s="102"/>
      <c r="U29" s="103"/>
      <c r="V29" s="104"/>
      <c r="W29" s="102"/>
      <c r="X29" s="103"/>
      <c r="Y29" s="104"/>
    </row>
    <row r="30" spans="2:25" ht="16.5" x14ac:dyDescent="0.3">
      <c r="B30" t="s">
        <v>66</v>
      </c>
      <c r="E30" s="56" t="s">
        <v>43</v>
      </c>
      <c r="F30" s="106" t="s">
        <v>21</v>
      </c>
      <c r="G30" s="107">
        <f>3594/H36</f>
        <v>952.91123184713672</v>
      </c>
      <c r="H30" s="108">
        <f>4326/I36</f>
        <v>1164.9387391885562</v>
      </c>
      <c r="I30" s="108">
        <f>4942/J36</f>
        <v>1297.4193374991116</v>
      </c>
      <c r="J30" s="50">
        <v>10</v>
      </c>
      <c r="K30" s="51">
        <v>10</v>
      </c>
      <c r="L30" s="51">
        <v>10</v>
      </c>
      <c r="M30" s="109">
        <f t="shared" ref="M30" si="5">IFERROR(G30/J30,"-")</f>
        <v>95.291123184713669</v>
      </c>
      <c r="N30" s="110">
        <f t="shared" ref="N30" si="6">IFERROR(H30/K30,"-")</f>
        <v>116.49387391885561</v>
      </c>
      <c r="O30" s="111">
        <f>I30/L30</f>
        <v>129.74193374991117</v>
      </c>
      <c r="P30" s="112"/>
      <c r="Q30" s="113" cm="1">
        <f t="array" ref="Q30">G30/(_xll.ciqfunctions.udf.CIQ($B30,$R$2,"FY"&amp;Q$4, , , , "USD")*1000)</f>
        <v>4.9414289249614142E-3</v>
      </c>
      <c r="R30" s="114" cm="1">
        <f t="array" ref="R30">H30/(_xll.ciqfunctions.udf.CIQ($B30,$R$2,"FY"&amp;R$4, , , , "USD")*1000)</f>
        <v>6.1307612210726985E-3</v>
      </c>
      <c r="S30" s="115" cm="1">
        <f t="array" ref="S30">I30/(_xll.ciqfunctions.udf.CIQ($B30,$R$2,"FY"&amp;S$4, , , , "USD")*1000)</f>
        <v>6.1965077391628719E-3</v>
      </c>
      <c r="T30" s="113" cm="1">
        <f t="array" ref="T30">G30/(_xll.ciqfunctions.udf.CIQ($B30,"IQ_EBITDA","FY"&amp;Q$4, , , , "USD")*1000)</f>
        <v>0.14304475508954065</v>
      </c>
      <c r="U30" s="114" cm="1">
        <f t="array" ref="U30">H30/(_xll.ciqfunctions.udf.CIQ($B30,"IQ_EBITDA","FY"&amp;R$4, , , , "USD")*1000)</f>
        <v>6.8876592622222843E-2</v>
      </c>
      <c r="V30" s="115" cm="1">
        <f t="array" ref="V30">I30/(_xll.ciqfunctions.udf.CIQ($B30,"IQ_EBITDA","FY"&amp;S$4, , , , "USD")*1000)</f>
        <v>4.3875060997705218E-2</v>
      </c>
      <c r="W30" s="113" cm="1">
        <f t="array" ref="W30">G30/(_xll.ciqfunctions.udf.CIQ($B30,"IQ_ni","FY"&amp;Q$4, , , , "USD")*1000)</f>
        <v>-0.29473517196975563</v>
      </c>
      <c r="X30" s="114" cm="1">
        <f t="array" ref="X30">H30/(_xll.ciqfunctions.udf.CIQ($B30,"IQ_ni","FY"&amp;R$4, , , , "USD")*1000)</f>
        <v>-6.0212949989536156E-2</v>
      </c>
      <c r="Y30" s="115" cm="1">
        <f t="array" ref="Y30">I30/(_xll.ciqfunctions.udf.CIQ($B30,"IQ_ni","FY"&amp;S$4, , , , "USD")*1000)</f>
        <v>0.2942714627389727</v>
      </c>
    </row>
    <row r="31" spans="2:25" ht="4.5" customHeight="1" x14ac:dyDescent="0.25">
      <c r="F31" t="s">
        <v>29</v>
      </c>
    </row>
    <row r="32" spans="2:25" x14ac:dyDescent="0.25">
      <c r="G32" t="s">
        <v>39</v>
      </c>
    </row>
    <row r="33" spans="7:14" x14ac:dyDescent="0.25">
      <c r="J33" s="42"/>
    </row>
    <row r="35" spans="7:14" x14ac:dyDescent="0.25">
      <c r="H35">
        <v>2024</v>
      </c>
      <c r="I35">
        <v>2023</v>
      </c>
      <c r="J35">
        <v>2022</v>
      </c>
    </row>
    <row r="36" spans="7:14" x14ac:dyDescent="0.25">
      <c r="G36" t="s">
        <v>29</v>
      </c>
      <c r="H36">
        <f>1/H37</f>
        <v>3.7715999978647949</v>
      </c>
      <c r="I36">
        <f>1/I37</f>
        <v>3.7134999931526846</v>
      </c>
      <c r="J36">
        <f>1/J37</f>
        <v>3.8091000011809091</v>
      </c>
      <c r="N36" t="str">
        <f>"$USDPEN"</f>
        <v>$USDPEN</v>
      </c>
    </row>
    <row r="37" spans="7:14" x14ac:dyDescent="0.25">
      <c r="H37" cm="1">
        <f t="array" ref="H37">(_xll.ciqfunctions.udf.CIQ($B24,$R$2,"FY"&amp;Q$4, , , ,"USD"))/(_xll.ciqfunctions.udf.CIQ($B24,$R$2,"FY"&amp;Q$4, , , ,))</f>
        <v>0.2651394635078288</v>
      </c>
      <c r="I37" cm="1">
        <f t="array" ref="I37">(_xll.ciqfunctions.udf.CIQ($B24,$R$2,"FY"&amp;R$4, , , ,"USD"))/(_xll.ciqfunctions.udf.CIQ($B24,$R$2,"FY"&amp;R$4, , , ,))</f>
        <v>0.269287734440258</v>
      </c>
      <c r="J37" cm="1">
        <f t="array" ref="J37">(_xll.ciqfunctions.udf.CIQ($B24,$R$2,"FY"&amp;S$4, , , ,"USD"))/(_xll.ciqfunctions.udf.CIQ($B24,$R$2,"FY"&amp;S$4, , , ,))</f>
        <v>0.26252920629281901</v>
      </c>
    </row>
  </sheetData>
  <mergeCells count="6">
    <mergeCell ref="W3:Y3"/>
    <mergeCell ref="J3:L3"/>
    <mergeCell ref="G3:I3"/>
    <mergeCell ref="M3:O3"/>
    <mergeCell ref="Q3:S3"/>
    <mergeCell ref="T3:V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661B-5C8E-44CD-9095-0B0FC9517DC3}">
  <dimension ref="A1:U61"/>
  <sheetViews>
    <sheetView showGridLines="0" workbookViewId="0">
      <selection activeCell="F18" sqref="F18"/>
    </sheetView>
  </sheetViews>
  <sheetFormatPr defaultRowHeight="15" x14ac:dyDescent="0.25"/>
  <cols>
    <col min="1" max="1" width="5.28515625" bestFit="1" customWidth="1"/>
    <col min="2" max="2" width="13.28515625" bestFit="1" customWidth="1"/>
    <col min="3" max="3" width="34" bestFit="1" customWidth="1"/>
    <col min="4" max="4" width="12.7109375" bestFit="1" customWidth="1"/>
    <col min="5" max="5" width="18.5703125" bestFit="1" customWidth="1"/>
    <col min="6" max="6" width="11.7109375" bestFit="1" customWidth="1"/>
    <col min="7" max="7" width="10.28515625" bestFit="1" customWidth="1"/>
    <col min="8" max="8" width="15.85546875" bestFit="1" customWidth="1"/>
  </cols>
  <sheetData>
    <row r="1" spans="1:21" ht="16.5" x14ac:dyDescent="0.3">
      <c r="A1" s="119" t="s">
        <v>71</v>
      </c>
      <c r="B1" s="119" t="s">
        <v>5</v>
      </c>
      <c r="C1" s="119" t="s">
        <v>37</v>
      </c>
      <c r="D1" s="119" t="s">
        <v>15</v>
      </c>
      <c r="E1" s="119" t="s">
        <v>16</v>
      </c>
      <c r="F1" s="119" t="s">
        <v>44</v>
      </c>
      <c r="G1" s="119" t="s">
        <v>45</v>
      </c>
      <c r="H1" s="119" t="s">
        <v>46</v>
      </c>
      <c r="J1" s="116"/>
      <c r="T1" s="116"/>
      <c r="U1" s="117"/>
    </row>
    <row r="2" spans="1:21" x14ac:dyDescent="0.25">
      <c r="A2" s="120">
        <v>2022</v>
      </c>
      <c r="B2" s="120" t="s">
        <v>3</v>
      </c>
      <c r="C2" s="121">
        <f>+INDEX('Consolidado (usd)'!$G$6:$I$30,MATCH('Consolidado (usd) Power BI'!$B2,'Consolidado (usd)'!$E$6:$E$30,0),MATCH($A2,'Consolidado (usd)'!$AB$4:$AB$6,0))</f>
        <v>2873</v>
      </c>
      <c r="D2" s="121">
        <f>+INDEX('Consolidado (usd)'!$J$6:$L$30,MATCH('Consolidado (usd) Power BI'!$B2,'Consolidado (usd)'!$E$6:$E$30,0),MATCH($A2,'Consolidado (usd)'!$AB$4:$AB$6,0))</f>
        <v>7</v>
      </c>
      <c r="E2" s="121">
        <f>+INDEX('Consolidado (usd)'!$M$6:$O$30,MATCH('Consolidado (usd) Power BI'!$B2,'Consolidado (usd)'!$E$6:$E$30,0),MATCH($A2,'Consolidado (usd)'!$AB$4:$AB$6,0))</f>
        <v>410.42857142857144</v>
      </c>
      <c r="F2" s="122">
        <f>+INDEX('Consolidado (usd)'!$Q$6:$S$30,MATCH('Consolidado (usd) Power BI'!$B2,'Consolidado (usd)'!$E$6:$E$30,0),MATCH($A2,'Consolidado (usd)'!$AB$4:$AB$6,0))</f>
        <v>3.483260224878213E-3</v>
      </c>
      <c r="G2" s="122">
        <f>+INDEX('Consolidado (usd)'!$T$6:$V$30,MATCH('Consolidado (usd) Power BI'!$B2,'Consolidado (usd)'!$E$6:$E$30,0),MATCH($A2,'Consolidado (usd)'!$AB$4:$AB$6,0))</f>
        <v>2.2570862925020425E-2</v>
      </c>
      <c r="H2" s="122">
        <f>+INDEX('Consolidado (usd)'!$W$6:$Y$30,MATCH('Consolidado (usd) Power BI'!$B2,'Consolidado (usd)'!$E$6:$E$30,0),MATCH($A2,'Consolidado (usd)'!$AB$4:$AB$6,0))</f>
        <v>4.7680690399136997E-3</v>
      </c>
    </row>
    <row r="3" spans="1:21" x14ac:dyDescent="0.25">
      <c r="A3" s="120">
        <v>2022</v>
      </c>
      <c r="B3" s="120" t="s">
        <v>7</v>
      </c>
      <c r="C3" s="121" t="str">
        <f>+INDEX('Consolidado (usd)'!$G$6:$I$30,MATCH('Consolidado (usd) Power BI'!B3,'Consolidado (usd)'!$E$6:$E$30,0),MATCH(A3,'Consolidado (usd)'!$AB$4:$AB$6,0))</f>
        <v>-</v>
      </c>
      <c r="D3" s="121">
        <f>+INDEX('Consolidado (usd)'!$J$6:$L$30,MATCH('Consolidado (usd) Power BI'!$B3,'Consolidado (usd)'!$E$6:$E$30,0),MATCH($A3,'Consolidado (usd)'!$AB$4:$AB$6,0))</f>
        <v>5</v>
      </c>
      <c r="E3" s="121" t="str">
        <f>+INDEX('Consolidado (usd)'!$M$6:$O$30,MATCH('Consolidado (usd) Power BI'!$B3,'Consolidado (usd)'!$E$6:$E$30,0),MATCH($A3,'Consolidado (usd)'!$AB$4:$AB$6,0))</f>
        <v>-</v>
      </c>
      <c r="F3" s="122" t="str">
        <f>+INDEX('Consolidado (usd)'!$Q$6:$S$30,MATCH('Consolidado (usd) Power BI'!$B3,'Consolidado (usd)'!$E$6:$E$30,0),MATCH($A3,'Consolidado (usd)'!$AB$4:$AB$6,0))</f>
        <v>-</v>
      </c>
      <c r="G3" s="122" t="str">
        <f>+INDEX('Consolidado (usd)'!$T$6:$V$30,MATCH('Consolidado (usd) Power BI'!$B3,'Consolidado (usd)'!$E$6:$E$30,0),MATCH($A3,'Consolidado (usd)'!$AB$4:$AB$6,0))</f>
        <v>-</v>
      </c>
      <c r="H3" s="122" t="str">
        <f>+INDEX('Consolidado (usd)'!$W$6:$Y$30,MATCH('Consolidado (usd) Power BI'!$B3,'Consolidado (usd)'!$E$6:$E$30,0),MATCH($A3,'Consolidado (usd)'!$AB$4:$AB$6,0))</f>
        <v>-</v>
      </c>
    </row>
    <row r="4" spans="1:21" x14ac:dyDescent="0.25">
      <c r="A4" s="120">
        <v>2022</v>
      </c>
      <c r="B4" s="120" t="s">
        <v>9</v>
      </c>
      <c r="C4" s="121">
        <f>+INDEX('Consolidado (usd)'!$G$6:$I$30,MATCH('Consolidado (usd) Power BI'!B4,'Consolidado (usd)'!$E$6:$E$30,0),MATCH(A4,'Consolidado (usd)'!$AB$4:$AB$6,0))</f>
        <v>530</v>
      </c>
      <c r="D4" s="121">
        <f>+INDEX('Consolidado (usd)'!$J$6:$L$30,MATCH('Consolidado (usd) Power BI'!$B4,'Consolidado (usd)'!$E$6:$E$30,0),MATCH($A4,'Consolidado (usd)'!$AB$4:$AB$6,0))</f>
        <v>8</v>
      </c>
      <c r="E4" s="121">
        <f>+INDEX('Consolidado (usd)'!$M$6:$O$30,MATCH('Consolidado (usd) Power BI'!$B4,'Consolidado (usd)'!$E$6:$E$30,0),MATCH($A4,'Consolidado (usd)'!$AB$4:$AB$6,0))</f>
        <v>66.25</v>
      </c>
      <c r="F4" s="122">
        <f>+INDEX('Consolidado (usd)'!$Q$6:$S$30,MATCH('Consolidado (usd) Power BI'!$B4,'Consolidado (usd)'!$E$6:$E$30,0),MATCH($A4,'Consolidado (usd)'!$AB$4:$AB$6,0))</f>
        <v>2.3296918345180328E-4</v>
      </c>
      <c r="G4" s="122">
        <f>+INDEX('Consolidado (usd)'!$T$6:$V$30,MATCH('Consolidado (usd) Power BI'!$B4,'Consolidado (usd)'!$E$6:$E$30,0),MATCH($A4,'Consolidado (usd)'!$AB$4:$AB$6,0))</f>
        <v>4.0577952543701691E-4</v>
      </c>
      <c r="H4" s="122">
        <f>+INDEX('Consolidado (usd)'!$W$6:$Y$30,MATCH('Consolidado (usd) Power BI'!$B4,'Consolidado (usd)'!$E$6:$E$30,0),MATCH($A4,'Consolidado (usd)'!$AB$4:$AB$6,0))</f>
        <v>1.0680337498664959E-3</v>
      </c>
    </row>
    <row r="5" spans="1:21" x14ac:dyDescent="0.25">
      <c r="A5" s="120">
        <v>2022</v>
      </c>
      <c r="B5" s="120" t="s">
        <v>10</v>
      </c>
      <c r="C5" s="121">
        <f>+INDEX('Consolidado (usd)'!$G$6:$I$30,MATCH('Consolidado (usd) Power BI'!B5,'Consolidado (usd)'!$E$6:$E$30,0),MATCH(A5,'Consolidado (usd)'!$AB$4:$AB$6,0))</f>
        <v>7573</v>
      </c>
      <c r="D5" s="121">
        <f>+INDEX('Consolidado (usd)'!$J$6:$L$30,MATCH('Consolidado (usd) Power BI'!$B5,'Consolidado (usd)'!$E$6:$E$30,0),MATCH($A5,'Consolidado (usd)'!$AB$4:$AB$6,0))</f>
        <v>7</v>
      </c>
      <c r="E5" s="121">
        <f>+INDEX('Consolidado (usd)'!$M$6:$O$30,MATCH('Consolidado (usd) Power BI'!$B5,'Consolidado (usd)'!$E$6:$E$30,0),MATCH($A5,'Consolidado (usd)'!$AB$4:$AB$6,0))</f>
        <v>1081.8571428571429</v>
      </c>
      <c r="F5" s="122">
        <f>+INDEX('Consolidado (usd)'!$Q$6:$S$30,MATCH('Consolidado (usd) Power BI'!$B5,'Consolidado (usd)'!$E$6:$E$30,0),MATCH($A5,'Consolidado (usd)'!$AB$4:$AB$6,0))</f>
        <v>7.9609699074706768E-3</v>
      </c>
      <c r="G5" s="122">
        <f>+INDEX('Consolidado (usd)'!$T$6:$V$30,MATCH('Consolidado (usd) Power BI'!$B5,'Consolidado (usd)'!$E$6:$E$30,0),MATCH($A5,'Consolidado (usd)'!$AB$4:$AB$6,0))</f>
        <v>2.6543616633485687E-2</v>
      </c>
      <c r="H5" s="122">
        <f>+INDEX('Consolidado (usd)'!$W$6:$Y$30,MATCH('Consolidado (usd) Power BI'!$B5,'Consolidado (usd)'!$E$6:$E$30,0),MATCH($A5,'Consolidado (usd)'!$AB$4:$AB$6,0))</f>
        <v>-9.3054975301663762E-2</v>
      </c>
    </row>
    <row r="6" spans="1:21" x14ac:dyDescent="0.25">
      <c r="A6" s="120">
        <v>2022</v>
      </c>
      <c r="B6" s="120" t="s">
        <v>11</v>
      </c>
      <c r="C6" s="121">
        <f>+INDEX('Consolidado (usd)'!$G$6:$I$30,MATCH('Consolidado (usd) Power BI'!B6,'Consolidado (usd)'!$E$6:$E$30,0),MATCH(A6,'Consolidado (usd)'!$AB$4:$AB$6,0))</f>
        <v>5496</v>
      </c>
      <c r="D6" s="121">
        <f>+INDEX('Consolidado (usd)'!$J$6:$L$30,MATCH('Consolidado (usd) Power BI'!$B6,'Consolidado (usd)'!$E$6:$E$30,0),MATCH($A6,'Consolidado (usd)'!$AB$4:$AB$6,0))</f>
        <v>5</v>
      </c>
      <c r="E6" s="121">
        <f>+INDEX('Consolidado (usd)'!$M$6:$O$30,MATCH('Consolidado (usd) Power BI'!$B6,'Consolidado (usd)'!$E$6:$E$30,0),MATCH($A6,'Consolidado (usd)'!$AB$4:$AB$6,0))</f>
        <v>1099.2</v>
      </c>
      <c r="F6" s="122">
        <f>+INDEX('Consolidado (usd)'!$Q$6:$S$30,MATCH('Consolidado (usd) Power BI'!$B6,'Consolidado (usd)'!$E$6:$E$30,0),MATCH($A6,'Consolidado (usd)'!$AB$4:$AB$6,0))</f>
        <v>6.1587491553571367E-3</v>
      </c>
      <c r="G6" s="122">
        <f>+INDEX('Consolidado (usd)'!$T$6:$V$30,MATCH('Consolidado (usd) Power BI'!$B6,'Consolidado (usd)'!$E$6:$E$30,0),MATCH($A6,'Consolidado (usd)'!$AB$4:$AB$6,0))</f>
        <v>1.7338961555206419E-2</v>
      </c>
      <c r="H6" s="122">
        <f>+INDEX('Consolidado (usd)'!$W$6:$Y$30,MATCH('Consolidado (usd) Power BI'!$B6,'Consolidado (usd)'!$E$6:$E$30,0),MATCH($A6,'Consolidado (usd)'!$AB$4:$AB$6,0))</f>
        <v>5.7947176972955879E-2</v>
      </c>
    </row>
    <row r="7" spans="1:21" x14ac:dyDescent="0.25">
      <c r="A7" s="120">
        <v>2022</v>
      </c>
      <c r="B7" s="120" t="s">
        <v>73</v>
      </c>
      <c r="C7" s="121">
        <v>7529</v>
      </c>
      <c r="D7" s="121">
        <v>9</v>
      </c>
      <c r="E7" s="121">
        <v>836.55555555555554</v>
      </c>
      <c r="F7" s="122">
        <v>2.4815506972666358E-3</v>
      </c>
      <c r="G7" s="122">
        <v>1.08500946086746E-2</v>
      </c>
      <c r="H7" s="122">
        <v>0.15150417547036926</v>
      </c>
    </row>
    <row r="8" spans="1:21" x14ac:dyDescent="0.25">
      <c r="A8" s="120">
        <v>2022</v>
      </c>
      <c r="B8" s="120" t="s">
        <v>13</v>
      </c>
      <c r="C8" s="121">
        <f>+INDEX('Consolidado (usd)'!$G$6:$I$30,MATCH('Consolidado (usd) Power BI'!B8,'Consolidado (usd)'!$E$6:$E$30,0),MATCH(A8,'Consolidado (usd)'!$AB$4:$AB$6,0))</f>
        <v>8295</v>
      </c>
      <c r="D8" s="121">
        <f>+INDEX('Consolidado (usd)'!$J$6:$L$30,MATCH('Consolidado (usd) Power BI'!$B8,'Consolidado (usd)'!$E$6:$E$30,0),MATCH($A8,'Consolidado (usd)'!$AB$4:$AB$6,0))</f>
        <v>9</v>
      </c>
      <c r="E8" s="121">
        <f>+INDEX('Consolidado (usd)'!$M$6:$O$30,MATCH('Consolidado (usd) Power BI'!$B8,'Consolidado (usd)'!$E$6:$E$30,0),MATCH($A8,'Consolidado (usd)'!$AB$4:$AB$6,0))</f>
        <v>921.66666666666663</v>
      </c>
      <c r="F8" s="122">
        <f>+INDEX('Consolidado (usd)'!$Q$6:$S$30,MATCH('Consolidado (usd) Power BI'!$B8,'Consolidado (usd)'!$E$6:$E$30,0),MATCH($A8,'Consolidado (usd)'!$AB$4:$AB$6,0))</f>
        <v>1.1275849834770398E-2</v>
      </c>
      <c r="G8" s="122">
        <f>+INDEX('Consolidado (usd)'!$T$6:$V$30,MATCH('Consolidado (usd) Power BI'!$B8,'Consolidado (usd)'!$E$6:$E$30,0),MATCH($A8,'Consolidado (usd)'!$AB$4:$AB$6,0))</f>
        <v>4.3011589017655755E-2</v>
      </c>
      <c r="H8" s="122">
        <f>+INDEX('Consolidado (usd)'!$W$6:$Y$30,MATCH('Consolidado (usd) Power BI'!$B8,'Consolidado (usd)'!$E$6:$E$30,0),MATCH($A8,'Consolidado (usd)'!$AB$4:$AB$6,0))</f>
        <v>2.8014184397163122</v>
      </c>
    </row>
    <row r="9" spans="1:21" x14ac:dyDescent="0.25">
      <c r="A9" s="120">
        <v>2022</v>
      </c>
      <c r="B9" s="120" t="s">
        <v>20</v>
      </c>
      <c r="C9" s="121">
        <f>+INDEX('Consolidado (usd)'!$G$6:$I$30,MATCH('Consolidado (usd) Power BI'!B9,'Consolidado (usd)'!$E$6:$E$30,0),MATCH(A9,'Consolidado (usd)'!$AB$4:$AB$6,0))</f>
        <v>1589</v>
      </c>
      <c r="D9" s="121">
        <f>+INDEX('Consolidado (usd)'!$J$6:$L$30,MATCH('Consolidado (usd) Power BI'!$B9,'Consolidado (usd)'!$E$6:$E$30,0),MATCH($A9,'Consolidado (usd)'!$AB$4:$AB$6,0))</f>
        <v>7</v>
      </c>
      <c r="E9" s="121">
        <f>+INDEX('Consolidado (usd)'!$M$6:$O$30,MATCH('Consolidado (usd) Power BI'!$B9,'Consolidado (usd)'!$E$6:$E$30,0),MATCH($A9,'Consolidado (usd)'!$AB$4:$AB$6,0))</f>
        <v>227</v>
      </c>
      <c r="F9" s="122">
        <f>+INDEX('Consolidado (usd)'!$Q$6:$S$30,MATCH('Consolidado (usd) Power BI'!$B9,'Consolidado (usd)'!$E$6:$E$30,0),MATCH($A9,'Consolidado (usd)'!$AB$4:$AB$6,0))</f>
        <v>2.5484089852891366E-3</v>
      </c>
      <c r="G9" s="122">
        <f>+INDEX('Consolidado (usd)'!$T$6:$V$30,MATCH('Consolidado (usd) Power BI'!$B9,'Consolidado (usd)'!$E$6:$E$30,0),MATCH($A9,'Consolidado (usd)'!$AB$4:$AB$6,0))</f>
        <v>4.817462583338086E-3</v>
      </c>
      <c r="H9" s="122">
        <f>+INDEX('Consolidado (usd)'!$W$6:$Y$30,MATCH('Consolidado (usd) Power BI'!$B9,'Consolidado (usd)'!$E$6:$E$30,0),MATCH($A9,'Consolidado (usd)'!$AB$4:$AB$6,0))</f>
        <v>7.6730072393785117E-3</v>
      </c>
    </row>
    <row r="10" spans="1:21" x14ac:dyDescent="0.25">
      <c r="A10" s="120">
        <v>2022</v>
      </c>
      <c r="B10" s="120" t="s">
        <v>22</v>
      </c>
      <c r="C10" s="121">
        <f>+INDEX('Consolidado (usd)'!$G$6:$I$30,MATCH('Consolidado (usd) Power BI'!B10,'Consolidado (usd)'!$E$6:$E$30,0),MATCH(A10,'Consolidado (usd)'!$AB$4:$AB$6,0))</f>
        <v>2311</v>
      </c>
      <c r="D10" s="121">
        <f>+INDEX('Consolidado (usd)'!$J$6:$L$30,MATCH('Consolidado (usd) Power BI'!$B10,'Consolidado (usd)'!$E$6:$E$30,0),MATCH($A10,'Consolidado (usd)'!$AB$4:$AB$6,0))</f>
        <v>7</v>
      </c>
      <c r="E10" s="121">
        <f>+INDEX('Consolidado (usd)'!$M$6:$O$30,MATCH('Consolidado (usd) Power BI'!$B10,'Consolidado (usd)'!$E$6:$E$30,0),MATCH($A10,'Consolidado (usd)'!$AB$4:$AB$6,0))</f>
        <v>330.14285714285717</v>
      </c>
      <c r="F10" s="122">
        <f>+INDEX('Consolidado (usd)'!$Q$6:$S$30,MATCH('Consolidado (usd) Power BI'!$B10,'Consolidado (usd)'!$E$6:$E$30,0),MATCH($A10,'Consolidado (usd)'!$AB$4:$AB$6,0))</f>
        <v>2.2449498706385278E-3</v>
      </c>
      <c r="G10" s="122">
        <f>+INDEX('Consolidado (usd)'!$T$6:$V$30,MATCH('Consolidado (usd) Power BI'!$B10,'Consolidado (usd)'!$E$6:$E$30,0),MATCH($A10,'Consolidado (usd)'!$AB$4:$AB$6,0))</f>
        <v>9.0679216366770631E-3</v>
      </c>
      <c r="H10" s="122">
        <f>+INDEX('Consolidado (usd)'!$W$6:$Y$30,MATCH('Consolidado (usd) Power BI'!$B10,'Consolidado (usd)'!$E$6:$E$30,0),MATCH($A10,'Consolidado (usd)'!$AB$4:$AB$6,0))</f>
        <v>1.8375866055123778E-2</v>
      </c>
    </row>
    <row r="11" spans="1:21" x14ac:dyDescent="0.25">
      <c r="A11" s="120">
        <v>2022</v>
      </c>
      <c r="B11" s="120" t="s">
        <v>23</v>
      </c>
      <c r="C11" s="121">
        <f>+INDEX('Consolidado (usd)'!$G$6:$I$30,MATCH('Consolidado (usd) Power BI'!B11,'Consolidado (usd)'!$E$6:$E$30,0),MATCH(A11,'Consolidado (usd)'!$AB$4:$AB$6,0))</f>
        <v>45</v>
      </c>
      <c r="D11" s="121">
        <f>+INDEX('Consolidado (usd)'!$J$6:$L$30,MATCH('Consolidado (usd) Power BI'!$B11,'Consolidado (usd)'!$E$6:$E$30,0),MATCH($A11,'Consolidado (usd)'!$AB$4:$AB$6,0))</f>
        <v>7</v>
      </c>
      <c r="E11" s="121">
        <f>+INDEX('Consolidado (usd)'!$M$6:$O$30,MATCH('Consolidado (usd) Power BI'!$B11,'Consolidado (usd)'!$E$6:$E$30,0),MATCH($A11,'Consolidado (usd)'!$AB$4:$AB$6,0))</f>
        <v>6.4285714285714288</v>
      </c>
      <c r="F11" s="122">
        <f>+INDEX('Consolidado (usd)'!$Q$6:$S$30,MATCH('Consolidado (usd) Power BI'!$B11,'Consolidado (usd)'!$E$6:$E$30,0),MATCH($A11,'Consolidado (usd)'!$AB$4:$AB$6,0))</f>
        <v>8.1094669917661878E-5</v>
      </c>
      <c r="G11" s="122">
        <f>+INDEX('Consolidado (usd)'!$T$6:$V$30,MATCH('Consolidado (usd) Power BI'!$B11,'Consolidado (usd)'!$E$6:$E$30,0),MATCH($A11,'Consolidado (usd)'!$AB$4:$AB$6,0))</f>
        <v>2.3864829605116619E-4</v>
      </c>
      <c r="H11" s="122">
        <f>+INDEX('Consolidado (usd)'!$W$6:$Y$30,MATCH('Consolidado (usd) Power BI'!$B11,'Consolidado (usd)'!$E$6:$E$30,0),MATCH($A11,'Consolidado (usd)'!$AB$4:$AB$6,0))</f>
        <v>6.9071373752877961E-4</v>
      </c>
    </row>
    <row r="12" spans="1:21" x14ac:dyDescent="0.25">
      <c r="A12" s="120">
        <v>2022</v>
      </c>
      <c r="B12" s="120" t="s">
        <v>25</v>
      </c>
      <c r="C12" s="121">
        <f>+INDEX('Consolidado (usd)'!$G$6:$I$30,MATCH('Consolidado (usd) Power BI'!B12,'Consolidado (usd)'!$E$6:$E$30,0),MATCH(A12,'Consolidado (usd)'!$AB$4:$AB$6,0))</f>
        <v>15183</v>
      </c>
      <c r="D12" s="121">
        <f>+INDEX('Consolidado (usd)'!$J$6:$L$30,MATCH('Consolidado (usd) Power BI'!$B12,'Consolidado (usd)'!$E$6:$E$30,0),MATCH($A12,'Consolidado (usd)'!$AB$4:$AB$6,0))</f>
        <v>9</v>
      </c>
      <c r="E12" s="121">
        <f>+INDEX('Consolidado (usd)'!$M$6:$O$30,MATCH('Consolidado (usd) Power BI'!$B12,'Consolidado (usd)'!$E$6:$E$30,0),MATCH($A12,'Consolidado (usd)'!$AB$4:$AB$6,0))</f>
        <v>1687</v>
      </c>
      <c r="F12" s="122">
        <f>+INDEX('Consolidado (usd)'!$Q$6:$S$30,MATCH('Consolidado (usd) Power BI'!$B12,'Consolidado (usd)'!$E$6:$E$30,0),MATCH($A12,'Consolidado (usd)'!$AB$4:$AB$6,0))</f>
        <v>8.7941324352904058E-3</v>
      </c>
      <c r="G12" s="122">
        <f>+INDEX('Consolidado (usd)'!$T$6:$V$30,MATCH('Consolidado (usd) Power BI'!$B12,'Consolidado (usd)'!$E$6:$E$30,0),MATCH($A12,'Consolidado (usd)'!$AB$4:$AB$6,0))</f>
        <v>7.7775729894720258E-2</v>
      </c>
      <c r="H12" s="122">
        <f>+INDEX('Consolidado (usd)'!$W$6:$Y$30,MATCH('Consolidado (usd) Power BI'!$B12,'Consolidado (usd)'!$E$6:$E$30,0),MATCH($A12,'Consolidado (usd)'!$AB$4:$AB$6,0))</f>
        <v>0.13806747546581064</v>
      </c>
    </row>
    <row r="13" spans="1:21" x14ac:dyDescent="0.25">
      <c r="A13" s="120">
        <v>2022</v>
      </c>
      <c r="B13" s="120" t="s">
        <v>72</v>
      </c>
      <c r="C13" s="121">
        <f>+INDEX('Consolidado (usd)'!$G$6:$I$30,MATCH('Consolidado (usd) Power BI'!B13,'Consolidado (usd)'!$E$6:$E$30,0),MATCH(A13,'Consolidado (usd)'!$AB$4:$AB$6,0))</f>
        <v>438</v>
      </c>
      <c r="D13" s="121">
        <f>+INDEX('Consolidado (usd)'!$J$6:$L$30,MATCH('Consolidado (usd) Power BI'!$B13,'Consolidado (usd)'!$E$6:$E$30,0),MATCH($A13,'Consolidado (usd)'!$AB$4:$AB$6,0))</f>
        <v>9</v>
      </c>
      <c r="E13" s="121">
        <f>+INDEX('Consolidado (usd)'!$M$6:$O$30,MATCH('Consolidado (usd) Power BI'!$B13,'Consolidado (usd)'!$E$6:$E$30,0),MATCH($A13,'Consolidado (usd)'!$AB$4:$AB$6,0))</f>
        <v>48.666666666666664</v>
      </c>
      <c r="F13" s="122">
        <f>+INDEX('Consolidado (usd)'!$Q$6:$S$30,MATCH('Consolidado (usd) Power BI'!$B13,'Consolidado (usd)'!$E$6:$E$30,0),MATCH($A13,'Consolidado (usd)'!$AB$4:$AB$6,0))</f>
        <v>3.7873753308235601E-4</v>
      </c>
      <c r="G13" s="122">
        <f>+INDEX('Consolidado (usd)'!$T$6:$V$30,MATCH('Consolidado (usd) Power BI'!$B13,'Consolidado (usd)'!$E$6:$E$30,0),MATCH($A13,'Consolidado (usd)'!$AB$4:$AB$6,0))</f>
        <v>4.2332783812562037E-3</v>
      </c>
      <c r="H13" s="122">
        <f>+INDEX('Consolidado (usd)'!$W$6:$Y$30,MATCH('Consolidado (usd) Power BI'!$B13,'Consolidado (usd)'!$E$6:$E$30,0),MATCH($A13,'Consolidado (usd)'!$AB$4:$AB$6,0))</f>
        <v>-3.6980652955062344E-3</v>
      </c>
    </row>
    <row r="14" spans="1:21" x14ac:dyDescent="0.25">
      <c r="A14" s="120">
        <v>2022</v>
      </c>
      <c r="B14" s="120" t="s">
        <v>27</v>
      </c>
      <c r="C14" s="121">
        <f>+INDEX('Consolidado (usd)'!$G$6:$I$30,MATCH('Consolidado (usd) Power BI'!B14,'Consolidado (usd)'!$E$6:$E$30,0),MATCH(A14,'Consolidado (usd)'!$AB$4:$AB$6,0))</f>
        <v>2122</v>
      </c>
      <c r="D14" s="121">
        <f>+INDEX('Consolidado (usd)'!$J$6:$L$30,MATCH('Consolidado (usd) Power BI'!$B14,'Consolidado (usd)'!$E$6:$E$30,0),MATCH($A14,'Consolidado (usd)'!$AB$4:$AB$6,0))</f>
        <v>11</v>
      </c>
      <c r="E14" s="121">
        <f>+INDEX('Consolidado (usd)'!$M$6:$O$30,MATCH('Consolidado (usd) Power BI'!$B14,'Consolidado (usd)'!$E$6:$E$30,0),MATCH($A14,'Consolidado (usd)'!$AB$4:$AB$6,0))</f>
        <v>192.90909090909091</v>
      </c>
      <c r="F14" s="122">
        <f>+INDEX('Consolidado (usd)'!$Q$6:$S$30,MATCH('Consolidado (usd) Power BI'!$B14,'Consolidado (usd)'!$E$6:$E$30,0),MATCH($A14,'Consolidado (usd)'!$AB$4:$AB$6,0))</f>
        <v>1.3519187891043066E-3</v>
      </c>
      <c r="G14" s="122">
        <f>+INDEX('Consolidado (usd)'!$T$6:$V$30,MATCH('Consolidado (usd) Power BI'!$B14,'Consolidado (usd)'!$E$6:$E$30,0),MATCH($A14,'Consolidado (usd)'!$AB$4:$AB$6,0))</f>
        <v>5.2873574101616428E-3</v>
      </c>
      <c r="H14" s="122">
        <f>+INDEX('Consolidado (usd)'!$W$6:$Y$30,MATCH('Consolidado (usd) Power BI'!$B14,'Consolidado (usd)'!$E$6:$E$30,0),MATCH($A14,'Consolidado (usd)'!$AB$4:$AB$6,0))</f>
        <v>1.4572913705756666E-2</v>
      </c>
    </row>
    <row r="15" spans="1:21" x14ac:dyDescent="0.25">
      <c r="A15" s="120">
        <v>2022</v>
      </c>
      <c r="B15" s="120" t="s">
        <v>28</v>
      </c>
      <c r="C15" s="121">
        <f>+INDEX('Consolidado (usd)'!$G$6:$I$30,MATCH('Consolidado (usd) Power BI'!B15,'Consolidado (usd)'!$E$6:$E$30,0),MATCH(A15,'Consolidado (usd)'!$AB$4:$AB$6,0))</f>
        <v>1361</v>
      </c>
      <c r="D15" s="121">
        <f>+INDEX('Consolidado (usd)'!$J$6:$L$30,MATCH('Consolidado (usd) Power BI'!$B15,'Consolidado (usd)'!$E$6:$E$30,0),MATCH($A15,'Consolidado (usd)'!$AB$4:$AB$6,0))</f>
        <v>7</v>
      </c>
      <c r="E15" s="121">
        <f>+INDEX('Consolidado (usd)'!$M$6:$O$30,MATCH('Consolidado (usd) Power BI'!$B15,'Consolidado (usd)'!$E$6:$E$30,0),MATCH($A15,'Consolidado (usd)'!$AB$4:$AB$6,0))</f>
        <v>194.42857142857142</v>
      </c>
      <c r="F15" s="122">
        <f>+INDEX('Consolidado (usd)'!$Q$6:$S$30,MATCH('Consolidado (usd) Power BI'!$B15,'Consolidado (usd)'!$E$6:$E$30,0),MATCH($A15,'Consolidado (usd)'!$AB$4:$AB$6,0))</f>
        <v>2.4502870778664865E-3</v>
      </c>
      <c r="G15" s="122">
        <f>+INDEX('Consolidado (usd)'!$T$6:$V$30,MATCH('Consolidado (usd) Power BI'!$B15,'Consolidado (usd)'!$E$6:$E$30,0),MATCH($A15,'Consolidado (usd)'!$AB$4:$AB$6,0))</f>
        <v>1.049734022388721E-2</v>
      </c>
      <c r="H15" s="122">
        <f>+INDEX('Consolidado (usd)'!$W$6:$Y$30,MATCH('Consolidado (usd) Power BI'!$B15,'Consolidado (usd)'!$E$6:$E$30,0),MATCH($A15,'Consolidado (usd)'!$AB$4:$AB$6,0))</f>
        <v>2.9317673688906521E-2</v>
      </c>
    </row>
    <row r="16" spans="1:21" x14ac:dyDescent="0.25">
      <c r="A16" s="120">
        <v>2022</v>
      </c>
      <c r="B16" s="120" t="s">
        <v>31</v>
      </c>
      <c r="C16" s="121">
        <f>+INDEX('Consolidado (usd)'!$G$6:$I$30,MATCH('Consolidado (usd) Power BI'!B16,'Consolidado (usd)'!$E$6:$E$30,0),MATCH(A16,'Consolidado (usd)'!$AB$4:$AB$6,0))</f>
        <v>15182</v>
      </c>
      <c r="D16" s="121">
        <f>+INDEX('Consolidado (usd)'!$J$6:$L$30,MATCH('Consolidado (usd) Power BI'!$B16,'Consolidado (usd)'!$E$6:$E$30,0),MATCH($A16,'Consolidado (usd)'!$AB$4:$AB$6,0))</f>
        <v>6</v>
      </c>
      <c r="E16" s="121">
        <f>+INDEX('Consolidado (usd)'!$M$6:$O$30,MATCH('Consolidado (usd) Power BI'!$B16,'Consolidado (usd)'!$E$6:$E$30,0),MATCH($A16,'Consolidado (usd)'!$AB$4:$AB$6,0))</f>
        <v>2530.3333333333335</v>
      </c>
      <c r="F16" s="122">
        <f>+INDEX('Consolidado (usd)'!$Q$6:$S$30,MATCH('Consolidado (usd) Power BI'!$B16,'Consolidado (usd)'!$E$6:$E$30,0),MATCH($A16,'Consolidado (usd)'!$AB$4:$AB$6,0))</f>
        <v>2.923334619572325E-3</v>
      </c>
      <c r="G16" s="122">
        <f>+INDEX('Consolidado (usd)'!$T$6:$V$30,MATCH('Consolidado (usd) Power BI'!$B16,'Consolidado (usd)'!$E$6:$E$30,0),MATCH($A16,'Consolidado (usd)'!$AB$4:$AB$6,0))</f>
        <v>2.7955501073447415E-2</v>
      </c>
      <c r="H16" s="122">
        <f>+INDEX('Consolidado (usd)'!$W$6:$Y$30,MATCH('Consolidado (usd) Power BI'!$B16,'Consolidado (usd)'!$E$6:$E$30,0),MATCH($A16,'Consolidado (usd)'!$AB$4:$AB$6,0))</f>
        <v>7.8541131843824719E-2</v>
      </c>
    </row>
    <row r="17" spans="1:8" x14ac:dyDescent="0.25">
      <c r="A17" s="120">
        <v>2022</v>
      </c>
      <c r="B17" s="120" t="s">
        <v>32</v>
      </c>
      <c r="C17" s="121">
        <f>+INDEX('Consolidado (usd)'!$G$6:$I$30,MATCH('Consolidado (usd) Power BI'!B17,'Consolidado (usd)'!$E$6:$E$30,0),MATCH(A17,'Consolidado (usd)'!$AB$4:$AB$6,0))</f>
        <v>978.62975980739611</v>
      </c>
      <c r="D17" s="121">
        <f>+INDEX('Consolidado (usd)'!$J$6:$L$30,MATCH('Consolidado (usd) Power BI'!$B17,'Consolidado (usd)'!$E$6:$E$30,0),MATCH($A17,'Consolidado (usd)'!$AB$4:$AB$6,0))</f>
        <v>9</v>
      </c>
      <c r="E17" s="121">
        <f>+INDEX('Consolidado (usd)'!$M$6:$O$30,MATCH('Consolidado (usd) Power BI'!$B17,'Consolidado (usd)'!$E$6:$E$30,0),MATCH($A17,'Consolidado (usd)'!$AB$4:$AB$6,0))</f>
        <v>108.73663997859957</v>
      </c>
      <c r="F17" s="122">
        <f>+INDEX('Consolidado (usd)'!$Q$6:$S$30,MATCH('Consolidado (usd) Power BI'!$B17,'Consolidado (usd)'!$E$6:$E$30,0),MATCH($A17,'Consolidado (usd)'!$AB$4:$AB$6,0))</f>
        <v>2.4217783678194118E-4</v>
      </c>
      <c r="G17" s="122">
        <f>+INDEX('Consolidado (usd)'!$T$6:$V$30,MATCH('Consolidado (usd) Power BI'!$B17,'Consolidado (usd)'!$E$6:$E$30,0),MATCH($A17,'Consolidado (usd)'!$AB$4:$AB$6,0))</f>
        <v>2.3824214481702063E-3</v>
      </c>
      <c r="H17" s="122">
        <f>+INDEX('Consolidado (usd)'!$W$6:$Y$30,MATCH('Consolidado (usd) Power BI'!$B17,'Consolidado (usd)'!$E$6:$E$30,0),MATCH($A17,'Consolidado (usd)'!$AB$4:$AB$6,0))</f>
        <v>7.111987577345936E-3</v>
      </c>
    </row>
    <row r="18" spans="1:8" x14ac:dyDescent="0.25">
      <c r="A18" s="120">
        <v>2022</v>
      </c>
      <c r="B18" s="120" t="s">
        <v>34</v>
      </c>
      <c r="C18" s="121">
        <f>+INDEX('Consolidado (usd)'!$G$6:$I$30,MATCH('Consolidado (usd) Power BI'!B18,'Consolidado (usd)'!$E$6:$E$30,0),MATCH(A18,'Consolidado (usd)'!$AB$4:$AB$6,0))</f>
        <v>2060</v>
      </c>
      <c r="D18" s="121">
        <f>+INDEX('Consolidado (usd)'!$J$6:$L$30,MATCH('Consolidado (usd) Power BI'!$B18,'Consolidado (usd)'!$E$6:$E$30,0),MATCH($A18,'Consolidado (usd)'!$AB$4:$AB$6,0))</f>
        <v>9</v>
      </c>
      <c r="E18" s="121">
        <f>+INDEX('Consolidado (usd)'!$M$6:$O$30,MATCH('Consolidado (usd) Power BI'!$B18,'Consolidado (usd)'!$E$6:$E$30,0),MATCH($A18,'Consolidado (usd)'!$AB$4:$AB$6,0))</f>
        <v>228.88888888888889</v>
      </c>
      <c r="F18" s="122">
        <f>+INDEX('Consolidado (usd)'!$Q$6:$S$30,MATCH('Consolidado (usd) Power BI'!$B18,'Consolidado (usd)'!$E$6:$E$30,0),MATCH($A18,'Consolidado (usd)'!$AB$4:$AB$6,0))</f>
        <v>5.2272324244110788E-4</v>
      </c>
      <c r="G18" s="122" t="str">
        <f>+INDEX('Consolidado (usd)'!$T$6:$V$30,MATCH('Consolidado (usd) Power BI'!$B18,'Consolidado (usd)'!$E$6:$E$30,0),MATCH($A18,'Consolidado (usd)'!$AB$4:$AB$6,0))</f>
        <v>-</v>
      </c>
      <c r="H18" s="122">
        <f>+INDEX('Consolidado (usd)'!$W$6:$Y$30,MATCH('Consolidado (usd) Power BI'!$B18,'Consolidado (usd)'!$E$6:$E$30,0),MATCH($A18,'Consolidado (usd)'!$AB$4:$AB$6,0))</f>
        <v>1.6882644728910088E-3</v>
      </c>
    </row>
    <row r="19" spans="1:8" x14ac:dyDescent="0.25">
      <c r="A19" s="120">
        <v>2022</v>
      </c>
      <c r="B19" s="120" t="s">
        <v>35</v>
      </c>
      <c r="C19" s="121">
        <f>+INDEX('Consolidado (usd)'!$G$6:$I$30,MATCH('Consolidado (usd) Power BI'!B19,'Consolidado (usd)'!$E$6:$E$30,0),MATCH(A19,'Consolidado (usd)'!$AB$4:$AB$6,0))</f>
        <v>1029</v>
      </c>
      <c r="D19" s="121">
        <f>+INDEX('Consolidado (usd)'!$J$6:$L$30,MATCH('Consolidado (usd) Power BI'!$B19,'Consolidado (usd)'!$E$6:$E$30,0),MATCH($A19,'Consolidado (usd)'!$AB$4:$AB$6,0))</f>
        <v>7</v>
      </c>
      <c r="E19" s="121">
        <f>+INDEX('Consolidado (usd)'!$M$6:$O$30,MATCH('Consolidado (usd) Power BI'!$B19,'Consolidado (usd)'!$E$6:$E$30,0),MATCH($A19,'Consolidado (usd)'!$AB$4:$AB$6,0))</f>
        <v>147</v>
      </c>
      <c r="F19" s="122">
        <f>+INDEX('Consolidado (usd)'!$Q$6:$S$30,MATCH('Consolidado (usd) Power BI'!$B19,'Consolidado (usd)'!$E$6:$E$30,0),MATCH($A19,'Consolidado (usd)'!$AB$4:$AB$6,0))</f>
        <v>6.6758002080267575E-4</v>
      </c>
      <c r="G19" s="122" t="str">
        <f>+INDEX('Consolidado (usd)'!$T$6:$V$30,MATCH('Consolidado (usd) Power BI'!$B19,'Consolidado (usd)'!$E$6:$E$30,0),MATCH($A19,'Consolidado (usd)'!$AB$4:$AB$6,0))</f>
        <v>-</v>
      </c>
      <c r="H19" s="122">
        <f>+INDEX('Consolidado (usd)'!$W$6:$Y$30,MATCH('Consolidado (usd) Power BI'!$B19,'Consolidado (usd)'!$E$6:$E$30,0),MATCH($A19,'Consolidado (usd)'!$AB$4:$AB$6,0))</f>
        <v>2.3498218360060025E-3</v>
      </c>
    </row>
    <row r="20" spans="1:8" x14ac:dyDescent="0.25">
      <c r="A20" s="120">
        <v>2022</v>
      </c>
      <c r="B20" s="120" t="s">
        <v>36</v>
      </c>
      <c r="C20" s="121">
        <f>+INDEX('Consolidado (usd)'!$G$6:$I$30,MATCH('Consolidado (usd) Power BI'!B20,'Consolidado (usd)'!$E$6:$E$30,0),MATCH(A20,'Consolidado (usd)'!$AB$4:$AB$6,0))</f>
        <v>4460</v>
      </c>
      <c r="D20" s="121">
        <f>+INDEX('Consolidado (usd)'!$J$6:$L$30,MATCH('Consolidado (usd) Power BI'!$B20,'Consolidado (usd)'!$E$6:$E$30,0),MATCH($A20,'Consolidado (usd)'!$AB$4:$AB$6,0))</f>
        <v>11</v>
      </c>
      <c r="E20" s="121">
        <f>+INDEX('Consolidado (usd)'!$M$6:$O$30,MATCH('Consolidado (usd) Power BI'!$B20,'Consolidado (usd)'!$E$6:$E$30,0),MATCH($A20,'Consolidado (usd)'!$AB$4:$AB$6,0))</f>
        <v>405.45454545454544</v>
      </c>
      <c r="F20" s="122">
        <f>+INDEX('Consolidado (usd)'!$Q$6:$S$30,MATCH('Consolidado (usd) Power BI'!$B20,'Consolidado (usd)'!$E$6:$E$30,0),MATCH($A20,'Consolidado (usd)'!$AB$4:$AB$6,0))</f>
        <v>2.9601156080451452E-3</v>
      </c>
      <c r="G20" s="122" t="str">
        <f>+INDEX('Consolidado (usd)'!$T$6:$V$30,MATCH('Consolidado (usd) Power BI'!$B20,'Consolidado (usd)'!$E$6:$E$30,0),MATCH($A20,'Consolidado (usd)'!$AB$4:$AB$6,0))</f>
        <v>-</v>
      </c>
      <c r="H20" s="122">
        <f>+INDEX('Consolidado (usd)'!$W$6:$Y$30,MATCH('Consolidado (usd) Power BI'!$B20,'Consolidado (usd)'!$E$6:$E$30,0),MATCH($A20,'Consolidado (usd)'!$AB$4:$AB$6,0))</f>
        <v>8.8401231226977774E-3</v>
      </c>
    </row>
    <row r="21" spans="1:8" x14ac:dyDescent="0.25">
      <c r="A21" s="120">
        <v>2022</v>
      </c>
      <c r="B21" s="120" t="s">
        <v>43</v>
      </c>
      <c r="C21" s="121">
        <f>+INDEX('Consolidado (usd)'!$G$6:$I$30,MATCH('Consolidado (usd) Power BI'!B21,'Consolidado (usd)'!$E$6:$E$30,0),MATCH(A21,'Consolidado (usd)'!$AB$4:$AB$6,0))</f>
        <v>1297.4193374991116</v>
      </c>
      <c r="D21" s="121">
        <f>+INDEX('Consolidado (usd)'!$J$6:$L$30,MATCH('Consolidado (usd) Power BI'!$B21,'Consolidado (usd)'!$E$6:$E$30,0),MATCH($A21,'Consolidado (usd)'!$AB$4:$AB$6,0))</f>
        <v>10</v>
      </c>
      <c r="E21" s="121">
        <f>+INDEX('Consolidado (usd)'!$M$6:$O$30,MATCH('Consolidado (usd) Power BI'!$B21,'Consolidado (usd)'!$E$6:$E$30,0),MATCH($A21,'Consolidado (usd)'!$AB$4:$AB$6,0))</f>
        <v>129.74193374991117</v>
      </c>
      <c r="F21" s="122">
        <f>+INDEX('Consolidado (usd)'!$Q$6:$S$30,MATCH('Consolidado (usd) Power BI'!$B21,'Consolidado (usd)'!$E$6:$E$30,0),MATCH($A21,'Consolidado (usd)'!$AB$4:$AB$6,0))</f>
        <v>6.1965077391628719E-3</v>
      </c>
      <c r="G21" s="122">
        <f>+INDEX('Consolidado (usd)'!$T$6:$V$30,MATCH('Consolidado (usd) Power BI'!$B21,'Consolidado (usd)'!$E$6:$E$30,0),MATCH($A21,'Consolidado (usd)'!$AB$4:$AB$6,0))</f>
        <v>4.3875060997705218E-2</v>
      </c>
      <c r="H21" s="122">
        <f>+INDEX('Consolidado (usd)'!$W$6:$Y$30,MATCH('Consolidado (usd) Power BI'!$B21,'Consolidado (usd)'!$E$6:$E$30,0),MATCH($A21,'Consolidado (usd)'!$AB$4:$AB$6,0))</f>
        <v>0.2942714627389727</v>
      </c>
    </row>
    <row r="22" spans="1:8" x14ac:dyDescent="0.25">
      <c r="A22" s="120">
        <v>2023</v>
      </c>
      <c r="B22" s="120" t="s">
        <v>3</v>
      </c>
      <c r="C22" s="121">
        <f>+INDEX('Consolidado (usd)'!$G$6:$I$30,MATCH('Consolidado (usd) Power BI'!B22,'Consolidado (usd)'!$E$6:$E$30,0),MATCH(A22,'Consolidado (usd)'!$AB$4:$AB$6,0))</f>
        <v>999</v>
      </c>
      <c r="D22" s="121">
        <f>+INDEX('Consolidado (usd)'!$J$6:$L$30,MATCH('Consolidado (usd) Power BI'!$B22,'Consolidado (usd)'!$E$6:$E$30,0),MATCH($A22,'Consolidado (usd)'!$AB$4:$AB$6,0))</f>
        <v>7</v>
      </c>
      <c r="E22" s="121">
        <f>+INDEX('Consolidado (usd)'!$M$6:$O$30,MATCH('Consolidado (usd) Power BI'!$B22,'Consolidado (usd)'!$E$6:$E$30,0),MATCH($A22,'Consolidado (usd)'!$AB$4:$AB$6,0))</f>
        <v>142.71428571428572</v>
      </c>
      <c r="F22" s="122">
        <f>+INDEX('Consolidado (usd)'!$Q$6:$S$30,MATCH('Consolidado (usd) Power BI'!$B22,'Consolidado (usd)'!$E$6:$E$30,0),MATCH($A22,'Consolidado (usd)'!$AB$4:$AB$6,0))</f>
        <v>1.2126067403455747E-3</v>
      </c>
      <c r="G22" s="122">
        <f>+INDEX('Consolidado (usd)'!$T$6:$V$30,MATCH('Consolidado (usd) Power BI'!$B22,'Consolidado (usd)'!$E$6:$E$30,0),MATCH($A22,'Consolidado (usd)'!$AB$4:$AB$6,0))</f>
        <v>6.1043420875750059E-3</v>
      </c>
      <c r="H22" s="122">
        <f>+INDEX('Consolidado (usd)'!$W$6:$Y$30,MATCH('Consolidado (usd) Power BI'!$B22,'Consolidado (usd)'!$E$6:$E$30,0),MATCH($A22,'Consolidado (usd)'!$AB$4:$AB$6,0))</f>
        <v>5.031478217073785E-2</v>
      </c>
    </row>
    <row r="23" spans="1:8" x14ac:dyDescent="0.25">
      <c r="A23" s="120">
        <v>2023</v>
      </c>
      <c r="B23" s="120" t="s">
        <v>7</v>
      </c>
      <c r="C23" s="121" t="str">
        <f>+INDEX('Consolidado (usd)'!$G$6:$I$30,MATCH('Consolidado (usd) Power BI'!B23,'Consolidado (usd)'!$E$6:$E$30,0),MATCH(A23,'Consolidado (usd)'!$AB$4:$AB$6,0))</f>
        <v>-</v>
      </c>
      <c r="D23" s="121">
        <f>+INDEX('Consolidado (usd)'!$J$6:$L$30,MATCH('Consolidado (usd) Power BI'!$B23,'Consolidado (usd)'!$E$6:$E$30,0),MATCH($A23,'Consolidado (usd)'!$AB$4:$AB$6,0))</f>
        <v>5</v>
      </c>
      <c r="E23" s="121" t="str">
        <f>+INDEX('Consolidado (usd)'!$M$6:$O$30,MATCH('Consolidado (usd) Power BI'!$B23,'Consolidado (usd)'!$E$6:$E$30,0),MATCH($A23,'Consolidado (usd)'!$AB$4:$AB$6,0))</f>
        <v>-</v>
      </c>
      <c r="F23" s="122" t="str">
        <f>+INDEX('Consolidado (usd)'!$Q$6:$S$30,MATCH('Consolidado (usd) Power BI'!$B23,'Consolidado (usd)'!$E$6:$E$30,0),MATCH($A23,'Consolidado (usd)'!$AB$4:$AB$6,0))</f>
        <v>-</v>
      </c>
      <c r="G23" s="122" t="str">
        <f>+INDEX('Consolidado (usd)'!$T$6:$V$30,MATCH('Consolidado (usd) Power BI'!$B23,'Consolidado (usd)'!$E$6:$E$30,0),MATCH($A23,'Consolidado (usd)'!$AB$4:$AB$6,0))</f>
        <v>-</v>
      </c>
      <c r="H23" s="122" t="str">
        <f>+INDEX('Consolidado (usd)'!$W$6:$Y$30,MATCH('Consolidado (usd) Power BI'!$B23,'Consolidado (usd)'!$E$6:$E$30,0),MATCH($A23,'Consolidado (usd)'!$AB$4:$AB$6,0))</f>
        <v>-</v>
      </c>
    </row>
    <row r="24" spans="1:8" x14ac:dyDescent="0.25">
      <c r="A24" s="120">
        <v>2023</v>
      </c>
      <c r="B24" s="120" t="s">
        <v>9</v>
      </c>
      <c r="C24" s="121">
        <f>+INDEX('Consolidado (usd)'!$G$6:$I$30,MATCH('Consolidado (usd) Power BI'!B24,'Consolidado (usd)'!$E$6:$E$30,0),MATCH(A24,'Consolidado (usd)'!$AB$4:$AB$6,0))</f>
        <v>538</v>
      </c>
      <c r="D24" s="121">
        <f>+INDEX('Consolidado (usd)'!$J$6:$L$30,MATCH('Consolidado (usd) Power BI'!$B24,'Consolidado (usd)'!$E$6:$E$30,0),MATCH($A24,'Consolidado (usd)'!$AB$4:$AB$6,0))</f>
        <v>8</v>
      </c>
      <c r="E24" s="121">
        <f>+INDEX('Consolidado (usd)'!$M$6:$O$30,MATCH('Consolidado (usd) Power BI'!$B24,'Consolidado (usd)'!$E$6:$E$30,0),MATCH($A24,'Consolidado (usd)'!$AB$4:$AB$6,0))</f>
        <v>67.25</v>
      </c>
      <c r="F24" s="122">
        <f>+INDEX('Consolidado (usd)'!$Q$6:$S$30,MATCH('Consolidado (usd) Power BI'!$B24,'Consolidado (usd)'!$E$6:$E$30,0),MATCH($A24,'Consolidado (usd)'!$AB$4:$AB$6,0))</f>
        <v>2.6756185502921793E-4</v>
      </c>
      <c r="G24" s="122">
        <f>+INDEX('Consolidado (usd)'!$T$6:$V$30,MATCH('Consolidado (usd) Power BI'!$B24,'Consolidado (usd)'!$E$6:$E$30,0),MATCH($A24,'Consolidado (usd)'!$AB$4:$AB$6,0))</f>
        <v>4.4403324141790214E-4</v>
      </c>
      <c r="H24" s="122">
        <f>+INDEX('Consolidado (usd)'!$W$6:$Y$30,MATCH('Consolidado (usd) Power BI'!$B24,'Consolidado (usd)'!$E$6:$E$30,0),MATCH($A24,'Consolidado (usd)'!$AB$4:$AB$6,0))</f>
        <v>1.3609813231875295E-3</v>
      </c>
    </row>
    <row r="25" spans="1:8" x14ac:dyDescent="0.25">
      <c r="A25" s="120">
        <v>2023</v>
      </c>
      <c r="B25" s="120" t="s">
        <v>10</v>
      </c>
      <c r="C25" s="121">
        <f>+INDEX('Consolidado (usd)'!$G$6:$I$30,MATCH('Consolidado (usd) Power BI'!B25,'Consolidado (usd)'!$E$6:$E$30,0),MATCH(A25,'Consolidado (usd)'!$AB$4:$AB$6,0))</f>
        <v>10571</v>
      </c>
      <c r="D25" s="121">
        <f>+INDEX('Consolidado (usd)'!$J$6:$L$30,MATCH('Consolidado (usd) Power BI'!$B25,'Consolidado (usd)'!$E$6:$E$30,0),MATCH($A25,'Consolidado (usd)'!$AB$4:$AB$6,0))</f>
        <v>7</v>
      </c>
      <c r="E25" s="121">
        <f>+INDEX('Consolidado (usd)'!$M$6:$O$30,MATCH('Consolidado (usd) Power BI'!$B25,'Consolidado (usd)'!$E$6:$E$30,0),MATCH($A25,'Consolidado (usd)'!$AB$4:$AB$6,0))</f>
        <v>1510.1428571428571</v>
      </c>
      <c r="F25" s="122">
        <f>+INDEX('Consolidado (usd)'!$Q$6:$S$30,MATCH('Consolidado (usd) Power BI'!$B25,'Consolidado (usd)'!$E$6:$E$30,0),MATCH($A25,'Consolidado (usd)'!$AB$4:$AB$6,0))</f>
        <v>1.1970521557356815E-2</v>
      </c>
      <c r="G25" s="122">
        <f>+INDEX('Consolidado (usd)'!$T$6:$V$30,MATCH('Consolidado (usd) Power BI'!$B25,'Consolidado (usd)'!$E$6:$E$30,0),MATCH($A25,'Consolidado (usd)'!$AB$4:$AB$6,0))</f>
        <v>4.1041429675155006E-2</v>
      </c>
      <c r="H25" s="122">
        <f>+INDEX('Consolidado (usd)'!$W$6:$Y$30,MATCH('Consolidado (usd) Power BI'!$B25,'Consolidado (usd)'!$E$6:$E$30,0),MATCH($A25,'Consolidado (usd)'!$AB$4:$AB$6,0))</f>
        <v>-1.0589001302213763</v>
      </c>
    </row>
    <row r="26" spans="1:8" x14ac:dyDescent="0.25">
      <c r="A26" s="120">
        <v>2023</v>
      </c>
      <c r="B26" s="120" t="s">
        <v>11</v>
      </c>
      <c r="C26" s="121">
        <f>+INDEX('Consolidado (usd)'!$G$6:$I$30,MATCH('Consolidado (usd) Power BI'!B26,'Consolidado (usd)'!$E$6:$E$30,0),MATCH(A26,'Consolidado (usd)'!$AB$4:$AB$6,0))</f>
        <v>13951</v>
      </c>
      <c r="D26" s="121">
        <f>+INDEX('Consolidado (usd)'!$J$6:$L$30,MATCH('Consolidado (usd) Power BI'!$B26,'Consolidado (usd)'!$E$6:$E$30,0),MATCH($A26,'Consolidado (usd)'!$AB$4:$AB$6,0))</f>
        <v>5</v>
      </c>
      <c r="E26" s="121">
        <f>+INDEX('Consolidado (usd)'!$M$6:$O$30,MATCH('Consolidado (usd) Power BI'!$B26,'Consolidado (usd)'!$E$6:$E$30,0),MATCH($A26,'Consolidado (usd)'!$AB$4:$AB$6,0))</f>
        <v>2790.2</v>
      </c>
      <c r="F26" s="122">
        <f>+INDEX('Consolidado (usd)'!$Q$6:$S$30,MATCH('Consolidado (usd) Power BI'!$B26,'Consolidado (usd)'!$E$6:$E$30,0),MATCH($A26,'Consolidado (usd)'!$AB$4:$AB$6,0))</f>
        <v>1.8972253538173653E-2</v>
      </c>
      <c r="G26" s="122">
        <f>+INDEX('Consolidado (usd)'!$T$6:$V$30,MATCH('Consolidado (usd) Power BI'!$B26,'Consolidado (usd)'!$E$6:$E$30,0),MATCH($A26,'Consolidado (usd)'!$AB$4:$AB$6,0))</f>
        <v>7.5530025770405185E-2</v>
      </c>
      <c r="H26" s="122">
        <f>+INDEX('Consolidado (usd)'!$W$6:$Y$30,MATCH('Consolidado (usd) Power BI'!$B26,'Consolidado (usd)'!$E$6:$E$30,0),MATCH($A26,'Consolidado (usd)'!$AB$4:$AB$6,0))</f>
        <v>0.29726619931388637</v>
      </c>
    </row>
    <row r="27" spans="1:8" x14ac:dyDescent="0.25">
      <c r="A27" s="120">
        <v>2023</v>
      </c>
      <c r="B27" s="120" t="s">
        <v>73</v>
      </c>
      <c r="C27" s="121">
        <v>7353</v>
      </c>
      <c r="D27" s="121">
        <v>9</v>
      </c>
      <c r="E27" s="121">
        <v>817</v>
      </c>
      <c r="F27" s="122">
        <v>2.8574948323762364E-3</v>
      </c>
      <c r="G27" s="122">
        <v>2.6909719045405806E-2</v>
      </c>
      <c r="H27" s="122">
        <v>-2.5184266768960982E-2</v>
      </c>
    </row>
    <row r="28" spans="1:8" x14ac:dyDescent="0.25">
      <c r="A28" s="120">
        <v>2023</v>
      </c>
      <c r="B28" s="120" t="s">
        <v>13</v>
      </c>
      <c r="C28" s="121">
        <f>+INDEX('Consolidado (usd)'!$G$6:$I$30,MATCH('Consolidado (usd) Power BI'!B28,'Consolidado (usd)'!$E$6:$E$30,0),MATCH(A28,'Consolidado (usd)'!$AB$4:$AB$6,0))</f>
        <v>7416</v>
      </c>
      <c r="D28" s="121">
        <f>+INDEX('Consolidado (usd)'!$J$6:$L$30,MATCH('Consolidado (usd) Power BI'!$B28,'Consolidado (usd)'!$E$6:$E$30,0),MATCH($A28,'Consolidado (usd)'!$AB$4:$AB$6,0))</f>
        <v>9</v>
      </c>
      <c r="E28" s="121">
        <f>+INDEX('Consolidado (usd)'!$M$6:$O$30,MATCH('Consolidado (usd) Power BI'!$B28,'Consolidado (usd)'!$E$6:$E$30,0),MATCH($A28,'Consolidado (usd)'!$AB$4:$AB$6,0))</f>
        <v>824</v>
      </c>
      <c r="F28" s="122">
        <f>+INDEX('Consolidado (usd)'!$Q$6:$S$30,MATCH('Consolidado (usd) Power BI'!$B28,'Consolidado (usd)'!$E$6:$E$30,0),MATCH($A28,'Consolidado (usd)'!$AB$4:$AB$6,0))</f>
        <v>1.0690253648467096E-2</v>
      </c>
      <c r="G28" s="122">
        <f>+INDEX('Consolidado (usd)'!$T$6:$V$30,MATCH('Consolidado (usd) Power BI'!$B28,'Consolidado (usd)'!$E$6:$E$30,0),MATCH($A28,'Consolidado (usd)'!$AB$4:$AB$6,0))</f>
        <v>3.2382158373905637E-2</v>
      </c>
      <c r="H28" s="122">
        <f>+INDEX('Consolidado (usd)'!$W$6:$Y$30,MATCH('Consolidado (usd) Power BI'!$B28,'Consolidado (usd)'!$E$6:$E$30,0),MATCH($A28,'Consolidado (usd)'!$AB$4:$AB$6,0))</f>
        <v>-0.13482165581936517</v>
      </c>
    </row>
    <row r="29" spans="1:8" x14ac:dyDescent="0.25">
      <c r="A29" s="120">
        <v>2023</v>
      </c>
      <c r="B29" s="120" t="s">
        <v>20</v>
      </c>
      <c r="C29" s="121">
        <f>+INDEX('Consolidado (usd)'!$G$6:$I$30,MATCH('Consolidado (usd) Power BI'!B29,'Consolidado (usd)'!$E$6:$E$30,0),MATCH(A29,'Consolidado (usd)'!$AB$4:$AB$6,0))</f>
        <v>2425.7439118378438</v>
      </c>
      <c r="D29" s="121">
        <f>+INDEX('Consolidado (usd)'!$J$6:$L$30,MATCH('Consolidado (usd) Power BI'!$B29,'Consolidado (usd)'!$E$6:$E$30,0),MATCH($A29,'Consolidado (usd)'!$AB$4:$AB$6,0))</f>
        <v>7</v>
      </c>
      <c r="E29" s="121">
        <f>+INDEX('Consolidado (usd)'!$M$6:$O$30,MATCH('Consolidado (usd) Power BI'!$B29,'Consolidado (usd)'!$E$6:$E$30,0),MATCH($A29,'Consolidado (usd)'!$AB$4:$AB$6,0))</f>
        <v>346.53484454826338</v>
      </c>
      <c r="F29" s="122">
        <f>+INDEX('Consolidado (usd)'!$Q$6:$S$30,MATCH('Consolidado (usd) Power BI'!$B29,'Consolidado (usd)'!$E$6:$E$30,0),MATCH($A29,'Consolidado (usd)'!$AB$4:$AB$6,0))</f>
        <v>3.4348104778299492E-3</v>
      </c>
      <c r="G29" s="122">
        <f>+INDEX('Consolidado (usd)'!$T$6:$V$30,MATCH('Consolidado (usd) Power BI'!$B29,'Consolidado (usd)'!$E$6:$E$30,0),MATCH($A29,'Consolidado (usd)'!$AB$4:$AB$6,0))</f>
        <v>6.8688116455633995E-3</v>
      </c>
      <c r="H29" s="122">
        <f>+INDEX('Consolidado (usd)'!$W$6:$Y$30,MATCH('Consolidado (usd) Power BI'!$B29,'Consolidado (usd)'!$E$6:$E$30,0),MATCH($A29,'Consolidado (usd)'!$AB$4:$AB$6,0))</f>
        <v>1.1296260821585847E-2</v>
      </c>
    </row>
    <row r="30" spans="1:8" x14ac:dyDescent="0.25">
      <c r="A30" s="120">
        <v>2023</v>
      </c>
      <c r="B30" s="120" t="s">
        <v>22</v>
      </c>
      <c r="C30" s="121">
        <f>+INDEX('Consolidado (usd)'!$G$6:$I$30,MATCH('Consolidado (usd) Power BI'!B30,'Consolidado (usd)'!$E$6:$E$30,0),MATCH(A30,'Consolidado (usd)'!$AB$4:$AB$6,0))</f>
        <v>130</v>
      </c>
      <c r="D30" s="121">
        <f>+INDEX('Consolidado (usd)'!$J$6:$L$30,MATCH('Consolidado (usd) Power BI'!$B30,'Consolidado (usd)'!$E$6:$E$30,0),MATCH($A30,'Consolidado (usd)'!$AB$4:$AB$6,0))</f>
        <v>7</v>
      </c>
      <c r="E30" s="121">
        <f>+INDEX('Consolidado (usd)'!$M$6:$O$30,MATCH('Consolidado (usd) Power BI'!$B30,'Consolidado (usd)'!$E$6:$E$30,0),MATCH($A30,'Consolidado (usd)'!$AB$4:$AB$6,0))</f>
        <v>18.571428571428573</v>
      </c>
      <c r="F30" s="122">
        <f>+INDEX('Consolidado (usd)'!$Q$6:$S$30,MATCH('Consolidado (usd) Power BI'!$B30,'Consolidado (usd)'!$E$6:$E$30,0),MATCH($A30,'Consolidado (usd)'!$AB$4:$AB$6,0))</f>
        <v>1.1680065993451024E-4</v>
      </c>
      <c r="G30" s="122">
        <f>+INDEX('Consolidado (usd)'!$T$6:$V$30,MATCH('Consolidado (usd) Power BI'!$B30,'Consolidado (usd)'!$E$6:$E$30,0),MATCH($A30,'Consolidado (usd)'!$AB$4:$AB$6,0))</f>
        <v>5.0330598471854629E-4</v>
      </c>
      <c r="H30" s="122">
        <f>+INDEX('Consolidado (usd)'!$W$6:$Y$30,MATCH('Consolidado (usd) Power BI'!$B30,'Consolidado (usd)'!$E$6:$E$30,0),MATCH($A30,'Consolidado (usd)'!$AB$4:$AB$6,0))</f>
        <v>1.1138709405723291E-3</v>
      </c>
    </row>
    <row r="31" spans="1:8" x14ac:dyDescent="0.25">
      <c r="A31" s="120">
        <v>2023</v>
      </c>
      <c r="B31" s="120" t="s">
        <v>23</v>
      </c>
      <c r="C31" s="121">
        <f>+INDEX('Consolidado (usd)'!$G$6:$I$30,MATCH('Consolidado (usd) Power BI'!B31,'Consolidado (usd)'!$E$6:$E$30,0),MATCH(A31,'Consolidado (usd)'!$AB$4:$AB$6,0))</f>
        <v>869</v>
      </c>
      <c r="D31" s="121">
        <f>+INDEX('Consolidado (usd)'!$J$6:$L$30,MATCH('Consolidado (usd) Power BI'!$B31,'Consolidado (usd)'!$E$6:$E$30,0),MATCH($A31,'Consolidado (usd)'!$AB$4:$AB$6,0))</f>
        <v>7</v>
      </c>
      <c r="E31" s="121">
        <f>+INDEX('Consolidado (usd)'!$M$6:$O$30,MATCH('Consolidado (usd) Power BI'!$B31,'Consolidado (usd)'!$E$6:$E$30,0),MATCH($A31,'Consolidado (usd)'!$AB$4:$AB$6,0))</f>
        <v>124.14285714285714</v>
      </c>
      <c r="F31" s="122">
        <f>+INDEX('Consolidado (usd)'!$Q$6:$S$30,MATCH('Consolidado (usd) Power BI'!$B31,'Consolidado (usd)'!$E$6:$E$30,0),MATCH($A31,'Consolidado (usd)'!$AB$4:$AB$6,0))</f>
        <v>1.293533967547034E-3</v>
      </c>
      <c r="G31" s="122">
        <f>+INDEX('Consolidado (usd)'!$T$6:$V$30,MATCH('Consolidado (usd) Power BI'!$B31,'Consolidado (usd)'!$E$6:$E$30,0),MATCH($A31,'Consolidado (usd)'!$AB$4:$AB$6,0))</f>
        <v>5.3140746538819037E-3</v>
      </c>
      <c r="H31" s="122">
        <f>+INDEX('Consolidado (usd)'!$W$6:$Y$30,MATCH('Consolidado (usd) Power BI'!$B31,'Consolidado (usd)'!$E$6:$E$30,0),MATCH($A31,'Consolidado (usd)'!$AB$4:$AB$6,0))</f>
        <v>0.14483333333333334</v>
      </c>
    </row>
    <row r="32" spans="1:8" x14ac:dyDescent="0.25">
      <c r="A32" s="120">
        <v>2023</v>
      </c>
      <c r="B32" s="120" t="s">
        <v>25</v>
      </c>
      <c r="C32" s="121">
        <f>+INDEX('Consolidado (usd)'!$G$6:$I$30,MATCH('Consolidado (usd) Power BI'!B32,'Consolidado (usd)'!$E$6:$E$30,0),MATCH(A32,'Consolidado (usd)'!$AB$4:$AB$6,0))</f>
        <v>11318.432766258484</v>
      </c>
      <c r="D32" s="121">
        <f>+INDEX('Consolidado (usd)'!$J$6:$L$30,MATCH('Consolidado (usd) Power BI'!$B32,'Consolidado (usd)'!$E$6:$E$30,0),MATCH($A32,'Consolidado (usd)'!$AB$4:$AB$6,0))</f>
        <v>9</v>
      </c>
      <c r="E32" s="121">
        <f>+INDEX('Consolidado (usd)'!$M$6:$O$30,MATCH('Consolidado (usd) Power BI'!$B32,'Consolidado (usd)'!$E$6:$E$30,0),MATCH($A32,'Consolidado (usd)'!$AB$4:$AB$6,0))</f>
        <v>1257.6036406953872</v>
      </c>
      <c r="F32" s="122">
        <f>+INDEX('Consolidado (usd)'!$Q$6:$S$30,MATCH('Consolidado (usd) Power BI'!$B32,'Consolidado (usd)'!$E$6:$E$30,0),MATCH($A32,'Consolidado (usd)'!$AB$4:$AB$6,0))</f>
        <v>6.0547217032870162E-3</v>
      </c>
      <c r="G32" s="122">
        <f>+INDEX('Consolidado (usd)'!$T$6:$V$30,MATCH('Consolidado (usd) Power BI'!$B32,'Consolidado (usd)'!$E$6:$E$30,0),MATCH($A32,'Consolidado (usd)'!$AB$4:$AB$6,0))</f>
        <v>5.1510976844605379E-2</v>
      </c>
      <c r="H32" s="122">
        <f>+INDEX('Consolidado (usd)'!$W$6:$Y$30,MATCH('Consolidado (usd) Power BI'!$B32,'Consolidado (usd)'!$E$6:$E$30,0),MATCH($A32,'Consolidado (usd)'!$AB$4:$AB$6,0))</f>
        <v>9.6878884764999659E-2</v>
      </c>
    </row>
    <row r="33" spans="1:8" x14ac:dyDescent="0.25">
      <c r="A33" s="120">
        <v>2023</v>
      </c>
      <c r="B33" s="120" t="s">
        <v>72</v>
      </c>
      <c r="C33" s="121">
        <f>+INDEX('Consolidado (usd)'!$G$6:$I$30,MATCH('Consolidado (usd) Power BI'!B33,'Consolidado (usd)'!$E$6:$E$30,0),MATCH(A33,'Consolidado (usd)'!$AB$4:$AB$6,0))</f>
        <v>9829.0023070694169</v>
      </c>
      <c r="D33" s="121">
        <f>+INDEX('Consolidado (usd)'!$J$6:$L$30,MATCH('Consolidado (usd) Power BI'!$B33,'Consolidado (usd)'!$E$6:$E$30,0),MATCH($A33,'Consolidado (usd)'!$AB$4:$AB$6,0))</f>
        <v>9</v>
      </c>
      <c r="E33" s="121">
        <f>+INDEX('Consolidado (usd)'!$M$6:$O$30,MATCH('Consolidado (usd) Power BI'!$B33,'Consolidado (usd)'!$E$6:$E$30,0),MATCH($A33,'Consolidado (usd)'!$AB$4:$AB$6,0))</f>
        <v>1092.1113674521575</v>
      </c>
      <c r="F33" s="122">
        <f>+INDEX('Consolidado (usd)'!$Q$6:$S$30,MATCH('Consolidado (usd) Power BI'!$B33,'Consolidado (usd)'!$E$6:$E$30,0),MATCH($A33,'Consolidado (usd)'!$AB$4:$AB$6,0))</f>
        <v>8.4854613641291623E-3</v>
      </c>
      <c r="G33" s="122">
        <f>+INDEX('Consolidado (usd)'!$T$6:$V$30,MATCH('Consolidado (usd) Power BI'!$B33,'Consolidado (usd)'!$E$6:$E$30,0),MATCH($A33,'Consolidado (usd)'!$AB$4:$AB$6,0))</f>
        <v>6.1072634458524441E-2</v>
      </c>
      <c r="H33" s="122">
        <f>+INDEX('Consolidado (usd)'!$W$6:$Y$30,MATCH('Consolidado (usd) Power BI'!$B33,'Consolidado (usd)'!$E$6:$E$30,0),MATCH($A33,'Consolidado (usd)'!$AB$4:$AB$6,0))</f>
        <v>0.43144723791175099</v>
      </c>
    </row>
    <row r="34" spans="1:8" x14ac:dyDescent="0.25">
      <c r="A34" s="120">
        <v>2023</v>
      </c>
      <c r="B34" s="120" t="s">
        <v>27</v>
      </c>
      <c r="C34" s="121">
        <f>+INDEX('Consolidado (usd)'!$G$6:$I$30,MATCH('Consolidado (usd) Power BI'!B34,'Consolidado (usd)'!$E$6:$E$30,0),MATCH(A34,'Consolidado (usd)'!$AB$4:$AB$6,0))</f>
        <v>1702.7063448657514</v>
      </c>
      <c r="D34" s="121">
        <f>+INDEX('Consolidado (usd)'!$J$6:$L$30,MATCH('Consolidado (usd) Power BI'!$B34,'Consolidado (usd)'!$E$6:$E$30,0),MATCH($A34,'Consolidado (usd)'!$AB$4:$AB$6,0))</f>
        <v>11</v>
      </c>
      <c r="E34" s="121">
        <f>+INDEX('Consolidado (usd)'!$M$6:$O$30,MATCH('Consolidado (usd) Power BI'!$B34,'Consolidado (usd)'!$E$6:$E$30,0),MATCH($A34,'Consolidado (usd)'!$AB$4:$AB$6,0))</f>
        <v>154.79148589688648</v>
      </c>
      <c r="F34" s="122">
        <f>+INDEX('Consolidado (usd)'!$Q$6:$S$30,MATCH('Consolidado (usd) Power BI'!$B34,'Consolidado (usd)'!$E$6:$E$30,0),MATCH($A34,'Consolidado (usd)'!$AB$4:$AB$6,0))</f>
        <v>9.9164496360079082E-4</v>
      </c>
      <c r="G34" s="122">
        <f>+INDEX('Consolidado (usd)'!$T$6:$V$30,MATCH('Consolidado (usd) Power BI'!$B34,'Consolidado (usd)'!$E$6:$E$30,0),MATCH($A34,'Consolidado (usd)'!$AB$4:$AB$6,0))</f>
        <v>4.3552321071869387E-3</v>
      </c>
      <c r="H34" s="122">
        <f>+INDEX('Consolidado (usd)'!$W$6:$Y$30,MATCH('Consolidado (usd) Power BI'!$B34,'Consolidado (usd)'!$E$6:$E$30,0),MATCH($A34,'Consolidado (usd)'!$AB$4:$AB$6,0))</f>
        <v>1.240984073209662E-2</v>
      </c>
    </row>
    <row r="35" spans="1:8" x14ac:dyDescent="0.25">
      <c r="A35" s="120">
        <v>2023</v>
      </c>
      <c r="B35" s="120" t="s">
        <v>28</v>
      </c>
      <c r="C35" s="121">
        <f>+INDEX('Consolidado (usd)'!$G$6:$I$30,MATCH('Consolidado (usd) Power BI'!B35,'Consolidado (usd)'!$E$6:$E$30,0),MATCH(A35,'Consolidado (usd)'!$AB$4:$AB$6,0))</f>
        <v>1599.8384303095727</v>
      </c>
      <c r="D35" s="121">
        <f>+INDEX('Consolidado (usd)'!$J$6:$L$30,MATCH('Consolidado (usd) Power BI'!$B35,'Consolidado (usd)'!$E$6:$E$30,0),MATCH($A35,'Consolidado (usd)'!$AB$4:$AB$6,0))</f>
        <v>7</v>
      </c>
      <c r="E35" s="121">
        <f>+INDEX('Consolidado (usd)'!$M$6:$O$30,MATCH('Consolidado (usd) Power BI'!$B35,'Consolidado (usd)'!$E$6:$E$30,0),MATCH($A35,'Consolidado (usd)'!$AB$4:$AB$6,0))</f>
        <v>228.54834718708182</v>
      </c>
      <c r="F35" s="122">
        <f>+INDEX('Consolidado (usd)'!$Q$6:$S$30,MATCH('Consolidado (usd) Power BI'!$B35,'Consolidado (usd)'!$E$6:$E$30,0),MATCH($A35,'Consolidado (usd)'!$AB$4:$AB$6,0))</f>
        <v>3.0465494843681241E-3</v>
      </c>
      <c r="G35" s="122">
        <f>+INDEX('Consolidado (usd)'!$T$6:$V$30,MATCH('Consolidado (usd) Power BI'!$B35,'Consolidado (usd)'!$E$6:$E$30,0),MATCH($A35,'Consolidado (usd)'!$AB$4:$AB$6,0))</f>
        <v>1.1502932467728664E-2</v>
      </c>
      <c r="H35" s="122">
        <f>+INDEX('Consolidado (usd)'!$W$6:$Y$30,MATCH('Consolidado (usd) Power BI'!$B35,'Consolidado (usd)'!$E$6:$E$30,0),MATCH($A35,'Consolidado (usd)'!$AB$4:$AB$6,0))</f>
        <v>3.5174658283469815E-2</v>
      </c>
    </row>
    <row r="36" spans="1:8" x14ac:dyDescent="0.25">
      <c r="A36" s="120">
        <v>2023</v>
      </c>
      <c r="B36" s="120" t="s">
        <v>31</v>
      </c>
      <c r="C36" s="121">
        <f>+INDEX('Consolidado (usd)'!$G$6:$I$30,MATCH('Consolidado (usd) Power BI'!B36,'Consolidado (usd)'!$E$6:$E$30,0),MATCH(A36,'Consolidado (usd)'!$AB$4:$AB$6,0))</f>
        <v>17667.698968890887</v>
      </c>
      <c r="D36" s="121">
        <f>+INDEX('Consolidado (usd)'!$J$6:$L$30,MATCH('Consolidado (usd) Power BI'!$B36,'Consolidado (usd)'!$E$6:$E$30,0),MATCH($A36,'Consolidado (usd)'!$AB$4:$AB$6,0))</f>
        <v>6</v>
      </c>
      <c r="E36" s="121">
        <f>+INDEX('Consolidado (usd)'!$M$6:$O$30,MATCH('Consolidado (usd) Power BI'!$B36,'Consolidado (usd)'!$E$6:$E$30,0),MATCH($A36,'Consolidado (usd)'!$AB$4:$AB$6,0))</f>
        <v>2944.6164948151477</v>
      </c>
      <c r="F36" s="122">
        <f>+INDEX('Consolidado (usd)'!$Q$6:$S$30,MATCH('Consolidado (usd) Power BI'!$B36,'Consolidado (usd)'!$E$6:$E$30,0),MATCH($A36,'Consolidado (usd)'!$AB$4:$AB$6,0))</f>
        <v>3.1447962292963979E-3</v>
      </c>
      <c r="G36" s="122">
        <f>+INDEX('Consolidado (usd)'!$T$6:$V$30,MATCH('Consolidado (usd) Power BI'!$B36,'Consolidado (usd)'!$E$6:$E$30,0),MATCH($A36,'Consolidado (usd)'!$AB$4:$AB$6,0))</f>
        <v>2.8010681924109302E-2</v>
      </c>
      <c r="H36" s="122">
        <f>+INDEX('Consolidado (usd)'!$W$6:$Y$30,MATCH('Consolidado (usd) Power BI'!$B36,'Consolidado (usd)'!$E$6:$E$30,0),MATCH($A36,'Consolidado (usd)'!$AB$4:$AB$6,0))</f>
        <v>7.011268766373023E-2</v>
      </c>
    </row>
    <row r="37" spans="1:8" x14ac:dyDescent="0.25">
      <c r="A37" s="120">
        <v>2023</v>
      </c>
      <c r="B37" s="120" t="s">
        <v>32</v>
      </c>
      <c r="C37" s="121">
        <f>+INDEX('Consolidado (usd)'!$G$6:$I$30,MATCH('Consolidado (usd) Power BI'!B37,'Consolidado (usd)'!$E$6:$E$30,0),MATCH(A37,'Consolidado (usd)'!$AB$4:$AB$6,0))</f>
        <v>935.50558944545628</v>
      </c>
      <c r="D37" s="121">
        <f>+INDEX('Consolidado (usd)'!$J$6:$L$30,MATCH('Consolidado (usd) Power BI'!$B37,'Consolidado (usd)'!$E$6:$E$30,0),MATCH($A37,'Consolidado (usd)'!$AB$4:$AB$6,0))</f>
        <v>9</v>
      </c>
      <c r="E37" s="121">
        <f>+INDEX('Consolidado (usd)'!$M$6:$O$30,MATCH('Consolidado (usd) Power BI'!$B37,'Consolidado (usd)'!$E$6:$E$30,0),MATCH($A37,'Consolidado (usd)'!$AB$4:$AB$6,0))</f>
        <v>103.94506549393958</v>
      </c>
      <c r="F37" s="122">
        <f>+INDEX('Consolidado (usd)'!$Q$6:$S$30,MATCH('Consolidado (usd) Power BI'!$B37,'Consolidado (usd)'!$E$6:$E$30,0),MATCH($A37,'Consolidado (usd)'!$AB$4:$AB$6,0))</f>
        <v>3.146991972996381E-4</v>
      </c>
      <c r="G37" s="122">
        <f>+INDEX('Consolidado (usd)'!$T$6:$V$30,MATCH('Consolidado (usd) Power BI'!$B37,'Consolidado (usd)'!$E$6:$E$30,0),MATCH($A37,'Consolidado (usd)'!$AB$4:$AB$6,0))</f>
        <v>3.1917913602612113E-3</v>
      </c>
      <c r="H37" s="122">
        <f>+INDEX('Consolidado (usd)'!$W$6:$Y$30,MATCH('Consolidado (usd) Power BI'!$B37,'Consolidado (usd)'!$E$6:$E$30,0),MATCH($A37,'Consolidado (usd)'!$AB$4:$AB$6,0))</f>
        <v>1.844252549795421E-2</v>
      </c>
    </row>
    <row r="38" spans="1:8" x14ac:dyDescent="0.25">
      <c r="A38" s="120">
        <v>2023</v>
      </c>
      <c r="B38" s="120" t="s">
        <v>34</v>
      </c>
      <c r="C38" s="121">
        <f>+INDEX('Consolidado (usd)'!$G$6:$I$30,MATCH('Consolidado (usd) Power BI'!B38,'Consolidado (usd)'!$E$6:$E$30,0),MATCH(A38,'Consolidado (usd)'!$AB$4:$AB$6,0))</f>
        <v>1989.2284943101859</v>
      </c>
      <c r="D38" s="121">
        <f>+INDEX('Consolidado (usd)'!$J$6:$L$30,MATCH('Consolidado (usd) Power BI'!$B38,'Consolidado (usd)'!$E$6:$E$30,0),MATCH($A38,'Consolidado (usd)'!$AB$4:$AB$6,0))</f>
        <v>9</v>
      </c>
      <c r="E38" s="121">
        <f>+INDEX('Consolidado (usd)'!$M$6:$O$30,MATCH('Consolidado (usd) Power BI'!$B38,'Consolidado (usd)'!$E$6:$E$30,0),MATCH($A38,'Consolidado (usd)'!$AB$4:$AB$6,0))</f>
        <v>221.02538825668731</v>
      </c>
      <c r="F38" s="122">
        <f>+INDEX('Consolidado (usd)'!$Q$6:$S$30,MATCH('Consolidado (usd) Power BI'!$B38,'Consolidado (usd)'!$E$6:$E$30,0),MATCH($A38,'Consolidado (usd)'!$AB$4:$AB$6,0))</f>
        <v>3.9295699010852725E-4</v>
      </c>
      <c r="G38" s="122" t="str">
        <f>+INDEX('Consolidado (usd)'!$T$6:$V$30,MATCH('Consolidado (usd) Power BI'!$B38,'Consolidado (usd)'!$E$6:$E$30,0),MATCH($A38,'Consolidado (usd)'!$AB$4:$AB$6,0))</f>
        <v>-</v>
      </c>
      <c r="H38" s="122">
        <f>+INDEX('Consolidado (usd)'!$W$6:$Y$30,MATCH('Consolidado (usd) Power BI'!$B38,'Consolidado (usd)'!$E$6:$E$30,0),MATCH($A38,'Consolidado (usd)'!$AB$4:$AB$6,0))</f>
        <v>1.5182281965268837E-3</v>
      </c>
    </row>
    <row r="39" spans="1:8" x14ac:dyDescent="0.25">
      <c r="A39" s="120">
        <v>2023</v>
      </c>
      <c r="B39" s="120" t="s">
        <v>35</v>
      </c>
      <c r="C39" s="121">
        <f>+INDEX('Consolidado (usd)'!$G$6:$I$30,MATCH('Consolidado (usd) Power BI'!B39,'Consolidado (usd)'!$E$6:$E$30,0),MATCH(A39,'Consolidado (usd)'!$AB$4:$AB$6,0))</f>
        <v>566.58139326230275</v>
      </c>
      <c r="D39" s="121">
        <f>+INDEX('Consolidado (usd)'!$J$6:$L$30,MATCH('Consolidado (usd) Power BI'!$B39,'Consolidado (usd)'!$E$6:$E$30,0),MATCH($A39,'Consolidado (usd)'!$AB$4:$AB$6,0))</f>
        <v>7</v>
      </c>
      <c r="E39" s="121">
        <f>+INDEX('Consolidado (usd)'!$M$6:$O$30,MATCH('Consolidado (usd) Power BI'!$B39,'Consolidado (usd)'!$E$6:$E$30,0),MATCH($A39,'Consolidado (usd)'!$AB$4:$AB$6,0))</f>
        <v>80.940199037471828</v>
      </c>
      <c r="F39" s="122">
        <f>+INDEX('Consolidado (usd)'!$Q$6:$S$30,MATCH('Consolidado (usd) Power BI'!$B39,'Consolidado (usd)'!$E$6:$E$30,0),MATCH($A39,'Consolidado (usd)'!$AB$4:$AB$6,0))</f>
        <v>2.9548856198095049E-4</v>
      </c>
      <c r="G39" s="122" t="str">
        <f>+INDEX('Consolidado (usd)'!$T$6:$V$30,MATCH('Consolidado (usd) Power BI'!$B39,'Consolidado (usd)'!$E$6:$E$30,0),MATCH($A39,'Consolidado (usd)'!$AB$4:$AB$6,0))</f>
        <v>-</v>
      </c>
      <c r="H39" s="122">
        <f>+INDEX('Consolidado (usd)'!$W$6:$Y$30,MATCH('Consolidado (usd) Power BI'!$B39,'Consolidado (usd)'!$E$6:$E$30,0),MATCH($A39,'Consolidado (usd)'!$AB$4:$AB$6,0))</f>
        <v>1.9613546214189612E-3</v>
      </c>
    </row>
    <row r="40" spans="1:8" x14ac:dyDescent="0.25">
      <c r="A40" s="120">
        <v>2023</v>
      </c>
      <c r="B40" s="120" t="s">
        <v>36</v>
      </c>
      <c r="C40" s="121">
        <f>+INDEX('Consolidado (usd)'!$G$6:$I$30,MATCH('Consolidado (usd) Power BI'!B40,'Consolidado (usd)'!$E$6:$E$30,0),MATCH(A40,'Consolidado (usd)'!$AB$4:$AB$6,0))</f>
        <v>4039.3160166038697</v>
      </c>
      <c r="D40" s="121">
        <f>+INDEX('Consolidado (usd)'!$J$6:$L$30,MATCH('Consolidado (usd) Power BI'!$B40,'Consolidado (usd)'!$E$6:$E$30,0),MATCH($A40,'Consolidado (usd)'!$AB$4:$AB$6,0))</f>
        <v>11</v>
      </c>
      <c r="E40" s="121">
        <f>+INDEX('Consolidado (usd)'!$M$6:$O$30,MATCH('Consolidado (usd) Power BI'!$B40,'Consolidado (usd)'!$E$6:$E$30,0),MATCH($A40,'Consolidado (usd)'!$AB$4:$AB$6,0))</f>
        <v>367.21054696398818</v>
      </c>
      <c r="F40" s="122">
        <f>+INDEX('Consolidado (usd)'!$Q$6:$S$30,MATCH('Consolidado (usd) Power BI'!$B40,'Consolidado (usd)'!$E$6:$E$30,0),MATCH($A40,'Consolidado (usd)'!$AB$4:$AB$6,0))</f>
        <v>1.9773540217946938E-3</v>
      </c>
      <c r="G40" s="122" t="str">
        <f>+INDEX('Consolidado (usd)'!$T$6:$V$30,MATCH('Consolidado (usd) Power BI'!$B40,'Consolidado (usd)'!$E$6:$E$30,0),MATCH($A40,'Consolidado (usd)'!$AB$4:$AB$6,0))</f>
        <v>-</v>
      </c>
      <c r="H40" s="122">
        <f>+INDEX('Consolidado (usd)'!$W$6:$Y$30,MATCH('Consolidado (usd) Power BI'!$B40,'Consolidado (usd)'!$E$6:$E$30,0),MATCH($A40,'Consolidado (usd)'!$AB$4:$AB$6,0))</f>
        <v>8.005396742512022E-3</v>
      </c>
    </row>
    <row r="41" spans="1:8" x14ac:dyDescent="0.25">
      <c r="A41" s="120">
        <v>2023</v>
      </c>
      <c r="B41" s="120" t="s">
        <v>43</v>
      </c>
      <c r="C41" s="121">
        <f>+INDEX('Consolidado (usd)'!$G$6:$I$30,MATCH('Consolidado (usd) Power BI'!B41,'Consolidado (usd)'!$E$6:$E$30,0),MATCH(A41,'Consolidado (usd)'!$AB$4:$AB$6,0))</f>
        <v>1164.9387391885562</v>
      </c>
      <c r="D41" s="121">
        <f>+INDEX('Consolidado (usd)'!$J$6:$L$30,MATCH('Consolidado (usd) Power BI'!$B41,'Consolidado (usd)'!$E$6:$E$30,0),MATCH($A41,'Consolidado (usd)'!$AB$4:$AB$6,0))</f>
        <v>10</v>
      </c>
      <c r="E41" s="121">
        <f>+INDEX('Consolidado (usd)'!$M$6:$O$30,MATCH('Consolidado (usd) Power BI'!$B41,'Consolidado (usd)'!$E$6:$E$30,0),MATCH($A41,'Consolidado (usd)'!$AB$4:$AB$6,0))</f>
        <v>116.49387391885561</v>
      </c>
      <c r="F41" s="122">
        <f>+INDEX('Consolidado (usd)'!$Q$6:$S$30,MATCH('Consolidado (usd) Power BI'!$B41,'Consolidado (usd)'!$E$6:$E$30,0),MATCH($A41,'Consolidado (usd)'!$AB$4:$AB$6,0))</f>
        <v>6.1307612210726985E-3</v>
      </c>
      <c r="G41" s="122">
        <f>+INDEX('Consolidado (usd)'!$T$6:$V$30,MATCH('Consolidado (usd) Power BI'!$B41,'Consolidado (usd)'!$E$6:$E$30,0),MATCH($A41,'Consolidado (usd)'!$AB$4:$AB$6,0))</f>
        <v>6.8876592622222843E-2</v>
      </c>
      <c r="H41" s="122">
        <f>+INDEX('Consolidado (usd)'!$W$6:$Y$30,MATCH('Consolidado (usd) Power BI'!$B41,'Consolidado (usd)'!$E$6:$E$30,0),MATCH($A41,'Consolidado (usd)'!$AB$4:$AB$6,0))</f>
        <v>-6.0212949989536156E-2</v>
      </c>
    </row>
    <row r="42" spans="1:8" x14ac:dyDescent="0.25">
      <c r="A42" s="120">
        <v>2024</v>
      </c>
      <c r="B42" s="120" t="s">
        <v>3</v>
      </c>
      <c r="C42" s="121">
        <f>+INDEX('Consolidado (usd)'!$G$6:$I$30,MATCH('Consolidado (usd) Power BI'!B42,'Consolidado (usd)'!$E$6:$E$30,0),MATCH(A42,'Consolidado (usd)'!$AB$4:$AB$6,0))</f>
        <v>3383</v>
      </c>
      <c r="D42" s="121">
        <f>+INDEX('Consolidado (usd)'!$J$6:$L$30,MATCH('Consolidado (usd) Power BI'!$B42,'Consolidado (usd)'!$E$6:$E$30,0),MATCH($A42,'Consolidado (usd)'!$AB$4:$AB$6,0))</f>
        <v>9</v>
      </c>
      <c r="E42" s="121">
        <f>+INDEX('Consolidado (usd)'!$M$6:$O$30,MATCH('Consolidado (usd) Power BI'!$B42,'Consolidado (usd)'!$E$6:$E$30,0),MATCH($A42,'Consolidado (usd)'!$AB$4:$AB$6,0))</f>
        <v>375.88888888888891</v>
      </c>
      <c r="F42" s="122">
        <f>+INDEX('Consolidado (usd)'!$Q$6:$S$30,MATCH('Consolidado (usd) Power BI'!$B42,'Consolidado (usd)'!$E$6:$E$30,0),MATCH($A42,'Consolidado (usd)'!$AB$4:$AB$6,0))</f>
        <v>2.9300063658134166E-3</v>
      </c>
      <c r="G42" s="122">
        <f>+INDEX('Consolidado (usd)'!$T$6:$V$30,MATCH('Consolidado (usd) Power BI'!$B42,'Consolidado (usd)'!$E$6:$E$30,0),MATCH($A42,'Consolidado (usd)'!$AB$4:$AB$6,0))</f>
        <v>8.6220079109407492E-3</v>
      </c>
      <c r="H42" s="122">
        <f>+INDEX('Consolidado (usd)'!$W$6:$Y$30,MATCH('Consolidado (usd) Power BI'!$B42,'Consolidado (usd)'!$E$6:$E$30,0),MATCH($A42,'Consolidado (usd)'!$AB$4:$AB$6,0))</f>
        <v>8.4010241153843288E-3</v>
      </c>
    </row>
    <row r="43" spans="1:8" x14ac:dyDescent="0.25">
      <c r="A43" s="120">
        <v>2024</v>
      </c>
      <c r="B43" s="120" t="s">
        <v>7</v>
      </c>
      <c r="C43" s="121" t="str">
        <f>+INDEX('Consolidado (usd)'!$G$6:$I$30,MATCH('Consolidado (usd) Power BI'!B43,'Consolidado (usd)'!$E$6:$E$30,0),MATCH(A43,'Consolidado (usd)'!$AB$4:$AB$6,0))</f>
        <v>-</v>
      </c>
      <c r="D43" s="121">
        <f>+INDEX('Consolidado (usd)'!$J$6:$L$30,MATCH('Consolidado (usd) Power BI'!$B43,'Consolidado (usd)'!$E$6:$E$30,0),MATCH($A43,'Consolidado (usd)'!$AB$4:$AB$6,0))</f>
        <v>5</v>
      </c>
      <c r="E43" s="121" t="str">
        <f>+INDEX('Consolidado (usd)'!$M$6:$O$30,MATCH('Consolidado (usd) Power BI'!$B43,'Consolidado (usd)'!$E$6:$E$30,0),MATCH($A43,'Consolidado (usd)'!$AB$4:$AB$6,0))</f>
        <v>-</v>
      </c>
      <c r="F43" s="122" t="str">
        <f>+INDEX('Consolidado (usd)'!$Q$6:$S$30,MATCH('Consolidado (usd) Power BI'!$B43,'Consolidado (usd)'!$E$6:$E$30,0),MATCH($A43,'Consolidado (usd)'!$AB$4:$AB$6,0))</f>
        <v>-</v>
      </c>
      <c r="G43" s="122" t="str">
        <f>+INDEX('Consolidado (usd)'!$T$6:$V$30,MATCH('Consolidado (usd) Power BI'!$B43,'Consolidado (usd)'!$E$6:$E$30,0),MATCH($A43,'Consolidado (usd)'!$AB$4:$AB$6,0))</f>
        <v>-</v>
      </c>
      <c r="H43" s="122" t="str">
        <f>+INDEX('Consolidado (usd)'!$W$6:$Y$30,MATCH('Consolidado (usd) Power BI'!$B43,'Consolidado (usd)'!$E$6:$E$30,0),MATCH($A43,'Consolidado (usd)'!$AB$4:$AB$6,0))</f>
        <v>-</v>
      </c>
    </row>
    <row r="44" spans="1:8" x14ac:dyDescent="0.25">
      <c r="A44" s="120">
        <v>2024</v>
      </c>
      <c r="B44" s="120" t="s">
        <v>9</v>
      </c>
      <c r="C44" s="121">
        <f>+INDEX('Consolidado (usd)'!$G$6:$I$30,MATCH('Consolidado (usd) Power BI'!B44,'Consolidado (usd)'!$E$6:$E$30,0),MATCH(A44,'Consolidado (usd)'!$AB$4:$AB$6,0))</f>
        <v>540</v>
      </c>
      <c r="D44" s="121">
        <f>+INDEX('Consolidado (usd)'!$J$6:$L$30,MATCH('Consolidado (usd) Power BI'!$B44,'Consolidado (usd)'!$E$6:$E$30,0),MATCH($A44,'Consolidado (usd)'!$AB$4:$AB$6,0))</f>
        <v>8</v>
      </c>
      <c r="E44" s="121">
        <f>+INDEX('Consolidado (usd)'!$M$6:$O$30,MATCH('Consolidado (usd) Power BI'!$B44,'Consolidado (usd)'!$E$6:$E$30,0),MATCH($A44,'Consolidado (usd)'!$AB$4:$AB$6,0))</f>
        <v>67.5</v>
      </c>
      <c r="F44" s="122">
        <f>+INDEX('Consolidado (usd)'!$Q$6:$S$30,MATCH('Consolidado (usd) Power BI'!$B44,'Consolidado (usd)'!$E$6:$E$30,0),MATCH($A44,'Consolidado (usd)'!$AB$4:$AB$6,0))</f>
        <v>2.4880172023352347E-4</v>
      </c>
      <c r="G44" s="122">
        <f>+INDEX('Consolidado (usd)'!$T$6:$V$30,MATCH('Consolidado (usd) Power BI'!$B44,'Consolidado (usd)'!$E$6:$E$30,0),MATCH($A44,'Consolidado (usd)'!$AB$4:$AB$6,0))</f>
        <v>3.8019681521801117E-4</v>
      </c>
      <c r="H44" s="122">
        <f>+INDEX('Consolidado (usd)'!$W$6:$Y$30,MATCH('Consolidado (usd) Power BI'!$B44,'Consolidado (usd)'!$E$6:$E$30,0),MATCH($A44,'Consolidado (usd)'!$AB$4:$AB$6,0))</f>
        <v>1.1649329300651931E-3</v>
      </c>
    </row>
    <row r="45" spans="1:8" x14ac:dyDescent="0.25">
      <c r="A45" s="120">
        <v>2024</v>
      </c>
      <c r="B45" s="120" t="s">
        <v>10</v>
      </c>
      <c r="C45" s="121">
        <f>+INDEX('Consolidado (usd)'!$G$6:$I$30,MATCH('Consolidado (usd) Power BI'!B45,'Consolidado (usd)'!$E$6:$E$30,0),MATCH(A45,'Consolidado (usd)'!$AB$4:$AB$6,0))</f>
        <v>14433</v>
      </c>
      <c r="D45" s="121">
        <f>+INDEX('Consolidado (usd)'!$J$6:$L$30,MATCH('Consolidado (usd) Power BI'!$B45,'Consolidado (usd)'!$E$6:$E$30,0),MATCH($A45,'Consolidado (usd)'!$AB$4:$AB$6,0))</f>
        <v>7</v>
      </c>
      <c r="E45" s="121">
        <f>+INDEX('Consolidado (usd)'!$M$6:$O$30,MATCH('Consolidado (usd) Power BI'!$B45,'Consolidado (usd)'!$E$6:$E$30,0),MATCH($A45,'Consolidado (usd)'!$AB$4:$AB$6,0))</f>
        <v>2061.8571428571427</v>
      </c>
      <c r="F45" s="122">
        <f>+INDEX('Consolidado (usd)'!$Q$6:$S$30,MATCH('Consolidado (usd) Power BI'!$B45,'Consolidado (usd)'!$E$6:$E$30,0),MATCH($A45,'Consolidado (usd)'!$AB$4:$AB$6,0))</f>
        <v>1.5026220145108748E-2</v>
      </c>
      <c r="G45" s="122">
        <f>+INDEX('Consolidado (usd)'!$T$6:$V$30,MATCH('Consolidado (usd) Power BI'!$B45,'Consolidado (usd)'!$E$6:$E$30,0),MATCH($A45,'Consolidado (usd)'!$AB$4:$AB$6,0))</f>
        <v>3.1959061931892414E-2</v>
      </c>
      <c r="H45" s="122">
        <f>+INDEX('Consolidado (usd)'!$W$6:$Y$30,MATCH('Consolidado (usd) Power BI'!$B45,'Consolidado (usd)'!$E$6:$E$30,0),MATCH($A45,'Consolidado (usd)'!$AB$4:$AB$6,0))</f>
        <v>0.10524818971363567</v>
      </c>
    </row>
    <row r="46" spans="1:8" x14ac:dyDescent="0.25">
      <c r="A46" s="120">
        <v>2024</v>
      </c>
      <c r="B46" s="120" t="s">
        <v>11</v>
      </c>
      <c r="C46" s="121">
        <f>+INDEX('Consolidado (usd)'!$G$6:$I$30,MATCH('Consolidado (usd) Power BI'!B46,'Consolidado (usd)'!$E$6:$E$30,0),MATCH(A46,'Consolidado (usd)'!$AB$4:$AB$6,0))</f>
        <v>11342</v>
      </c>
      <c r="D46" s="121">
        <f>+INDEX('Consolidado (usd)'!$J$6:$L$30,MATCH('Consolidado (usd) Power BI'!$B46,'Consolidado (usd)'!$E$6:$E$30,0),MATCH($A46,'Consolidado (usd)'!$AB$4:$AB$6,0))</f>
        <v>5</v>
      </c>
      <c r="E46" s="121">
        <f>+INDEX('Consolidado (usd)'!$M$6:$O$30,MATCH('Consolidado (usd) Power BI'!$B46,'Consolidado (usd)'!$E$6:$E$30,0),MATCH($A46,'Consolidado (usd)'!$AB$4:$AB$6,0))</f>
        <v>2268.4</v>
      </c>
      <c r="F46" s="122">
        <f>+INDEX('Consolidado (usd)'!$Q$6:$S$30,MATCH('Consolidado (usd) Power BI'!$B46,'Consolidado (usd)'!$E$6:$E$30,0),MATCH($A46,'Consolidado (usd)'!$AB$4:$AB$6,0))</f>
        <v>1.2872224277682318E-2</v>
      </c>
      <c r="G46" s="122">
        <f>+INDEX('Consolidado (usd)'!$T$6:$V$30,MATCH('Consolidado (usd) Power BI'!$B46,'Consolidado (usd)'!$E$6:$E$30,0),MATCH($A46,'Consolidado (usd)'!$AB$4:$AB$6,0))</f>
        <v>3.8106565335859884E-2</v>
      </c>
      <c r="H46" s="122">
        <f>+INDEX('Consolidado (usd)'!$W$6:$Y$30,MATCH('Consolidado (usd) Power BI'!$B46,'Consolidado (usd)'!$E$6:$E$30,0),MATCH($A46,'Consolidado (usd)'!$AB$4:$AB$6,0))</f>
        <v>2.695982885666746</v>
      </c>
    </row>
    <row r="47" spans="1:8" x14ac:dyDescent="0.25">
      <c r="A47" s="120">
        <v>2024</v>
      </c>
      <c r="B47" s="120" t="s">
        <v>73</v>
      </c>
      <c r="C47" s="121">
        <v>7829</v>
      </c>
      <c r="D47" s="121">
        <v>9</v>
      </c>
      <c r="E47" s="121">
        <v>869.88888888888891</v>
      </c>
      <c r="F47" s="122">
        <v>2.8299489495861351E-3</v>
      </c>
      <c r="G47" s="122">
        <v>1.2865810370214557E-2</v>
      </c>
      <c r="H47" s="122">
        <v>-3.8184655904014049E-2</v>
      </c>
    </row>
    <row r="48" spans="1:8" x14ac:dyDescent="0.25">
      <c r="A48" s="120">
        <v>2024</v>
      </c>
      <c r="B48" s="120" t="s">
        <v>13</v>
      </c>
      <c r="C48" s="121">
        <f>+INDEX('Consolidado (usd)'!$G$6:$I$30,MATCH('Consolidado (usd) Power BI'!B48,'Consolidado (usd)'!$E$6:$E$30,0),MATCH(A48,'Consolidado (usd)'!$AB$4:$AB$6,0))</f>
        <v>8284</v>
      </c>
      <c r="D48" s="121">
        <f>+INDEX('Consolidado (usd)'!$J$6:$L$30,MATCH('Consolidado (usd) Power BI'!$B48,'Consolidado (usd)'!$E$6:$E$30,0),MATCH($A48,'Consolidado (usd)'!$AB$4:$AB$6,0))</f>
        <v>9</v>
      </c>
      <c r="E48" s="121">
        <f>+INDEX('Consolidado (usd)'!$M$6:$O$30,MATCH('Consolidado (usd) Power BI'!$B48,'Consolidado (usd)'!$E$6:$E$30,0),MATCH($A48,'Consolidado (usd)'!$AB$4:$AB$6,0))</f>
        <v>920.44444444444446</v>
      </c>
      <c r="F48" s="122">
        <f>+INDEX('Consolidado (usd)'!$Q$6:$S$30,MATCH('Consolidado (usd) Power BI'!$B48,'Consolidado (usd)'!$E$6:$E$30,0),MATCH($A48,'Consolidado (usd)'!$AB$4:$AB$6,0))</f>
        <v>8.7411997096115204E-3</v>
      </c>
      <c r="G48" s="122">
        <f>+INDEX('Consolidado (usd)'!$T$6:$V$30,MATCH('Consolidado (usd) Power BI'!$B48,'Consolidado (usd)'!$E$6:$E$30,0),MATCH($A48,'Consolidado (usd)'!$AB$4:$AB$6,0))</f>
        <v>2.0628209150717405E-2</v>
      </c>
      <c r="H48" s="122">
        <f>+INDEX('Consolidado (usd)'!$W$6:$Y$30,MATCH('Consolidado (usd) Power BI'!$B48,'Consolidado (usd)'!$E$6:$E$30,0),MATCH($A48,'Consolidado (usd)'!$AB$4:$AB$6,0))</f>
        <v>8.5397659914437402E-2</v>
      </c>
    </row>
    <row r="49" spans="1:8" x14ac:dyDescent="0.25">
      <c r="A49" s="120">
        <v>2024</v>
      </c>
      <c r="B49" s="120" t="s">
        <v>20</v>
      </c>
      <c r="C49" s="121">
        <f>+INDEX('Consolidado (usd)'!$G$6:$I$30,MATCH('Consolidado (usd) Power BI'!B49,'Consolidado (usd)'!$E$6:$E$30,0),MATCH(A49,'Consolidado (usd)'!$AB$4:$AB$6,0))</f>
        <v>2476.1374496996132</v>
      </c>
      <c r="D49" s="121">
        <f>+INDEX('Consolidado (usd)'!$J$6:$L$30,MATCH('Consolidado (usd) Power BI'!$B49,'Consolidado (usd)'!$E$6:$E$30,0),MATCH($A49,'Consolidado (usd)'!$AB$4:$AB$6,0))</f>
        <v>7</v>
      </c>
      <c r="E49" s="121">
        <f>+INDEX('Consolidado (usd)'!$M$6:$O$30,MATCH('Consolidado (usd) Power BI'!$B49,'Consolidado (usd)'!$E$6:$E$30,0),MATCH($A49,'Consolidado (usd)'!$AB$4:$AB$6,0))</f>
        <v>353.73392138565902</v>
      </c>
      <c r="F49" s="122">
        <f>+INDEX('Consolidado (usd)'!$Q$6:$S$30,MATCH('Consolidado (usd) Power BI'!$B49,'Consolidado (usd)'!$E$6:$E$30,0),MATCH($A49,'Consolidado (usd)'!$AB$4:$AB$6,0))</f>
        <v>3.3373202163347786E-3</v>
      </c>
      <c r="G49" s="122">
        <f>+INDEX('Consolidado (usd)'!$T$6:$V$30,MATCH('Consolidado (usd) Power BI'!$B49,'Consolidado (usd)'!$E$6:$E$30,0),MATCH($A49,'Consolidado (usd)'!$AB$4:$AB$6,0))</f>
        <v>5.781917905385364E-3</v>
      </c>
      <c r="H49" s="122">
        <f>+INDEX('Consolidado (usd)'!$W$6:$Y$30,MATCH('Consolidado (usd) Power BI'!$B49,'Consolidado (usd)'!$E$6:$E$30,0),MATCH($A49,'Consolidado (usd)'!$AB$4:$AB$6,0))</f>
        <v>1.0053015547244514E-2</v>
      </c>
    </row>
    <row r="50" spans="1:8" x14ac:dyDescent="0.25">
      <c r="A50" s="120">
        <v>2024</v>
      </c>
      <c r="B50" s="120" t="s">
        <v>22</v>
      </c>
      <c r="C50" s="121">
        <f>+INDEX('Consolidado (usd)'!$G$6:$I$30,MATCH('Consolidado (usd) Power BI'!B50,'Consolidado (usd)'!$E$6:$E$30,0),MATCH(A50,'Consolidado (usd)'!$AB$4:$AB$6,0))</f>
        <v>2522.5368558134833</v>
      </c>
      <c r="D50" s="121">
        <f>+INDEX('Consolidado (usd)'!$J$6:$L$30,MATCH('Consolidado (usd) Power BI'!$B50,'Consolidado (usd)'!$E$6:$E$30,0),MATCH($A50,'Consolidado (usd)'!$AB$4:$AB$6,0))</f>
        <v>7</v>
      </c>
      <c r="E50" s="121">
        <f>+INDEX('Consolidado (usd)'!$M$6:$O$30,MATCH('Consolidado (usd) Power BI'!$B50,'Consolidado (usd)'!$E$6:$E$30,0),MATCH($A50,'Consolidado (usd)'!$AB$4:$AB$6,0))</f>
        <v>360.36240797335478</v>
      </c>
      <c r="F50" s="122">
        <f>+INDEX('Consolidado (usd)'!$Q$6:$S$30,MATCH('Consolidado (usd) Power BI'!$B50,'Consolidado (usd)'!$E$6:$E$30,0),MATCH($A50,'Consolidado (usd)'!$AB$4:$AB$6,0))</f>
        <v>2.3208285841579985E-3</v>
      </c>
      <c r="G50" s="122">
        <f>+INDEX('Consolidado (usd)'!$T$6:$V$30,MATCH('Consolidado (usd) Power BI'!$B50,'Consolidado (usd)'!$E$6:$E$30,0),MATCH($A50,'Consolidado (usd)'!$AB$4:$AB$6,0))</f>
        <v>9.5078863639056245E-3</v>
      </c>
      <c r="H50" s="122">
        <f>+INDEX('Consolidado (usd)'!$W$6:$Y$30,MATCH('Consolidado (usd) Power BI'!$B50,'Consolidado (usd)'!$E$6:$E$30,0),MATCH($A50,'Consolidado (usd)'!$AB$4:$AB$6,0))</f>
        <v>2.4799096881833002E-2</v>
      </c>
    </row>
    <row r="51" spans="1:8" x14ac:dyDescent="0.25">
      <c r="A51" s="120">
        <v>2024</v>
      </c>
      <c r="B51" s="120" t="s">
        <v>23</v>
      </c>
      <c r="C51" s="121">
        <f>+INDEX('Consolidado (usd)'!$G$6:$I$30,MATCH('Consolidado (usd) Power BI'!B51,'Consolidado (usd)'!$E$6:$E$30,0),MATCH(A51,'Consolidado (usd)'!$AB$4:$AB$6,0))</f>
        <v>1974</v>
      </c>
      <c r="D51" s="121">
        <f>+INDEX('Consolidado (usd)'!$J$6:$L$30,MATCH('Consolidado (usd) Power BI'!$B51,'Consolidado (usd)'!$E$6:$E$30,0),MATCH($A51,'Consolidado (usd)'!$AB$4:$AB$6,0))</f>
        <v>7</v>
      </c>
      <c r="E51" s="121">
        <f>+INDEX('Consolidado (usd)'!$M$6:$O$30,MATCH('Consolidado (usd) Power BI'!$B51,'Consolidado (usd)'!$E$6:$E$30,0),MATCH($A51,'Consolidado (usd)'!$AB$4:$AB$6,0))</f>
        <v>282</v>
      </c>
      <c r="F51" s="122">
        <f>+INDEX('Consolidado (usd)'!$Q$6:$S$30,MATCH('Consolidado (usd) Power BI'!$B51,'Consolidado (usd)'!$E$6:$E$30,0),MATCH($A51,'Consolidado (usd)'!$AB$4:$AB$6,0))</f>
        <v>2.7257023792592551E-3</v>
      </c>
      <c r="G51" s="122">
        <f>+INDEX('Consolidado (usd)'!$T$6:$V$30,MATCH('Consolidado (usd) Power BI'!$B51,'Consolidado (usd)'!$E$6:$E$30,0),MATCH($A51,'Consolidado (usd)'!$AB$4:$AB$6,0))</f>
        <v>7.5640008736535961E-3</v>
      </c>
      <c r="H51" s="122">
        <f>+INDEX('Consolidado (usd)'!$W$6:$Y$30,MATCH('Consolidado (usd) Power BI'!$B51,'Consolidado (usd)'!$E$6:$E$30,0),MATCH($A51,'Consolidado (usd)'!$AB$4:$AB$6,0))</f>
        <v>2.002414258325641E-2</v>
      </c>
    </row>
    <row r="52" spans="1:8" x14ac:dyDescent="0.25">
      <c r="A52" s="120">
        <v>2024</v>
      </c>
      <c r="B52" s="120" t="s">
        <v>25</v>
      </c>
      <c r="C52" s="121">
        <f>+INDEX('Consolidado (usd)'!$G$6:$I$30,MATCH('Consolidado (usd) Power BI'!B52,'Consolidado (usd)'!$E$6:$E$30,0),MATCH(A52,'Consolidado (usd)'!$AB$4:$AB$6,0))</f>
        <v>11756.28381193713</v>
      </c>
      <c r="D52" s="121">
        <f>+INDEX('Consolidado (usd)'!$J$6:$L$30,MATCH('Consolidado (usd) Power BI'!$B52,'Consolidado (usd)'!$E$6:$E$30,0),MATCH($A52,'Consolidado (usd)'!$AB$4:$AB$6,0))</f>
        <v>9</v>
      </c>
      <c r="E52" s="121">
        <f>+INDEX('Consolidado (usd)'!$M$6:$O$30,MATCH('Consolidado (usd) Power BI'!$B52,'Consolidado (usd)'!$E$6:$E$30,0),MATCH($A52,'Consolidado (usd)'!$AB$4:$AB$6,0))</f>
        <v>1306.2537568819034</v>
      </c>
      <c r="F52" s="122">
        <f>+INDEX('Consolidado (usd)'!$Q$6:$S$30,MATCH('Consolidado (usd) Power BI'!$B52,'Consolidado (usd)'!$E$6:$E$30,0),MATCH($A52,'Consolidado (usd)'!$AB$4:$AB$6,0))</f>
        <v>5.8478946067781427E-3</v>
      </c>
      <c r="G52" s="122">
        <f>+INDEX('Consolidado (usd)'!$T$6:$V$30,MATCH('Consolidado (usd) Power BI'!$B52,'Consolidado (usd)'!$E$6:$E$30,0),MATCH($A52,'Consolidado (usd)'!$AB$4:$AB$6,0))</f>
        <v>4.4382029185036843E-2</v>
      </c>
      <c r="H52" s="122">
        <f>+INDEX('Consolidado (usd)'!$W$6:$Y$30,MATCH('Consolidado (usd) Power BI'!$B52,'Consolidado (usd)'!$E$6:$E$30,0),MATCH($A52,'Consolidado (usd)'!$AB$4:$AB$6,0))</f>
        <v>9.0711387514592914E-2</v>
      </c>
    </row>
    <row r="53" spans="1:8" x14ac:dyDescent="0.25">
      <c r="A53" s="120">
        <v>2024</v>
      </c>
      <c r="B53" s="120" t="s">
        <v>72</v>
      </c>
      <c r="C53" s="121">
        <f>+INDEX('Consolidado (usd)'!$G$6:$I$30,MATCH('Consolidado (usd) Power BI'!B53,'Consolidado (usd)'!$E$6:$E$30,0),MATCH(A53,'Consolidado (usd)'!$AB$4:$AB$6,0))</f>
        <v>8484.4628322505214</v>
      </c>
      <c r="D53" s="121">
        <f>+INDEX('Consolidado (usd)'!$J$6:$L$30,MATCH('Consolidado (usd) Power BI'!$B53,'Consolidado (usd)'!$E$6:$E$30,0),MATCH($A53,'Consolidado (usd)'!$AB$4:$AB$6,0))</f>
        <v>9</v>
      </c>
      <c r="E53" s="121">
        <f>+INDEX('Consolidado (usd)'!$M$6:$O$30,MATCH('Consolidado (usd) Power BI'!$B53,'Consolidado (usd)'!$E$6:$E$30,0),MATCH($A53,'Consolidado (usd)'!$AB$4:$AB$6,0))</f>
        <v>942.7180924722802</v>
      </c>
      <c r="F53" s="122">
        <f>+INDEX('Consolidado (usd)'!$Q$6:$S$30,MATCH('Consolidado (usd) Power BI'!$B53,'Consolidado (usd)'!$E$6:$E$30,0),MATCH($A53,'Consolidado (usd)'!$AB$4:$AB$6,0))</f>
        <v>1.8249309638251308E-2</v>
      </c>
      <c r="G53" s="122">
        <f>+INDEX('Consolidado (usd)'!$T$6:$V$30,MATCH('Consolidado (usd) Power BI'!$B53,'Consolidado (usd)'!$E$6:$E$30,0),MATCH($A53,'Consolidado (usd)'!$AB$4:$AB$6,0))</f>
        <v>6.9362558461177976E-2</v>
      </c>
      <c r="H53" s="122">
        <f>+INDEX('Consolidado (usd)'!$W$6:$Y$30,MATCH('Consolidado (usd) Power BI'!$B53,'Consolidado (usd)'!$E$6:$E$30,0),MATCH($A53,'Consolidado (usd)'!$AB$4:$AB$6,0))</f>
        <v>-0.12929918956583994</v>
      </c>
    </row>
    <row r="54" spans="1:8" x14ac:dyDescent="0.25">
      <c r="A54" s="120">
        <v>2024</v>
      </c>
      <c r="B54" s="120" t="s">
        <v>27</v>
      </c>
      <c r="C54" s="121">
        <f>+INDEX('Consolidado (usd)'!$G$6:$I$30,MATCH('Consolidado (usd) Power BI'!B54,'Consolidado (usd)'!$E$6:$E$30,0),MATCH(A54,'Consolidado (usd)'!$AB$4:$AB$6,0))</f>
        <v>1782.7977526266409</v>
      </c>
      <c r="D54" s="121">
        <f>+INDEX('Consolidado (usd)'!$J$6:$L$30,MATCH('Consolidado (usd) Power BI'!$B54,'Consolidado (usd)'!$E$6:$E$30,0),MATCH($A54,'Consolidado (usd)'!$AB$4:$AB$6,0))</f>
        <v>11</v>
      </c>
      <c r="E54" s="121">
        <f>+INDEX('Consolidado (usd)'!$M$6:$O$30,MATCH('Consolidado (usd) Power BI'!$B54,'Consolidado (usd)'!$E$6:$E$30,0),MATCH($A54,'Consolidado (usd)'!$AB$4:$AB$6,0))</f>
        <v>162.07252296605827</v>
      </c>
      <c r="F54" s="122">
        <f>+INDEX('Consolidado (usd)'!$Q$6:$S$30,MATCH('Consolidado (usd) Power BI'!$B54,'Consolidado (usd)'!$E$6:$E$30,0),MATCH($A54,'Consolidado (usd)'!$AB$4:$AB$6,0))</f>
        <v>9.8089029442747903E-4</v>
      </c>
      <c r="G54" s="122">
        <f>+INDEX('Consolidado (usd)'!$T$6:$V$30,MATCH('Consolidado (usd) Power BI'!$B54,'Consolidado (usd)'!$E$6:$E$30,0),MATCH($A54,'Consolidado (usd)'!$AB$4:$AB$6,0))</f>
        <v>4.2135552773667978E-3</v>
      </c>
      <c r="H54" s="122">
        <f>+INDEX('Consolidado (usd)'!$W$6:$Y$30,MATCH('Consolidado (usd) Power BI'!$B54,'Consolidado (usd)'!$E$6:$E$30,0),MATCH($A54,'Consolidado (usd)'!$AB$4:$AB$6,0))</f>
        <v>1.4937773742938762E-2</v>
      </c>
    </row>
    <row r="55" spans="1:8" x14ac:dyDescent="0.25">
      <c r="A55" s="120">
        <v>2024</v>
      </c>
      <c r="B55" s="120" t="s">
        <v>28</v>
      </c>
      <c r="C55" s="121">
        <f>+INDEX('Consolidado (usd)'!$G$6:$I$30,MATCH('Consolidado (usd) Power BI'!B55,'Consolidado (usd)'!$E$6:$E$30,0),MATCH(A55,'Consolidado (usd)'!$AB$4:$AB$6,0))</f>
        <v>1599.3212438792234</v>
      </c>
      <c r="D55" s="121">
        <f>+INDEX('Consolidado (usd)'!$J$6:$L$30,MATCH('Consolidado (usd) Power BI'!$B55,'Consolidado (usd)'!$E$6:$E$30,0),MATCH($A55,'Consolidado (usd)'!$AB$4:$AB$6,0))</f>
        <v>7</v>
      </c>
      <c r="E55" s="121">
        <f>+INDEX('Consolidado (usd)'!$M$6:$O$30,MATCH('Consolidado (usd) Power BI'!$B55,'Consolidado (usd)'!$E$6:$E$30,0),MATCH($A55,'Consolidado (usd)'!$AB$4:$AB$6,0))</f>
        <v>228.47446341131763</v>
      </c>
      <c r="F55" s="122">
        <f>+INDEX('Consolidado (usd)'!$Q$6:$S$30,MATCH('Consolidado (usd) Power BI'!$B55,'Consolidado (usd)'!$E$6:$E$30,0),MATCH($A55,'Consolidado (usd)'!$AB$4:$AB$6,0))</f>
        <v>3.0494355575655225E-3</v>
      </c>
      <c r="G55" s="122">
        <f>+INDEX('Consolidado (usd)'!$T$6:$V$30,MATCH('Consolidado (usd) Power BI'!$B55,'Consolidado (usd)'!$E$6:$E$30,0),MATCH($A55,'Consolidado (usd)'!$AB$4:$AB$6,0))</f>
        <v>1.1251569337599465E-2</v>
      </c>
      <c r="H55" s="122">
        <f>+INDEX('Consolidado (usd)'!$W$6:$Y$30,MATCH('Consolidado (usd) Power BI'!$B55,'Consolidado (usd)'!$E$6:$E$30,0),MATCH($A55,'Consolidado (usd)'!$AB$4:$AB$6,0))</f>
        <v>3.0330610142559816E-2</v>
      </c>
    </row>
    <row r="56" spans="1:8" x14ac:dyDescent="0.25">
      <c r="A56" s="120">
        <v>2024</v>
      </c>
      <c r="B56" s="120" t="s">
        <v>31</v>
      </c>
      <c r="C56" s="121">
        <f>+INDEX('Consolidado (usd)'!$G$6:$I$30,MATCH('Consolidado (usd) Power BI'!B56,'Consolidado (usd)'!$E$6:$E$30,0),MATCH(A56,'Consolidado (usd)'!$AB$4:$AB$6,0))</f>
        <v>19143.06926526524</v>
      </c>
      <c r="D56" s="121">
        <f>+INDEX('Consolidado (usd)'!$J$6:$L$30,MATCH('Consolidado (usd) Power BI'!$B56,'Consolidado (usd)'!$E$6:$E$30,0),MATCH($A56,'Consolidado (usd)'!$AB$4:$AB$6,0))</f>
        <v>6</v>
      </c>
      <c r="E56" s="121">
        <f>+INDEX('Consolidado (usd)'!$M$6:$O$30,MATCH('Consolidado (usd) Power BI'!$B56,'Consolidado (usd)'!$E$6:$E$30,0),MATCH($A56,'Consolidado (usd)'!$AB$4:$AB$6,0))</f>
        <v>3190.5115442108731</v>
      </c>
      <c r="F56" s="122">
        <f>+INDEX('Consolidado (usd)'!$Q$6:$S$30,MATCH('Consolidado (usd) Power BI'!$B56,'Consolidado (usd)'!$E$6:$E$30,0),MATCH($A56,'Consolidado (usd)'!$AB$4:$AB$6,0))</f>
        <v>3.3297419513185801E-3</v>
      </c>
      <c r="G56" s="122">
        <f>+INDEX('Consolidado (usd)'!$T$6:$V$30,MATCH('Consolidado (usd) Power BI'!$B56,'Consolidado (usd)'!$E$6:$E$30,0),MATCH($A56,'Consolidado (usd)'!$AB$4:$AB$6,0))</f>
        <v>2.8913504958369852E-2</v>
      </c>
      <c r="H56" s="122">
        <f>+INDEX('Consolidado (usd)'!$W$6:$Y$30,MATCH('Consolidado (usd) Power BI'!$B56,'Consolidado (usd)'!$E$6:$E$30,0),MATCH($A56,'Consolidado (usd)'!$AB$4:$AB$6,0))</f>
        <v>7.4329234822319637E-2</v>
      </c>
    </row>
    <row r="57" spans="1:8" x14ac:dyDescent="0.25">
      <c r="A57" s="120">
        <v>2024</v>
      </c>
      <c r="B57" s="120" t="s">
        <v>32</v>
      </c>
      <c r="C57" s="121" t="str">
        <f>+INDEX('Consolidado (usd)'!$G$6:$I$30,MATCH('Consolidado (usd) Power BI'!B57,'Consolidado (usd)'!$E$6:$E$30,0),MATCH(A57,'Consolidado (usd)'!$AB$4:$AB$6,0))</f>
        <v>-</v>
      </c>
      <c r="D57" s="121">
        <f>+INDEX('Consolidado (usd)'!$J$6:$L$30,MATCH('Consolidado (usd) Power BI'!$B57,'Consolidado (usd)'!$E$6:$E$30,0),MATCH($A57,'Consolidado (usd)'!$AB$4:$AB$6,0))</f>
        <v>9</v>
      </c>
      <c r="E57" s="121" t="str">
        <f>+INDEX('Consolidado (usd)'!$M$6:$O$30,MATCH('Consolidado (usd) Power BI'!$B57,'Consolidado (usd)'!$E$6:$E$30,0),MATCH($A57,'Consolidado (usd)'!$AB$4:$AB$6,0))</f>
        <v>-</v>
      </c>
      <c r="F57" s="122" t="str">
        <f>+INDEX('Consolidado (usd)'!$Q$6:$S$30,MATCH('Consolidado (usd) Power BI'!$B57,'Consolidado (usd)'!$E$6:$E$30,0),MATCH($A57,'Consolidado (usd)'!$AB$4:$AB$6,0))</f>
        <v>-</v>
      </c>
      <c r="G57" s="122" t="str">
        <f>+INDEX('Consolidado (usd)'!$T$6:$V$30,MATCH('Consolidado (usd) Power BI'!$B57,'Consolidado (usd)'!$E$6:$E$30,0),MATCH($A57,'Consolidado (usd)'!$AB$4:$AB$6,0))</f>
        <v>-</v>
      </c>
      <c r="H57" s="122" t="str">
        <f>+INDEX('Consolidado (usd)'!$W$6:$Y$30,MATCH('Consolidado (usd) Power BI'!$B57,'Consolidado (usd)'!$E$6:$E$30,0),MATCH($A57,'Consolidado (usd)'!$AB$4:$AB$6,0))</f>
        <v>-</v>
      </c>
    </row>
    <row r="58" spans="1:8" x14ac:dyDescent="0.25">
      <c r="A58" s="120">
        <v>2024</v>
      </c>
      <c r="B58" s="120" t="s">
        <v>34</v>
      </c>
      <c r="C58" s="121" t="str">
        <f>+INDEX('Consolidado (usd)'!$G$6:$I$30,MATCH('Consolidado (usd) Power BI'!B58,'Consolidado (usd)'!$E$6:$E$30,0),MATCH(A58,'Consolidado (usd)'!$AB$4:$AB$6,0))</f>
        <v>-</v>
      </c>
      <c r="D58" s="121">
        <f>+INDEX('Consolidado (usd)'!$J$6:$L$30,MATCH('Consolidado (usd) Power BI'!$B58,'Consolidado (usd)'!$E$6:$E$30,0),MATCH($A58,'Consolidado (usd)'!$AB$4:$AB$6,0))</f>
        <v>9</v>
      </c>
      <c r="E58" s="121" t="str">
        <f>+INDEX('Consolidado (usd)'!$M$6:$O$30,MATCH('Consolidado (usd) Power BI'!$B58,'Consolidado (usd)'!$E$6:$E$30,0),MATCH($A58,'Consolidado (usd)'!$AB$4:$AB$6,0))</f>
        <v>-</v>
      </c>
      <c r="F58" s="122" t="str">
        <f>+INDEX('Consolidado (usd)'!$Q$6:$S$30,MATCH('Consolidado (usd) Power BI'!$B58,'Consolidado (usd)'!$E$6:$E$30,0),MATCH($A58,'Consolidado (usd)'!$AB$4:$AB$6,0))</f>
        <v>-</v>
      </c>
      <c r="G58" s="122" t="str">
        <f>+INDEX('Consolidado (usd)'!$T$6:$V$30,MATCH('Consolidado (usd) Power BI'!$B58,'Consolidado (usd)'!$E$6:$E$30,0),MATCH($A58,'Consolidado (usd)'!$AB$4:$AB$6,0))</f>
        <v>-</v>
      </c>
      <c r="H58" s="122" t="str">
        <f>+INDEX('Consolidado (usd)'!$W$6:$Y$30,MATCH('Consolidado (usd) Power BI'!$B58,'Consolidado (usd)'!$E$6:$E$30,0),MATCH($A58,'Consolidado (usd)'!$AB$4:$AB$6,0))</f>
        <v>-</v>
      </c>
    </row>
    <row r="59" spans="1:8" x14ac:dyDescent="0.25">
      <c r="A59" s="120">
        <v>2024</v>
      </c>
      <c r="B59" s="120" t="s">
        <v>35</v>
      </c>
      <c r="C59" s="121">
        <f>+INDEX('Consolidado (usd)'!$G$6:$I$30,MATCH('Consolidado (usd) Power BI'!B59,'Consolidado (usd)'!$E$6:$E$30,0),MATCH(A59,'Consolidado (usd)'!$AB$4:$AB$6,0))</f>
        <v>572.70124117691023</v>
      </c>
      <c r="D59" s="121">
        <f>+INDEX('Consolidado (usd)'!$J$6:$L$30,MATCH('Consolidado (usd) Power BI'!$B59,'Consolidado (usd)'!$E$6:$E$30,0),MATCH($A59,'Consolidado (usd)'!$AB$4:$AB$6,0))</f>
        <v>7</v>
      </c>
      <c r="E59" s="121">
        <f>+INDEX('Consolidado (usd)'!$M$6:$O$30,MATCH('Consolidado (usd) Power BI'!$B59,'Consolidado (usd)'!$E$6:$E$30,0),MATCH($A59,'Consolidado (usd)'!$AB$4:$AB$6,0))</f>
        <v>81.814463025272886</v>
      </c>
      <c r="F59" s="122">
        <f>+INDEX('Consolidado (usd)'!$Q$6:$S$30,MATCH('Consolidado (usd) Power BI'!$B59,'Consolidado (usd)'!$E$6:$E$30,0),MATCH($A59,'Consolidado (usd)'!$AB$4:$AB$6,0))</f>
        <v>3.0728124218621505E-4</v>
      </c>
      <c r="G59" s="122" t="str">
        <f>+INDEX('Consolidado (usd)'!$T$6:$V$30,MATCH('Consolidado (usd) Power BI'!$B59,'Consolidado (usd)'!$E$6:$E$30,0),MATCH($A59,'Consolidado (usd)'!$AB$4:$AB$6,0))</f>
        <v>-</v>
      </c>
      <c r="H59" s="122">
        <f>+INDEX('Consolidado (usd)'!$W$6:$Y$30,MATCH('Consolidado (usd) Power BI'!$B59,'Consolidado (usd)'!$E$6:$E$30,0),MATCH($A59,'Consolidado (usd)'!$AB$4:$AB$6,0))</f>
        <v>1.6614387917844576E-3</v>
      </c>
    </row>
    <row r="60" spans="1:8" x14ac:dyDescent="0.25">
      <c r="A60" s="120">
        <v>2024</v>
      </c>
      <c r="B60" s="120" t="s">
        <v>36</v>
      </c>
      <c r="C60" s="121">
        <f>+INDEX('Consolidado (usd)'!$G$6:$I$30,MATCH('Consolidado (usd) Power BI'!B60,'Consolidado (usd)'!$E$6:$E$30,0),MATCH(A60,'Consolidado (usd)'!$AB$4:$AB$6,0))</f>
        <v>4242.2314161252607</v>
      </c>
      <c r="D60" s="121">
        <f>+INDEX('Consolidado (usd)'!$J$6:$L$30,MATCH('Consolidado (usd) Power BI'!$B60,'Consolidado (usd)'!$E$6:$E$30,0),MATCH($A60,'Consolidado (usd)'!$AB$4:$AB$6,0))</f>
        <v>11</v>
      </c>
      <c r="E60" s="121">
        <f>+INDEX('Consolidado (usd)'!$M$6:$O$30,MATCH('Consolidado (usd) Power BI'!$B60,'Consolidado (usd)'!$E$6:$E$30,0),MATCH($A60,'Consolidado (usd)'!$AB$4:$AB$6,0))</f>
        <v>385.65740146593276</v>
      </c>
      <c r="F60" s="122">
        <f>+INDEX('Consolidado (usd)'!$Q$6:$S$30,MATCH('Consolidado (usd) Power BI'!$B60,'Consolidado (usd)'!$E$6:$E$30,0),MATCH($A60,'Consolidado (usd)'!$AB$4:$AB$6,0))</f>
        <v>1.9794175212686006E-3</v>
      </c>
      <c r="G60" s="122" t="str">
        <f>+INDEX('Consolidado (usd)'!$T$6:$V$30,MATCH('Consolidado (usd) Power BI'!$B60,'Consolidado (usd)'!$E$6:$E$30,0),MATCH($A60,'Consolidado (usd)'!$AB$4:$AB$6,0))</f>
        <v>-</v>
      </c>
      <c r="H60" s="122">
        <f>+INDEX('Consolidado (usd)'!$W$6:$Y$30,MATCH('Consolidado (usd) Power BI'!$B60,'Consolidado (usd)'!$E$6:$E$30,0),MATCH($A60,'Consolidado (usd)'!$AB$4:$AB$6,0))</f>
        <v>8.4981080744234629E-3</v>
      </c>
    </row>
    <row r="61" spans="1:8" x14ac:dyDescent="0.25">
      <c r="A61" s="120">
        <v>2024</v>
      </c>
      <c r="B61" s="120" t="s">
        <v>43</v>
      </c>
      <c r="C61" s="121">
        <f>+INDEX('Consolidado (usd)'!$G$6:$I$30,MATCH('Consolidado (usd) Power BI'!B61,'Consolidado (usd)'!$E$6:$E$30,0),MATCH(A61,'Consolidado (usd)'!$AB$4:$AB$6,0))</f>
        <v>952.91123184713672</v>
      </c>
      <c r="D61" s="121">
        <f>+INDEX('Consolidado (usd)'!$J$6:$L$30,MATCH('Consolidado (usd) Power BI'!$B61,'Consolidado (usd)'!$E$6:$E$30,0),MATCH($A61,'Consolidado (usd)'!$AB$4:$AB$6,0))</f>
        <v>10</v>
      </c>
      <c r="E61" s="121">
        <f>+INDEX('Consolidado (usd)'!$M$6:$O$30,MATCH('Consolidado (usd) Power BI'!$B61,'Consolidado (usd)'!$E$6:$E$30,0),MATCH($A61,'Consolidado (usd)'!$AB$4:$AB$6,0))</f>
        <v>95.291123184713669</v>
      </c>
      <c r="F61" s="122">
        <f>+INDEX('Consolidado (usd)'!$Q$6:$S$30,MATCH('Consolidado (usd) Power BI'!$B61,'Consolidado (usd)'!$E$6:$E$30,0),MATCH($A61,'Consolidado (usd)'!$AB$4:$AB$6,0))</f>
        <v>4.9414289249614142E-3</v>
      </c>
      <c r="G61" s="122">
        <f>+INDEX('Consolidado (usd)'!$T$6:$V$30,MATCH('Consolidado (usd) Power BI'!$B61,'Consolidado (usd)'!$E$6:$E$30,0),MATCH($A61,'Consolidado (usd)'!$AB$4:$AB$6,0))</f>
        <v>0.14304475508954065</v>
      </c>
      <c r="H61" s="122">
        <f>+INDEX('Consolidado (usd)'!$W$6:$Y$30,MATCH('Consolidado (usd) Power BI'!$B61,'Consolidado (usd)'!$E$6:$E$30,0),MATCH($A61,'Consolidado (usd)'!$AB$4:$AB$6,0))</f>
        <v>-0.29473517196975563</v>
      </c>
    </row>
  </sheetData>
  <pageMargins left="0.7" right="0.7" top="0.75" bottom="0.75" header="0.3" footer="0.3"/>
  <ignoredErrors>
    <ignoredError sqref="D2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36BC-8CB4-4EC2-A1C9-6A638966C97E}">
  <sheetPr>
    <tabColor theme="7" tint="0.39997558519241921"/>
  </sheetPr>
  <dimension ref="B2:AI37"/>
  <sheetViews>
    <sheetView showGridLines="0" tabSelected="1" topLeftCell="C1" zoomScaleNormal="100" workbookViewId="0">
      <selection activeCell="E3" sqref="E3:Y33"/>
    </sheetView>
  </sheetViews>
  <sheetFormatPr defaultRowHeight="15" x14ac:dyDescent="0.25"/>
  <cols>
    <col min="2" max="2" width="13" bestFit="1" customWidth="1"/>
    <col min="4" max="4" width="1.7109375" customWidth="1"/>
    <col min="5" max="5" width="15.140625" customWidth="1"/>
    <col min="6" max="6" width="8.140625" hidden="1" customWidth="1"/>
    <col min="7" max="7" width="11.42578125" hidden="1" customWidth="1"/>
    <col min="8" max="9" width="18.140625" customWidth="1"/>
    <col min="10" max="10" width="8.28515625" hidden="1" customWidth="1"/>
    <col min="11" max="12" width="8.28515625" customWidth="1"/>
    <col min="13" max="13" width="10.5703125" hidden="1" customWidth="1"/>
    <col min="14" max="15" width="10.5703125" customWidth="1"/>
    <col min="16" max="16" width="0.28515625" customWidth="1"/>
    <col min="17" max="17" width="9.28515625" hidden="1" customWidth="1"/>
    <col min="18" max="19" width="9.28515625" customWidth="1"/>
    <col min="20" max="20" width="9.28515625" hidden="1" customWidth="1"/>
    <col min="21" max="22" width="9.28515625" customWidth="1"/>
    <col min="23" max="23" width="9.28515625" hidden="1" customWidth="1"/>
    <col min="24" max="24" width="9.7109375" bestFit="1" customWidth="1"/>
    <col min="25" max="25" width="9.28515625" customWidth="1"/>
  </cols>
  <sheetData>
    <row r="2" spans="2:35" x14ac:dyDescent="0.25">
      <c r="Q2" s="48" t="s">
        <v>68</v>
      </c>
      <c r="R2" s="48" t="s">
        <v>69</v>
      </c>
    </row>
    <row r="3" spans="2:35" ht="16.5" x14ac:dyDescent="0.3">
      <c r="E3" s="49"/>
      <c r="F3" s="49"/>
      <c r="G3" s="56" t="s">
        <v>37</v>
      </c>
      <c r="H3" s="159" t="s">
        <v>37</v>
      </c>
      <c r="I3" s="161"/>
      <c r="J3" s="159" t="s">
        <v>15</v>
      </c>
      <c r="K3" s="160"/>
      <c r="L3" s="161"/>
      <c r="M3" s="162" t="s">
        <v>16</v>
      </c>
      <c r="N3" s="163"/>
      <c r="O3" s="164"/>
      <c r="P3" s="55"/>
      <c r="Q3" s="162" t="s">
        <v>44</v>
      </c>
      <c r="R3" s="163"/>
      <c r="S3" s="164"/>
      <c r="T3" s="162" t="s">
        <v>45</v>
      </c>
      <c r="U3" s="163"/>
      <c r="V3" s="164"/>
      <c r="W3" s="162" t="s">
        <v>46</v>
      </c>
      <c r="X3" s="163"/>
      <c r="Y3" s="164"/>
    </row>
    <row r="4" spans="2:35" ht="16.5" x14ac:dyDescent="0.3">
      <c r="B4" t="s">
        <v>47</v>
      </c>
      <c r="E4" s="56" t="s">
        <v>5</v>
      </c>
      <c r="F4" s="127" t="s">
        <v>6</v>
      </c>
      <c r="G4" s="50">
        <v>2024</v>
      </c>
      <c r="H4" s="50">
        <v>2023</v>
      </c>
      <c r="I4" s="52">
        <v>2022</v>
      </c>
      <c r="J4" s="50">
        <v>2024</v>
      </c>
      <c r="K4" s="51">
        <v>2023</v>
      </c>
      <c r="L4" s="123">
        <v>2022</v>
      </c>
      <c r="M4" s="50">
        <v>2024</v>
      </c>
      <c r="N4" s="51">
        <v>2023</v>
      </c>
      <c r="O4" s="54">
        <v>2022</v>
      </c>
      <c r="P4" s="59"/>
      <c r="Q4" s="50">
        <v>2024</v>
      </c>
      <c r="R4" s="51">
        <v>2023</v>
      </c>
      <c r="S4" s="52">
        <v>2022</v>
      </c>
      <c r="T4" s="50">
        <v>2024</v>
      </c>
      <c r="U4" s="51">
        <v>2023</v>
      </c>
      <c r="V4" s="52">
        <v>2022</v>
      </c>
      <c r="W4" s="50">
        <v>2024</v>
      </c>
      <c r="X4" s="51">
        <v>2023</v>
      </c>
      <c r="Y4" s="52">
        <v>2022</v>
      </c>
      <c r="AB4" s="118">
        <v>2024</v>
      </c>
    </row>
    <row r="5" spans="2:35" ht="16.5" x14ac:dyDescent="0.3">
      <c r="E5" s="60" t="s">
        <v>18</v>
      </c>
      <c r="F5" s="61"/>
      <c r="G5" s="60"/>
      <c r="H5" s="60"/>
      <c r="I5" s="62"/>
      <c r="J5" s="60"/>
      <c r="K5" s="61"/>
      <c r="L5" s="62"/>
      <c r="M5" s="60"/>
      <c r="N5" s="61"/>
      <c r="O5" s="62"/>
      <c r="P5" s="63"/>
      <c r="Q5" s="61"/>
      <c r="R5" s="61"/>
      <c r="S5" s="61"/>
      <c r="T5" s="61"/>
      <c r="U5" s="61"/>
      <c r="V5" s="61"/>
      <c r="W5" s="60"/>
      <c r="X5" s="61"/>
      <c r="Y5" s="62"/>
      <c r="AB5" s="118">
        <v>2023</v>
      </c>
    </row>
    <row r="6" spans="2:35" ht="16.5" x14ac:dyDescent="0.3">
      <c r="B6" t="s">
        <v>51</v>
      </c>
      <c r="E6" s="64" t="s">
        <v>3</v>
      </c>
      <c r="F6" s="68" t="s">
        <v>4</v>
      </c>
      <c r="G6" s="65">
        <v>3383</v>
      </c>
      <c r="H6" s="65">
        <v>999</v>
      </c>
      <c r="I6" s="131">
        <v>2873</v>
      </c>
      <c r="J6" s="68">
        <v>9</v>
      </c>
      <c r="K6" s="69">
        <v>7</v>
      </c>
      <c r="L6" s="54">
        <v>7</v>
      </c>
      <c r="M6" s="65">
        <f t="shared" ref="M6:N12" si="0">IFERROR(G6/J6,"-")</f>
        <v>375.88888888888891</v>
      </c>
      <c r="N6" s="66">
        <f t="shared" si="0"/>
        <v>142.71428571428572</v>
      </c>
      <c r="O6" s="70">
        <f>I6/L6</f>
        <v>410.42857142857144</v>
      </c>
      <c r="P6" s="63"/>
      <c r="Q6" s="71" cm="1">
        <f t="array" ref="Q6">G6/(_xll.ciqfunctions.udf.CIQ($B6,$R$2,"FY"&amp;Q$4, , , , "USD")*1000)</f>
        <v>2.9300063658134166E-3</v>
      </c>
      <c r="R6" s="72" cm="1">
        <f t="array" ref="R6">H6/(_xll.ciqfunctions.udf.CIQ($B6,$R$2,"FY"&amp;R$4, , , , "USD")*1000)</f>
        <v>1.2126067403455747E-3</v>
      </c>
      <c r="S6" s="73" cm="1">
        <f t="array" ref="S6">I6/(_xll.ciqfunctions.udf.CIQ($B6,$R$2,"FY"&amp;S$4, , , , "USD")*1000)</f>
        <v>3.483260224878213E-3</v>
      </c>
      <c r="T6" s="71" cm="1">
        <f t="array" ref="T6">G6/(_xll.ciqfunctions.udf.CIQ($B6,"IQ_EBITDA","FY"&amp;Q$4, , , , "USD")*1000)</f>
        <v>8.6220079109407492E-3</v>
      </c>
      <c r="U6" s="72" cm="1">
        <f t="array" ref="U6">H6/(_xll.ciqfunctions.udf.CIQ($B6,"IQ_EBITDA","FY"&amp;R$4, , , , "USD")*1000)</f>
        <v>6.1043420875750059E-3</v>
      </c>
      <c r="V6" s="73" cm="1">
        <f t="array" ref="V6">I6/(_xll.ciqfunctions.udf.CIQ($B6,"IQ_EBITDA","FY"&amp;S$4, , , , "USD")*1000)</f>
        <v>2.2570862925020425E-2</v>
      </c>
      <c r="W6" s="71" cm="1">
        <f t="array" ref="W6">G6/(_xll.ciqfunctions.udf.CIQ($B6,"IQ_ni","FY"&amp;Q$4, , , , "USD")*1000)</f>
        <v>8.4010241153843288E-3</v>
      </c>
      <c r="X6" s="72" cm="1">
        <f t="array" ref="X6">H6/(_xll.ciqfunctions.udf.CIQ($B6,"IQ_ni","FY"&amp;R$4, , , , "USD")*1000)</f>
        <v>5.031478217073785E-2</v>
      </c>
      <c r="Y6" s="73" cm="1">
        <f t="array" ref="Y6">I6/(_xll.ciqfunctions.udf.CIQ($B6,"IQ_ni","FY"&amp;S$4, , , , "USD")*1000)</f>
        <v>4.7680690399136997E-3</v>
      </c>
      <c r="AB6" s="118">
        <v>2022</v>
      </c>
    </row>
    <row r="7" spans="2:35" ht="16.5" x14ac:dyDescent="0.3">
      <c r="B7" t="s">
        <v>56</v>
      </c>
      <c r="E7" s="64" t="s">
        <v>7</v>
      </c>
      <c r="F7" s="128" t="s">
        <v>8</v>
      </c>
      <c r="G7" s="75" t="s">
        <v>8</v>
      </c>
      <c r="H7" s="75" t="s">
        <v>8</v>
      </c>
      <c r="I7" s="132" t="s">
        <v>8</v>
      </c>
      <c r="J7" s="68">
        <v>5</v>
      </c>
      <c r="K7" s="69">
        <v>5</v>
      </c>
      <c r="L7" s="124">
        <v>5</v>
      </c>
      <c r="M7" s="65" t="str">
        <f t="shared" si="0"/>
        <v>-</v>
      </c>
      <c r="N7" s="66" t="str">
        <f t="shared" si="0"/>
        <v>-</v>
      </c>
      <c r="O7" s="77" t="s">
        <v>8</v>
      </c>
      <c r="P7" s="63"/>
      <c r="Q7" s="71" t="s">
        <v>8</v>
      </c>
      <c r="R7" s="72" t="s">
        <v>8</v>
      </c>
      <c r="S7" s="78" t="s">
        <v>8</v>
      </c>
      <c r="T7" s="71" t="s">
        <v>8</v>
      </c>
      <c r="U7" s="72" t="s">
        <v>8</v>
      </c>
      <c r="V7" s="78" t="s">
        <v>8</v>
      </c>
      <c r="W7" s="71" t="s">
        <v>8</v>
      </c>
      <c r="X7" s="72" t="s">
        <v>8</v>
      </c>
      <c r="Y7" s="78" t="s">
        <v>8</v>
      </c>
    </row>
    <row r="8" spans="2:35" ht="16.5" x14ac:dyDescent="0.3">
      <c r="B8" t="s">
        <v>54</v>
      </c>
      <c r="E8" s="64" t="s">
        <v>9</v>
      </c>
      <c r="F8" s="68" t="s">
        <v>4</v>
      </c>
      <c r="G8" s="65">
        <v>540</v>
      </c>
      <c r="H8" s="65">
        <v>538</v>
      </c>
      <c r="I8" s="77">
        <v>530</v>
      </c>
      <c r="J8" s="68">
        <v>8</v>
      </c>
      <c r="K8" s="69">
        <v>8</v>
      </c>
      <c r="L8" s="124">
        <v>8</v>
      </c>
      <c r="M8" s="65">
        <f t="shared" si="0"/>
        <v>67.5</v>
      </c>
      <c r="N8" s="66">
        <f t="shared" si="0"/>
        <v>67.25</v>
      </c>
      <c r="O8" s="77">
        <f t="shared" ref="O8:O12" si="1">I8/L8</f>
        <v>66.25</v>
      </c>
      <c r="P8" s="63"/>
      <c r="Q8" s="71" cm="1">
        <f t="array" ref="Q8">G8/(_xll.ciqfunctions.udf.CIQ($B8,$R$2,"FY"&amp;Q$4, , , , "USD")*1000)</f>
        <v>2.4880172023352347E-4</v>
      </c>
      <c r="R8" s="72" cm="1">
        <f t="array" ref="R8">H8/(_xll.ciqfunctions.udf.CIQ($B8,$R$2,"FY"&amp;R$4, , , , "USD")*1000)</f>
        <v>2.6756185502921793E-4</v>
      </c>
      <c r="S8" s="78" cm="1">
        <f t="array" ref="S8">I8/(_xll.ciqfunctions.udf.CIQ($B8,$R$2,"FY"&amp;S$4, , , , "USD")*1000)</f>
        <v>2.3296918345180328E-4</v>
      </c>
      <c r="T8" s="71" cm="1">
        <f t="array" ref="T8">G8/(_xll.ciqfunctions.udf.CIQ($B8,"IQ_EBITDA","FY"&amp;Q$4, , , , "USD")*1000)</f>
        <v>3.8019681521801117E-4</v>
      </c>
      <c r="U8" s="72" cm="1">
        <f t="array" ref="U8">H8/(_xll.ciqfunctions.udf.CIQ($B8,"IQ_EBITDA","FY"&amp;R$4, , , , "USD")*1000)</f>
        <v>4.4403324141790214E-4</v>
      </c>
      <c r="V8" s="78" cm="1">
        <f t="array" ref="V8">I8/(_xll.ciqfunctions.udf.CIQ($B8,"IQ_EBITDA","FY"&amp;S$4, , , , "USD")*1000)</f>
        <v>4.0577952543701691E-4</v>
      </c>
      <c r="W8" s="71" cm="1">
        <f t="array" ref="W8">G8/(_xll.ciqfunctions.udf.CIQ($B8,"IQ_ni","FY"&amp;Q$4, , , , "USD")*1000)</f>
        <v>1.1649329300651931E-3</v>
      </c>
      <c r="X8" s="72" cm="1">
        <f t="array" ref="X8">H8/(_xll.ciqfunctions.udf.CIQ($B8,"IQ_ni","FY"&amp;R$4, , , , "USD")*1000)</f>
        <v>1.3609813231875295E-3</v>
      </c>
      <c r="Y8" s="78" cm="1">
        <f t="array" ref="Y8">I8/(_xll.ciqfunctions.udf.CIQ($B8,"IQ_ni","FY"&amp;S$4, , , , "USD")*1000)</f>
        <v>1.0680337498664959E-3</v>
      </c>
      <c r="AC8" t="s">
        <v>74</v>
      </c>
    </row>
    <row r="9" spans="2:35" ht="16.5" x14ac:dyDescent="0.3">
      <c r="B9" t="s">
        <v>55</v>
      </c>
      <c r="E9" s="79" t="s">
        <v>10</v>
      </c>
      <c r="F9" s="129" t="s">
        <v>4</v>
      </c>
      <c r="G9" s="81">
        <v>14433</v>
      </c>
      <c r="H9" s="81">
        <v>10571</v>
      </c>
      <c r="I9" s="133">
        <v>7573</v>
      </c>
      <c r="J9" s="83">
        <v>7</v>
      </c>
      <c r="K9" s="84">
        <v>7</v>
      </c>
      <c r="L9" s="125">
        <v>7</v>
      </c>
      <c r="M9" s="85">
        <f t="shared" si="0"/>
        <v>2061.8571428571427</v>
      </c>
      <c r="N9" s="86">
        <f t="shared" si="0"/>
        <v>1510.1428571428571</v>
      </c>
      <c r="O9" s="87">
        <f t="shared" si="1"/>
        <v>1081.8571428571429</v>
      </c>
      <c r="P9" s="63"/>
      <c r="Q9" s="88" cm="1">
        <f t="array" ref="Q9">G9/(_xll.ciqfunctions.udf.CIQ($B9,$R$2,"FY"&amp;Q$4, , , , "USD")*1000)</f>
        <v>1.5026220145108748E-2</v>
      </c>
      <c r="R9" s="89" cm="1">
        <f t="array" ref="R9">H9/(_xll.ciqfunctions.udf.CIQ($B9,$R$2,"FY"&amp;R$4, , , , "USD")*1000)</f>
        <v>1.1970521557356815E-2</v>
      </c>
      <c r="S9" s="90" cm="1">
        <f t="array" ref="S9">I9/(_xll.ciqfunctions.udf.CIQ($B9,$R$2,"FY"&amp;S$4, , , , "USD")*1000)</f>
        <v>7.9609699074706768E-3</v>
      </c>
      <c r="T9" s="88" cm="1">
        <f t="array" ref="T9">G9/(_xll.ciqfunctions.udf.CIQ($B9,"IQ_EBITDA","FY"&amp;Q$4, , , , "USD")*1000)</f>
        <v>3.1959061931892414E-2</v>
      </c>
      <c r="U9" s="89" cm="1">
        <f t="array" ref="U9">H9/(_xll.ciqfunctions.udf.CIQ($B9,"IQ_EBITDA","FY"&amp;R$4, , , , "USD")*1000)</f>
        <v>4.1041429675155006E-2</v>
      </c>
      <c r="V9" s="90" cm="1">
        <f t="array" ref="V9">I9/(_xll.ciqfunctions.udf.CIQ($B9,"IQ_EBITDA","FY"&amp;S$4, , , , "USD")*1000)</f>
        <v>2.6543616633485687E-2</v>
      </c>
      <c r="W9" s="88" cm="1">
        <f t="array" ref="W9">G9/(_xll.ciqfunctions.udf.CIQ($B9,"IQ_ni","FY"&amp;Q$4, , , , "USD")*1000)</f>
        <v>0.10524818971363567</v>
      </c>
      <c r="X9" s="89" cm="1">
        <f t="array" ref="X9">H9/(_xll.ciqfunctions.udf.CIQ($B9,"IQ_ni","FY"&amp;R$4, , , , "USD")*1000)</f>
        <v>-1.0589001302213763</v>
      </c>
      <c r="Y9" s="90" cm="1">
        <f t="array" ref="Y9">I9/(_xll.ciqfunctions.udf.CIQ($B9,"IQ_ni","FY"&amp;S$4, , , , "USD")*1000)</f>
        <v>-9.3054975301663762E-2</v>
      </c>
    </row>
    <row r="10" spans="2:35" ht="16.5" x14ac:dyDescent="0.3">
      <c r="B10" t="s">
        <v>52</v>
      </c>
      <c r="E10" s="79" t="s">
        <v>11</v>
      </c>
      <c r="F10" s="83" t="s">
        <v>8</v>
      </c>
      <c r="G10" s="85">
        <v>11342</v>
      </c>
      <c r="H10" s="85">
        <v>13951</v>
      </c>
      <c r="I10" s="87">
        <v>5496</v>
      </c>
      <c r="J10" s="83">
        <v>5</v>
      </c>
      <c r="K10" s="84">
        <v>5</v>
      </c>
      <c r="L10" s="125">
        <v>5</v>
      </c>
      <c r="M10" s="85">
        <f t="shared" si="0"/>
        <v>2268.4</v>
      </c>
      <c r="N10" s="86">
        <f t="shared" si="0"/>
        <v>2790.2</v>
      </c>
      <c r="O10" s="87">
        <f t="shared" si="1"/>
        <v>1099.2</v>
      </c>
      <c r="P10" s="63"/>
      <c r="Q10" s="88" cm="1">
        <f t="array" ref="Q10">G10/(_xll.ciqfunctions.udf.CIQ($B10,$R$2,"FY"&amp;Q$4, , , , "USD")*1000)</f>
        <v>1.2872224277682318E-2</v>
      </c>
      <c r="R10" s="89" cm="1">
        <f t="array" ref="R10">H10/(_xll.ciqfunctions.udf.CIQ($B10,$R$2,"FY"&amp;R$4, , , , "USD")*1000)</f>
        <v>1.8972253538173653E-2</v>
      </c>
      <c r="S10" s="90" cm="1">
        <f t="array" ref="S10">I10/(_xll.ciqfunctions.udf.CIQ($B10,$R$2,"FY"&amp;S$4, , , , "USD")*1000)</f>
        <v>6.1587491553571367E-3</v>
      </c>
      <c r="T10" s="88" cm="1">
        <f t="array" ref="T10">G10/(_xll.ciqfunctions.udf.CIQ($B10,"IQ_EBITDA","FY"&amp;Q$4, , , , "USD")*1000)</f>
        <v>3.8106565335859884E-2</v>
      </c>
      <c r="U10" s="89" cm="1">
        <f t="array" ref="U10">H10/(_xll.ciqfunctions.udf.CIQ($B10,"IQ_EBITDA","FY"&amp;R$4, , , , "USD")*1000)</f>
        <v>7.5530025770405185E-2</v>
      </c>
      <c r="V10" s="90" cm="1">
        <f t="array" ref="V10">I10/(_xll.ciqfunctions.udf.CIQ($B10,"IQ_EBITDA","FY"&amp;S$4, , , , "USD")*1000)</f>
        <v>1.7338961555206419E-2</v>
      </c>
      <c r="W10" s="88" cm="1">
        <f t="array" ref="W10">G10/(_xll.ciqfunctions.udf.CIQ($B10,"IQ_ni","FY"&amp;Q$4, , , , "USD")*1000)</f>
        <v>2.695982885666746</v>
      </c>
      <c r="X10" s="89" cm="1">
        <f t="array" ref="X10">H10/(_xll.ciqfunctions.udf.CIQ($B10,"IQ_ni","FY"&amp;R$4, , , , "USD")*1000)</f>
        <v>0.29726619931388637</v>
      </c>
      <c r="Y10" s="90" cm="1">
        <f t="array" ref="Y10">I10/(_xll.ciqfunctions.udf.CIQ($B10,"IQ_ni","FY"&amp;S$4, , , , "USD")*1000)</f>
        <v>5.7947176972955879E-2</v>
      </c>
      <c r="AD10">
        <v>3000</v>
      </c>
      <c r="AF10">
        <v>2023</v>
      </c>
      <c r="AG10">
        <v>2022</v>
      </c>
    </row>
    <row r="11" spans="2:35" ht="16.5" x14ac:dyDescent="0.3">
      <c r="B11" t="s">
        <v>53</v>
      </c>
      <c r="E11" s="79" t="s">
        <v>12</v>
      </c>
      <c r="F11" s="83" t="s">
        <v>4</v>
      </c>
      <c r="G11" s="85">
        <v>7829</v>
      </c>
      <c r="H11" s="85">
        <v>7353</v>
      </c>
      <c r="I11" s="87">
        <v>7529</v>
      </c>
      <c r="J11" s="83">
        <v>9</v>
      </c>
      <c r="K11" s="84">
        <v>9</v>
      </c>
      <c r="L11" s="125">
        <v>9</v>
      </c>
      <c r="M11" s="85">
        <f t="shared" si="0"/>
        <v>869.88888888888891</v>
      </c>
      <c r="N11" s="86">
        <f t="shared" si="0"/>
        <v>817</v>
      </c>
      <c r="O11" s="87">
        <f t="shared" si="1"/>
        <v>836.55555555555554</v>
      </c>
      <c r="P11" s="63"/>
      <c r="Q11" s="88" cm="1">
        <f t="array" ref="Q11">G11/(_xll.ciqfunctions.udf.CIQ($B11,$R$2,"FY"&amp;Q$4, , , , "USD")*1000)</f>
        <v>2.8299489495861351E-3</v>
      </c>
      <c r="R11" s="89" cm="1">
        <f t="array" ref="R11">H11/(_xll.ciqfunctions.udf.CIQ($B11,$R$2,"FY"&amp;R$4, , , , "USD")*1000)</f>
        <v>2.8574948323762364E-3</v>
      </c>
      <c r="S11" s="90" cm="1">
        <f t="array" ref="S11">I11/(_xll.ciqfunctions.udf.CIQ($B11,$R$2,"FY"&amp;S$4, , , , "USD")*1000)</f>
        <v>2.4815506972666358E-3</v>
      </c>
      <c r="T11" s="88" cm="1">
        <f t="array" ref="T11">G11/(_xll.ciqfunctions.udf.CIQ($B11,"IQ_EBITDA","FY"&amp;Q$4, , , , "USD")*1000)</f>
        <v>1.2865810370214557E-2</v>
      </c>
      <c r="U11" s="89" cm="1">
        <f t="array" ref="U11">H11/(_xll.ciqfunctions.udf.CIQ($B11,"IQ_EBITDA","FY"&amp;R$4, , , , "USD")*1000)</f>
        <v>2.5339269837550228E-2</v>
      </c>
      <c r="V11" s="90" cm="1">
        <f t="array" ref="V11">I11/(_xll.ciqfunctions.udf.CIQ($B11,"IQ_EBITDA","FY"&amp;S$4, , , , "USD")*1000)</f>
        <v>1.08500946086746E-2</v>
      </c>
      <c r="W11" s="88" cm="1">
        <f t="array" ref="W11">G11/(_xll.ciqfunctions.udf.CIQ($B11,"IQ_ni","FY"&amp;Q$4, , , , "USD")*1000)</f>
        <v>-3.8184655904014049E-2</v>
      </c>
      <c r="X11" s="89" cm="1">
        <f t="array" ref="X11">H11/(_xll.ciqfunctions.udf.CIQ($B11,"IQ_ni","FY"&amp;R$4, , , , "USD")*1000)</f>
        <v>-2.5184266768960982E-2</v>
      </c>
      <c r="Y11" s="90" cm="1">
        <f t="array" ref="Y11">I11/(_xll.ciqfunctions.udf.CIQ($B11,"IQ_ni","FY"&amp;S$4, , , , "USD")*1000)</f>
        <v>0.15150417547036926</v>
      </c>
      <c r="AD11" t="s">
        <v>20</v>
      </c>
      <c r="AF11">
        <f>19*2000*3+1*2*2000+2*2*2000+2*1*2000</f>
        <v>130000</v>
      </c>
      <c r="AG11">
        <f>10*3*AD10+1*3*AD10+1*2*AD10+2*1*AD10</f>
        <v>111000</v>
      </c>
      <c r="AI11">
        <f>19*3000*3+1*2*3000+2*2*3000+2*1*3000</f>
        <v>195000</v>
      </c>
    </row>
    <row r="12" spans="2:35" ht="16.5" x14ac:dyDescent="0.3">
      <c r="B12" t="s">
        <v>70</v>
      </c>
      <c r="E12" s="92" t="s">
        <v>13</v>
      </c>
      <c r="F12" s="96" t="s">
        <v>4</v>
      </c>
      <c r="G12" s="94">
        <v>8284</v>
      </c>
      <c r="H12" s="94">
        <v>7416</v>
      </c>
      <c r="I12" s="98">
        <v>8295</v>
      </c>
      <c r="J12" s="96">
        <v>9</v>
      </c>
      <c r="K12" s="97">
        <v>9</v>
      </c>
      <c r="L12" s="126">
        <v>9</v>
      </c>
      <c r="M12" s="94">
        <f t="shared" si="0"/>
        <v>920.44444444444446</v>
      </c>
      <c r="N12" s="95">
        <f t="shared" si="0"/>
        <v>824</v>
      </c>
      <c r="O12" s="98">
        <f t="shared" si="1"/>
        <v>921.66666666666663</v>
      </c>
      <c r="P12" s="63"/>
      <c r="Q12" s="99" cm="1">
        <f t="array" ref="Q12">G12/(_xll.ciqfunctions.udf.CIQ($B12,$R$2,"FY"&amp;Q$4, , , , "USD")*1000)</f>
        <v>8.7411997096115204E-3</v>
      </c>
      <c r="R12" s="100" cm="1">
        <f t="array" ref="R12">H12/(_xll.ciqfunctions.udf.CIQ($B12,$R$2,"FY"&amp;R$4, , , , "USD")*1000)</f>
        <v>1.0690253648467096E-2</v>
      </c>
      <c r="S12" s="101" cm="1">
        <f t="array" ref="S12">I12/(_xll.ciqfunctions.udf.CIQ($B12,$R$2,"FY"&amp;S$4, , , , "USD")*1000)</f>
        <v>1.1275849834770398E-2</v>
      </c>
      <c r="T12" s="99" cm="1">
        <f t="array" ref="T12">G12/(_xll.ciqfunctions.udf.CIQ($B12,"IQ_EBITDA","FY"&amp;Q$4, , , , "USD")*1000)</f>
        <v>2.0628209150717405E-2</v>
      </c>
      <c r="U12" s="100" cm="1">
        <f t="array" ref="U12">H12/(_xll.ciqfunctions.udf.CIQ($B12,"IQ_EBITDA","FY"&amp;R$4, , , , "USD")*1000)</f>
        <v>3.2382158373905637E-2</v>
      </c>
      <c r="V12" s="101" cm="1">
        <f t="array" ref="V12">I12/(_xll.ciqfunctions.udf.CIQ($B12,"IQ_EBITDA","FY"&amp;S$4, , , , "USD")*1000)</f>
        <v>4.3011589017655755E-2</v>
      </c>
      <c r="W12" s="99" cm="1">
        <f t="array" ref="W12">G12/(_xll.ciqfunctions.udf.CIQ($B12,"IQ_ni","FY"&amp;Q$4, , , , "USD")*1000)</f>
        <v>8.5397659914437402E-2</v>
      </c>
      <c r="X12" s="100" cm="1">
        <f t="array" ref="X12">H12/(_xll.ciqfunctions.udf.CIQ($B12,"IQ_ni","FY"&amp;R$4, , , , "USD")*1000)</f>
        <v>-0.13482165581936517</v>
      </c>
      <c r="Y12" s="101" cm="1">
        <f t="array" ref="Y12">I12/(_xll.ciqfunctions.udf.CIQ($B12,"IQ_ni","FY"&amp;S$4, , , , "USD")*1000)</f>
        <v>2.8014184397163122</v>
      </c>
      <c r="AD12" t="s">
        <v>75</v>
      </c>
      <c r="AF12">
        <f>13*3*AD10+1*2*AD10+1*1*AD10</f>
        <v>126000</v>
      </c>
      <c r="AG12">
        <f>AD10*10*3+1*3*AD10+AD10</f>
        <v>102000</v>
      </c>
    </row>
    <row r="13" spans="2:35" ht="16.5" x14ac:dyDescent="0.3">
      <c r="E13" s="60" t="s">
        <v>19</v>
      </c>
      <c r="F13" s="61"/>
      <c r="G13" s="60"/>
      <c r="H13" s="60"/>
      <c r="I13" s="62"/>
      <c r="J13" s="60"/>
      <c r="K13" s="61"/>
      <c r="L13" s="62"/>
      <c r="M13" s="60"/>
      <c r="N13" s="61"/>
      <c r="O13" s="62"/>
      <c r="P13" s="63"/>
      <c r="Q13" s="102"/>
      <c r="R13" s="103"/>
      <c r="S13" s="104"/>
      <c r="T13" s="102"/>
      <c r="U13" s="103"/>
      <c r="V13" s="104"/>
      <c r="W13" s="102"/>
      <c r="X13" s="103"/>
      <c r="Y13" s="104"/>
    </row>
    <row r="14" spans="2:35" ht="16.5" x14ac:dyDescent="0.3">
      <c r="B14" t="s">
        <v>57</v>
      </c>
      <c r="E14" s="150" t="s">
        <v>20</v>
      </c>
      <c r="F14" s="151" t="s">
        <v>21</v>
      </c>
      <c r="G14" s="135">
        <f>9339/H36</f>
        <v>2476.1374496996132</v>
      </c>
      <c r="H14" s="135">
        <v>195</v>
      </c>
      <c r="I14" s="136">
        <v>110</v>
      </c>
      <c r="J14" s="151">
        <v>3</v>
      </c>
      <c r="K14" s="152">
        <v>3</v>
      </c>
      <c r="L14" s="153">
        <v>3</v>
      </c>
      <c r="M14" s="135">
        <f>IFERROR(G14/J14,"-")</f>
        <v>825.37914989987109</v>
      </c>
      <c r="N14" s="154">
        <f>IFERROR(H14/K14,"-")</f>
        <v>65</v>
      </c>
      <c r="O14" s="136">
        <f>I14/L14</f>
        <v>36.666666666666664</v>
      </c>
      <c r="P14" s="155"/>
      <c r="Q14" s="156" cm="1">
        <f t="array" ref="Q14">G14/(_xll.ciqfunctions.udf.CIQ($B14,$R$2,"FY"&amp;Q$4, , , , "USD")*1000)</f>
        <v>3.3373202163347786E-3</v>
      </c>
      <c r="R14" s="157" cm="1">
        <f t="array" ref="R14">H14/(_xll.ciqfunctions.udf.CIQ($B14,$R$2,"FY"&amp;R$4, , , , "USD")*1000)</f>
        <v>2.7611655126009613E-4</v>
      </c>
      <c r="S14" s="158" cm="1">
        <f t="array" ref="S14">I14/(_xll.ciqfunctions.udf.CIQ($B14,$R$2,"FY"&amp;S$4, , , , "USD")*1000)</f>
        <v>1.7641597758452174E-4</v>
      </c>
      <c r="T14" s="156" cm="1">
        <f t="array" ref="T14">G14/(_xll.ciqfunctions.udf.CIQ($B14,"IQ_EBITDA","FY"&amp;Q$4, , , , "USD")*1000)</f>
        <v>5.781917905385364E-3</v>
      </c>
      <c r="U14" s="157" cm="1">
        <f t="array" ref="U14">H14/(_xll.ciqfunctions.udf.CIQ($B14,"IQ_EBITDA","FY"&amp;R$4, , , , "USD")*1000)</f>
        <v>5.5216804393422726E-4</v>
      </c>
      <c r="V14" s="158" cm="1">
        <f t="array" ref="V14">I14/(_xll.ciqfunctions.udf.CIQ($B14,"IQ_EBITDA","FY"&amp;S$4, , , , "USD")*1000)</f>
        <v>3.3349331917381333E-4</v>
      </c>
      <c r="W14" s="156" cm="1">
        <f t="array" ref="W14">G14/(_xll.ciqfunctions.udf.CIQ($B14,"IQ_ni","FY"&amp;Q$4, , , , "USD")*1000)</f>
        <v>1.0053015547244514E-2</v>
      </c>
      <c r="X14" s="157" cm="1">
        <f t="array" ref="X14">H14/(_xll.ciqfunctions.udf.CIQ($B14,"IQ_ni","FY"&amp;R$4, , , , "USD")*1000)</f>
        <v>9.0808054776908825E-4</v>
      </c>
      <c r="Y14" s="158" cm="1">
        <f t="array" ref="Y14">I14/(_xll.ciqfunctions.udf.CIQ($B14,"IQ_ni","FY"&amp;S$4, , , , "USD")*1000)</f>
        <v>5.3117104866685731E-4</v>
      </c>
      <c r="AD14" t="s">
        <v>23</v>
      </c>
      <c r="AE14">
        <f>5000*2*10</f>
        <v>100000</v>
      </c>
      <c r="AF14">
        <f>11*2*5000</f>
        <v>110000</v>
      </c>
    </row>
    <row r="15" spans="2:35" ht="16.5" x14ac:dyDescent="0.3">
      <c r="B15" t="s">
        <v>58</v>
      </c>
      <c r="E15" s="137" t="s">
        <v>22</v>
      </c>
      <c r="F15" s="138" t="s">
        <v>21</v>
      </c>
      <c r="G15" s="139">
        <f>9514/H36</f>
        <v>2522.5368558134833</v>
      </c>
      <c r="H15" s="139">
        <v>84</v>
      </c>
      <c r="I15" s="140">
        <v>68</v>
      </c>
      <c r="J15" s="138">
        <v>7</v>
      </c>
      <c r="K15" s="146">
        <v>3</v>
      </c>
      <c r="L15" s="147">
        <v>3</v>
      </c>
      <c r="M15" s="139">
        <f>IFERROR(G15/J15,"-")</f>
        <v>360.36240797335478</v>
      </c>
      <c r="N15" s="141">
        <f>IFERROR(H15/K15,"-")</f>
        <v>28</v>
      </c>
      <c r="O15" s="140">
        <f>I15/L15</f>
        <v>22.666666666666668</v>
      </c>
      <c r="P15" s="142"/>
      <c r="Q15" s="143" cm="1">
        <f t="array" ref="Q15">G15/(_xll.ciqfunctions.udf.CIQ($B15,$R$2,"FY"&amp;Q$4, , , , "USD")*1000)</f>
        <v>2.3208285841579985E-3</v>
      </c>
      <c r="R15" s="144" cm="1">
        <f t="array" ref="R15">H15/(_xll.ciqfunctions.udf.CIQ($B15,$R$2,"FY"&amp;R$4, , , , "USD")*1000)</f>
        <v>7.5471195649991227E-5</v>
      </c>
      <c r="S15" s="145" cm="1">
        <f t="array" ref="S15">I15/(_xll.ciqfunctions.udf.CIQ($B15,$R$2,"FY"&amp;S$4, , , , "USD")*1000)</f>
        <v>6.6056508525928119E-5</v>
      </c>
      <c r="T15" s="143" cm="1">
        <f t="array" ref="T15">G15/(_xll.ciqfunctions.udf.CIQ($B15,"IQ_EBITDA","FY"&amp;Q$4, , , , "USD")*1000)</f>
        <v>9.5078863639056245E-3</v>
      </c>
      <c r="U15" s="144" cm="1">
        <f t="array" ref="U15">H15/(_xll.ciqfunctions.udf.CIQ($B15,"IQ_EBITDA","FY"&amp;R$4, , , , "USD")*1000)</f>
        <v>3.2521309781813763E-4</v>
      </c>
      <c r="V15" s="145" cm="1">
        <f t="array" ref="V15">I15/(_xll.ciqfunctions.udf.CIQ($B15,"IQ_EBITDA","FY"&amp;S$4, , , , "USD")*1000)</f>
        <v>2.6681898368413685E-4</v>
      </c>
      <c r="W15" s="143" cm="1">
        <f t="array" ref="W15">G15/(_xll.ciqfunctions.udf.CIQ($B15,"IQ_ni","FY"&amp;Q$4, , , , "USD")*1000)</f>
        <v>2.4799096881833002E-2</v>
      </c>
      <c r="X15" s="144" cm="1">
        <f t="array" ref="X15">H15/(_xll.ciqfunctions.udf.CIQ($B15,"IQ_ni","FY"&amp;R$4, , , , "USD")*1000)</f>
        <v>7.1973199236981266E-4</v>
      </c>
      <c r="Y15" s="145" cm="1">
        <f t="array" ref="Y15">I15/(_xll.ciqfunctions.udf.CIQ($B15,"IQ_ni","FY"&amp;S$4, , , , "USD")*1000)</f>
        <v>5.4070051568516533E-4</v>
      </c>
    </row>
    <row r="16" spans="2:35" ht="16.5" x14ac:dyDescent="0.3">
      <c r="B16" t="s">
        <v>59</v>
      </c>
      <c r="E16" s="137" t="s">
        <v>23</v>
      </c>
      <c r="F16" s="138" t="s">
        <v>4</v>
      </c>
      <c r="G16" s="139">
        <v>1974</v>
      </c>
      <c r="H16" s="139">
        <v>100</v>
      </c>
      <c r="I16" s="140">
        <v>110</v>
      </c>
      <c r="J16" s="138">
        <v>7</v>
      </c>
      <c r="K16" s="148">
        <v>2</v>
      </c>
      <c r="L16" s="149">
        <v>2</v>
      </c>
      <c r="M16" s="139">
        <f t="shared" ref="M16:N16" si="2">IFERROR(G16/J16,"-")</f>
        <v>282</v>
      </c>
      <c r="N16" s="141">
        <f t="shared" si="2"/>
        <v>50</v>
      </c>
      <c r="O16" s="140">
        <f>I16/L16</f>
        <v>55</v>
      </c>
      <c r="P16" s="142"/>
      <c r="Q16" s="143" cm="1">
        <f t="array" ref="Q16">G16/(_xll.ciqfunctions.udf.CIQ($B16,$R$2,"FY"&amp;Q$4, , , , "USD")*1000)</f>
        <v>2.7257023792592551E-3</v>
      </c>
      <c r="R16" s="144" cm="1">
        <f t="array" ref="R16">H16/(_xll.ciqfunctions.udf.CIQ($B16,$R$2,"FY"&amp;R$4, , , , "USD")*1000)</f>
        <v>1.4885316082244348E-4</v>
      </c>
      <c r="S16" s="145" cm="1">
        <f t="array" ref="S16">I16/(_xll.ciqfunctions.udf.CIQ($B16,$R$2,"FY"&amp;S$4, , , , "USD")*1000)</f>
        <v>1.982314153542846E-4</v>
      </c>
      <c r="T16" s="143" cm="1">
        <f t="array" ref="T16">G16/(_xll.ciqfunctions.udf.CIQ($B16,"IQ_EBITDA","FY"&amp;Q$4, , , , "USD")*1000)</f>
        <v>7.5640008736535961E-3</v>
      </c>
      <c r="U16" s="144" cm="1">
        <f t="array" ref="U16">H16/(_xll.ciqfunctions.udf.CIQ($B16,"IQ_EBITDA","FY"&amp;R$4, , , , "USD")*1000)</f>
        <v>6.1151607064233648E-4</v>
      </c>
      <c r="V16" s="145" cm="1">
        <f t="array" ref="V16">I16/(_xll.ciqfunctions.udf.CIQ($B16,"IQ_EBITDA","FY"&amp;S$4, , , , "USD")*1000)</f>
        <v>5.833625014584063E-4</v>
      </c>
      <c r="W16" s="143" cm="1">
        <f t="array" ref="W16">G16/(_xll.ciqfunctions.udf.CIQ($B16,"IQ_ni","FY"&amp;Q$4, , , , "USD")*1000)</f>
        <v>2.002414258325641E-2</v>
      </c>
      <c r="X16" s="144" cm="1">
        <f t="array" ref="X16">H16/(_xll.ciqfunctions.udf.CIQ($B16,"IQ_ni","FY"&amp;R$4, , , , "USD")*1000)</f>
        <v>1.6666666666666666E-2</v>
      </c>
      <c r="Y16" s="145" cm="1">
        <f t="array" ref="Y16">I16/(_xll.ciqfunctions.udf.CIQ($B16,"IQ_ni","FY"&amp;S$4, , , , "USD")*1000)</f>
        <v>1.6884113584036836E-3</v>
      </c>
    </row>
    <row r="17" spans="2:25" ht="16.5" x14ac:dyDescent="0.3">
      <c r="E17" s="60" t="s">
        <v>40</v>
      </c>
      <c r="F17" s="61"/>
      <c r="G17" s="60"/>
      <c r="H17" s="60"/>
      <c r="I17" s="62"/>
      <c r="J17" s="60"/>
      <c r="K17" s="61"/>
      <c r="L17" s="62"/>
      <c r="M17" s="60"/>
      <c r="N17" s="61"/>
      <c r="O17" s="62"/>
      <c r="P17" s="63"/>
      <c r="Q17" s="102"/>
      <c r="R17" s="103"/>
      <c r="S17" s="104"/>
      <c r="T17" s="102"/>
      <c r="U17" s="103"/>
      <c r="V17" s="104"/>
      <c r="W17" s="102"/>
      <c r="X17" s="103"/>
      <c r="Y17" s="104"/>
    </row>
    <row r="18" spans="2:25" ht="16.5" x14ac:dyDescent="0.3">
      <c r="B18" t="s">
        <v>60</v>
      </c>
      <c r="E18" s="79" t="s">
        <v>25</v>
      </c>
      <c r="F18" s="83" t="s">
        <v>21</v>
      </c>
      <c r="G18" s="85">
        <f>44340/H36</f>
        <v>11756.28381193713</v>
      </c>
      <c r="H18" s="85">
        <f>42031/I36</f>
        <v>11318.432766258484</v>
      </c>
      <c r="I18" s="87">
        <v>15183</v>
      </c>
      <c r="J18" s="83">
        <v>9</v>
      </c>
      <c r="K18" s="105">
        <v>9</v>
      </c>
      <c r="L18" s="125">
        <v>9</v>
      </c>
      <c r="M18" s="85">
        <f t="shared" ref="M18:N21" si="3">IFERROR(G18/J18,"-")</f>
        <v>1306.2537568819034</v>
      </c>
      <c r="N18" s="86">
        <f t="shared" si="3"/>
        <v>1257.6036406953872</v>
      </c>
      <c r="O18" s="87">
        <f>I18/L18</f>
        <v>1687</v>
      </c>
      <c r="P18" s="63"/>
      <c r="Q18" s="88" cm="1">
        <f t="array" ref="Q18">G18/(_xll.ciqfunctions.udf.CIQ($B18,$R$2,"FY"&amp;Q$4, , , , "USD")*1000)</f>
        <v>5.8478946067781427E-3</v>
      </c>
      <c r="R18" s="89" cm="1">
        <f t="array" ref="R18">H18/(_xll.ciqfunctions.udf.CIQ($B18,$R$2,"FY"&amp;R$4, , , , "USD")*1000)</f>
        <v>6.0547217032870162E-3</v>
      </c>
      <c r="S18" s="90" cm="1">
        <f t="array" ref="S18">I18/(_xll.ciqfunctions.udf.CIQ($B18,$R$2,"FY"&amp;S$4, , , , "USD")*1000)</f>
        <v>8.7941324352904058E-3</v>
      </c>
      <c r="T18" s="88" cm="1">
        <f t="array" ref="T18">G18/(_xll.ciqfunctions.udf.CIQ($B18,"IQ_EBITDA","FY"&amp;Q$4, , , , "USD")*1000)</f>
        <v>4.4382029185036843E-2</v>
      </c>
      <c r="U18" s="89" cm="1">
        <f t="array" ref="U18">H18/(_xll.ciqfunctions.udf.CIQ($B18,"IQ_EBITDA","FY"&amp;R$4, , , , "USD")*1000)</f>
        <v>5.1510976844605379E-2</v>
      </c>
      <c r="V18" s="90" cm="1">
        <f t="array" ref="V18">I18/(_xll.ciqfunctions.udf.CIQ($B18,"IQ_EBITDA","FY"&amp;S$4, , , , "USD")*1000)</f>
        <v>7.7775729894720258E-2</v>
      </c>
      <c r="W18" s="88" cm="1">
        <f t="array" ref="W18">G18/(_xll.ciqfunctions.udf.CIQ($B18,"IQ_ni","FY"&amp;Q$4, , , , "USD")*1000)</f>
        <v>9.0711387514592914E-2</v>
      </c>
      <c r="X18" s="89" cm="1">
        <f t="array" ref="X18">H18/(_xll.ciqfunctions.udf.CIQ($B18,"IQ_ni","FY"&amp;R$4, , , , "USD")*1000)</f>
        <v>9.6878884764999659E-2</v>
      </c>
      <c r="Y18" s="90" cm="1">
        <f t="array" ref="Y18">I18/(_xll.ciqfunctions.udf.CIQ($B18,"IQ_ni","FY"&amp;S$4, , , , "USD")*1000)</f>
        <v>0.13806747546581064</v>
      </c>
    </row>
    <row r="19" spans="2:25" ht="16.5" x14ac:dyDescent="0.3">
      <c r="B19" t="s">
        <v>61</v>
      </c>
      <c r="E19" s="79" t="s">
        <v>26</v>
      </c>
      <c r="F19" s="83" t="s">
        <v>21</v>
      </c>
      <c r="G19" s="85">
        <f>32000/H36</f>
        <v>8484.4628322505214</v>
      </c>
      <c r="H19" s="85">
        <f>36500/I36</f>
        <v>9829.0023070694169</v>
      </c>
      <c r="I19" s="87">
        <v>438</v>
      </c>
      <c r="J19" s="83">
        <v>9</v>
      </c>
      <c r="K19" s="84">
        <v>9</v>
      </c>
      <c r="L19" s="125">
        <v>9</v>
      </c>
      <c r="M19" s="85">
        <f t="shared" si="3"/>
        <v>942.7180924722802</v>
      </c>
      <c r="N19" s="86">
        <f t="shared" si="3"/>
        <v>1092.1113674521575</v>
      </c>
      <c r="O19" s="87">
        <f>I19/L19</f>
        <v>48.666666666666664</v>
      </c>
      <c r="P19" s="63"/>
      <c r="Q19" s="88" cm="1">
        <f t="array" ref="Q19">G19/(_xll.ciqfunctions.udf.CIQ($B19,$R$2,"FY"&amp;Q$4, , , , "USD")*1000)</f>
        <v>1.8249309638251308E-2</v>
      </c>
      <c r="R19" s="89" cm="1">
        <f t="array" ref="R19">H19/(_xll.ciqfunctions.udf.CIQ($B19,$R$2,"FY"&amp;R$4, , , , "USD")*1000)</f>
        <v>8.4854613641291623E-3</v>
      </c>
      <c r="S19" s="90" cm="1">
        <f t="array" ref="S19">I19/(_xll.ciqfunctions.udf.CIQ($B19,$R$2,"FY"&amp;S$4, , , , "USD")*1000)</f>
        <v>3.7873753308235601E-4</v>
      </c>
      <c r="T19" s="88" cm="1">
        <f t="array" ref="T19">G19/(_xll.ciqfunctions.udf.CIQ($B19,"IQ_EBITDA","FY"&amp;Q$4, , , , "USD")*1000)</f>
        <v>6.9362558461177976E-2</v>
      </c>
      <c r="U19" s="89" cm="1">
        <f t="array" ref="U19">H19/(_xll.ciqfunctions.udf.CIQ($B19,"IQ_EBITDA","FY"&amp;R$4, , , , "USD")*1000)</f>
        <v>6.1072634458524441E-2</v>
      </c>
      <c r="V19" s="90" cm="1">
        <f t="array" ref="V19">I19/(_xll.ciqfunctions.udf.CIQ($B19,"IQ_EBITDA","FY"&amp;S$4, , , , "USD")*1000)</f>
        <v>4.2332783812562037E-3</v>
      </c>
      <c r="W19" s="88" cm="1">
        <f t="array" ref="W19">G19/(_xll.ciqfunctions.udf.CIQ($B19,"IQ_ni","FY"&amp;Q$4, , , , "USD")*1000)</f>
        <v>-0.12929918956583994</v>
      </c>
      <c r="X19" s="89" cm="1">
        <f t="array" ref="X19">H19/(_xll.ciqfunctions.udf.CIQ($B19,"IQ_ni","FY"&amp;R$4, , , , "USD")*1000)</f>
        <v>0.43144723791175099</v>
      </c>
      <c r="Y19" s="90" cm="1">
        <f t="array" ref="Y19">I19/(_xll.ciqfunctions.udf.CIQ($B19,"IQ_ni","FY"&amp;S$4, , , , "USD")*1000)</f>
        <v>-3.6980652955062344E-3</v>
      </c>
    </row>
    <row r="20" spans="2:25" ht="16.5" x14ac:dyDescent="0.3">
      <c r="B20" t="s">
        <v>62</v>
      </c>
      <c r="E20" s="64" t="s">
        <v>27</v>
      </c>
      <c r="F20" s="128" t="s">
        <v>21</v>
      </c>
      <c r="G20" s="75">
        <f>6724/H36</f>
        <v>1782.7977526266409</v>
      </c>
      <c r="H20" s="75">
        <f>6323/I36</f>
        <v>1702.7063448657514</v>
      </c>
      <c r="I20" s="132">
        <v>2122</v>
      </c>
      <c r="J20" s="68">
        <v>11</v>
      </c>
      <c r="K20" s="69">
        <v>11</v>
      </c>
      <c r="L20" s="124">
        <v>11</v>
      </c>
      <c r="M20" s="65">
        <f t="shared" si="3"/>
        <v>162.07252296605827</v>
      </c>
      <c r="N20" s="66">
        <f t="shared" si="3"/>
        <v>154.79148589688648</v>
      </c>
      <c r="O20" s="77">
        <f>I20/L20</f>
        <v>192.90909090909091</v>
      </c>
      <c r="P20" s="63"/>
      <c r="Q20" s="71" cm="1">
        <f t="array" ref="Q20">G20/(_xll.ciqfunctions.udf.CIQ($B20,$R$2,"FY"&amp;Q$4, , , , "USD")*1000)</f>
        <v>9.8089029442747903E-4</v>
      </c>
      <c r="R20" s="72" cm="1">
        <f t="array" ref="R20">H20/(_xll.ciqfunctions.udf.CIQ($B20,$R$2,"FY"&amp;R$4, , , , "USD")*1000)</f>
        <v>9.9164496360079082E-4</v>
      </c>
      <c r="S20" s="78" cm="1">
        <f t="array" ref="S20">I20/(_xll.ciqfunctions.udf.CIQ($B20,$R$2,"FY"&amp;S$4, , , , "USD")*1000)</f>
        <v>1.3519187891043066E-3</v>
      </c>
      <c r="T20" s="71" cm="1">
        <f t="array" ref="T20">G20/(_xll.ciqfunctions.udf.CIQ($B20,"IQ_EBITDA","FY"&amp;Q$4, , , , "USD")*1000)</f>
        <v>4.2135552773667978E-3</v>
      </c>
      <c r="U20" s="72" cm="1">
        <f t="array" ref="U20">H20/(_xll.ciqfunctions.udf.CIQ($B20,"IQ_EBITDA","FY"&amp;R$4, , , , "USD")*1000)</f>
        <v>4.3552321071869387E-3</v>
      </c>
      <c r="V20" s="78" cm="1">
        <f t="array" ref="V20">I20/(_xll.ciqfunctions.udf.CIQ($B20,"IQ_EBITDA","FY"&amp;S$4, , , , "USD")*1000)</f>
        <v>5.2873574101616428E-3</v>
      </c>
      <c r="W20" s="71" cm="1">
        <f t="array" ref="W20">G20/(_xll.ciqfunctions.udf.CIQ($B20,"IQ_ni","FY"&amp;Q$4, , , , "USD")*1000)</f>
        <v>1.4937773742938762E-2</v>
      </c>
      <c r="X20" s="72" cm="1">
        <f t="array" ref="X20">H20/(_xll.ciqfunctions.udf.CIQ($B20,"IQ_ni","FY"&amp;R$4, , , , "USD")*1000)</f>
        <v>1.240984073209662E-2</v>
      </c>
      <c r="Y20" s="78" cm="1">
        <f t="array" ref="Y20">I20/(_xll.ciqfunctions.udf.CIQ($B20,"IQ_ni","FY"&amp;S$4, , , , "USD")*1000)</f>
        <v>1.4572913705756666E-2</v>
      </c>
    </row>
    <row r="21" spans="2:25" ht="16.5" x14ac:dyDescent="0.3">
      <c r="B21" t="s">
        <v>63</v>
      </c>
      <c r="E21" s="64" t="s">
        <v>28</v>
      </c>
      <c r="F21" s="128" t="s">
        <v>21</v>
      </c>
      <c r="G21" s="75">
        <f>6032/H36</f>
        <v>1599.3212438792234</v>
      </c>
      <c r="H21" s="75">
        <f>5941/I36</f>
        <v>1599.8384303095727</v>
      </c>
      <c r="I21" s="132">
        <v>1361</v>
      </c>
      <c r="J21" s="68">
        <v>7</v>
      </c>
      <c r="K21" s="58">
        <v>7</v>
      </c>
      <c r="L21" s="124">
        <v>7</v>
      </c>
      <c r="M21" s="65">
        <f t="shared" si="3"/>
        <v>228.47446341131763</v>
      </c>
      <c r="N21" s="66">
        <f t="shared" si="3"/>
        <v>228.54834718708182</v>
      </c>
      <c r="O21" s="77">
        <f>I21/L21</f>
        <v>194.42857142857142</v>
      </c>
      <c r="P21" s="63"/>
      <c r="Q21" s="71" cm="1">
        <f t="array" ref="Q21">G21/(_xll.ciqfunctions.udf.CIQ($B21,$R$2,"FY"&amp;Q$4, , , , "USD")*1000)</f>
        <v>3.0494355575655225E-3</v>
      </c>
      <c r="R21" s="72" cm="1">
        <f t="array" ref="R21">H21/(_xll.ciqfunctions.udf.CIQ($B21,$R$2,"FY"&amp;R$4, , , , "USD")*1000)</f>
        <v>3.0465494843681241E-3</v>
      </c>
      <c r="S21" s="78" cm="1">
        <f t="array" ref="S21">I21/(_xll.ciqfunctions.udf.CIQ($B21,$R$2,"FY"&amp;S$4, , , , "USD")*1000)</f>
        <v>2.4502870778664865E-3</v>
      </c>
      <c r="T21" s="71" cm="1">
        <f t="array" ref="T21">G21/(_xll.ciqfunctions.udf.CIQ($B21,"IQ_EBITDA","FY"&amp;Q$4, , , , "USD")*1000)</f>
        <v>1.1251569337599465E-2</v>
      </c>
      <c r="U21" s="72" cm="1">
        <f t="array" ref="U21">H21/(_xll.ciqfunctions.udf.CIQ($B21,"IQ_EBITDA","FY"&amp;R$4, , , , "USD")*1000)</f>
        <v>1.1502932467728664E-2</v>
      </c>
      <c r="V21" s="78" cm="1">
        <f t="array" ref="V21">I21/(_xll.ciqfunctions.udf.CIQ($B21,"IQ_EBITDA","FY"&amp;S$4, , , , "USD")*1000)</f>
        <v>1.049734022388721E-2</v>
      </c>
      <c r="W21" s="71" cm="1">
        <f t="array" ref="W21">G21/(_xll.ciqfunctions.udf.CIQ($B21,"IQ_ni","FY"&amp;Q$4, , , , "USD")*1000)</f>
        <v>3.0330610142559816E-2</v>
      </c>
      <c r="X21" s="72" cm="1">
        <f t="array" ref="X21">H21/(_xll.ciqfunctions.udf.CIQ($B21,"IQ_ni","FY"&amp;R$4, , , , "USD")*1000)</f>
        <v>3.5174658283469815E-2</v>
      </c>
      <c r="Y21" s="78" cm="1">
        <f t="array" ref="Y21">I21/(_xll.ciqfunctions.udf.CIQ($B21,"IQ_ni","FY"&amp;S$4, , , , "USD")*1000)</f>
        <v>2.9317673688906521E-2</v>
      </c>
    </row>
    <row r="22" spans="2:25" ht="16.5" x14ac:dyDescent="0.3">
      <c r="E22" s="60" t="s">
        <v>30</v>
      </c>
      <c r="F22" s="61"/>
      <c r="G22" s="60"/>
      <c r="H22" s="60"/>
      <c r="I22" s="62"/>
      <c r="J22" s="60"/>
      <c r="K22" s="61"/>
      <c r="L22" s="62"/>
      <c r="M22" s="60"/>
      <c r="N22" s="61"/>
      <c r="O22" s="62"/>
      <c r="P22" s="63"/>
      <c r="Q22" s="102"/>
      <c r="R22" s="103"/>
      <c r="S22" s="104"/>
      <c r="T22" s="102"/>
      <c r="U22" s="103"/>
      <c r="V22" s="104"/>
      <c r="W22" s="102"/>
      <c r="X22" s="103"/>
      <c r="Y22" s="104"/>
    </row>
    <row r="23" spans="2:25" ht="16.5" x14ac:dyDescent="0.3">
      <c r="B23" t="s">
        <v>64</v>
      </c>
      <c r="E23" s="79" t="s">
        <v>31</v>
      </c>
      <c r="F23" s="83" t="s">
        <v>21</v>
      </c>
      <c r="G23" s="85">
        <f>72200/H36</f>
        <v>19143.06926526524</v>
      </c>
      <c r="H23" s="85">
        <f>65609/I36</f>
        <v>17667.698968890887</v>
      </c>
      <c r="I23" s="87">
        <v>15182</v>
      </c>
      <c r="J23" s="83">
        <v>6</v>
      </c>
      <c r="K23" s="105">
        <v>6</v>
      </c>
      <c r="L23" s="125">
        <v>6</v>
      </c>
      <c r="M23" s="85">
        <f>IFERROR(G23/J23,"-")</f>
        <v>3190.5115442108731</v>
      </c>
      <c r="N23" s="86">
        <f>IFERROR(H23/K23,"-")</f>
        <v>2944.6164948151477</v>
      </c>
      <c r="O23" s="87">
        <f>I23/L23</f>
        <v>2530.3333333333335</v>
      </c>
      <c r="P23" s="63"/>
      <c r="Q23" s="88" cm="1">
        <f t="array" ref="Q23">G23/(_xll.ciqfunctions.udf.CIQ($B23,$R$2,"FY"&amp;Q$4, , , , "USD")*1000)</f>
        <v>3.3297419513185801E-3</v>
      </c>
      <c r="R23" s="89" cm="1">
        <f t="array" ref="R23">H23/(_xll.ciqfunctions.udf.CIQ($B23,$R$2,"FY"&amp;R$4, , , , "USD")*1000)</f>
        <v>3.1447962292963979E-3</v>
      </c>
      <c r="S23" s="90" cm="1">
        <f t="array" ref="S23">I23/(_xll.ciqfunctions.udf.CIQ($B23,$R$2,"FY"&amp;S$4, , , , "USD")*1000)</f>
        <v>2.923334619572325E-3</v>
      </c>
      <c r="T23" s="88" cm="1">
        <f t="array" ref="T23">G23/(_xll.ciqfunctions.udf.CIQ($B23,"IQ_EBITDA","FY"&amp;Q$4, , , , "USD")*1000)</f>
        <v>2.8913504958369852E-2</v>
      </c>
      <c r="U23" s="89" cm="1">
        <f t="array" ref="U23">H23/(_xll.ciqfunctions.udf.CIQ($B23,"IQ_EBITDA","FY"&amp;R$4, , , , "USD")*1000)</f>
        <v>2.8010681924109302E-2</v>
      </c>
      <c r="V23" s="90" cm="1">
        <f t="array" ref="V23">I23/(_xll.ciqfunctions.udf.CIQ($B23,"IQ_EBITDA","FY"&amp;S$4, , , , "USD")*1000)</f>
        <v>2.7955501073447415E-2</v>
      </c>
      <c r="W23" s="88" cm="1">
        <f t="array" ref="W23">G23/(_xll.ciqfunctions.udf.CIQ($B23,"IQ_ni","FY"&amp;Q$4, , , , "USD")*1000)</f>
        <v>7.4329234822319637E-2</v>
      </c>
      <c r="X23" s="89" cm="1">
        <f t="array" ref="X23">H23/(_xll.ciqfunctions.udf.CIQ($B23,"IQ_ni","FY"&amp;R$4, , , , "USD")*1000)</f>
        <v>7.011268766373023E-2</v>
      </c>
      <c r="Y23" s="90" cm="1">
        <f t="array" ref="Y23">I23/(_xll.ciqfunctions.udf.CIQ($B23,"IQ_ni","FY"&amp;S$4, , , , "USD")*1000)</f>
        <v>7.8541131843824719E-2</v>
      </c>
    </row>
    <row r="24" spans="2:25" ht="16.5" x14ac:dyDescent="0.3">
      <c r="B24" t="s">
        <v>65</v>
      </c>
      <c r="E24" s="64" t="s">
        <v>32</v>
      </c>
      <c r="F24" s="128" t="s">
        <v>8</v>
      </c>
      <c r="G24" s="75" t="s">
        <v>8</v>
      </c>
      <c r="H24" s="75">
        <f>3474/I36</f>
        <v>935.50558944545628</v>
      </c>
      <c r="I24" s="132">
        <f>3691/H36</f>
        <v>978.62975980739611</v>
      </c>
      <c r="J24" s="68">
        <v>9</v>
      </c>
      <c r="K24" s="58">
        <v>9</v>
      </c>
      <c r="L24" s="124">
        <v>9</v>
      </c>
      <c r="M24" s="65" t="str">
        <f>IFERROR(G24/J24,"-")</f>
        <v>-</v>
      </c>
      <c r="N24" s="66">
        <f>IFERROR(H24/K24,"-")</f>
        <v>103.94506549393958</v>
      </c>
      <c r="O24" s="77">
        <f>I24/L24</f>
        <v>108.73663997859957</v>
      </c>
      <c r="P24" s="63"/>
      <c r="Q24" s="71" t="s">
        <v>8</v>
      </c>
      <c r="R24" s="72" cm="1">
        <f t="array" ref="R24">H24/(_xll.ciqfunctions.udf.CIQ($B24,$R$2,"FY"&amp;R$4, , , , "USD")*1000)</f>
        <v>3.146991972996381E-4</v>
      </c>
      <c r="S24" s="78" cm="1">
        <f t="array" ref="S24">I24/(_xll.ciqfunctions.udf.CIQ($B24,$R$2,"FY"&amp;S$4, , , , "USD")*1000)</f>
        <v>2.4217783678194118E-4</v>
      </c>
      <c r="T24" s="71" t="s">
        <v>8</v>
      </c>
      <c r="U24" s="72" cm="1">
        <f t="array" ref="U24">H24/(_xll.ciqfunctions.udf.CIQ($B24,"IQ_EBITDA","FY"&amp;R$4, , , , "USD")*1000)</f>
        <v>3.1917913602612113E-3</v>
      </c>
      <c r="V24" s="78" cm="1">
        <f t="array" ref="V24">I24/(_xll.ciqfunctions.udf.CIQ($B24,"IQ_EBITDA","FY"&amp;S$4, , , , "USD")*1000)</f>
        <v>2.3824214481702063E-3</v>
      </c>
      <c r="W24" s="71" t="s">
        <v>8</v>
      </c>
      <c r="X24" s="72" cm="1">
        <f t="array" ref="X24">H24/(_xll.ciqfunctions.udf.CIQ($B24,"IQ_ni","FY"&amp;R$4, , , , "USD")*1000)</f>
        <v>1.844252549795421E-2</v>
      </c>
      <c r="Y24" s="78" cm="1">
        <f t="array" ref="Y24">I24/(_xll.ciqfunctions.udf.CIQ($B24,"IQ_ni","FY"&amp;S$4, , , , "USD")*1000)</f>
        <v>7.111987577345936E-3</v>
      </c>
    </row>
    <row r="25" spans="2:25" ht="16.5" x14ac:dyDescent="0.3">
      <c r="E25" s="60" t="s">
        <v>33</v>
      </c>
      <c r="F25" s="61"/>
      <c r="G25" s="60"/>
      <c r="H25" s="60"/>
      <c r="I25" s="62"/>
      <c r="J25" s="60"/>
      <c r="K25" s="61"/>
      <c r="L25" s="62"/>
      <c r="M25" s="60"/>
      <c r="N25" s="61"/>
      <c r="O25" s="62"/>
      <c r="P25" s="63"/>
      <c r="Q25" s="102"/>
      <c r="R25" s="103"/>
      <c r="S25" s="104"/>
      <c r="T25" s="102"/>
      <c r="U25" s="103"/>
      <c r="V25" s="104"/>
      <c r="W25" s="102"/>
      <c r="X25" s="103"/>
      <c r="Y25" s="104"/>
    </row>
    <row r="26" spans="2:25" ht="16.5" x14ac:dyDescent="0.3">
      <c r="B26" t="s">
        <v>49</v>
      </c>
      <c r="E26" s="64" t="s">
        <v>34</v>
      </c>
      <c r="F26" s="128" t="s">
        <v>21</v>
      </c>
      <c r="G26" s="75" t="s">
        <v>8</v>
      </c>
      <c r="H26" s="75">
        <f>7387/I36</f>
        <v>1989.2284943101859</v>
      </c>
      <c r="I26" s="132">
        <v>2060</v>
      </c>
      <c r="J26" s="68">
        <v>9</v>
      </c>
      <c r="K26" s="53">
        <v>9</v>
      </c>
      <c r="L26" s="124">
        <v>9</v>
      </c>
      <c r="M26" s="65" t="str">
        <f t="shared" ref="M26:N28" si="4">IFERROR(G26/J26,"-")</f>
        <v>-</v>
      </c>
      <c r="N26" s="66">
        <f t="shared" si="4"/>
        <v>221.02538825668731</v>
      </c>
      <c r="O26" s="77">
        <f>I26/L26</f>
        <v>228.88888888888889</v>
      </c>
      <c r="P26" s="63"/>
      <c r="Q26" s="71" t="s">
        <v>8</v>
      </c>
      <c r="R26" s="72" cm="1">
        <f t="array" ref="R26">H26/(_xll.ciqfunctions.udf.CIQ($B26,$Q$2,"FY"&amp;R$4, , , , "USD")*1000)</f>
        <v>3.9295699010852725E-4</v>
      </c>
      <c r="S26" s="78" cm="1">
        <f t="array" ref="S26">I26/(_xll.ciqfunctions.udf.CIQ($B26,$Q$2,"FY"&amp;S$4, , , , "USD")*1000)</f>
        <v>5.2272324244110788E-4</v>
      </c>
      <c r="T26" s="71" t="s">
        <v>8</v>
      </c>
      <c r="U26" s="72" t="s">
        <v>8</v>
      </c>
      <c r="V26" s="78" t="s">
        <v>8</v>
      </c>
      <c r="W26" s="71" t="s">
        <v>8</v>
      </c>
      <c r="X26" s="72" cm="1">
        <f t="array" ref="X26">H26/(_xll.ciqfunctions.udf.CIQ($B26,"IQ_ni","FY"&amp;R$4, , , , "USD")*1000)</f>
        <v>1.5182281965268837E-3</v>
      </c>
      <c r="Y26" s="78" cm="1">
        <f t="array" ref="Y26">I26/(_xll.ciqfunctions.udf.CIQ($B26,"IQ_ni","FY"&amp;S$4, , , , "USD")*1000)</f>
        <v>1.6882644728910088E-3</v>
      </c>
    </row>
    <row r="27" spans="2:25" ht="16.5" x14ac:dyDescent="0.3">
      <c r="B27" t="s">
        <v>50</v>
      </c>
      <c r="E27" s="64" t="s">
        <v>35</v>
      </c>
      <c r="F27" s="128" t="s">
        <v>21</v>
      </c>
      <c r="G27" s="75">
        <f>2160/H36</f>
        <v>572.70124117691023</v>
      </c>
      <c r="H27" s="75">
        <f>2104/I36</f>
        <v>566.58139326230275</v>
      </c>
      <c r="I27" s="132">
        <v>1029</v>
      </c>
      <c r="J27" s="68">
        <v>7</v>
      </c>
      <c r="K27" s="69">
        <v>7</v>
      </c>
      <c r="L27" s="124">
        <v>7</v>
      </c>
      <c r="M27" s="65">
        <f t="shared" si="4"/>
        <v>81.814463025272886</v>
      </c>
      <c r="N27" s="66">
        <f t="shared" si="4"/>
        <v>80.940199037471828</v>
      </c>
      <c r="O27" s="77">
        <f>I27/L27</f>
        <v>147</v>
      </c>
      <c r="P27" s="63"/>
      <c r="Q27" s="71" cm="1">
        <f t="array" ref="Q27">G27/(_xll.ciqfunctions.udf.CIQ($B27,$Q$2,"FY"&amp;Q$4, , , , "USD")*1000)</f>
        <v>3.0728124218621505E-4</v>
      </c>
      <c r="R27" s="72" cm="1">
        <f t="array" ref="R27">H27/(_xll.ciqfunctions.udf.CIQ($B27,$Q$2,"FY"&amp;R$4, , , , "USD")*1000)</f>
        <v>2.9548856198095049E-4</v>
      </c>
      <c r="S27" s="78" cm="1">
        <f t="array" ref="S27">I27/(_xll.ciqfunctions.udf.CIQ($B27,$Q$2,"FY"&amp;S$4, , , , "USD")*1000)</f>
        <v>6.6758002080267575E-4</v>
      </c>
      <c r="T27" s="71" t="s">
        <v>8</v>
      </c>
      <c r="U27" s="72" t="s">
        <v>8</v>
      </c>
      <c r="V27" s="78" t="s">
        <v>8</v>
      </c>
      <c r="W27" s="71" cm="1">
        <f t="array" ref="W27">G27/(_xll.ciqfunctions.udf.CIQ($B27,"IQ_ni","FY"&amp;Q$4, , , , "USD")*1000)</f>
        <v>1.6614387917844576E-3</v>
      </c>
      <c r="X27" s="72" cm="1">
        <f t="array" ref="X27">H27/(_xll.ciqfunctions.udf.CIQ($B27,"IQ_ni","FY"&amp;R$4, , , , "USD")*1000)</f>
        <v>1.9613546214189612E-3</v>
      </c>
      <c r="Y27" s="78" cm="1">
        <f t="array" ref="Y27">I27/(_xll.ciqfunctions.udf.CIQ($B27,"IQ_ni","FY"&amp;S$4, , , , "USD")*1000)</f>
        <v>2.3498218360060025E-3</v>
      </c>
    </row>
    <row r="28" spans="2:25" ht="16.5" x14ac:dyDescent="0.3">
      <c r="B28" t="s">
        <v>48</v>
      </c>
      <c r="E28" s="92" t="s">
        <v>36</v>
      </c>
      <c r="F28" s="96" t="s">
        <v>21</v>
      </c>
      <c r="G28" s="94">
        <f>16000/H36</f>
        <v>4242.2314161252607</v>
      </c>
      <c r="H28" s="94">
        <f>15000/I36</f>
        <v>4039.3160166038697</v>
      </c>
      <c r="I28" s="98">
        <v>4460</v>
      </c>
      <c r="J28" s="96">
        <v>11</v>
      </c>
      <c r="K28" s="97">
        <v>11</v>
      </c>
      <c r="L28" s="126">
        <v>11</v>
      </c>
      <c r="M28" s="94">
        <f t="shared" si="4"/>
        <v>385.65740146593276</v>
      </c>
      <c r="N28" s="95">
        <f t="shared" si="4"/>
        <v>367.21054696398818</v>
      </c>
      <c r="O28" s="98">
        <f>I28/L28</f>
        <v>405.45454545454544</v>
      </c>
      <c r="P28" s="63"/>
      <c r="Q28" s="99" cm="1">
        <f t="array" ref="Q28">G28/(_xll.ciqfunctions.udf.CIQ($B28,$Q$2,"FY"&amp;Q$4, , , , "USD")*1000)</f>
        <v>1.9794175212686006E-3</v>
      </c>
      <c r="R28" s="100" cm="1">
        <f t="array" ref="R28">H28/(_xll.ciqfunctions.udf.CIQ($B28,$Q$2,"FY"&amp;R$4, , , , "USD")*1000)</f>
        <v>1.9773540217946938E-3</v>
      </c>
      <c r="S28" s="101" cm="1">
        <f t="array" ref="S28">I28/(_xll.ciqfunctions.udf.CIQ($B28,$Q$2,"FY"&amp;S$4, , , , "USD")*1000)</f>
        <v>2.9601156080451452E-3</v>
      </c>
      <c r="T28" s="99" t="s">
        <v>8</v>
      </c>
      <c r="U28" s="100" t="s">
        <v>8</v>
      </c>
      <c r="V28" s="101" t="s">
        <v>8</v>
      </c>
      <c r="W28" s="99" cm="1">
        <f t="array" ref="W28">G28/(_xll.ciqfunctions.udf.CIQ($B28,"IQ_ni","FY"&amp;Q$4, , , , "USD")*1000)</f>
        <v>8.4981080744234629E-3</v>
      </c>
      <c r="X28" s="100" cm="1">
        <f t="array" ref="X28">H28/(_xll.ciqfunctions.udf.CIQ($B28,"IQ_ni","FY"&amp;R$4, , , , "USD")*1000)</f>
        <v>8.005396742512022E-3</v>
      </c>
      <c r="Y28" s="101" cm="1">
        <f t="array" ref="Y28">I28/(_xll.ciqfunctions.udf.CIQ($B28,"IQ_ni","FY"&amp;S$4, , , , "USD")*1000)</f>
        <v>8.8401231226977774E-3</v>
      </c>
    </row>
    <row r="29" spans="2:25" ht="16.5" x14ac:dyDescent="0.3">
      <c r="E29" s="60" t="s">
        <v>67</v>
      </c>
      <c r="F29" s="61"/>
      <c r="G29" s="60"/>
      <c r="H29" s="60"/>
      <c r="I29" s="62"/>
      <c r="J29" s="60"/>
      <c r="K29" s="61"/>
      <c r="L29" s="62"/>
      <c r="M29" s="60"/>
      <c r="N29" s="61"/>
      <c r="O29" s="62"/>
      <c r="P29" s="63"/>
      <c r="Q29" s="102"/>
      <c r="R29" s="103"/>
      <c r="S29" s="104"/>
      <c r="T29" s="102"/>
      <c r="U29" s="103"/>
      <c r="V29" s="104"/>
      <c r="W29" s="102"/>
      <c r="X29" s="103"/>
      <c r="Y29" s="104"/>
    </row>
    <row r="30" spans="2:25" ht="16.5" x14ac:dyDescent="0.3">
      <c r="B30" t="s">
        <v>66</v>
      </c>
      <c r="E30" s="56" t="s">
        <v>43</v>
      </c>
      <c r="F30" s="130" t="s">
        <v>21</v>
      </c>
      <c r="G30" s="107">
        <f>3594/H36</f>
        <v>952.91123184713672</v>
      </c>
      <c r="H30" s="107">
        <f>4326/I36</f>
        <v>1164.9387391885562</v>
      </c>
      <c r="I30" s="134">
        <f>4942/J36</f>
        <v>1297.4193374991116</v>
      </c>
      <c r="J30" s="50">
        <v>10</v>
      </c>
      <c r="K30" s="51">
        <v>10</v>
      </c>
      <c r="L30" s="52">
        <v>10</v>
      </c>
      <c r="M30" s="109">
        <f t="shared" ref="M30:N30" si="5">IFERROR(G30/J30,"-")</f>
        <v>95.291123184713669</v>
      </c>
      <c r="N30" s="110">
        <f t="shared" si="5"/>
        <v>116.49387391885561</v>
      </c>
      <c r="O30" s="111">
        <f>I30/L30</f>
        <v>129.74193374991117</v>
      </c>
      <c r="P30" s="112"/>
      <c r="Q30" s="113" cm="1">
        <f t="array" ref="Q30">G30/(_xll.ciqfunctions.udf.CIQ($B30,$R$2,"FY"&amp;Q$4, , , , "USD")*1000)</f>
        <v>4.9414289249614142E-3</v>
      </c>
      <c r="R30" s="114" cm="1">
        <f t="array" ref="R30">H30/(_xll.ciqfunctions.udf.CIQ($B30,$R$2,"FY"&amp;R$4, , , , "USD")*1000)</f>
        <v>6.1307612210726985E-3</v>
      </c>
      <c r="S30" s="115" cm="1">
        <f t="array" ref="S30">I30/(_xll.ciqfunctions.udf.CIQ($B30,$R$2,"FY"&amp;S$4, , , , "USD")*1000)</f>
        <v>6.1965077391628719E-3</v>
      </c>
      <c r="T30" s="113" cm="1">
        <f t="array" ref="T30">G30/(_xll.ciqfunctions.udf.CIQ($B30,"IQ_EBITDA","FY"&amp;Q$4, , , , "USD")*1000)</f>
        <v>0.14304475508954065</v>
      </c>
      <c r="U30" s="114" cm="1">
        <f t="array" ref="U30">H30/(_xll.ciqfunctions.udf.CIQ($B30,"IQ_EBITDA","FY"&amp;R$4, , , , "USD")*1000)</f>
        <v>6.8876592622222843E-2</v>
      </c>
      <c r="V30" s="115" cm="1">
        <f t="array" ref="V30">I30/(_xll.ciqfunctions.udf.CIQ($B30,"IQ_EBITDA","FY"&amp;S$4, , , , "USD")*1000)</f>
        <v>4.3875060997705218E-2</v>
      </c>
      <c r="W30" s="113" cm="1">
        <f t="array" ref="W30">G30/(_xll.ciqfunctions.udf.CIQ($B30,"IQ_ni","FY"&amp;Q$4, , , , "USD")*1000)</f>
        <v>-0.29473517196975563</v>
      </c>
      <c r="X30" s="114" cm="1">
        <f t="array" ref="X30">H30/(_xll.ciqfunctions.udf.CIQ($B30,"IQ_ni","FY"&amp;R$4, , , , "USD")*1000)</f>
        <v>-6.0212949989536156E-2</v>
      </c>
      <c r="Y30" s="115" cm="1">
        <f t="array" ref="Y30">I30/(_xll.ciqfunctions.udf.CIQ($B30,"IQ_ni","FY"&amp;S$4, , , , "USD")*1000)</f>
        <v>0.2942714627389727</v>
      </c>
    </row>
    <row r="31" spans="2:25" ht="4.5" customHeight="1" x14ac:dyDescent="0.25">
      <c r="F31" t="s">
        <v>29</v>
      </c>
    </row>
    <row r="32" spans="2:25" x14ac:dyDescent="0.25">
      <c r="G32" t="s">
        <v>39</v>
      </c>
      <c r="H32" t="s">
        <v>39</v>
      </c>
    </row>
    <row r="33" spans="7:14" x14ac:dyDescent="0.25">
      <c r="J33" s="42"/>
    </row>
    <row r="35" spans="7:14" x14ac:dyDescent="0.25">
      <c r="H35">
        <v>2024</v>
      </c>
      <c r="I35">
        <v>2023</v>
      </c>
      <c r="J35">
        <v>2022</v>
      </c>
    </row>
    <row r="36" spans="7:14" x14ac:dyDescent="0.25">
      <c r="G36" t="s">
        <v>29</v>
      </c>
      <c r="H36">
        <f>1/H37</f>
        <v>3.7715999978647949</v>
      </c>
      <c r="I36">
        <f>1/I37</f>
        <v>3.7134999931526846</v>
      </c>
      <c r="J36">
        <f>1/J37</f>
        <v>3.8091000011809091</v>
      </c>
      <c r="N36" t="str">
        <f>"$USDPEN"</f>
        <v>$USDPEN</v>
      </c>
    </row>
    <row r="37" spans="7:14" x14ac:dyDescent="0.25">
      <c r="H37" cm="1">
        <f t="array" ref="H37">(_xll.ciqfunctions.udf.CIQ($B24,$R$2,"FY"&amp;Q$4, , , ,"USD"))/(_xll.ciqfunctions.udf.CIQ($B24,$R$2,"FY"&amp;Q$4, , , ,))</f>
        <v>0.2651394635078288</v>
      </c>
      <c r="I37" cm="1">
        <f t="array" ref="I37">(_xll.ciqfunctions.udf.CIQ($B24,$R$2,"FY"&amp;R$4, , , ,"USD"))/(_xll.ciqfunctions.udf.CIQ($B24,$R$2,"FY"&amp;R$4, , , ,))</f>
        <v>0.269287734440258</v>
      </c>
      <c r="J37" cm="1">
        <f t="array" ref="J37">(_xll.ciqfunctions.udf.CIQ($B24,$R$2,"FY"&amp;S$4, , , ,"USD"))/(_xll.ciqfunctions.udf.CIQ($B24,$R$2,"FY"&amp;S$4, , , ,))</f>
        <v>0.26252920629281901</v>
      </c>
    </row>
  </sheetData>
  <mergeCells count="6">
    <mergeCell ref="H3:I3"/>
    <mergeCell ref="J3:L3"/>
    <mergeCell ref="M3:O3"/>
    <mergeCell ref="Q3:S3"/>
    <mergeCell ref="T3:V3"/>
    <mergeCell ref="W3:Y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E7A3-DEBD-4474-9309-2DB232B74D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Buenaventura</vt:lpstr>
      <vt:lpstr>Cerro Verde</vt:lpstr>
      <vt:lpstr>Minsur</vt:lpstr>
      <vt:lpstr>Volcan</vt:lpstr>
      <vt:lpstr>Nexa Pe</vt:lpstr>
      <vt:lpstr>Nexa US</vt:lpstr>
      <vt:lpstr>HOC</vt:lpstr>
      <vt:lpstr>Orygen</vt:lpstr>
      <vt:lpstr>Pluzen</vt:lpstr>
      <vt:lpstr>Engie</vt:lpstr>
      <vt:lpstr>Ferrey</vt:lpstr>
      <vt:lpstr>Aenza</vt:lpstr>
      <vt:lpstr>Unacem</vt:lpstr>
      <vt:lpstr>Pacasmayo</vt:lpstr>
      <vt:lpstr>Inretail</vt:lpstr>
      <vt:lpstr>Alicorp</vt:lpstr>
      <vt:lpstr>BAP</vt:lpstr>
      <vt:lpstr>IFS</vt:lpstr>
      <vt:lpstr>BBVA</vt:lpstr>
      <vt:lpstr>El Comercio</vt:lpstr>
      <vt:lpstr>Consolidado</vt:lpstr>
      <vt:lpstr>Consolidado (usd)</vt:lpstr>
      <vt:lpstr>Consolidado (usd) Power BI</vt:lpstr>
      <vt:lpstr>Consolidado (usd) (Orygen)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José Sosa Tovar</dc:creator>
  <cp:lastModifiedBy>Franco Olivares Untiveros</cp:lastModifiedBy>
  <dcterms:created xsi:type="dcterms:W3CDTF">2025-03-19T16:41:11Z</dcterms:created>
  <dcterms:modified xsi:type="dcterms:W3CDTF">2026-06-17T21:03:29Z</dcterms:modified>
</cp:coreProperties>
</file>