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lanillas\Compartidas\"/>
    </mc:Choice>
  </mc:AlternateContent>
  <xr:revisionPtr revIDLastSave="0" documentId="8_{E6898C45-6D7E-4FC1-B2BB-09F428036E2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etup" sheetId="1" r:id="rId1"/>
    <sheet name="Ingresos" sheetId="2" r:id="rId2"/>
    <sheet name="Gastos" sheetId="3" r:id="rId3"/>
    <sheet name="Resumen" sheetId="4" r:id="rId4"/>
  </sheets>
  <definedNames>
    <definedName name="StartingBalance">Setup!$C$14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4" l="1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D39" i="4"/>
  <c r="D38" i="4"/>
  <c r="D37" i="4"/>
  <c r="D36" i="4"/>
  <c r="D35" i="4"/>
  <c r="D34" i="4"/>
  <c r="D33" i="4"/>
  <c r="D32" i="4"/>
  <c r="C31" i="4"/>
  <c r="C30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L24" i="4"/>
  <c r="F24" i="4"/>
  <c r="E24" i="4"/>
  <c r="O23" i="4"/>
  <c r="N23" i="4"/>
  <c r="N24" i="4" s="1"/>
  <c r="M23" i="4"/>
  <c r="L23" i="4"/>
  <c r="K23" i="4"/>
  <c r="J23" i="4"/>
  <c r="I23" i="4"/>
  <c r="H23" i="4"/>
  <c r="H24" i="4" s="1"/>
  <c r="G23" i="4"/>
  <c r="F23" i="4"/>
  <c r="E23" i="4"/>
  <c r="O22" i="4"/>
  <c r="O24" i="4" s="1"/>
  <c r="N22" i="4"/>
  <c r="M22" i="4"/>
  <c r="M24" i="4" s="1"/>
  <c r="L22" i="4"/>
  <c r="K22" i="4"/>
  <c r="K24" i="4" s="1"/>
  <c r="J22" i="4"/>
  <c r="J24" i="4" s="1"/>
  <c r="I22" i="4"/>
  <c r="I24" i="4" s="1"/>
  <c r="H22" i="4"/>
  <c r="G22" i="4"/>
  <c r="G24" i="4" s="1"/>
  <c r="F22" i="4"/>
  <c r="E22" i="4"/>
  <c r="O21" i="4"/>
  <c r="N21" i="4"/>
  <c r="M21" i="4"/>
  <c r="L21" i="4"/>
  <c r="K21" i="4"/>
  <c r="J21" i="4"/>
  <c r="I21" i="4"/>
  <c r="H21" i="4"/>
  <c r="G21" i="4"/>
  <c r="F21" i="4"/>
  <c r="E21" i="4"/>
  <c r="D21" i="4"/>
  <c r="P141" i="3"/>
  <c r="P140" i="3"/>
  <c r="Q139" i="3"/>
  <c r="P139" i="3"/>
  <c r="Q138" i="3"/>
  <c r="P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P137" i="3" s="1"/>
  <c r="Q134" i="3"/>
  <c r="Q133" i="3"/>
  <c r="Q132" i="3"/>
  <c r="Q131" i="3"/>
  <c r="Q130" i="3"/>
  <c r="Q129" i="3"/>
  <c r="Q128" i="3"/>
  <c r="Q127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P126" i="3" s="1"/>
  <c r="Q123" i="3"/>
  <c r="P123" i="3"/>
  <c r="Q122" i="3"/>
  <c r="P122" i="3"/>
  <c r="Q121" i="3"/>
  <c r="P121" i="3"/>
  <c r="Q120" i="3"/>
  <c r="P120" i="3"/>
  <c r="Q119" i="3"/>
  <c r="P119" i="3"/>
  <c r="Q118" i="3"/>
  <c r="P118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P117" i="3" s="1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P107" i="3" s="1"/>
  <c r="Q104" i="3"/>
  <c r="P104" i="3"/>
  <c r="Q103" i="3"/>
  <c r="P103" i="3"/>
  <c r="Q102" i="3"/>
  <c r="P102" i="3"/>
  <c r="Q101" i="3"/>
  <c r="P101" i="3"/>
  <c r="Q100" i="3"/>
  <c r="P100" i="3"/>
  <c r="O99" i="3"/>
  <c r="N99" i="3"/>
  <c r="M99" i="3"/>
  <c r="L99" i="3"/>
  <c r="K99" i="3"/>
  <c r="P99" i="3" s="1"/>
  <c r="J99" i="3"/>
  <c r="I99" i="3"/>
  <c r="H99" i="3"/>
  <c r="G99" i="3"/>
  <c r="F99" i="3"/>
  <c r="E99" i="3"/>
  <c r="D99" i="3"/>
  <c r="Q96" i="3"/>
  <c r="P96" i="3"/>
  <c r="Q95" i="3"/>
  <c r="P95" i="3"/>
  <c r="Q94" i="3"/>
  <c r="P94" i="3"/>
  <c r="Q93" i="3"/>
  <c r="P93" i="3"/>
  <c r="Q92" i="3"/>
  <c r="P92" i="3"/>
  <c r="O91" i="3"/>
  <c r="N91" i="3"/>
  <c r="M91" i="3"/>
  <c r="L91" i="3"/>
  <c r="K91" i="3"/>
  <c r="J91" i="3"/>
  <c r="I91" i="3"/>
  <c r="H91" i="3"/>
  <c r="G91" i="3"/>
  <c r="F91" i="3"/>
  <c r="E91" i="3"/>
  <c r="D91" i="3"/>
  <c r="P91" i="3" s="1"/>
  <c r="Q90" i="3"/>
  <c r="P90" i="3"/>
  <c r="M89" i="3"/>
  <c r="M82" i="3" s="1"/>
  <c r="P82" i="3" s="1"/>
  <c r="Q88" i="3"/>
  <c r="P88" i="3"/>
  <c r="Q87" i="3"/>
  <c r="P87" i="3"/>
  <c r="Q86" i="3"/>
  <c r="P86" i="3"/>
  <c r="Q85" i="3"/>
  <c r="P85" i="3"/>
  <c r="Q84" i="3"/>
  <c r="P84" i="3"/>
  <c r="Q83" i="3"/>
  <c r="P83" i="3"/>
  <c r="O82" i="3"/>
  <c r="N82" i="3"/>
  <c r="L82" i="3"/>
  <c r="K82" i="3"/>
  <c r="J82" i="3"/>
  <c r="I82" i="3"/>
  <c r="H82" i="3"/>
  <c r="G82" i="3"/>
  <c r="F82" i="3"/>
  <c r="E82" i="3"/>
  <c r="D82" i="3"/>
  <c r="O79" i="3"/>
  <c r="N79" i="3"/>
  <c r="M79" i="3"/>
  <c r="L79" i="3"/>
  <c r="K79" i="3"/>
  <c r="J79" i="3"/>
  <c r="I79" i="3"/>
  <c r="H79" i="3"/>
  <c r="G79" i="3"/>
  <c r="F79" i="3"/>
  <c r="E79" i="3"/>
  <c r="D79" i="3"/>
  <c r="O78" i="3"/>
  <c r="N78" i="3"/>
  <c r="M78" i="3"/>
  <c r="L78" i="3"/>
  <c r="K78" i="3"/>
  <c r="J78" i="3"/>
  <c r="I78" i="3"/>
  <c r="H78" i="3"/>
  <c r="G78" i="3"/>
  <c r="F78" i="3"/>
  <c r="E78" i="3"/>
  <c r="D78" i="3"/>
  <c r="O77" i="3"/>
  <c r="N77" i="3"/>
  <c r="M77" i="3"/>
  <c r="L77" i="3"/>
  <c r="K77" i="3"/>
  <c r="J77" i="3"/>
  <c r="I77" i="3"/>
  <c r="H77" i="3"/>
  <c r="G77" i="3"/>
  <c r="F77" i="3"/>
  <c r="E77" i="3"/>
  <c r="D77" i="3"/>
  <c r="O76" i="3"/>
  <c r="N76" i="3"/>
  <c r="M76" i="3"/>
  <c r="L76" i="3"/>
  <c r="K76" i="3"/>
  <c r="J76" i="3"/>
  <c r="I76" i="3"/>
  <c r="H76" i="3"/>
  <c r="G76" i="3"/>
  <c r="F76" i="3"/>
  <c r="E76" i="3"/>
  <c r="D76" i="3"/>
  <c r="O75" i="3"/>
  <c r="N75" i="3"/>
  <c r="M75" i="3"/>
  <c r="L75" i="3"/>
  <c r="K75" i="3"/>
  <c r="J75" i="3"/>
  <c r="I75" i="3"/>
  <c r="H75" i="3"/>
  <c r="G75" i="3"/>
  <c r="F75" i="3"/>
  <c r="E75" i="3"/>
  <c r="D75" i="3"/>
  <c r="O74" i="3"/>
  <c r="N74" i="3"/>
  <c r="M74" i="3"/>
  <c r="L74" i="3"/>
  <c r="K74" i="3"/>
  <c r="J74" i="3"/>
  <c r="I74" i="3"/>
  <c r="H74" i="3"/>
  <c r="G74" i="3"/>
  <c r="F74" i="3"/>
  <c r="E74" i="3"/>
  <c r="D74" i="3"/>
  <c r="O73" i="3"/>
  <c r="O70" i="3" s="1"/>
  <c r="N73" i="3"/>
  <c r="M73" i="3"/>
  <c r="M70" i="3" s="1"/>
  <c r="L73" i="3"/>
  <c r="L70" i="3" s="1"/>
  <c r="K73" i="3"/>
  <c r="J73" i="3"/>
  <c r="I73" i="3"/>
  <c r="I70" i="3" s="1"/>
  <c r="H73" i="3"/>
  <c r="G73" i="3"/>
  <c r="F73" i="3"/>
  <c r="F70" i="3" s="1"/>
  <c r="E73" i="3"/>
  <c r="E70" i="3" s="1"/>
  <c r="D73" i="3"/>
  <c r="Q72" i="3"/>
  <c r="P72" i="3"/>
  <c r="Q71" i="3"/>
  <c r="P71" i="3"/>
  <c r="K70" i="3"/>
  <c r="Q67" i="3"/>
  <c r="P67" i="3"/>
  <c r="Q66" i="3"/>
  <c r="P66" i="3"/>
  <c r="Q65" i="3"/>
  <c r="P65" i="3"/>
  <c r="Q64" i="3"/>
  <c r="P64" i="3"/>
  <c r="Q63" i="3"/>
  <c r="P63" i="3"/>
  <c r="O62" i="3"/>
  <c r="N62" i="3"/>
  <c r="M62" i="3"/>
  <c r="L62" i="3"/>
  <c r="K62" i="3"/>
  <c r="J62" i="3"/>
  <c r="I62" i="3"/>
  <c r="P62" i="3" s="1"/>
  <c r="H62" i="3"/>
  <c r="G62" i="3"/>
  <c r="F62" i="3"/>
  <c r="E62" i="3"/>
  <c r="D62" i="3"/>
  <c r="Q59" i="3"/>
  <c r="P59" i="3"/>
  <c r="Q58" i="3"/>
  <c r="P58" i="3"/>
  <c r="Q57" i="3"/>
  <c r="P57" i="3"/>
  <c r="O56" i="3"/>
  <c r="N56" i="3"/>
  <c r="M56" i="3"/>
  <c r="L56" i="3"/>
  <c r="K56" i="3"/>
  <c r="J56" i="3"/>
  <c r="I56" i="3"/>
  <c r="H56" i="3"/>
  <c r="G56" i="3"/>
  <c r="F56" i="3"/>
  <c r="E56" i="3"/>
  <c r="D56" i="3"/>
  <c r="P56" i="3" s="1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N45" i="3" s="1"/>
  <c r="M46" i="3"/>
  <c r="L46" i="3"/>
  <c r="L45" i="3" s="1"/>
  <c r="K46" i="3"/>
  <c r="J46" i="3"/>
  <c r="I46" i="3"/>
  <c r="H46" i="3"/>
  <c r="H45" i="3" s="1"/>
  <c r="G46" i="3"/>
  <c r="F46" i="3"/>
  <c r="F45" i="3" s="1"/>
  <c r="E46" i="3"/>
  <c r="D46" i="3"/>
  <c r="J45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O30" i="3"/>
  <c r="N30" i="3"/>
  <c r="M30" i="3"/>
  <c r="L30" i="3"/>
  <c r="K30" i="3"/>
  <c r="J30" i="3"/>
  <c r="I30" i="3"/>
  <c r="H30" i="3"/>
  <c r="G30" i="3"/>
  <c r="F30" i="3"/>
  <c r="E30" i="3"/>
  <c r="D30" i="3"/>
  <c r="P30" i="3" s="1"/>
  <c r="Q27" i="3"/>
  <c r="P27" i="3"/>
  <c r="Q26" i="3"/>
  <c r="P26" i="3"/>
  <c r="Q25" i="3"/>
  <c r="P25" i="3"/>
  <c r="Q24" i="3"/>
  <c r="P24" i="3"/>
  <c r="O23" i="3"/>
  <c r="N23" i="3"/>
  <c r="M23" i="3"/>
  <c r="L23" i="3"/>
  <c r="K23" i="3"/>
  <c r="J23" i="3"/>
  <c r="I23" i="3"/>
  <c r="H23" i="3"/>
  <c r="G23" i="3"/>
  <c r="F23" i="3"/>
  <c r="E23" i="3"/>
  <c r="D23" i="3"/>
  <c r="P23" i="3" s="1"/>
  <c r="Q20" i="3"/>
  <c r="P20" i="3"/>
  <c r="Q19" i="3"/>
  <c r="P19" i="3"/>
  <c r="Q18" i="3"/>
  <c r="P18" i="3"/>
  <c r="Q17" i="3"/>
  <c r="P17" i="3"/>
  <c r="Q16" i="3"/>
  <c r="P16" i="3"/>
  <c r="Q15" i="3"/>
  <c r="P15" i="3"/>
  <c r="O14" i="3"/>
  <c r="N14" i="3"/>
  <c r="M14" i="3"/>
  <c r="L14" i="3"/>
  <c r="K14" i="3"/>
  <c r="J14" i="3"/>
  <c r="I14" i="3"/>
  <c r="H14" i="3"/>
  <c r="G14" i="3"/>
  <c r="F14" i="3"/>
  <c r="E14" i="3"/>
  <c r="D14" i="3"/>
  <c r="P14" i="3" s="1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O3" i="3"/>
  <c r="N3" i="3"/>
  <c r="M3" i="3"/>
  <c r="L3" i="3"/>
  <c r="K3" i="3"/>
  <c r="J3" i="3"/>
  <c r="I3" i="3"/>
  <c r="H3" i="3"/>
  <c r="G3" i="3"/>
  <c r="F3" i="3"/>
  <c r="E3" i="3"/>
  <c r="D3" i="3"/>
  <c r="P3" i="3" s="1"/>
  <c r="Q17" i="2"/>
  <c r="P17" i="2"/>
  <c r="Q16" i="2"/>
  <c r="P16" i="2"/>
  <c r="Q15" i="2"/>
  <c r="P15" i="2"/>
  <c r="Q14" i="2"/>
  <c r="P14" i="2"/>
  <c r="Q13" i="2"/>
  <c r="P13" i="2"/>
  <c r="Q12" i="2"/>
  <c r="P12" i="2"/>
  <c r="O11" i="2"/>
  <c r="N11" i="2"/>
  <c r="M11" i="2"/>
  <c r="L11" i="2"/>
  <c r="K11" i="2"/>
  <c r="J11" i="2"/>
  <c r="I11" i="2"/>
  <c r="H11" i="2"/>
  <c r="G11" i="2"/>
  <c r="F11" i="2"/>
  <c r="E11" i="2"/>
  <c r="D11" i="2"/>
  <c r="P11" i="2" s="1"/>
  <c r="Q8" i="2"/>
  <c r="P8" i="2"/>
  <c r="Q7" i="2"/>
  <c r="P7" i="2"/>
  <c r="Q6" i="2"/>
  <c r="P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J3" i="2" s="1"/>
  <c r="I4" i="2"/>
  <c r="I3" i="2" s="1"/>
  <c r="H4" i="2"/>
  <c r="G4" i="2"/>
  <c r="G3" i="2" s="1"/>
  <c r="F4" i="2"/>
  <c r="F3" i="2" s="1"/>
  <c r="E4" i="2"/>
  <c r="D4" i="2"/>
  <c r="O3" i="2"/>
  <c r="N3" i="2"/>
  <c r="M3" i="2"/>
  <c r="D31" i="4"/>
  <c r="D55" i="4"/>
  <c r="D49" i="4"/>
  <c r="D43" i="4"/>
  <c r="D54" i="4"/>
  <c r="D48" i="4"/>
  <c r="D53" i="4"/>
  <c r="D52" i="4"/>
  <c r="D46" i="4"/>
  <c r="D51" i="4"/>
  <c r="D45" i="4"/>
  <c r="D56" i="4"/>
  <c r="D44" i="4"/>
  <c r="G45" i="3" l="1"/>
  <c r="P73" i="3"/>
  <c r="P75" i="3"/>
  <c r="P76" i="3"/>
  <c r="Q77" i="3"/>
  <c r="P78" i="3"/>
  <c r="P79" i="3"/>
  <c r="H3" i="2"/>
  <c r="L3" i="2"/>
  <c r="D70" i="3"/>
  <c r="Q47" i="3"/>
  <c r="Q50" i="3"/>
  <c r="G70" i="3"/>
  <c r="P51" i="3"/>
  <c r="J70" i="3"/>
  <c r="K3" i="2"/>
  <c r="Q53" i="3"/>
  <c r="M45" i="3"/>
  <c r="Q49" i="3"/>
  <c r="I45" i="3"/>
  <c r="E3" i="2"/>
  <c r="P5" i="2"/>
  <c r="K45" i="3"/>
  <c r="N70" i="3"/>
  <c r="P70" i="3" s="1"/>
  <c r="Q4" i="2"/>
  <c r="Q76" i="3"/>
  <c r="Q75" i="3"/>
  <c r="Q78" i="3"/>
  <c r="O45" i="3"/>
  <c r="Q46" i="3"/>
  <c r="D45" i="3"/>
  <c r="Q52" i="3"/>
  <c r="E45" i="3"/>
  <c r="H70" i="3"/>
  <c r="P48" i="3"/>
  <c r="Q73" i="3"/>
  <c r="Q79" i="3"/>
  <c r="P49" i="3"/>
  <c r="D3" i="2"/>
  <c r="P89" i="3"/>
  <c r="Q74" i="3"/>
  <c r="P4" i="2"/>
  <c r="P50" i="3"/>
  <c r="Q89" i="3"/>
  <c r="Q48" i="3"/>
  <c r="Q51" i="3"/>
  <c r="Q5" i="2"/>
  <c r="P52" i="3"/>
  <c r="P74" i="3"/>
  <c r="P77" i="3"/>
  <c r="P46" i="3"/>
  <c r="P53" i="3"/>
  <c r="P47" i="3"/>
  <c r="D50" i="4"/>
  <c r="D47" i="4"/>
  <c r="D30" i="4"/>
  <c r="D23" i="4" l="1"/>
  <c r="P45" i="3"/>
  <c r="D22" i="4"/>
  <c r="P3" i="2"/>
  <c r="Q23" i="4"/>
  <c r="S23" i="4" s="1"/>
  <c r="P23" i="4"/>
  <c r="D25" i="4" l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D24" i="4"/>
  <c r="P22" i="4"/>
  <c r="Q22" i="4"/>
  <c r="Q24" i="4" l="1"/>
  <c r="P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" authorId="0" shapeId="0" xr:uid="{00000000-0006-0000-0300-000001000000}">
      <text>
        <r>
          <rPr>
            <sz val="10"/>
            <color rgb="FF000000"/>
            <rFont val="Arial"/>
          </rPr>
          <t>Total of Income - Expenses</t>
        </r>
      </text>
    </comment>
    <comment ref="C25" authorId="0" shapeId="0" xr:uid="{00000000-0006-0000-0300-000002000000}">
      <text>
        <r>
          <rPr>
            <sz val="10"/>
            <color rgb="FF000000"/>
            <rFont val="Arial"/>
          </rPr>
          <t>This total includes the 'Starting Balance' from the 'Setup' tab.</t>
        </r>
      </text>
    </comment>
    <comment ref="B30" authorId="0" shapeId="0" xr:uid="{00000000-0006-0000-0300-000003000000}">
      <text>
        <r>
          <rPr>
            <sz val="10"/>
            <color rgb="FF000000"/>
            <rFont val="Arial"/>
          </rPr>
          <t xml:space="preserve">This formula matches the categories in column C with their locations in the 'Income' tab, then displays the resulting row number. The formula in column D uses it to calculate the values in columns D:Q. </t>
        </r>
      </text>
    </comment>
    <comment ref="B43" authorId="0" shapeId="0" xr:uid="{00000000-0006-0000-0300-000004000000}">
      <text>
        <r>
          <rPr>
            <sz val="10"/>
            <color rgb="FF000000"/>
            <rFont val="Arial"/>
          </rPr>
          <t xml:space="preserve">This formula matches the categories in column C with their locations in the 'Expenses' tab, then displays the resulting row number. The formula in column D uses it to calculate the values in columns D:Q. </t>
        </r>
      </text>
    </comment>
  </commentList>
</comments>
</file>

<file path=xl/sharedStrings.xml><?xml version="1.0" encoding="utf-8"?>
<sst xmlns="http://schemas.openxmlformats.org/spreadsheetml/2006/main" count="188" uniqueCount="139">
  <si>
    <t>Seguime en Instagram</t>
  </si>
  <si>
    <t>Presupuesto creado por Luli Invierte</t>
  </si>
  <si>
    <t>Hace una copia de este archivo para poder editarlo</t>
  </si>
  <si>
    <t>Como usarlo</t>
  </si>
  <si>
    <t>1.</t>
  </si>
  <si>
    <t>Empeza poniendo cuanta plata tenias el 1 de enero del 2020, en la fila 14</t>
  </si>
  <si>
    <t>2.</t>
  </si>
  <si>
    <t>Rellena los gastos y los ingresos</t>
  </si>
  <si>
    <t>3.</t>
  </si>
  <si>
    <t>Cambia todos los nombres de las solapas, los cambios se van a ver directamente reflejados en el resumen.</t>
  </si>
  <si>
    <t>Configuracion</t>
  </si>
  <si>
    <t>Dinero al incio:</t>
  </si>
  <si>
    <t>Ingresos</t>
  </si>
  <si>
    <t>Total</t>
  </si>
  <si>
    <t>Average</t>
  </si>
  <si>
    <t>Salario</t>
  </si>
  <si>
    <t>Total Mensual</t>
  </si>
  <si>
    <t>Franca</t>
  </si>
  <si>
    <t>Nahue</t>
  </si>
  <si>
    <t>Comisiones</t>
  </si>
  <si>
    <t>Aguinaldo</t>
  </si>
  <si>
    <t>Otros</t>
  </si>
  <si>
    <t>Monthly totals:</t>
  </si>
  <si>
    <t>Alquileres</t>
  </si>
  <si>
    <t>Intereses</t>
  </si>
  <si>
    <t>Dividendos</t>
  </si>
  <si>
    <t>Regalos</t>
  </si>
  <si>
    <t>Reembolso</t>
  </si>
  <si>
    <t>Gastos</t>
  </si>
  <si>
    <t>Ene</t>
  </si>
  <si>
    <t>Abr</t>
  </si>
  <si>
    <t>Ago</t>
  </si>
  <si>
    <t>Dic</t>
  </si>
  <si>
    <t>Promedio</t>
  </si>
  <si>
    <t>Hijos</t>
  </si>
  <si>
    <t xml:space="preserve">Amazon </t>
  </si>
  <si>
    <t>Mensualidad</t>
  </si>
  <si>
    <t>Medicamentos</t>
  </si>
  <si>
    <t>Niñera</t>
  </si>
  <si>
    <t>Ropa</t>
  </si>
  <si>
    <t>Colegio</t>
  </si>
  <si>
    <t>Juguetes</t>
  </si>
  <si>
    <t>Deudas</t>
  </si>
  <si>
    <t>Intereses Tarjeta Credito</t>
  </si>
  <si>
    <t>Credito Personal</t>
  </si>
  <si>
    <t>Otras deudas</t>
  </si>
  <si>
    <t>Deuda Impuestos</t>
  </si>
  <si>
    <t>Impuestos</t>
  </si>
  <si>
    <t>Educacion</t>
  </si>
  <si>
    <t>Curso</t>
  </si>
  <si>
    <t>Libros</t>
  </si>
  <si>
    <t>Clase de Musica</t>
  </si>
  <si>
    <t>Curso Pilates</t>
  </si>
  <si>
    <t>Entretenimiento</t>
  </si>
  <si>
    <t>Recitales/shows</t>
  </si>
  <si>
    <t>Jugeos</t>
  </si>
  <si>
    <t>Hobbies</t>
  </si>
  <si>
    <t>Cine</t>
  </si>
  <si>
    <t>Musica</t>
  </si>
  <si>
    <t>Actividades al aire libre</t>
  </si>
  <si>
    <t>Fotografia</t>
  </si>
  <si>
    <t>Deporte</t>
  </si>
  <si>
    <t>Teatro</t>
  </si>
  <si>
    <t>TV</t>
  </si>
  <si>
    <t>Otro</t>
  </si>
  <si>
    <t>Diario</t>
  </si>
  <si>
    <t>Comida</t>
  </si>
  <si>
    <t>Restaurant/Salidas</t>
  </si>
  <si>
    <t>Salud/Medicos</t>
  </si>
  <si>
    <t>Vivienda</t>
  </si>
  <si>
    <t>Transporte</t>
  </si>
  <si>
    <t>Gastos Personales</t>
  </si>
  <si>
    <t>Mascotas</t>
  </si>
  <si>
    <t>Suministros</t>
  </si>
  <si>
    <t>Donaciones</t>
  </si>
  <si>
    <t>Otras</t>
  </si>
  <si>
    <t>Salud</t>
  </si>
  <si>
    <t>Doctores</t>
  </si>
  <si>
    <t>Cuidado especial</t>
  </si>
  <si>
    <t>Farmacia</t>
  </si>
  <si>
    <t>Psicologos</t>
  </si>
  <si>
    <t>Hogar</t>
  </si>
  <si>
    <t>Alquiler/Hipotecario</t>
  </si>
  <si>
    <t>Fianza</t>
  </si>
  <si>
    <t>Viajes</t>
  </si>
  <si>
    <t>Tramites</t>
  </si>
  <si>
    <t>Carnes</t>
  </si>
  <si>
    <t>Gimnasio</t>
  </si>
  <si>
    <t>Alquiler Pilates</t>
  </si>
  <si>
    <t>Frutas/Verduras</t>
  </si>
  <si>
    <t>Orange/Lowi</t>
  </si>
  <si>
    <t>Pilates</t>
  </si>
  <si>
    <t>Alquiler</t>
  </si>
  <si>
    <t>Compras</t>
  </si>
  <si>
    <t>Gestor</t>
  </si>
  <si>
    <t>Autonomo</t>
  </si>
  <si>
    <t>IVA</t>
  </si>
  <si>
    <t>IRPF</t>
  </si>
  <si>
    <t>Impuesto</t>
  </si>
  <si>
    <t>Seguro</t>
  </si>
  <si>
    <t>Veterinario</t>
  </si>
  <si>
    <t>Juguete</t>
  </si>
  <si>
    <t>cosas</t>
  </si>
  <si>
    <t>Other</t>
  </si>
  <si>
    <t>Préstamo</t>
  </si>
  <si>
    <t>Tecnologia</t>
  </si>
  <si>
    <t>Domains &amp; hosting</t>
  </si>
  <si>
    <t>Servicios Online</t>
  </si>
  <si>
    <t>Hardware</t>
  </si>
  <si>
    <t>Software</t>
  </si>
  <si>
    <t>Nafta</t>
  </si>
  <si>
    <t>Pago de cuota del auto</t>
  </si>
  <si>
    <t>Taller</t>
  </si>
  <si>
    <t>Licencia</t>
  </si>
  <si>
    <t>Cosas para el auto</t>
  </si>
  <si>
    <t>Peajes</t>
  </si>
  <si>
    <t>Transporte Publico</t>
  </si>
  <si>
    <t>Avion</t>
  </si>
  <si>
    <t>Hotels</t>
  </si>
  <si>
    <t>Servicios</t>
  </si>
  <si>
    <t>Telefono</t>
  </si>
  <si>
    <t>Internet</t>
  </si>
  <si>
    <t>Electricidad</t>
  </si>
  <si>
    <t>Gas</t>
  </si>
  <si>
    <t>Agua</t>
  </si>
  <si>
    <t>Rentas/ABL</t>
  </si>
  <si>
    <t>Bicicleta</t>
  </si>
  <si>
    <t>Consulado Cádiz</t>
  </si>
  <si>
    <t>Correo Legalización</t>
  </si>
  <si>
    <t>Sobre esta Hoja</t>
  </si>
  <si>
    <t>NOTA</t>
  </si>
  <si>
    <t>Esta hoja genera un resumen de gastos e ingresos</t>
  </si>
  <si>
    <t>Por favor no edites esta hoja</t>
  </si>
  <si>
    <t>Asegurate de poner la cantidad de plata con la que incias el año en la hoja de setup</t>
  </si>
  <si>
    <t>Contiene formulas que se actualizan solas</t>
  </si>
  <si>
    <t>Resumen</t>
  </si>
  <si>
    <t>Ahorro</t>
  </si>
  <si>
    <t>Balance Acumulado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</si>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</sst>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]#,##0.00"/>
    <numFmt numFmtId="165" formatCode="&quot;$&quot;#,##0"/>
    <numFmt numFmtId="166" formatCode="mmm"/>
    <numFmt numFmtId="167" formatCode="mmm&quot; '&quot;yy"/>
    <numFmt numFmtId="168" formatCode="#,##0.00\ [$€-803]"/>
  </numFmts>
  <fonts count="53" x14ac:knownFonts="1">
    <font>
      <sz val="10"/>
      <color rgb="FF000000"/>
      <name val="Arial"/>
    </font>
    <font>
      <b/>
      <sz val="10"/>
      <color rgb="FF576475"/>
      <name val="Lato"/>
    </font>
    <font>
      <sz val="10"/>
      <name val="Lato"/>
    </font>
    <font>
      <b/>
      <sz val="18"/>
      <color rgb="FF576475"/>
      <name val="Lato"/>
    </font>
    <font>
      <b/>
      <sz val="21"/>
      <color rgb="FFFF00FF"/>
      <name val="Raleway"/>
    </font>
    <font>
      <b/>
      <sz val="21"/>
      <color rgb="FFF46524"/>
      <name val="Raleway"/>
    </font>
    <font>
      <i/>
      <sz val="10"/>
      <color rgb="FF576475"/>
      <name val="Lato"/>
    </font>
    <font>
      <sz val="10"/>
      <color rgb="FF576475"/>
      <name val="Lato"/>
    </font>
    <font>
      <b/>
      <sz val="12"/>
      <color rgb="FF576475"/>
      <name val="Lato"/>
    </font>
    <font>
      <b/>
      <sz val="12"/>
      <color rgb="FF334960"/>
      <name val="Lato"/>
    </font>
    <font>
      <sz val="10"/>
      <color rgb="FF576475"/>
      <name val="Lato"/>
    </font>
    <font>
      <b/>
      <i/>
      <sz val="11"/>
      <color rgb="FF334960"/>
      <name val="Lato"/>
    </font>
    <font>
      <sz val="10"/>
      <color rgb="FF334960"/>
      <name val="Lato"/>
    </font>
    <font>
      <b/>
      <i/>
      <sz val="9"/>
      <color rgb="FF334960"/>
      <name val="Lato"/>
    </font>
    <font>
      <b/>
      <sz val="18"/>
      <color rgb="FFF46524"/>
      <name val="Raleway"/>
    </font>
    <font>
      <b/>
      <sz val="11"/>
      <color rgb="FF000000"/>
      <name val="Lato"/>
    </font>
    <font>
      <b/>
      <i/>
      <sz val="9"/>
      <color rgb="FF000000"/>
      <name val="Lato"/>
    </font>
    <font>
      <b/>
      <i/>
      <sz val="9"/>
      <color rgb="FF576475"/>
      <name val="Lato"/>
    </font>
    <font>
      <b/>
      <i/>
      <sz val="11"/>
      <color rgb="FF000000"/>
      <name val="Lato"/>
    </font>
    <font>
      <b/>
      <i/>
      <sz val="11"/>
      <color rgb="FF556376"/>
      <name val="Lato"/>
    </font>
    <font>
      <b/>
      <i/>
      <sz val="10"/>
      <color rgb="FFFFFFFF"/>
      <name val="Lato"/>
    </font>
    <font>
      <sz val="10"/>
      <color rgb="FFFFFFFF"/>
      <name val="Lato"/>
    </font>
    <font>
      <b/>
      <sz val="10"/>
      <color rgb="FFFFFFFF"/>
      <name val="Lato"/>
    </font>
    <font>
      <sz val="9"/>
      <color rgb="FFD9D9D9"/>
      <name val="Lato"/>
    </font>
    <font>
      <sz val="10"/>
      <name val="Arial"/>
    </font>
    <font>
      <sz val="9"/>
      <color rgb="FF000000"/>
      <name val="Lato"/>
    </font>
    <font>
      <i/>
      <sz val="9"/>
      <color rgb="FF000000"/>
      <name val="Lato"/>
    </font>
    <font>
      <i/>
      <sz val="9"/>
      <color rgb="FF334960"/>
      <name val="Lato"/>
    </font>
    <font>
      <sz val="10"/>
      <color rgb="FF000000"/>
      <name val="Lato"/>
    </font>
    <font>
      <sz val="9"/>
      <color rgb="FF576475"/>
      <name val="Lato"/>
    </font>
    <font>
      <i/>
      <sz val="9"/>
      <color rgb="FF6C7687"/>
      <name val="Lato"/>
    </font>
    <font>
      <i/>
      <sz val="9"/>
      <color rgb="FFA7B0BF"/>
      <name val="Lato"/>
    </font>
    <font>
      <sz val="9"/>
      <color rgb="FF334960"/>
      <name val="Lato"/>
    </font>
    <font>
      <sz val="9"/>
      <color rgb="FFFFFFFF"/>
      <name val="Lato"/>
      <family val="2"/>
    </font>
    <font>
      <sz val="9"/>
      <color rgb="FFB7B7B7"/>
      <name val="Lato"/>
      <family val="2"/>
    </font>
    <font>
      <sz val="9"/>
      <name val="Lato"/>
      <family val="2"/>
    </font>
    <font>
      <i/>
      <sz val="9"/>
      <name val="Lato"/>
      <family val="2"/>
    </font>
    <font>
      <sz val="9"/>
      <color rgb="FF000000"/>
      <name val="Arial"/>
      <family val="2"/>
    </font>
    <font>
      <b/>
      <sz val="9"/>
      <name val="Lato"/>
      <family val="2"/>
    </font>
    <font>
      <b/>
      <sz val="9"/>
      <color rgb="FF222222"/>
      <name val="Lato"/>
      <family val="2"/>
    </font>
    <font>
      <sz val="9"/>
      <color rgb="FF434343"/>
      <name val="Lato"/>
      <family val="2"/>
    </font>
    <font>
      <b/>
      <sz val="9"/>
      <color rgb="FFF46524"/>
      <name val="Raleway"/>
    </font>
    <font>
      <b/>
      <sz val="9"/>
      <color rgb="FFF46524"/>
      <name val="Lato"/>
      <family val="2"/>
    </font>
    <font>
      <b/>
      <sz val="9"/>
      <color rgb="FFFFFFFF"/>
      <name val="Lato"/>
      <family val="2"/>
    </font>
    <font>
      <b/>
      <i/>
      <sz val="9"/>
      <color rgb="FFB7B7B7"/>
      <name val="Lato"/>
      <family val="2"/>
    </font>
    <font>
      <b/>
      <sz val="9"/>
      <color rgb="FF334960"/>
      <name val="Lato"/>
      <family val="2"/>
    </font>
    <font>
      <b/>
      <i/>
      <sz val="9"/>
      <color rgb="FF666666"/>
      <name val="Lato"/>
      <family val="2"/>
    </font>
    <font>
      <sz val="9"/>
      <color rgb="FF000000"/>
      <name val="Lato"/>
      <family val="2"/>
    </font>
    <font>
      <i/>
      <sz val="9"/>
      <color rgb="FF000000"/>
      <name val="Lato"/>
      <family val="2"/>
    </font>
    <font>
      <sz val="9"/>
      <color rgb="FF334960"/>
      <name val="Lato"/>
      <family val="2"/>
    </font>
    <font>
      <i/>
      <sz val="9"/>
      <color rgb="FF6C7687"/>
      <name val="Lato"/>
      <family val="2"/>
    </font>
    <font>
      <sz val="9"/>
      <color rgb="FF576475"/>
      <name val="Lato"/>
      <family val="2"/>
    </font>
    <font>
      <b/>
      <sz val="9"/>
      <color rgb="FF576475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6C7687"/>
        <bgColor rgb="FF6C7687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24">
    <border>
      <left/>
      <right/>
      <top/>
      <bottom/>
      <diagonal/>
    </border>
    <border>
      <left/>
      <right/>
      <top/>
      <bottom style="dotted">
        <color rgb="FFA7B0BF"/>
      </bottom>
      <diagonal/>
    </border>
    <border>
      <left style="thin">
        <color rgb="FF334960"/>
      </left>
      <right style="thin">
        <color rgb="FF334960"/>
      </right>
      <top style="thin">
        <color rgb="FF334960"/>
      </top>
      <bottom style="thin">
        <color rgb="FF334960"/>
      </bottom>
      <diagonal/>
    </border>
    <border>
      <left style="thin">
        <color rgb="FFFFFFFF"/>
      </left>
      <right style="thin">
        <color rgb="FFFFFFFF"/>
      </right>
      <top/>
      <bottom style="thin">
        <color rgb="FF6C76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FFFFFF"/>
      </left>
      <right style="thin">
        <color rgb="FFFFFFFF"/>
      </right>
      <top/>
      <bottom style="hair">
        <color rgb="FFFFFFFF"/>
      </bottom>
      <diagonal/>
    </border>
    <border>
      <left/>
      <right/>
      <top style="dotted">
        <color rgb="FFA7B0B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A7B0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B7B7B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7B0BF"/>
      </bottom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49" fontId="1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vertical="top"/>
    </xf>
    <xf numFmtId="0" fontId="7" fillId="0" borderId="0" xfId="0" applyFont="1"/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2" fillId="0" borderId="0" xfId="0" applyFont="1"/>
    <xf numFmtId="49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1" fillId="2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left" vertical="center"/>
    </xf>
    <xf numFmtId="165" fontId="12" fillId="2" borderId="2" xfId="0" applyNumberFormat="1" applyFont="1" applyFill="1" applyBorder="1" applyAlignment="1">
      <alignment horizontal="right" vertical="center"/>
    </xf>
    <xf numFmtId="165" fontId="13" fillId="2" borderId="2" xfId="0" applyNumberFormat="1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0" fontId="11" fillId="0" borderId="3" xfId="0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166" fontId="15" fillId="0" borderId="3" xfId="0" applyNumberFormat="1" applyFont="1" applyBorder="1" applyAlignment="1">
      <alignment horizontal="right"/>
    </xf>
    <xf numFmtId="165" fontId="16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20" fillId="4" borderId="0" xfId="0" applyFont="1" applyFill="1" applyAlignment="1">
      <alignment horizontal="left" vertical="center"/>
    </xf>
    <xf numFmtId="164" fontId="21" fillId="4" borderId="0" xfId="0" applyNumberFormat="1" applyFont="1" applyFill="1" applyAlignment="1">
      <alignment horizontal="right" vertical="center"/>
    </xf>
    <xf numFmtId="164" fontId="22" fillId="4" borderId="0" xfId="0" applyNumberFormat="1" applyFont="1" applyFill="1" applyAlignment="1">
      <alignment horizontal="right" vertical="center"/>
    </xf>
    <xf numFmtId="165" fontId="23" fillId="0" borderId="6" xfId="0" applyNumberFormat="1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24" fillId="0" borderId="0" xfId="0" applyFont="1" applyAlignment="1"/>
    <xf numFmtId="164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  <xf numFmtId="165" fontId="27" fillId="0" borderId="9" xfId="0" applyNumberFormat="1" applyFont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right" vertical="center"/>
    </xf>
    <xf numFmtId="165" fontId="30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65" fontId="31" fillId="0" borderId="0" xfId="0" applyNumberFormat="1" applyFont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65" fontId="29" fillId="0" borderId="0" xfId="0" applyNumberFormat="1" applyFont="1" applyAlignment="1">
      <alignment horizontal="right" vertical="center"/>
    </xf>
    <xf numFmtId="0" fontId="15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 vertical="center"/>
    </xf>
    <xf numFmtId="164" fontId="29" fillId="0" borderId="0" xfId="0" applyNumberFormat="1" applyFont="1" applyAlignment="1">
      <alignment horizontal="right" vertical="center"/>
    </xf>
    <xf numFmtId="164" fontId="29" fillId="0" borderId="0" xfId="0" applyNumberFormat="1" applyFont="1" applyAlignment="1">
      <alignment horizontal="right" vertical="center"/>
    </xf>
    <xf numFmtId="164" fontId="30" fillId="0" borderId="0" xfId="0" applyNumberFormat="1" applyFont="1" applyAlignment="1">
      <alignment horizontal="right" vertical="center"/>
    </xf>
    <xf numFmtId="164" fontId="24" fillId="0" borderId="0" xfId="0" applyNumberFormat="1" applyFont="1"/>
    <xf numFmtId="165" fontId="31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64" fontId="25" fillId="5" borderId="0" xfId="0" applyNumberFormat="1" applyFont="1" applyFill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164" fontId="25" fillId="0" borderId="0" xfId="0" applyNumberFormat="1" applyFont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65" fontId="32" fillId="0" borderId="0" xfId="0" applyNumberFormat="1" applyFont="1" applyAlignment="1">
      <alignment horizontal="right" vertical="center"/>
    </xf>
    <xf numFmtId="165" fontId="2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10" fillId="3" borderId="0" xfId="0" applyFont="1" applyFill="1" applyAlignment="1">
      <alignment horizontal="left" vertical="top" wrapText="1"/>
    </xf>
    <xf numFmtId="0" fontId="33" fillId="2" borderId="0" xfId="0" applyFont="1" applyFill="1" applyAlignment="1">
      <alignment vertical="center"/>
    </xf>
    <xf numFmtId="0" fontId="34" fillId="2" borderId="0" xfId="0" applyFont="1" applyFill="1" applyAlignment="1">
      <alignment horizontal="right" vertical="center"/>
    </xf>
    <xf numFmtId="0" fontId="35" fillId="2" borderId="0" xfId="0" applyFont="1" applyFill="1" applyAlignment="1"/>
    <xf numFmtId="0" fontId="3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37" fillId="0" borderId="0" xfId="0" applyFont="1" applyAlignment="1"/>
    <xf numFmtId="0" fontId="33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8" fillId="0" borderId="0" xfId="0" applyFont="1" applyAlignment="1"/>
    <xf numFmtId="0" fontId="35" fillId="0" borderId="0" xfId="0" applyFont="1" applyAlignment="1"/>
    <xf numFmtId="0" fontId="35" fillId="0" borderId="0" xfId="0" applyFont="1"/>
    <xf numFmtId="0" fontId="38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7" fillId="0" borderId="0" xfId="0" applyFont="1" applyAlignment="1"/>
    <xf numFmtId="0" fontId="39" fillId="0" borderId="0" xfId="0" applyFont="1" applyAlignment="1">
      <alignment horizontal="left" vertical="center"/>
    </xf>
    <xf numFmtId="0" fontId="35" fillId="3" borderId="0" xfId="0" applyFont="1" applyFill="1" applyAlignment="1">
      <alignment horizontal="left" vertical="top"/>
    </xf>
    <xf numFmtId="0" fontId="35" fillId="3" borderId="0" xfId="0" applyFont="1" applyFill="1" applyAlignment="1">
      <alignment vertical="top"/>
    </xf>
    <xf numFmtId="0" fontId="35" fillId="0" borderId="0" xfId="0" applyFont="1" applyAlignment="1">
      <alignment vertical="top"/>
    </xf>
    <xf numFmtId="0" fontId="40" fillId="0" borderId="0" xfId="0" applyFont="1" applyAlignment="1">
      <alignment horizontal="left" vertical="top"/>
    </xf>
    <xf numFmtId="0" fontId="36" fillId="0" borderId="0" xfId="0" applyFont="1" applyAlignment="1">
      <alignment vertical="top"/>
    </xf>
    <xf numFmtId="0" fontId="35" fillId="0" borderId="12" xfId="0" applyFont="1" applyBorder="1" applyAlignment="1">
      <alignment vertical="center"/>
    </xf>
    <xf numFmtId="0" fontId="34" fillId="0" borderId="12" xfId="0" applyFont="1" applyBorder="1" applyAlignment="1">
      <alignment horizontal="right" vertical="center"/>
    </xf>
    <xf numFmtId="0" fontId="36" fillId="0" borderId="12" xfId="0" applyFont="1" applyBorder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right" vertical="center"/>
    </xf>
    <xf numFmtId="165" fontId="45" fillId="0" borderId="13" xfId="0" applyNumberFormat="1" applyFont="1" applyBorder="1" applyAlignment="1">
      <alignment vertical="center"/>
    </xf>
    <xf numFmtId="166" fontId="45" fillId="3" borderId="14" xfId="0" applyNumberFormat="1" applyFont="1" applyFill="1" applyBorder="1" applyAlignment="1">
      <alignment horizontal="center" vertical="center"/>
    </xf>
    <xf numFmtId="167" fontId="46" fillId="3" borderId="14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45" fillId="0" borderId="0" xfId="0" applyFont="1" applyAlignment="1">
      <alignment vertical="center"/>
    </xf>
    <xf numFmtId="164" fontId="47" fillId="0" borderId="14" xfId="0" applyNumberFormat="1" applyFont="1" applyBorder="1" applyAlignment="1">
      <alignment horizontal="center" vertical="center"/>
    </xf>
    <xf numFmtId="164" fontId="48" fillId="0" borderId="14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right" vertical="center"/>
    </xf>
    <xf numFmtId="0" fontId="33" fillId="0" borderId="0" xfId="0" applyFont="1" applyAlignment="1">
      <alignment vertical="top"/>
    </xf>
    <xf numFmtId="0" fontId="34" fillId="0" borderId="0" xfId="0" applyFont="1" applyAlignment="1">
      <alignment horizontal="right" vertical="top"/>
    </xf>
    <xf numFmtId="0" fontId="45" fillId="0" borderId="15" xfId="0" applyFont="1" applyBorder="1" applyAlignment="1">
      <alignment vertical="top"/>
    </xf>
    <xf numFmtId="165" fontId="49" fillId="0" borderId="0" xfId="0" applyNumberFormat="1" applyFont="1" applyAlignment="1">
      <alignment horizontal="right" vertical="top"/>
    </xf>
    <xf numFmtId="0" fontId="33" fillId="0" borderId="0" xfId="0" applyFont="1" applyAlignment="1"/>
    <xf numFmtId="0" fontId="34" fillId="0" borderId="0" xfId="0" applyFont="1" applyAlignment="1">
      <alignment horizontal="right"/>
    </xf>
    <xf numFmtId="0" fontId="39" fillId="0" borderId="0" xfId="0" applyFont="1" applyAlignment="1"/>
    <xf numFmtId="165" fontId="45" fillId="0" borderId="0" xfId="0" applyNumberFormat="1" applyFont="1" applyAlignment="1">
      <alignment horizontal="right"/>
    </xf>
    <xf numFmtId="0" fontId="39" fillId="0" borderId="0" xfId="0" applyFont="1" applyAlignment="1">
      <alignment vertical="center"/>
    </xf>
    <xf numFmtId="165" fontId="50" fillId="0" borderId="0" xfId="0" applyNumberFormat="1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right" vertical="center"/>
    </xf>
    <xf numFmtId="0" fontId="45" fillId="0" borderId="0" xfId="0" applyFont="1" applyAlignment="1">
      <alignment horizontal="left" vertical="center"/>
    </xf>
    <xf numFmtId="167" fontId="49" fillId="3" borderId="0" xfId="0" applyNumberFormat="1" applyFont="1" applyFill="1" applyAlignment="1">
      <alignment horizontal="right" vertical="center"/>
    </xf>
    <xf numFmtId="165" fontId="45" fillId="0" borderId="16" xfId="0" applyNumberFormat="1" applyFont="1" applyBorder="1" applyAlignment="1">
      <alignment vertical="center"/>
    </xf>
    <xf numFmtId="166" fontId="45" fillId="3" borderId="17" xfId="0" applyNumberFormat="1" applyFont="1" applyFill="1" applyBorder="1" applyAlignment="1">
      <alignment horizontal="right" vertical="center"/>
    </xf>
    <xf numFmtId="167" fontId="46" fillId="3" borderId="17" xfId="0" applyNumberFormat="1" applyFont="1" applyFill="1" applyBorder="1" applyAlignment="1">
      <alignment horizontal="right" vertical="center"/>
    </xf>
    <xf numFmtId="0" fontId="34" fillId="0" borderId="9" xfId="0" applyFont="1" applyBorder="1" applyAlignment="1">
      <alignment horizontal="right" vertical="center"/>
    </xf>
    <xf numFmtId="165" fontId="45" fillId="0" borderId="4" xfId="0" applyNumberFormat="1" applyFont="1" applyBorder="1" applyAlignment="1">
      <alignment vertical="center"/>
    </xf>
    <xf numFmtId="164" fontId="51" fillId="0" borderId="9" xfId="0" applyNumberFormat="1" applyFont="1" applyBorder="1" applyAlignment="1">
      <alignment horizontal="right" vertical="center"/>
    </xf>
    <xf numFmtId="164" fontId="50" fillId="0" borderId="9" xfId="0" applyNumberFormat="1" applyFont="1" applyBorder="1" applyAlignment="1">
      <alignment horizontal="right" vertical="center"/>
    </xf>
    <xf numFmtId="165" fontId="49" fillId="0" borderId="9" xfId="0" applyNumberFormat="1" applyFont="1" applyBorder="1" applyAlignment="1">
      <alignment horizontal="right" vertical="center"/>
    </xf>
    <xf numFmtId="165" fontId="45" fillId="0" borderId="9" xfId="0" applyNumberFormat="1" applyFont="1" applyBorder="1" applyAlignment="1">
      <alignment vertical="center"/>
    </xf>
    <xf numFmtId="165" fontId="51" fillId="0" borderId="9" xfId="0" applyNumberFormat="1" applyFont="1" applyBorder="1" applyAlignment="1">
      <alignment horizontal="right" vertical="center"/>
    </xf>
    <xf numFmtId="165" fontId="50" fillId="0" borderId="9" xfId="0" applyNumberFormat="1" applyFont="1" applyBorder="1" applyAlignment="1">
      <alignment horizontal="right" vertical="center"/>
    </xf>
    <xf numFmtId="0" fontId="52" fillId="0" borderId="0" xfId="0" applyFont="1" applyAlignment="1">
      <alignment horizontal="left" vertical="center"/>
    </xf>
    <xf numFmtId="167" fontId="51" fillId="3" borderId="0" xfId="0" applyNumberFormat="1" applyFont="1" applyFill="1" applyAlignment="1">
      <alignment horizontal="right" vertical="center"/>
    </xf>
    <xf numFmtId="0" fontId="51" fillId="0" borderId="0" xfId="0" applyFont="1" applyAlignment="1">
      <alignment horizontal="right"/>
    </xf>
    <xf numFmtId="0" fontId="49" fillId="0" borderId="0" xfId="0" applyFont="1" applyAlignment="1">
      <alignment horizontal="right"/>
    </xf>
    <xf numFmtId="0" fontId="51" fillId="0" borderId="16" xfId="0" applyFont="1" applyBorder="1" applyAlignment="1">
      <alignment vertical="center"/>
    </xf>
    <xf numFmtId="166" fontId="45" fillId="3" borderId="0" xfId="0" applyNumberFormat="1" applyFont="1" applyFill="1" applyAlignment="1">
      <alignment horizontal="right" vertical="center"/>
    </xf>
    <xf numFmtId="165" fontId="45" fillId="0" borderId="18" xfId="0" applyNumberFormat="1" applyFont="1" applyBorder="1" applyAlignment="1">
      <alignment vertical="center"/>
    </xf>
    <xf numFmtId="164" fontId="51" fillId="0" borderId="14" xfId="0" applyNumberFormat="1" applyFont="1" applyBorder="1" applyAlignment="1">
      <alignment horizontal="right" vertical="center"/>
    </xf>
    <xf numFmtId="164" fontId="50" fillId="0" borderId="19" xfId="0" applyNumberFormat="1" applyFont="1" applyBorder="1" applyAlignment="1">
      <alignment horizontal="right" vertical="center"/>
    </xf>
    <xf numFmtId="164" fontId="50" fillId="0" borderId="20" xfId="0" applyNumberFormat="1" applyFont="1" applyBorder="1" applyAlignment="1">
      <alignment horizontal="right" vertical="center"/>
    </xf>
    <xf numFmtId="0" fontId="49" fillId="0" borderId="9" xfId="0" applyFont="1" applyBorder="1" applyAlignment="1">
      <alignment horizontal="right" vertical="center"/>
    </xf>
    <xf numFmtId="165" fontId="45" fillId="0" borderId="21" xfId="0" applyNumberFormat="1" applyFont="1" applyBorder="1" applyAlignment="1">
      <alignment vertical="center"/>
    </xf>
    <xf numFmtId="164" fontId="50" fillId="0" borderId="22" xfId="0" applyNumberFormat="1" applyFont="1" applyBorder="1" applyAlignment="1">
      <alignment horizontal="right" vertical="center"/>
    </xf>
    <xf numFmtId="164" fontId="50" fillId="0" borderId="23" xfId="0" applyNumberFormat="1" applyFont="1" applyBorder="1" applyAlignment="1">
      <alignment horizontal="right" vertical="center"/>
    </xf>
    <xf numFmtId="0" fontId="45" fillId="0" borderId="21" xfId="0" applyFont="1" applyBorder="1" applyAlignment="1">
      <alignment vertical="center"/>
    </xf>
    <xf numFmtId="165" fontId="49" fillId="0" borderId="4" xfId="0" applyNumberFormat="1" applyFont="1" applyBorder="1" applyAlignment="1">
      <alignment vertical="center"/>
    </xf>
    <xf numFmtId="165" fontId="51" fillId="0" borderId="4" xfId="0" applyNumberFormat="1" applyFont="1" applyBorder="1" applyAlignment="1">
      <alignment horizontal="right" vertical="center"/>
    </xf>
    <xf numFmtId="165" fontId="50" fillId="0" borderId="4" xfId="0" applyNumberFormat="1" applyFont="1" applyBorder="1" applyAlignment="1">
      <alignment horizontal="right" vertical="center"/>
    </xf>
    <xf numFmtId="0" fontId="49" fillId="0" borderId="9" xfId="0" applyFont="1" applyBorder="1" applyAlignment="1">
      <alignment vertical="center"/>
    </xf>
    <xf numFmtId="165" fontId="51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165" fontId="51" fillId="0" borderId="0" xfId="0" applyNumberFormat="1" applyFont="1"/>
    <xf numFmtId="165" fontId="51" fillId="0" borderId="0" xfId="0" applyNumberFormat="1" applyFont="1" applyAlignment="1">
      <alignment vertical="center"/>
    </xf>
    <xf numFmtId="165" fontId="51" fillId="3" borderId="0" xfId="0" applyNumberFormat="1" applyFont="1" applyFill="1" applyAlignment="1">
      <alignment vertical="center"/>
    </xf>
    <xf numFmtId="165" fontId="50" fillId="0" borderId="0" xfId="0" applyNumberFormat="1" applyFont="1" applyAlignment="1">
      <alignment vertical="center"/>
    </xf>
    <xf numFmtId="168" fontId="37" fillId="0" borderId="0" xfId="0" applyNumberFormat="1" applyFont="1" applyAlignment="1"/>
  </cellXfs>
  <cellStyles count="1">
    <cellStyle name="Normal" xfId="0" builtinId="0"/>
  </cellStyles>
  <dxfs count="1">
    <dxf>
      <font>
        <color rgb="FFF4652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5.3380000000000004E-2"/>
          <c:y val="0.19128000000000001"/>
          <c:w val="0.90894999999999992"/>
          <c:h val="0.67449999999999999"/>
        </c:manualLayout>
      </c:layout>
      <c:areaChart>
        <c:grouping val="standard"/>
        <c:varyColors val="1"/>
        <c:ser>
          <c:idx val="2"/>
          <c:order val="2"/>
          <c:tx>
            <c:strRef>
              <c:f>Resumen!$C$25</c:f>
              <c:strCache>
                <c:ptCount val="1"/>
                <c:pt idx="0">
                  <c:v>Balance Acumulado</c:v>
                </c:pt>
              </c:strCache>
            </c:strRef>
          </c:tx>
          <c:spPr>
            <a:solidFill>
              <a:srgbClr val="999999">
                <a:alpha val="5000"/>
              </a:srgbClr>
            </a:solidFill>
            <a:ln w="9525"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Resumen!$D$21:$O$21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Resumen!$D$25:$O$25</c:f>
              <c:numCache>
                <c:formatCode>[$€]#,##0.00</c:formatCode>
                <c:ptCount val="12"/>
                <c:pt idx="0">
                  <c:v>3067.7299999999905</c:v>
                </c:pt>
                <c:pt idx="1">
                  <c:v>4266.49999999999</c:v>
                </c:pt>
                <c:pt idx="2">
                  <c:v>8500.7699999999895</c:v>
                </c:pt>
                <c:pt idx="3">
                  <c:v>10296.18999999999</c:v>
                </c:pt>
                <c:pt idx="4">
                  <c:v>12938.759999999989</c:v>
                </c:pt>
                <c:pt idx="5">
                  <c:v>15244.159999999989</c:v>
                </c:pt>
                <c:pt idx="6">
                  <c:v>17549.739999999991</c:v>
                </c:pt>
                <c:pt idx="7">
                  <c:v>18886.349999999991</c:v>
                </c:pt>
                <c:pt idx="8">
                  <c:v>19074.739999999991</c:v>
                </c:pt>
                <c:pt idx="9">
                  <c:v>20285.05999999999</c:v>
                </c:pt>
                <c:pt idx="10">
                  <c:v>22190.279999999992</c:v>
                </c:pt>
                <c:pt idx="11">
                  <c:v>24352.499999999989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9-4D86-BAD6-DBC119C0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7434"/>
        <c:axId val="323885167"/>
      </c:areaChart>
      <c:lineChart>
        <c:grouping val="standard"/>
        <c:varyColors val="1"/>
        <c:ser>
          <c:idx val="0"/>
          <c:order val="0"/>
          <c:tx>
            <c:strRef>
              <c:f>Resumen!$C$22</c:f>
              <c:strCache>
                <c:ptCount val="1"/>
                <c:pt idx="0">
                  <c:v>Ingresos</c:v>
                </c:pt>
              </c:strCache>
            </c:strRef>
          </c:tx>
          <c:spPr>
            <a:ln w="9525"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Resumen!$D$21:$O$21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Resumen!$D$22:$O$22</c:f>
              <c:numCache>
                <c:formatCode>[$€]#,##0.00</c:formatCode>
                <c:ptCount val="12"/>
                <c:pt idx="0">
                  <c:v>4310.45999999999</c:v>
                </c:pt>
                <c:pt idx="1">
                  <c:v>2655.65</c:v>
                </c:pt>
                <c:pt idx="2">
                  <c:v>5659.75</c:v>
                </c:pt>
                <c:pt idx="3">
                  <c:v>3229.26</c:v>
                </c:pt>
                <c:pt idx="4">
                  <c:v>3908.67</c:v>
                </c:pt>
                <c:pt idx="5">
                  <c:v>3970.52</c:v>
                </c:pt>
                <c:pt idx="6">
                  <c:v>3747.83</c:v>
                </c:pt>
                <c:pt idx="7">
                  <c:v>2723.84</c:v>
                </c:pt>
                <c:pt idx="8">
                  <c:v>2942.75</c:v>
                </c:pt>
                <c:pt idx="9">
                  <c:v>3598.19</c:v>
                </c:pt>
                <c:pt idx="10">
                  <c:v>3812.63</c:v>
                </c:pt>
                <c:pt idx="11">
                  <c:v>3697.0299999999997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D86-BAD6-DBC119C02E6C}"/>
            </c:ext>
          </c:extLst>
        </c:ser>
        <c:ser>
          <c:idx val="1"/>
          <c:order val="1"/>
          <c:tx>
            <c:strRef>
              <c:f>Resumen!$C$23</c:f>
              <c:strCache>
                <c:ptCount val="1"/>
                <c:pt idx="0">
                  <c:v>Gastos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Resumen!$D$21:$O$21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Resumen!$D$23:$O$23</c:f>
              <c:numCache>
                <c:formatCode>[$€]#,##0.00</c:formatCode>
                <c:ptCount val="12"/>
                <c:pt idx="0">
                  <c:v>1242.7299999999998</c:v>
                </c:pt>
                <c:pt idx="1">
                  <c:v>1456.88</c:v>
                </c:pt>
                <c:pt idx="2">
                  <c:v>1425.48</c:v>
                </c:pt>
                <c:pt idx="3">
                  <c:v>1433.8400000000001</c:v>
                </c:pt>
                <c:pt idx="4">
                  <c:v>1266.0999999999999</c:v>
                </c:pt>
                <c:pt idx="5">
                  <c:v>1665.12</c:v>
                </c:pt>
                <c:pt idx="6">
                  <c:v>1442.25</c:v>
                </c:pt>
                <c:pt idx="7">
                  <c:v>1387.23</c:v>
                </c:pt>
                <c:pt idx="8">
                  <c:v>2754.3599999999997</c:v>
                </c:pt>
                <c:pt idx="9">
                  <c:v>2387.87</c:v>
                </c:pt>
                <c:pt idx="10">
                  <c:v>1907.41</c:v>
                </c:pt>
                <c:pt idx="11">
                  <c:v>1534.81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4D86-BAD6-DBC119C0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087434"/>
        <c:axId val="323885167"/>
      </c:lineChart>
      <c:catAx>
        <c:axId val="74408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434343"/>
                    </a:solidFill>
                    <a:latin typeface="Roboto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>
                <a:solidFill>
                  <a:srgbClr val="434343"/>
                </a:solidFill>
                <a:latin typeface="Roboto"/>
              </a:defRPr>
            </a:pPr>
            <a:endParaRPr lang="es-ES"/>
          </a:p>
        </c:txPr>
        <c:crossAx val="323885167"/>
        <c:crosses val="autoZero"/>
        <c:auto val="1"/>
        <c:lblAlgn val="ctr"/>
        <c:lblOffset val="100"/>
        <c:noMultiLvlLbl val="1"/>
      </c:catAx>
      <c:valAx>
        <c:axId val="3238851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overlay val="0"/>
        </c:title>
        <c:numFmt formatCode="[$€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>
                <a:solidFill>
                  <a:srgbClr val="222222"/>
                </a:solidFill>
                <a:latin typeface="Roboto"/>
              </a:defRPr>
            </a:pPr>
            <a:endParaRPr lang="es-ES"/>
          </a:p>
        </c:txPr>
        <c:crossAx val="74408743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100" b="0">
              <a:solidFill>
                <a:srgbClr val="434343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434343"/>
                </a:solidFill>
                <a:latin typeface="Roboto"/>
              </a:defRPr>
            </a:pPr>
            <a:r>
              <a:rPr lang="es-ES" sz="1200" b="1" i="0">
                <a:solidFill>
                  <a:srgbClr val="434343"/>
                </a:solidFill>
                <a:latin typeface="Roboto"/>
              </a:rPr>
              <a:t>Promedio $ por categoria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7960000000000003E-2"/>
          <c:y val="0.16573000000000002"/>
          <c:w val="0.93159999999999998"/>
          <c:h val="0.7162900000000000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Resumen!$C$43:$C$57</c:f>
              <c:strCache>
                <c:ptCount val="14"/>
                <c:pt idx="0">
                  <c:v>Hijos</c:v>
                </c:pt>
                <c:pt idx="1">
                  <c:v>Deudas</c:v>
                </c:pt>
                <c:pt idx="2">
                  <c:v>Educacion</c:v>
                </c:pt>
                <c:pt idx="3">
                  <c:v>Entretenimiento</c:v>
                </c:pt>
                <c:pt idx="4">
                  <c:v>Diario</c:v>
                </c:pt>
                <c:pt idx="5">
                  <c:v>Regalos</c:v>
                </c:pt>
                <c:pt idx="6">
                  <c:v>Salud</c:v>
                </c:pt>
                <c:pt idx="7">
                  <c:v>Hogar</c:v>
                </c:pt>
                <c:pt idx="8">
                  <c:v>Pilates</c:v>
                </c:pt>
                <c:pt idx="9">
                  <c:v>Tecnologia</c:v>
                </c:pt>
                <c:pt idx="10">
                  <c:v>Transporte</c:v>
                </c:pt>
                <c:pt idx="11">
                  <c:v>Viajes</c:v>
                </c:pt>
                <c:pt idx="12">
                  <c:v>Servicios</c:v>
                </c:pt>
                <c:pt idx="13">
                  <c:v>Other</c:v>
                </c:pt>
              </c:strCache>
            </c:strRef>
          </c:cat>
          <c:val>
            <c:numRef>
              <c:f>Resumen!$Q$43:$Q$57</c:f>
              <c:numCache>
                <c:formatCode>[$€]#,##0.00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504.96499999999997</c:v>
                </c:pt>
                <c:pt idx="5">
                  <c:v>0</c:v>
                </c:pt>
                <c:pt idx="6">
                  <c:v>0</c:v>
                </c:pt>
                <c:pt idx="7">
                  <c:v>763.03250000000014</c:v>
                </c:pt>
                <c:pt idx="8">
                  <c:v>363.21916666666669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27.456666666666667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43-4EE8-8EDE-0048588A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697701"/>
        <c:axId val="441459805"/>
      </c:barChart>
      <c:catAx>
        <c:axId val="109969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>
                <a:solidFill>
                  <a:srgbClr val="434343"/>
                </a:solidFill>
                <a:latin typeface="Roboto"/>
              </a:defRPr>
            </a:pPr>
            <a:endParaRPr lang="es-ES"/>
          </a:p>
        </c:txPr>
        <c:crossAx val="441459805"/>
        <c:crosses val="autoZero"/>
        <c:auto val="1"/>
        <c:lblAlgn val="ctr"/>
        <c:lblOffset val="100"/>
        <c:noMultiLvlLbl val="1"/>
      </c:catAx>
      <c:valAx>
        <c:axId val="4414598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overlay val="0"/>
        </c:title>
        <c:numFmt formatCode="[$€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>
                <a:solidFill>
                  <a:srgbClr val="434343"/>
                </a:solidFill>
                <a:latin typeface="Roboto"/>
              </a:defRPr>
            </a:pPr>
            <a:endParaRPr lang="es-ES"/>
          </a:p>
        </c:txPr>
        <c:crossAx val="10996977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4</xdr:row>
      <xdr:rowOff>438150</xdr:rowOff>
    </xdr:from>
    <xdr:ext cx="11934825" cy="2876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409575</xdr:colOff>
      <xdr:row>57</xdr:row>
      <xdr:rowOff>514350</xdr:rowOff>
    </xdr:from>
    <xdr:ext cx="12144375" cy="33909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"/>
  <sheetViews>
    <sheetView showGridLines="0" workbookViewId="0"/>
  </sheetViews>
  <sheetFormatPr baseColWidth="10" defaultColWidth="12.5703125" defaultRowHeight="15.75" customHeight="1" x14ac:dyDescent="0.2"/>
  <cols>
    <col min="1" max="1" width="5.140625" customWidth="1"/>
    <col min="2" max="2" width="14.5703125" customWidth="1"/>
    <col min="3" max="3" width="26" customWidth="1"/>
    <col min="4" max="5" width="8.140625" customWidth="1"/>
    <col min="6" max="7" width="5.140625" customWidth="1"/>
  </cols>
  <sheetData>
    <row r="1" spans="1:7" ht="6" customHeight="1" x14ac:dyDescent="0.35">
      <c r="A1" s="1"/>
      <c r="B1" s="2"/>
      <c r="C1" s="2"/>
      <c r="D1" s="3"/>
      <c r="E1" s="3"/>
      <c r="F1" s="3"/>
      <c r="G1" s="2"/>
    </row>
    <row r="2" spans="1:7" ht="42" customHeight="1" x14ac:dyDescent="0.6">
      <c r="A2" s="4"/>
      <c r="B2" s="74" t="s">
        <v>0</v>
      </c>
      <c r="C2" s="75"/>
      <c r="D2" s="75"/>
      <c r="E2" s="75"/>
      <c r="F2" s="75"/>
      <c r="G2" s="5"/>
    </row>
    <row r="3" spans="1:7" ht="42" customHeight="1" x14ac:dyDescent="0.6">
      <c r="A3" s="4"/>
      <c r="B3" s="74" t="s">
        <v>1</v>
      </c>
      <c r="C3" s="75"/>
      <c r="D3" s="75"/>
      <c r="E3" s="75"/>
      <c r="F3" s="75"/>
      <c r="G3" s="75"/>
    </row>
    <row r="4" spans="1:7" ht="30" customHeight="1" x14ac:dyDescent="0.35">
      <c r="A4" s="6"/>
      <c r="B4" s="76" t="s">
        <v>2</v>
      </c>
      <c r="C4" s="75"/>
      <c r="D4" s="75"/>
      <c r="E4" s="75"/>
      <c r="F4" s="75"/>
      <c r="G4" s="7"/>
    </row>
    <row r="5" spans="1:7" ht="12" customHeight="1" x14ac:dyDescent="0.35">
      <c r="A5" s="8"/>
      <c r="B5" s="9"/>
      <c r="C5" s="9"/>
      <c r="D5" s="10"/>
      <c r="E5" s="10"/>
      <c r="F5" s="10"/>
      <c r="G5" s="11"/>
    </row>
    <row r="6" spans="1:7" ht="12" customHeight="1" x14ac:dyDescent="0.35">
      <c r="A6" s="8"/>
      <c r="B6" s="11"/>
      <c r="C6" s="11"/>
      <c r="D6" s="12"/>
      <c r="E6" s="12"/>
      <c r="F6" s="12"/>
      <c r="G6" s="11"/>
    </row>
    <row r="7" spans="1:7" ht="30" customHeight="1" x14ac:dyDescent="0.35">
      <c r="A7" s="13"/>
      <c r="B7" s="14" t="s">
        <v>3</v>
      </c>
      <c r="C7" s="15"/>
      <c r="D7" s="12"/>
      <c r="E7" s="12"/>
      <c r="F7" s="12"/>
      <c r="G7" s="15"/>
    </row>
    <row r="8" spans="1:7" ht="22.5" customHeight="1" x14ac:dyDescent="0.2">
      <c r="A8" s="16" t="s">
        <v>4</v>
      </c>
      <c r="B8" s="77" t="s">
        <v>5</v>
      </c>
      <c r="C8" s="75"/>
      <c r="D8" s="75"/>
      <c r="E8" s="75"/>
      <c r="F8" s="75"/>
      <c r="G8" s="17"/>
    </row>
    <row r="9" spans="1:7" ht="22.5" customHeight="1" x14ac:dyDescent="0.2">
      <c r="A9" s="16" t="s">
        <v>6</v>
      </c>
      <c r="B9" s="77" t="s">
        <v>7</v>
      </c>
      <c r="C9" s="75"/>
      <c r="D9" s="75"/>
      <c r="E9" s="75"/>
      <c r="F9" s="75"/>
      <c r="G9" s="17"/>
    </row>
    <row r="10" spans="1:7" ht="22.5" customHeight="1" x14ac:dyDescent="0.2">
      <c r="A10" s="16" t="s">
        <v>8</v>
      </c>
      <c r="B10" s="77" t="s">
        <v>9</v>
      </c>
      <c r="C10" s="75"/>
      <c r="D10" s="75"/>
      <c r="E10" s="75"/>
      <c r="F10" s="75"/>
      <c r="G10" s="17"/>
    </row>
    <row r="11" spans="1:7" ht="18" customHeight="1" x14ac:dyDescent="0.35">
      <c r="A11" s="8"/>
      <c r="B11" s="9"/>
      <c r="C11" s="9"/>
      <c r="D11" s="10"/>
      <c r="E11" s="10"/>
      <c r="F11" s="10"/>
      <c r="G11" s="11"/>
    </row>
    <row r="12" spans="1:7" ht="18" customHeight="1" x14ac:dyDescent="0.35">
      <c r="A12" s="8"/>
      <c r="B12" s="11"/>
      <c r="C12" s="11"/>
      <c r="D12" s="12"/>
      <c r="E12" s="12"/>
      <c r="F12" s="12"/>
      <c r="G12" s="11"/>
    </row>
    <row r="13" spans="1:7" ht="30" customHeight="1" x14ac:dyDescent="0.35">
      <c r="A13" s="13"/>
      <c r="B13" s="14" t="s">
        <v>10</v>
      </c>
      <c r="C13" s="15"/>
      <c r="D13" s="12"/>
      <c r="E13" s="12"/>
      <c r="F13" s="12"/>
      <c r="G13" s="15"/>
    </row>
    <row r="14" spans="1:7" ht="18" customHeight="1" x14ac:dyDescent="0.35">
      <c r="A14" s="6"/>
      <c r="B14" s="18" t="s">
        <v>11</v>
      </c>
      <c r="C14" s="19">
        <v>0</v>
      </c>
      <c r="D14" s="20"/>
      <c r="E14" s="20"/>
      <c r="F14" s="20"/>
      <c r="G14" s="7"/>
    </row>
    <row r="15" spans="1:7" ht="18" customHeight="1" x14ac:dyDescent="0.35">
      <c r="A15" s="6"/>
      <c r="B15" s="21"/>
      <c r="C15" s="7"/>
      <c r="D15" s="22"/>
      <c r="E15" s="22"/>
      <c r="F15" s="22"/>
      <c r="G15" s="7"/>
    </row>
  </sheetData>
  <mergeCells count="6">
    <mergeCell ref="B10:F10"/>
    <mergeCell ref="B2:F2"/>
    <mergeCell ref="B3:G3"/>
    <mergeCell ref="B4:F4"/>
    <mergeCell ref="B8:F8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1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outlineLevelRow="1" outlineLevelCol="1" x14ac:dyDescent="0.2"/>
  <cols>
    <col min="1" max="1" width="6.42578125" customWidth="1"/>
    <col min="2" max="2" width="2" customWidth="1"/>
    <col min="3" max="3" width="13.28515625" customWidth="1"/>
    <col min="4" max="8" width="9.42578125" customWidth="1" outlineLevel="1"/>
    <col min="9" max="9" width="10.42578125" customWidth="1" outlineLevel="1"/>
    <col min="10" max="11" width="9.42578125" customWidth="1" outlineLevel="1"/>
    <col min="12" max="12" width="10.42578125" customWidth="1" outlineLevel="1"/>
    <col min="13" max="14" width="9.42578125" customWidth="1" outlineLevel="1"/>
    <col min="15" max="15" width="10.42578125" customWidth="1" outlineLevel="1"/>
    <col min="16" max="16" width="11.7109375" customWidth="1"/>
    <col min="17" max="17" width="9.42578125" customWidth="1"/>
    <col min="18" max="18" width="8.85546875" customWidth="1"/>
  </cols>
  <sheetData>
    <row r="1" spans="1:18" ht="18" x14ac:dyDescent="0.2">
      <c r="A1" s="23"/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7"/>
      <c r="R1" s="27"/>
    </row>
    <row r="2" spans="1:18" ht="29.25" x14ac:dyDescent="0.55000000000000004">
      <c r="A2" s="28"/>
      <c r="B2" s="28"/>
      <c r="C2" s="29" t="s">
        <v>12</v>
      </c>
      <c r="D2" s="30">
        <v>42370</v>
      </c>
      <c r="E2" s="30">
        <v>42401</v>
      </c>
      <c r="F2" s="30">
        <v>42430</v>
      </c>
      <c r="G2" s="30">
        <v>42461</v>
      </c>
      <c r="H2" s="30">
        <v>42491</v>
      </c>
      <c r="I2" s="30">
        <v>42522</v>
      </c>
      <c r="J2" s="30">
        <v>42552</v>
      </c>
      <c r="K2" s="30">
        <v>42583</v>
      </c>
      <c r="L2" s="30">
        <v>42614</v>
      </c>
      <c r="M2" s="30">
        <v>42644</v>
      </c>
      <c r="N2" s="30">
        <v>42675</v>
      </c>
      <c r="O2" s="30">
        <v>42705</v>
      </c>
      <c r="P2" s="31" t="s">
        <v>13</v>
      </c>
      <c r="Q2" s="32" t="s">
        <v>14</v>
      </c>
      <c r="R2" s="33"/>
    </row>
    <row r="3" spans="1:18" ht="18" x14ac:dyDescent="0.2">
      <c r="A3" s="34" t="s">
        <v>15</v>
      </c>
      <c r="B3" s="35"/>
      <c r="C3" s="36" t="s">
        <v>16</v>
      </c>
      <c r="D3" s="37">
        <f t="shared" ref="D3:O3" ca="1" si="0">SUM(D4:D10)</f>
        <v>4310.45999999999</v>
      </c>
      <c r="E3" s="37">
        <f t="shared" ca="1" si="0"/>
        <v>2655.65</v>
      </c>
      <c r="F3" s="37">
        <f t="shared" ca="1" si="0"/>
        <v>5659.75</v>
      </c>
      <c r="G3" s="37">
        <f t="shared" ca="1" si="0"/>
        <v>3229.26</v>
      </c>
      <c r="H3" s="37">
        <f t="shared" ca="1" si="0"/>
        <v>3908.67</v>
      </c>
      <c r="I3" s="37">
        <f t="shared" ca="1" si="0"/>
        <v>3970.52</v>
      </c>
      <c r="J3" s="37">
        <f t="shared" ca="1" si="0"/>
        <v>3747.83</v>
      </c>
      <c r="K3" s="37">
        <f t="shared" ca="1" si="0"/>
        <v>2723.84</v>
      </c>
      <c r="L3" s="37">
        <f t="shared" ca="1" si="0"/>
        <v>2942.75</v>
      </c>
      <c r="M3" s="37">
        <f t="shared" ca="1" si="0"/>
        <v>3598.19</v>
      </c>
      <c r="N3" s="37">
        <f t="shared" ca="1" si="0"/>
        <v>3812.63</v>
      </c>
      <c r="O3" s="37">
        <f t="shared" ca="1" si="0"/>
        <v>3697.0299999999997</v>
      </c>
      <c r="P3" s="38">
        <f t="shared" ref="P3:P8" ca="1" si="1">SUM(D3:O3)</f>
        <v>44256.579999999994</v>
      </c>
      <c r="Q3" s="38">
        <v>3688.0483330000002</v>
      </c>
      <c r="R3" s="39"/>
    </row>
    <row r="4" spans="1:18" ht="18" outlineLevel="1" x14ac:dyDescent="0.2">
      <c r="A4" s="40"/>
      <c r="B4" s="41"/>
      <c r="C4" s="42" t="s">
        <v>17</v>
      </c>
      <c r="D4" s="43">
        <f ca="1">IFERROR(__xludf.DUMMYFUNCTION("IMPORTRANGE(""https://docs.google.com/spreadsheets/d/1i6_qI-tqXm-VmC-2mL9kcoB6l415TXxpN_V_zDAd51k/edit?usp=sharing"",""Resumen!D22"")"),2912)</f>
        <v>2912</v>
      </c>
      <c r="E4" s="43">
        <f ca="1">IFERROR(__xludf.DUMMYFUNCTION("IMPORTRANGE(""https://docs.google.com/spreadsheets/d/1i6_qI-tqXm-VmC-2mL9kcoB6l415TXxpN_V_zDAd51k/edit?usp=sharing"",""Resumen!E22"")"),1509)</f>
        <v>1509</v>
      </c>
      <c r="F4" s="43">
        <f ca="1">IFERROR(__xludf.DUMMYFUNCTION("IMPORTRANGE(""https://docs.google.com/spreadsheets/d/1i6_qI-tqXm-VmC-2mL9kcoB6l415TXxpN_V_zDAd51k/edit?usp=sharing"",""Resumen!F22"")"),2891)</f>
        <v>2891</v>
      </c>
      <c r="G4" s="43">
        <f ca="1">IFERROR(__xludf.DUMMYFUNCTION("IMPORTRANGE(""https://docs.google.com/spreadsheets/d/1i6_qI-tqXm-VmC-2mL9kcoB6l415TXxpN_V_zDAd51k/edit?usp=sharing"",""Resumen!G22"")"),1879)</f>
        <v>1879</v>
      </c>
      <c r="H4" s="43">
        <f ca="1">IFERROR(__xludf.DUMMYFUNCTION("IMPORTRANGE(""https://docs.google.com/spreadsheets/d/1i6_qI-tqXm-VmC-2mL9kcoB6l415TXxpN_V_zDAd51k/edit?usp=sharing"",""Resumen!H22"")"),2054)</f>
        <v>2054</v>
      </c>
      <c r="I4" s="43">
        <f ca="1">IFERROR(__xludf.DUMMYFUNCTION("IMPORTRANGE(""https://docs.google.com/spreadsheets/d/1i6_qI-tqXm-VmC-2mL9kcoB6l415TXxpN_V_zDAd51k/edit?usp=sharing"",""Resumen!I22"")"),2169)</f>
        <v>2169</v>
      </c>
      <c r="J4" s="43">
        <f ca="1">IFERROR(__xludf.DUMMYFUNCTION("IMPORTRANGE(""https://docs.google.com/spreadsheets/d/1i6_qI-tqXm-VmC-2mL9kcoB6l415TXxpN_V_zDAd51k/edit?usp=sharing"",""Resumen!j22"")"),1969)</f>
        <v>1969</v>
      </c>
      <c r="K4" s="43">
        <f ca="1">IFERROR(__xludf.DUMMYFUNCTION("IMPORTRANGE(""https://docs.google.com/spreadsheets/d/1i6_qI-tqXm-VmC-2mL9kcoB6l415TXxpN_V_zDAd51k/edit?usp=sharing"",""Resumen!K22"")"),1189)</f>
        <v>1189</v>
      </c>
      <c r="L4" s="43">
        <f ca="1">IFERROR(__xludf.DUMMYFUNCTION("IMPORTRANGE(""https://docs.google.com/spreadsheets/d/1i6_qI-tqXm-VmC-2mL9kcoB6l415TXxpN_V_zDAd51k/edit?usp=sharing"",""Resumen!L22"")"),1114)</f>
        <v>1114</v>
      </c>
      <c r="M4" s="43">
        <f ca="1">IFERROR(__xludf.DUMMYFUNCTION("IMPORTRANGE(""https://docs.google.com/spreadsheets/d/1i6_qI-tqXm-VmC-2mL9kcoB6l415TXxpN_V_zDAd51k/edit?usp=sharing"",""Resumen!M22"")"),1594)</f>
        <v>1594</v>
      </c>
      <c r="N4" s="43">
        <f ca="1">IFERROR(__xludf.DUMMYFUNCTION("IMPORTRANGE(""https://docs.google.com/spreadsheets/d/1i6_qI-tqXm-VmC-2mL9kcoB6l415TXxpN_V_zDAd51k/edit?usp=sharing"",""Resumen!N22"")"),1809)</f>
        <v>1809</v>
      </c>
      <c r="O4" s="43">
        <f ca="1">IFERROR(__xludf.DUMMYFUNCTION("IMPORTRANGE(""https://docs.google.com/spreadsheets/d/1i6_qI-tqXm-VmC-2mL9kcoB6l415TXxpN_V_zDAd51k/edit?usp=sharing"",""Resumen!O22"")"),1699)</f>
        <v>1699</v>
      </c>
      <c r="P4" s="44">
        <f t="shared" ca="1" si="1"/>
        <v>22788</v>
      </c>
      <c r="Q4" s="44">
        <f t="shared" ref="Q4:Q8" ca="1" si="2">IFERROR(AVERAGE(D4:O4),0)</f>
        <v>1899</v>
      </c>
      <c r="R4" s="45"/>
    </row>
    <row r="5" spans="1:18" ht="18" outlineLevel="1" x14ac:dyDescent="0.2">
      <c r="A5" s="40"/>
      <c r="B5" s="41"/>
      <c r="C5" s="42" t="s">
        <v>18</v>
      </c>
      <c r="D5" s="43">
        <f ca="1">IFERROR(__xludf.DUMMYFUNCTION("IMPORTRANGE(""https://docs.google.com/spreadsheets/d/1tPxGOadMcXReSzr1pCllK5ohKzHBAwZ3gAoA5E0Z9Fs/edit?usp=sharing"",""Resumen!D3"")"),1398.45999999999)</f>
        <v>1398.45999999999</v>
      </c>
      <c r="E5" s="43">
        <f ca="1">IFERROR(__xludf.DUMMYFUNCTION("IMPORTRANGE(""https://docs.google.com/spreadsheets/d/1tPxGOadMcXReSzr1pCllK5ohKzHBAwZ3gAoA5E0Z9Fs/edit?usp=sharing"",""Resumen!E3"")"),1146.65)</f>
        <v>1146.6500000000001</v>
      </c>
      <c r="F5" s="43">
        <f ca="1">IFERROR(__xludf.DUMMYFUNCTION("IMPORTRANGE(""https://docs.google.com/spreadsheets/d/1tPxGOadMcXReSzr1pCllK5ohKzHBAwZ3gAoA5E0Z9Fs/edit?usp=sharing"",""Resumen!F3"")"),2768.75)</f>
        <v>2768.75</v>
      </c>
      <c r="G5" s="43">
        <f ca="1">IFERROR(__xludf.DUMMYFUNCTION("IMPORTRANGE(""https://docs.google.com/spreadsheets/d/1tPxGOadMcXReSzr1pCllK5ohKzHBAwZ3gAoA5E0Z9Fs/edit?usp=sharing"",""Resumen!G3"")"),1350.26)</f>
        <v>1350.26</v>
      </c>
      <c r="H5" s="43">
        <f ca="1">IFERROR(__xludf.DUMMYFUNCTION("IMPORTRANGE(""https://docs.google.com/spreadsheets/d/1tPxGOadMcXReSzr1pCllK5ohKzHBAwZ3gAoA5E0Z9Fs/edit?usp=sharing"",""Resumen!H3"")"),1854.67)</f>
        <v>1854.67</v>
      </c>
      <c r="I5" s="43">
        <f ca="1">IFERROR(__xludf.DUMMYFUNCTION("IMPORTRANGE(""https://docs.google.com/spreadsheets/d/1tPxGOadMcXReSzr1pCllK5ohKzHBAwZ3gAoA5E0Z9Fs/edit?usp=sharing"",""Resumen!I3"")"),1801.52)</f>
        <v>1801.52</v>
      </c>
      <c r="J5" s="43">
        <f ca="1">IFERROR(__xludf.DUMMYFUNCTION("IMPORTRANGE(""https://docs.google.com/spreadsheets/d/1tPxGOadMcXReSzr1pCllK5ohKzHBAwZ3gAoA5E0Z9Fs/edit?usp=sharing"",""Resumen!J3"")"),1778.83)</f>
        <v>1778.83</v>
      </c>
      <c r="K5" s="43">
        <f ca="1">IFERROR(__xludf.DUMMYFUNCTION("IMPORTRANGE(""https://docs.google.com/spreadsheets/d/1tPxGOadMcXReSzr1pCllK5ohKzHBAwZ3gAoA5E0Z9Fs/edit?usp=sharing"",""Resumen!K3"")"),1534.84)</f>
        <v>1534.84</v>
      </c>
      <c r="L5" s="43">
        <f ca="1">IFERROR(__xludf.DUMMYFUNCTION("IMPORTRANGE(""https://docs.google.com/spreadsheets/d/1tPxGOadMcXReSzr1pCllK5ohKzHBAwZ3gAoA5E0Z9Fs/edit?usp=sharing"",""Resumen!L3"")"),1828.75)</f>
        <v>1828.75</v>
      </c>
      <c r="M5" s="43">
        <f ca="1">IFERROR(__xludf.DUMMYFUNCTION("IMPORTRANGE(""https://docs.google.com/spreadsheets/d/1tPxGOadMcXReSzr1pCllK5ohKzHBAwZ3gAoA5E0Z9Fs/edit?usp=sharing"",""Resumen!M3"")"),2004.19)</f>
        <v>2004.19</v>
      </c>
      <c r="N5" s="43">
        <f ca="1">IFERROR(__xludf.DUMMYFUNCTION("IMPORTRANGE(""https://docs.google.com/spreadsheets/d/1tPxGOadMcXReSzr1pCllK5ohKzHBAwZ3gAoA5E0Z9Fs/edit?usp=sharing"",""Resumen!N3"")"),2003.63)</f>
        <v>2003.63</v>
      </c>
      <c r="O5" s="43">
        <f ca="1">IFERROR(__xludf.DUMMYFUNCTION("IMPORTRANGE(""https://docs.google.com/spreadsheets/d/1tPxGOadMcXReSzr1pCllK5ohKzHBAwZ3gAoA5E0Z9Fs/edit?usp=sharing"",""Resumen!O3"")"),1998.03)</f>
        <v>1998.03</v>
      </c>
      <c r="P5" s="44">
        <f t="shared" ca="1" si="1"/>
        <v>21468.579999999991</v>
      </c>
      <c r="Q5" s="44">
        <f t="shared" ca="1" si="2"/>
        <v>1789.0483333333325</v>
      </c>
      <c r="R5" s="45"/>
    </row>
    <row r="6" spans="1:18" ht="18" outlineLevel="1" x14ac:dyDescent="0.2">
      <c r="A6" s="40"/>
      <c r="B6" s="41"/>
      <c r="C6" s="46" t="s">
        <v>12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>
        <f t="shared" si="1"/>
        <v>0</v>
      </c>
      <c r="Q6" s="44">
        <f t="shared" si="2"/>
        <v>0</v>
      </c>
      <c r="R6" s="45"/>
    </row>
    <row r="7" spans="1:18" ht="18" outlineLevel="1" x14ac:dyDescent="0.2">
      <c r="A7" s="40"/>
      <c r="B7" s="41"/>
      <c r="C7" s="46" t="s">
        <v>19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>
        <f t="shared" si="1"/>
        <v>0</v>
      </c>
      <c r="Q7" s="44">
        <f t="shared" si="2"/>
        <v>0</v>
      </c>
      <c r="R7" s="45"/>
    </row>
    <row r="8" spans="1:18" ht="18" outlineLevel="1" x14ac:dyDescent="0.2">
      <c r="A8" s="40"/>
      <c r="B8" s="41"/>
      <c r="C8" s="46" t="s">
        <v>20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>
        <f t="shared" si="1"/>
        <v>0</v>
      </c>
      <c r="Q8" s="44">
        <f t="shared" si="2"/>
        <v>0</v>
      </c>
      <c r="R8" s="45"/>
    </row>
    <row r="9" spans="1:18" ht="18" x14ac:dyDescent="0.2">
      <c r="A9" s="40"/>
      <c r="B9" s="41"/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/>
      <c r="Q9" s="49"/>
      <c r="R9" s="45"/>
    </row>
    <row r="10" spans="1:18" ht="18" x14ac:dyDescent="0.2">
      <c r="A10" s="40"/>
      <c r="B10" s="41"/>
      <c r="C10" s="5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51"/>
      <c r="Q10" s="51"/>
      <c r="R10" s="45"/>
    </row>
    <row r="11" spans="1:18" ht="18" collapsed="1" x14ac:dyDescent="0.2">
      <c r="A11" s="34" t="s">
        <v>21</v>
      </c>
      <c r="B11" s="35"/>
      <c r="C11" s="36" t="s">
        <v>22</v>
      </c>
      <c r="D11" s="37">
        <f t="shared" ref="D11:O11" si="3">SUM(D12:D19)</f>
        <v>0</v>
      </c>
      <c r="E11" s="37">
        <f t="shared" si="3"/>
        <v>0</v>
      </c>
      <c r="F11" s="37">
        <f t="shared" si="3"/>
        <v>0</v>
      </c>
      <c r="G11" s="37">
        <f t="shared" si="3"/>
        <v>0</v>
      </c>
      <c r="H11" s="37">
        <f t="shared" si="3"/>
        <v>0</v>
      </c>
      <c r="I11" s="37">
        <f t="shared" si="3"/>
        <v>0</v>
      </c>
      <c r="J11" s="37">
        <f t="shared" si="3"/>
        <v>0</v>
      </c>
      <c r="K11" s="37">
        <f t="shared" si="3"/>
        <v>0</v>
      </c>
      <c r="L11" s="37">
        <f t="shared" si="3"/>
        <v>0</v>
      </c>
      <c r="M11" s="37">
        <f t="shared" si="3"/>
        <v>0</v>
      </c>
      <c r="N11" s="37">
        <f t="shared" si="3"/>
        <v>0</v>
      </c>
      <c r="O11" s="37">
        <f t="shared" si="3"/>
        <v>0</v>
      </c>
      <c r="P11" s="38">
        <f t="shared" ref="P11:P17" si="4">SUM(D11:O11)</f>
        <v>0</v>
      </c>
      <c r="Q11" s="38">
        <v>0</v>
      </c>
      <c r="R11" s="39"/>
    </row>
    <row r="12" spans="1:18" ht="18" hidden="1" outlineLevel="1" x14ac:dyDescent="0.2">
      <c r="A12" s="40"/>
      <c r="B12" s="41"/>
      <c r="C12" s="46" t="s">
        <v>23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>
        <f t="shared" si="4"/>
        <v>0</v>
      </c>
      <c r="Q12" s="44">
        <f t="shared" ref="Q12:Q17" si="5">IFERROR(AVERAGE(D12:O12),0)</f>
        <v>0</v>
      </c>
      <c r="R12" s="45"/>
    </row>
    <row r="13" spans="1:18" ht="18" hidden="1" outlineLevel="1" x14ac:dyDescent="0.2">
      <c r="A13" s="40"/>
      <c r="B13" s="41"/>
      <c r="C13" s="46" t="s">
        <v>24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>
        <f t="shared" si="4"/>
        <v>0</v>
      </c>
      <c r="Q13" s="44">
        <f t="shared" si="5"/>
        <v>0</v>
      </c>
      <c r="R13" s="45"/>
    </row>
    <row r="14" spans="1:18" ht="18" hidden="1" outlineLevel="1" x14ac:dyDescent="0.2">
      <c r="A14" s="40"/>
      <c r="B14" s="41"/>
      <c r="C14" s="46" t="s">
        <v>25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>
        <f t="shared" si="4"/>
        <v>0</v>
      </c>
      <c r="Q14" s="44">
        <f t="shared" si="5"/>
        <v>0</v>
      </c>
      <c r="R14" s="45"/>
    </row>
    <row r="15" spans="1:18" ht="18" hidden="1" outlineLevel="1" x14ac:dyDescent="0.2">
      <c r="A15" s="40"/>
      <c r="B15" s="41"/>
      <c r="C15" s="46" t="s">
        <v>26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>
        <f t="shared" si="4"/>
        <v>0</v>
      </c>
      <c r="Q15" s="44">
        <f t="shared" si="5"/>
        <v>0</v>
      </c>
      <c r="R15" s="45"/>
    </row>
    <row r="16" spans="1:18" ht="18" hidden="1" outlineLevel="1" x14ac:dyDescent="0.2">
      <c r="A16" s="40"/>
      <c r="B16" s="41"/>
      <c r="C16" s="46" t="s">
        <v>27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>
        <f t="shared" si="4"/>
        <v>0</v>
      </c>
      <c r="Q16" s="44">
        <f t="shared" si="5"/>
        <v>0</v>
      </c>
      <c r="R16" s="45"/>
    </row>
    <row r="17" spans="1:18" ht="18" hidden="1" outlineLevel="1" x14ac:dyDescent="0.2">
      <c r="A17" s="40"/>
      <c r="B17" s="41"/>
      <c r="C17" s="46" t="s">
        <v>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>
        <f t="shared" si="4"/>
        <v>0</v>
      </c>
      <c r="Q17" s="44">
        <f t="shared" si="5"/>
        <v>0</v>
      </c>
      <c r="R17" s="45"/>
    </row>
    <row r="18" spans="1:18" ht="18" x14ac:dyDescent="0.2">
      <c r="A18" s="40"/>
      <c r="B18" s="41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49"/>
      <c r="R18" s="45"/>
    </row>
    <row r="19" spans="1:18" ht="19.5" hidden="1" customHeight="1" x14ac:dyDescent="0.2">
      <c r="A19" s="52"/>
      <c r="B19" s="53"/>
      <c r="C19" s="47"/>
      <c r="D19" s="48"/>
      <c r="E19" s="48"/>
      <c r="F19" s="48"/>
      <c r="G19" s="48"/>
      <c r="H19" s="48"/>
      <c r="I19" s="48"/>
      <c r="J19" s="54"/>
      <c r="K19" s="54"/>
      <c r="L19" s="54"/>
      <c r="M19" s="54"/>
      <c r="N19" s="54"/>
      <c r="O19" s="54"/>
      <c r="P19" s="51"/>
      <c r="Q19" s="51"/>
      <c r="R19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14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outlineLevelRow="1" outlineLevelCol="1" x14ac:dyDescent="0.2"/>
  <cols>
    <col min="1" max="1" width="13.42578125" customWidth="1"/>
    <col min="2" max="2" width="2" customWidth="1"/>
    <col min="3" max="3" width="19.140625" customWidth="1"/>
    <col min="4" max="15" width="9.42578125" customWidth="1" outlineLevel="1"/>
    <col min="16" max="16" width="10.42578125" customWidth="1"/>
    <col min="17" max="17" width="9.42578125" customWidth="1"/>
    <col min="18" max="18" width="8.85546875" customWidth="1"/>
  </cols>
  <sheetData>
    <row r="1" spans="1:18" ht="18" x14ac:dyDescent="0.2">
      <c r="A1" s="23"/>
      <c r="B1" s="23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7"/>
      <c r="R1" s="27"/>
    </row>
    <row r="2" spans="1:18" ht="29.25" x14ac:dyDescent="0.55000000000000004">
      <c r="A2" s="28"/>
      <c r="B2" s="28"/>
      <c r="C2" s="29" t="s">
        <v>28</v>
      </c>
      <c r="D2" s="55" t="s">
        <v>29</v>
      </c>
      <c r="E2" s="30">
        <v>42401</v>
      </c>
      <c r="F2" s="30">
        <v>42430</v>
      </c>
      <c r="G2" s="55" t="s">
        <v>30</v>
      </c>
      <c r="H2" s="30">
        <v>42491</v>
      </c>
      <c r="I2" s="30">
        <v>42522</v>
      </c>
      <c r="J2" s="30">
        <v>42552</v>
      </c>
      <c r="K2" s="55" t="s">
        <v>31</v>
      </c>
      <c r="L2" s="30">
        <v>42614</v>
      </c>
      <c r="M2" s="30">
        <v>42644</v>
      </c>
      <c r="N2" s="30">
        <v>42675</v>
      </c>
      <c r="O2" s="55" t="s">
        <v>32</v>
      </c>
      <c r="P2" s="31" t="s">
        <v>13</v>
      </c>
      <c r="Q2" s="32" t="s">
        <v>33</v>
      </c>
      <c r="R2" s="33"/>
    </row>
    <row r="3" spans="1:18" ht="18" collapsed="1" x14ac:dyDescent="0.2">
      <c r="A3" s="56" t="s">
        <v>34</v>
      </c>
      <c r="B3" s="35"/>
      <c r="C3" s="36" t="s">
        <v>16</v>
      </c>
      <c r="D3" s="37">
        <f t="shared" ref="D3:O3" si="0">SUM(D4:D13)</f>
        <v>0</v>
      </c>
      <c r="E3" s="37">
        <f t="shared" si="0"/>
        <v>0</v>
      </c>
      <c r="F3" s="37">
        <f t="shared" si="0"/>
        <v>0</v>
      </c>
      <c r="G3" s="37">
        <f t="shared" si="0"/>
        <v>0</v>
      </c>
      <c r="H3" s="37">
        <f t="shared" si="0"/>
        <v>0</v>
      </c>
      <c r="I3" s="37">
        <f t="shared" si="0"/>
        <v>0</v>
      </c>
      <c r="J3" s="37">
        <f t="shared" si="0"/>
        <v>0</v>
      </c>
      <c r="K3" s="37">
        <f t="shared" si="0"/>
        <v>0</v>
      </c>
      <c r="L3" s="37">
        <f t="shared" si="0"/>
        <v>0</v>
      </c>
      <c r="M3" s="37">
        <f t="shared" si="0"/>
        <v>0</v>
      </c>
      <c r="N3" s="37">
        <f t="shared" si="0"/>
        <v>0</v>
      </c>
      <c r="O3" s="37">
        <f t="shared" si="0"/>
        <v>0</v>
      </c>
      <c r="P3" s="38">
        <f t="shared" ref="P3:P8" si="1">SUM(D3:O3)</f>
        <v>0</v>
      </c>
      <c r="Q3" s="38">
        <v>0</v>
      </c>
      <c r="R3" s="39"/>
    </row>
    <row r="4" spans="1:18" ht="18" hidden="1" outlineLevel="1" x14ac:dyDescent="0.2">
      <c r="A4" s="52"/>
      <c r="B4" s="53"/>
      <c r="C4" s="50" t="s">
        <v>35</v>
      </c>
      <c r="D4" s="57"/>
      <c r="E4" s="57"/>
      <c r="F4" s="57"/>
      <c r="G4" s="57"/>
      <c r="H4" s="57"/>
      <c r="I4" s="57"/>
      <c r="J4" s="58"/>
      <c r="K4" s="58"/>
      <c r="L4" s="57"/>
      <c r="M4" s="57"/>
      <c r="N4" s="57"/>
      <c r="O4" s="57"/>
      <c r="P4" s="59">
        <f t="shared" si="1"/>
        <v>0</v>
      </c>
      <c r="Q4" s="59">
        <f t="shared" ref="Q4:Q8" si="2">IFERROR(AVERAGE(D4:O4),0)</f>
        <v>0</v>
      </c>
      <c r="R4" s="45"/>
    </row>
    <row r="5" spans="1:18" ht="18" hidden="1" outlineLevel="1" x14ac:dyDescent="0.2">
      <c r="A5" s="40"/>
      <c r="B5" s="41"/>
      <c r="C5" s="50" t="s">
        <v>36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9">
        <f t="shared" si="1"/>
        <v>0</v>
      </c>
      <c r="Q5" s="59">
        <f t="shared" si="2"/>
        <v>0</v>
      </c>
      <c r="R5" s="45"/>
    </row>
    <row r="6" spans="1:18" ht="18" hidden="1" outlineLevel="1" x14ac:dyDescent="0.2">
      <c r="A6" s="40"/>
      <c r="B6" s="41"/>
      <c r="C6" s="50" t="s">
        <v>37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9">
        <f t="shared" si="1"/>
        <v>0</v>
      </c>
      <c r="Q6" s="59">
        <f t="shared" si="2"/>
        <v>0</v>
      </c>
      <c r="R6" s="45"/>
    </row>
    <row r="7" spans="1:18" ht="18" hidden="1" outlineLevel="1" x14ac:dyDescent="0.2">
      <c r="A7" s="40"/>
      <c r="B7" s="41"/>
      <c r="C7" s="50" t="s">
        <v>38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9">
        <f t="shared" si="1"/>
        <v>0</v>
      </c>
      <c r="Q7" s="59">
        <f t="shared" si="2"/>
        <v>0</v>
      </c>
      <c r="R7" s="45"/>
    </row>
    <row r="8" spans="1:18" ht="18" hidden="1" outlineLevel="1" x14ac:dyDescent="0.2">
      <c r="A8" s="40"/>
      <c r="B8" s="41"/>
      <c r="C8" s="50" t="s">
        <v>39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9">
        <f t="shared" si="1"/>
        <v>0</v>
      </c>
      <c r="Q8" s="59">
        <f t="shared" si="2"/>
        <v>0</v>
      </c>
      <c r="R8" s="45"/>
    </row>
    <row r="9" spans="1:18" ht="18" hidden="1" outlineLevel="1" x14ac:dyDescent="0.2">
      <c r="A9" s="40"/>
      <c r="B9" s="41"/>
      <c r="C9" s="50" t="s">
        <v>40</v>
      </c>
      <c r="D9" s="60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9">
        <f>SUM(E9:O9)</f>
        <v>0</v>
      </c>
      <c r="Q9" s="59">
        <f>IFERROR(AVERAGE(E9:O9),0)</f>
        <v>0</v>
      </c>
      <c r="R9" s="45"/>
    </row>
    <row r="10" spans="1:18" ht="18" hidden="1" outlineLevel="1" x14ac:dyDescent="0.2">
      <c r="A10" s="40"/>
      <c r="B10" s="41"/>
      <c r="C10" s="50" t="s">
        <v>41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9">
        <f t="shared" ref="P10:P11" si="3">SUM(D10:O10)</f>
        <v>0</v>
      </c>
      <c r="Q10" s="59">
        <f t="shared" ref="Q10:Q11" si="4">IFERROR(AVERAGE(D10:O10),0)</f>
        <v>0</v>
      </c>
      <c r="R10" s="45"/>
    </row>
    <row r="11" spans="1:18" ht="18" hidden="1" outlineLevel="1" x14ac:dyDescent="0.2">
      <c r="A11" s="40"/>
      <c r="B11" s="41"/>
      <c r="C11" s="50" t="s">
        <v>21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9">
        <f t="shared" si="3"/>
        <v>0</v>
      </c>
      <c r="Q11" s="59">
        <f t="shared" si="4"/>
        <v>0</v>
      </c>
      <c r="R11" s="45"/>
    </row>
    <row r="12" spans="1:18" ht="18" x14ac:dyDescent="0.2">
      <c r="A12" s="40"/>
      <c r="B12" s="41"/>
      <c r="C12" s="50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Q12" s="49"/>
      <c r="R12" s="45"/>
    </row>
    <row r="13" spans="1:18" ht="18" x14ac:dyDescent="0.2">
      <c r="A13" s="40"/>
      <c r="B13" s="41"/>
      <c r="C13" s="50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51"/>
      <c r="Q13" s="51"/>
      <c r="R13" s="45"/>
    </row>
    <row r="14" spans="1:18" ht="18" collapsed="1" x14ac:dyDescent="0.2">
      <c r="A14" s="56" t="s">
        <v>42</v>
      </c>
      <c r="B14" s="35"/>
      <c r="C14" s="36" t="s">
        <v>16</v>
      </c>
      <c r="D14" s="37">
        <f t="shared" ref="D14:O14" si="5">SUM(D15:D22)</f>
        <v>0</v>
      </c>
      <c r="E14" s="37">
        <f t="shared" si="5"/>
        <v>0</v>
      </c>
      <c r="F14" s="37">
        <f t="shared" si="5"/>
        <v>0</v>
      </c>
      <c r="G14" s="37">
        <f t="shared" si="5"/>
        <v>0</v>
      </c>
      <c r="H14" s="37">
        <f t="shared" si="5"/>
        <v>0</v>
      </c>
      <c r="I14" s="37">
        <f t="shared" si="5"/>
        <v>0</v>
      </c>
      <c r="J14" s="37">
        <f t="shared" si="5"/>
        <v>0</v>
      </c>
      <c r="K14" s="37">
        <f t="shared" si="5"/>
        <v>0</v>
      </c>
      <c r="L14" s="37">
        <f t="shared" si="5"/>
        <v>0</v>
      </c>
      <c r="M14" s="37">
        <f t="shared" si="5"/>
        <v>0</v>
      </c>
      <c r="N14" s="37">
        <f t="shared" si="5"/>
        <v>0</v>
      </c>
      <c r="O14" s="37">
        <f t="shared" si="5"/>
        <v>0</v>
      </c>
      <c r="P14" s="38">
        <f t="shared" ref="P14:P20" si="6">SUM(D14:O14)</f>
        <v>0</v>
      </c>
      <c r="Q14" s="38">
        <v>0</v>
      </c>
      <c r="R14" s="39"/>
    </row>
    <row r="15" spans="1:18" ht="18" hidden="1" outlineLevel="1" x14ac:dyDescent="0.2">
      <c r="A15" s="52"/>
      <c r="B15" s="53"/>
      <c r="C15" s="50" t="s">
        <v>43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9">
        <f t="shared" si="6"/>
        <v>0</v>
      </c>
      <c r="Q15" s="59">
        <f t="shared" ref="Q15:Q20" si="7">IFERROR(AVERAGE(D15:O15),0)</f>
        <v>0</v>
      </c>
      <c r="R15" s="45"/>
    </row>
    <row r="16" spans="1:18" ht="18" hidden="1" outlineLevel="1" x14ac:dyDescent="0.2">
      <c r="A16" s="52"/>
      <c r="B16" s="53"/>
      <c r="C16" s="50" t="s">
        <v>44</v>
      </c>
      <c r="D16" s="57"/>
      <c r="E16" s="57"/>
      <c r="F16" s="57"/>
      <c r="G16" s="57"/>
      <c r="H16" s="57"/>
      <c r="I16" s="57"/>
      <c r="J16" s="58"/>
      <c r="K16" s="58"/>
      <c r="L16" s="57"/>
      <c r="M16" s="57"/>
      <c r="N16" s="57"/>
      <c r="O16" s="57"/>
      <c r="P16" s="59">
        <f t="shared" si="6"/>
        <v>0</v>
      </c>
      <c r="Q16" s="59">
        <f t="shared" si="7"/>
        <v>0</v>
      </c>
      <c r="R16" s="45"/>
    </row>
    <row r="17" spans="1:18" ht="18" hidden="1" outlineLevel="1" x14ac:dyDescent="0.2">
      <c r="A17" s="52"/>
      <c r="B17" s="53"/>
      <c r="C17" s="50" t="s">
        <v>45</v>
      </c>
      <c r="D17" s="57"/>
      <c r="E17" s="57"/>
      <c r="F17" s="57"/>
      <c r="G17" s="57"/>
      <c r="H17" s="57"/>
      <c r="I17" s="57"/>
      <c r="J17" s="58"/>
      <c r="K17" s="58"/>
      <c r="L17" s="57"/>
      <c r="M17" s="57"/>
      <c r="N17" s="57"/>
      <c r="O17" s="57"/>
      <c r="P17" s="59">
        <f t="shared" si="6"/>
        <v>0</v>
      </c>
      <c r="Q17" s="59">
        <f t="shared" si="7"/>
        <v>0</v>
      </c>
      <c r="R17" s="45"/>
    </row>
    <row r="18" spans="1:18" ht="18" hidden="1" outlineLevel="1" x14ac:dyDescent="0.2">
      <c r="A18" s="52"/>
      <c r="B18" s="53"/>
      <c r="C18" s="50" t="s">
        <v>46</v>
      </c>
      <c r="D18" s="57"/>
      <c r="E18" s="57"/>
      <c r="F18" s="57"/>
      <c r="G18" s="57"/>
      <c r="H18" s="57"/>
      <c r="I18" s="57"/>
      <c r="J18" s="58"/>
      <c r="K18" s="58"/>
      <c r="L18" s="57"/>
      <c r="M18" s="57"/>
      <c r="N18" s="57"/>
      <c r="O18" s="57"/>
      <c r="P18" s="59">
        <f t="shared" si="6"/>
        <v>0</v>
      </c>
      <c r="Q18" s="59">
        <f t="shared" si="7"/>
        <v>0</v>
      </c>
      <c r="R18" s="45"/>
    </row>
    <row r="19" spans="1:18" ht="18" hidden="1" outlineLevel="1" x14ac:dyDescent="0.2">
      <c r="A19" s="52"/>
      <c r="B19" s="53"/>
      <c r="C19" s="50" t="s">
        <v>47</v>
      </c>
      <c r="D19" s="57"/>
      <c r="E19" s="57"/>
      <c r="F19" s="57"/>
      <c r="G19" s="57"/>
      <c r="H19" s="57"/>
      <c r="I19" s="57"/>
      <c r="J19" s="58"/>
      <c r="K19" s="58"/>
      <c r="L19" s="57"/>
      <c r="M19" s="57"/>
      <c r="N19" s="57"/>
      <c r="O19" s="57"/>
      <c r="P19" s="59">
        <f t="shared" si="6"/>
        <v>0</v>
      </c>
      <c r="Q19" s="59">
        <f t="shared" si="7"/>
        <v>0</v>
      </c>
      <c r="R19" s="45"/>
    </row>
    <row r="20" spans="1:18" ht="18" hidden="1" outlineLevel="1" x14ac:dyDescent="0.2">
      <c r="A20" s="52"/>
      <c r="B20" s="53"/>
      <c r="C20" s="50" t="s">
        <v>21</v>
      </c>
      <c r="D20" s="57"/>
      <c r="E20" s="57"/>
      <c r="F20" s="57"/>
      <c r="G20" s="57"/>
      <c r="H20" s="57"/>
      <c r="I20" s="57"/>
      <c r="J20" s="58"/>
      <c r="K20" s="58"/>
      <c r="L20" s="57"/>
      <c r="M20" s="57"/>
      <c r="N20" s="57"/>
      <c r="O20" s="57"/>
      <c r="P20" s="59">
        <f t="shared" si="6"/>
        <v>0</v>
      </c>
      <c r="Q20" s="59">
        <f t="shared" si="7"/>
        <v>0</v>
      </c>
      <c r="R20" s="45"/>
    </row>
    <row r="21" spans="1:18" ht="18" x14ac:dyDescent="0.2">
      <c r="A21" s="52"/>
      <c r="B21" s="53"/>
      <c r="C21" s="47"/>
      <c r="D21" s="48"/>
      <c r="E21" s="48"/>
      <c r="F21" s="48"/>
      <c r="G21" s="48"/>
      <c r="H21" s="48"/>
      <c r="I21" s="48"/>
      <c r="J21" s="54"/>
      <c r="K21" s="54"/>
      <c r="L21" s="48"/>
      <c r="M21" s="48"/>
      <c r="N21" s="48"/>
      <c r="O21" s="48"/>
      <c r="P21" s="49"/>
      <c r="Q21" s="49"/>
      <c r="R21" s="45"/>
    </row>
    <row r="22" spans="1:18" ht="18" x14ac:dyDescent="0.2">
      <c r="A22" s="40"/>
      <c r="B22" s="41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51"/>
      <c r="Q22" s="51"/>
      <c r="R22" s="45"/>
    </row>
    <row r="23" spans="1:18" ht="18" collapsed="1" x14ac:dyDescent="0.2">
      <c r="A23" s="56" t="s">
        <v>48</v>
      </c>
      <c r="B23" s="35"/>
      <c r="C23" s="36" t="s">
        <v>16</v>
      </c>
      <c r="D23" s="37">
        <f t="shared" ref="D23:O23" si="8">SUM(D24:D29)</f>
        <v>0</v>
      </c>
      <c r="E23" s="37">
        <f t="shared" si="8"/>
        <v>0</v>
      </c>
      <c r="F23" s="37">
        <f t="shared" si="8"/>
        <v>0</v>
      </c>
      <c r="G23" s="37">
        <f t="shared" si="8"/>
        <v>0</v>
      </c>
      <c r="H23" s="37">
        <f t="shared" si="8"/>
        <v>0</v>
      </c>
      <c r="I23" s="37">
        <f t="shared" si="8"/>
        <v>0</v>
      </c>
      <c r="J23" s="37">
        <f t="shared" si="8"/>
        <v>0</v>
      </c>
      <c r="K23" s="37">
        <f t="shared" si="8"/>
        <v>0</v>
      </c>
      <c r="L23" s="37">
        <f t="shared" si="8"/>
        <v>0</v>
      </c>
      <c r="M23" s="37">
        <f t="shared" si="8"/>
        <v>0</v>
      </c>
      <c r="N23" s="37">
        <f t="shared" si="8"/>
        <v>0</v>
      </c>
      <c r="O23" s="37">
        <f t="shared" si="8"/>
        <v>0</v>
      </c>
      <c r="P23" s="38">
        <f t="shared" ref="P23:P27" si="9">SUM(D23:O23)</f>
        <v>0</v>
      </c>
      <c r="Q23" s="38">
        <v>0</v>
      </c>
      <c r="R23" s="39"/>
    </row>
    <row r="24" spans="1:18" ht="18" hidden="1" outlineLevel="1" x14ac:dyDescent="0.2">
      <c r="A24" s="52"/>
      <c r="B24" s="53"/>
      <c r="C24" s="50" t="s">
        <v>49</v>
      </c>
      <c r="D24" s="57"/>
      <c r="E24" s="57"/>
      <c r="F24" s="57"/>
      <c r="G24" s="57"/>
      <c r="H24" s="57"/>
      <c r="I24" s="57"/>
      <c r="J24" s="58"/>
      <c r="K24" s="58"/>
      <c r="L24" s="57"/>
      <c r="M24" s="57"/>
      <c r="N24" s="57"/>
      <c r="O24" s="57"/>
      <c r="P24" s="59">
        <f t="shared" si="9"/>
        <v>0</v>
      </c>
      <c r="Q24" s="59">
        <f t="shared" ref="Q24:Q27" si="10">IFERROR(AVERAGE(D24:O24),0)</f>
        <v>0</v>
      </c>
      <c r="R24" s="45"/>
    </row>
    <row r="25" spans="1:18" ht="18" hidden="1" outlineLevel="1" x14ac:dyDescent="0.2">
      <c r="A25" s="52"/>
      <c r="B25" s="53"/>
      <c r="C25" s="50" t="s">
        <v>50</v>
      </c>
      <c r="D25" s="57"/>
      <c r="E25" s="57"/>
      <c r="F25" s="57"/>
      <c r="G25" s="57"/>
      <c r="H25" s="57"/>
      <c r="I25" s="57"/>
      <c r="J25" s="58"/>
      <c r="K25" s="58"/>
      <c r="L25" s="57"/>
      <c r="M25" s="57"/>
      <c r="N25" s="57"/>
      <c r="O25" s="57"/>
      <c r="P25" s="59">
        <f t="shared" si="9"/>
        <v>0</v>
      </c>
      <c r="Q25" s="59">
        <f t="shared" si="10"/>
        <v>0</v>
      </c>
      <c r="R25" s="45"/>
    </row>
    <row r="26" spans="1:18" ht="18" hidden="1" outlineLevel="1" x14ac:dyDescent="0.2">
      <c r="A26" s="52"/>
      <c r="B26" s="53"/>
      <c r="C26" s="50" t="s">
        <v>51</v>
      </c>
      <c r="D26" s="57"/>
      <c r="E26" s="57"/>
      <c r="F26" s="57"/>
      <c r="G26" s="57"/>
      <c r="H26" s="57"/>
      <c r="I26" s="57"/>
      <c r="J26" s="58"/>
      <c r="K26" s="58"/>
      <c r="L26" s="57"/>
      <c r="M26" s="57"/>
      <c r="N26" s="57"/>
      <c r="O26" s="57"/>
      <c r="P26" s="59">
        <f t="shared" si="9"/>
        <v>0</v>
      </c>
      <c r="Q26" s="59">
        <f t="shared" si="10"/>
        <v>0</v>
      </c>
      <c r="R26" s="45"/>
    </row>
    <row r="27" spans="1:18" ht="18" hidden="1" outlineLevel="1" x14ac:dyDescent="0.2">
      <c r="A27" s="52"/>
      <c r="B27" s="53"/>
      <c r="C27" s="50" t="s">
        <v>21</v>
      </c>
      <c r="D27" s="57"/>
      <c r="E27" s="57"/>
      <c r="F27" s="57"/>
      <c r="G27" s="57"/>
      <c r="H27" s="57"/>
      <c r="I27" s="57"/>
      <c r="J27" s="58"/>
      <c r="K27" s="58"/>
      <c r="L27" s="57"/>
      <c r="M27" s="57"/>
      <c r="N27" s="57"/>
      <c r="O27" s="57"/>
      <c r="P27" s="59">
        <f t="shared" si="9"/>
        <v>0</v>
      </c>
      <c r="Q27" s="59">
        <f t="shared" si="10"/>
        <v>0</v>
      </c>
      <c r="R27" s="45"/>
    </row>
    <row r="28" spans="1:18" ht="18" x14ac:dyDescent="0.2">
      <c r="A28" s="52"/>
      <c r="B28" s="53"/>
      <c r="C28" s="50" t="s">
        <v>52</v>
      </c>
      <c r="D28" s="48"/>
      <c r="E28" s="48"/>
      <c r="F28" s="48"/>
      <c r="G28" s="48"/>
      <c r="H28" s="48"/>
      <c r="I28" s="48"/>
      <c r="J28" s="54"/>
      <c r="K28" s="54"/>
      <c r="L28" s="48"/>
      <c r="M28" s="48"/>
      <c r="N28" s="48"/>
      <c r="O28" s="48"/>
      <c r="P28" s="49"/>
      <c r="Q28" s="49"/>
      <c r="R28" s="45"/>
    </row>
    <row r="29" spans="1:18" ht="18" x14ac:dyDescent="0.2">
      <c r="A29" s="40"/>
      <c r="B29" s="41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61"/>
      <c r="Q29" s="51"/>
      <c r="R29" s="45"/>
    </row>
    <row r="30" spans="1:18" ht="18" collapsed="1" x14ac:dyDescent="0.2">
      <c r="A30" s="56" t="s">
        <v>53</v>
      </c>
      <c r="B30" s="35"/>
      <c r="C30" s="36" t="s">
        <v>16</v>
      </c>
      <c r="D30" s="37">
        <f t="shared" ref="D30:O30" si="11">SUM(D31:D44)</f>
        <v>0</v>
      </c>
      <c r="E30" s="37">
        <f t="shared" si="11"/>
        <v>0</v>
      </c>
      <c r="F30" s="37">
        <f t="shared" si="11"/>
        <v>0</v>
      </c>
      <c r="G30" s="37">
        <f t="shared" si="11"/>
        <v>0</v>
      </c>
      <c r="H30" s="37">
        <f t="shared" si="11"/>
        <v>0</v>
      </c>
      <c r="I30" s="37">
        <f t="shared" si="11"/>
        <v>0</v>
      </c>
      <c r="J30" s="37">
        <f t="shared" si="11"/>
        <v>0</v>
      </c>
      <c r="K30" s="37">
        <f t="shared" si="11"/>
        <v>0</v>
      </c>
      <c r="L30" s="37">
        <f t="shared" si="11"/>
        <v>0</v>
      </c>
      <c r="M30" s="37">
        <f t="shared" si="11"/>
        <v>0</v>
      </c>
      <c r="N30" s="37">
        <f t="shared" si="11"/>
        <v>0</v>
      </c>
      <c r="O30" s="37">
        <f t="shared" si="11"/>
        <v>0</v>
      </c>
      <c r="P30" s="38">
        <f t="shared" ref="P30:P42" si="12">SUM(D30:O30)</f>
        <v>0</v>
      </c>
      <c r="Q30" s="38">
        <v>0</v>
      </c>
      <c r="R30" s="39"/>
    </row>
    <row r="31" spans="1:18" ht="18" hidden="1" outlineLevel="1" x14ac:dyDescent="0.2">
      <c r="A31" s="52"/>
      <c r="B31" s="53"/>
      <c r="C31" s="50" t="s">
        <v>50</v>
      </c>
      <c r="D31" s="57"/>
      <c r="E31" s="57"/>
      <c r="F31" s="57"/>
      <c r="G31" s="57"/>
      <c r="H31" s="57"/>
      <c r="I31" s="57"/>
      <c r="J31" s="58"/>
      <c r="K31" s="58"/>
      <c r="L31" s="57"/>
      <c r="M31" s="57"/>
      <c r="N31" s="57"/>
      <c r="O31" s="57"/>
      <c r="P31" s="59">
        <f t="shared" si="12"/>
        <v>0</v>
      </c>
      <c r="Q31" s="59">
        <f t="shared" ref="Q31:Q42" si="13">IFERROR(AVERAGE(D31:O31),0)</f>
        <v>0</v>
      </c>
      <c r="R31" s="45"/>
    </row>
    <row r="32" spans="1:18" ht="18" hidden="1" outlineLevel="1" x14ac:dyDescent="0.2">
      <c r="A32" s="52"/>
      <c r="B32" s="53"/>
      <c r="C32" s="50" t="s">
        <v>54</v>
      </c>
      <c r="D32" s="57"/>
      <c r="E32" s="57"/>
      <c r="F32" s="57"/>
      <c r="G32" s="57"/>
      <c r="H32" s="57"/>
      <c r="I32" s="57"/>
      <c r="J32" s="58"/>
      <c r="K32" s="58"/>
      <c r="L32" s="57"/>
      <c r="M32" s="57"/>
      <c r="N32" s="57"/>
      <c r="O32" s="57"/>
      <c r="P32" s="59">
        <f t="shared" si="12"/>
        <v>0</v>
      </c>
      <c r="Q32" s="59">
        <f t="shared" si="13"/>
        <v>0</v>
      </c>
      <c r="R32" s="45"/>
    </row>
    <row r="33" spans="1:18" ht="18" hidden="1" outlineLevel="1" x14ac:dyDescent="0.2">
      <c r="A33" s="52"/>
      <c r="B33" s="53"/>
      <c r="C33" s="50" t="s">
        <v>55</v>
      </c>
      <c r="D33" s="57"/>
      <c r="E33" s="57"/>
      <c r="F33" s="57"/>
      <c r="G33" s="57"/>
      <c r="H33" s="57"/>
      <c r="I33" s="57"/>
      <c r="J33" s="58"/>
      <c r="K33" s="58"/>
      <c r="L33" s="57"/>
      <c r="M33" s="57"/>
      <c r="N33" s="57"/>
      <c r="O33" s="57"/>
      <c r="P33" s="59">
        <f t="shared" si="12"/>
        <v>0</v>
      </c>
      <c r="Q33" s="59">
        <f t="shared" si="13"/>
        <v>0</v>
      </c>
      <c r="R33" s="45"/>
    </row>
    <row r="34" spans="1:18" ht="18" hidden="1" outlineLevel="1" x14ac:dyDescent="0.2">
      <c r="A34" s="52"/>
      <c r="B34" s="53"/>
      <c r="C34" s="47" t="s">
        <v>56</v>
      </c>
      <c r="D34" s="57"/>
      <c r="E34" s="57"/>
      <c r="F34" s="57"/>
      <c r="G34" s="57"/>
      <c r="H34" s="57"/>
      <c r="I34" s="57"/>
      <c r="J34" s="58"/>
      <c r="K34" s="58"/>
      <c r="L34" s="57"/>
      <c r="M34" s="57"/>
      <c r="N34" s="57"/>
      <c r="O34" s="57"/>
      <c r="P34" s="59">
        <f t="shared" si="12"/>
        <v>0</v>
      </c>
      <c r="Q34" s="59">
        <f t="shared" si="13"/>
        <v>0</v>
      </c>
      <c r="R34" s="45"/>
    </row>
    <row r="35" spans="1:18" ht="18" hidden="1" outlineLevel="1" x14ac:dyDescent="0.2">
      <c r="A35" s="52"/>
      <c r="B35" s="53"/>
      <c r="C35" s="50" t="s">
        <v>57</v>
      </c>
      <c r="D35" s="57"/>
      <c r="E35" s="57"/>
      <c r="F35" s="57"/>
      <c r="G35" s="57"/>
      <c r="H35" s="57"/>
      <c r="I35" s="57"/>
      <c r="J35" s="58"/>
      <c r="K35" s="57"/>
      <c r="L35" s="57"/>
      <c r="M35" s="57"/>
      <c r="N35" s="57"/>
      <c r="O35" s="57"/>
      <c r="P35" s="59">
        <f t="shared" si="12"/>
        <v>0</v>
      </c>
      <c r="Q35" s="59">
        <f t="shared" si="13"/>
        <v>0</v>
      </c>
      <c r="R35" s="45"/>
    </row>
    <row r="36" spans="1:18" ht="18" hidden="1" outlineLevel="1" x14ac:dyDescent="0.2">
      <c r="A36" s="52"/>
      <c r="B36" s="53"/>
      <c r="C36" s="50" t="s">
        <v>58</v>
      </c>
      <c r="D36" s="57"/>
      <c r="E36" s="57"/>
      <c r="F36" s="57"/>
      <c r="G36" s="57"/>
      <c r="H36" s="57"/>
      <c r="I36" s="57"/>
      <c r="J36" s="58"/>
      <c r="K36" s="58"/>
      <c r="L36" s="57"/>
      <c r="M36" s="57"/>
      <c r="N36" s="57"/>
      <c r="O36" s="57"/>
      <c r="P36" s="59">
        <f t="shared" si="12"/>
        <v>0</v>
      </c>
      <c r="Q36" s="59">
        <f t="shared" si="13"/>
        <v>0</v>
      </c>
      <c r="R36" s="45"/>
    </row>
    <row r="37" spans="1:18" ht="18" hidden="1" outlineLevel="1" x14ac:dyDescent="0.2">
      <c r="A37" s="52"/>
      <c r="B37" s="53"/>
      <c r="C37" s="50" t="s">
        <v>59</v>
      </c>
      <c r="D37" s="57"/>
      <c r="E37" s="57"/>
      <c r="F37" s="57"/>
      <c r="G37" s="57"/>
      <c r="H37" s="57"/>
      <c r="I37" s="57"/>
      <c r="J37" s="58"/>
      <c r="K37" s="58"/>
      <c r="L37" s="57"/>
      <c r="M37" s="57"/>
      <c r="N37" s="57"/>
      <c r="O37" s="57"/>
      <c r="P37" s="59">
        <f t="shared" si="12"/>
        <v>0</v>
      </c>
      <c r="Q37" s="59">
        <f t="shared" si="13"/>
        <v>0</v>
      </c>
      <c r="R37" s="45"/>
    </row>
    <row r="38" spans="1:18" ht="18" hidden="1" outlineLevel="1" x14ac:dyDescent="0.2">
      <c r="A38" s="52"/>
      <c r="B38" s="53"/>
      <c r="C38" s="50" t="s">
        <v>60</v>
      </c>
      <c r="D38" s="57"/>
      <c r="E38" s="57"/>
      <c r="F38" s="57"/>
      <c r="G38" s="57"/>
      <c r="H38" s="57"/>
      <c r="I38" s="57"/>
      <c r="J38" s="58"/>
      <c r="K38" s="58"/>
      <c r="L38" s="57"/>
      <c r="M38" s="57"/>
      <c r="N38" s="57"/>
      <c r="O38" s="57"/>
      <c r="P38" s="59">
        <f t="shared" si="12"/>
        <v>0</v>
      </c>
      <c r="Q38" s="59">
        <f t="shared" si="13"/>
        <v>0</v>
      </c>
      <c r="R38" s="45"/>
    </row>
    <row r="39" spans="1:18" ht="18" hidden="1" outlineLevel="1" x14ac:dyDescent="0.2">
      <c r="A39" s="52"/>
      <c r="B39" s="53"/>
      <c r="C39" s="50" t="s">
        <v>61</v>
      </c>
      <c r="D39" s="57"/>
      <c r="E39" s="57"/>
      <c r="F39" s="60"/>
      <c r="G39" s="57"/>
      <c r="H39" s="57"/>
      <c r="I39" s="57"/>
      <c r="J39" s="58"/>
      <c r="K39" s="57"/>
      <c r="L39" s="57"/>
      <c r="M39" s="57"/>
      <c r="N39" s="57"/>
      <c r="O39" s="57"/>
      <c r="P39" s="59">
        <f t="shared" si="12"/>
        <v>0</v>
      </c>
      <c r="Q39" s="59">
        <f t="shared" si="13"/>
        <v>0</v>
      </c>
      <c r="R39" s="45"/>
    </row>
    <row r="40" spans="1:18" ht="18" hidden="1" outlineLevel="1" x14ac:dyDescent="0.2">
      <c r="A40" s="52"/>
      <c r="B40" s="53"/>
      <c r="C40" s="50" t="s">
        <v>62</v>
      </c>
      <c r="D40" s="57"/>
      <c r="E40" s="57"/>
      <c r="F40" s="57"/>
      <c r="G40" s="57"/>
      <c r="H40" s="57"/>
      <c r="I40" s="57"/>
      <c r="J40" s="58"/>
      <c r="K40" s="58"/>
      <c r="L40" s="57"/>
      <c r="M40" s="57"/>
      <c r="N40" s="57"/>
      <c r="O40" s="57"/>
      <c r="P40" s="59">
        <f t="shared" si="12"/>
        <v>0</v>
      </c>
      <c r="Q40" s="59">
        <f t="shared" si="13"/>
        <v>0</v>
      </c>
      <c r="R40" s="45"/>
    </row>
    <row r="41" spans="1:18" ht="18" hidden="1" outlineLevel="1" x14ac:dyDescent="0.2">
      <c r="A41" s="52"/>
      <c r="B41" s="53"/>
      <c r="C41" s="47" t="s">
        <v>63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9">
        <f t="shared" si="12"/>
        <v>0</v>
      </c>
      <c r="Q41" s="59">
        <f t="shared" si="13"/>
        <v>0</v>
      </c>
      <c r="R41" s="45"/>
    </row>
    <row r="42" spans="1:18" ht="18" hidden="1" outlineLevel="1" x14ac:dyDescent="0.2">
      <c r="A42" s="52"/>
      <c r="B42" s="53"/>
      <c r="C42" s="50" t="s">
        <v>64</v>
      </c>
      <c r="D42" s="57"/>
      <c r="E42" s="57"/>
      <c r="F42" s="57"/>
      <c r="G42" s="57"/>
      <c r="H42" s="57"/>
      <c r="I42" s="57"/>
      <c r="J42" s="58"/>
      <c r="K42" s="58"/>
      <c r="L42" s="57"/>
      <c r="M42" s="57"/>
      <c r="N42" s="57"/>
      <c r="O42" s="57"/>
      <c r="P42" s="59">
        <f t="shared" si="12"/>
        <v>0</v>
      </c>
      <c r="Q42" s="59">
        <f t="shared" si="13"/>
        <v>0</v>
      </c>
      <c r="R42" s="45"/>
    </row>
    <row r="43" spans="1:18" ht="18" x14ac:dyDescent="0.2">
      <c r="A43" s="52"/>
      <c r="B43" s="53"/>
      <c r="C43" s="47"/>
      <c r="D43" s="48"/>
      <c r="E43" s="48"/>
      <c r="F43" s="48"/>
      <c r="G43" s="48"/>
      <c r="H43" s="48"/>
      <c r="I43" s="48"/>
      <c r="J43" s="54"/>
      <c r="K43" s="54"/>
      <c r="L43" s="48"/>
      <c r="M43" s="48"/>
      <c r="N43" s="48"/>
      <c r="O43" s="48"/>
      <c r="P43" s="49"/>
      <c r="Q43" s="49"/>
      <c r="R43" s="45"/>
    </row>
    <row r="44" spans="1:18" ht="18" x14ac:dyDescent="0.2">
      <c r="A44" s="62"/>
      <c r="B44" s="63"/>
      <c r="C44" s="64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51"/>
      <c r="Q44" s="51"/>
      <c r="R44" s="45"/>
    </row>
    <row r="45" spans="1:18" ht="18" x14ac:dyDescent="0.2">
      <c r="A45" s="56" t="s">
        <v>65</v>
      </c>
      <c r="B45" s="35"/>
      <c r="C45" s="36" t="s">
        <v>16</v>
      </c>
      <c r="D45" s="37">
        <f t="shared" ref="D45:O45" ca="1" si="14">SUM(D46:D55)</f>
        <v>600.76</v>
      </c>
      <c r="E45" s="37">
        <f t="shared" ca="1" si="14"/>
        <v>391.19</v>
      </c>
      <c r="F45" s="37">
        <f t="shared" ca="1" si="14"/>
        <v>482.07</v>
      </c>
      <c r="G45" s="37">
        <f t="shared" ca="1" si="14"/>
        <v>496.30999999999995</v>
      </c>
      <c r="H45" s="37">
        <f t="shared" ca="1" si="14"/>
        <v>632.00999999999794</v>
      </c>
      <c r="I45" s="37">
        <f t="shared" ca="1" si="14"/>
        <v>669.65999999999883</v>
      </c>
      <c r="J45" s="37">
        <f t="shared" ca="1" si="14"/>
        <v>379.06</v>
      </c>
      <c r="K45" s="37">
        <f t="shared" ca="1" si="14"/>
        <v>488.64999999999901</v>
      </c>
      <c r="L45" s="37">
        <f t="shared" ca="1" si="14"/>
        <v>330.36000000000013</v>
      </c>
      <c r="M45" s="37">
        <f t="shared" ca="1" si="14"/>
        <v>570.95000000000005</v>
      </c>
      <c r="N45" s="37">
        <f t="shared" ca="1" si="14"/>
        <v>489.64</v>
      </c>
      <c r="O45" s="37">
        <f t="shared" ca="1" si="14"/>
        <v>528.91999999999894</v>
      </c>
      <c r="P45" s="38">
        <f t="shared" ref="P45:P53" ca="1" si="15">SUM(D45:O45)</f>
        <v>6059.5799999999954</v>
      </c>
      <c r="Q45" s="38">
        <v>504.96499999999997</v>
      </c>
      <c r="R45" s="39"/>
    </row>
    <row r="46" spans="1:18" ht="18" outlineLevel="1" x14ac:dyDescent="0.2">
      <c r="A46" s="52"/>
      <c r="B46" s="53"/>
      <c r="C46" s="50" t="s">
        <v>66</v>
      </c>
      <c r="D46" s="65">
        <f ca="1">IFERROR(__xludf.DUMMYFUNCTION("IMPORTRANGE(""https://docs.google.com/spreadsheets/d/1X95olAWi--HM9h-EJm_86numjL-8HpC2uxM-LnDk7Q0/edit#gid=0"",""Resumen!E4"")"),139.59)</f>
        <v>139.59</v>
      </c>
      <c r="E46" s="65">
        <f ca="1">IFERROR(__xludf.DUMMYFUNCTION("IMPORTRANGE(""https://docs.google.com/spreadsheets/d/1X95olAWi--HM9h-EJm_86numjL-8HpC2uxM-LnDk7Q0/edit#gid=0"",""Resumen!F4"")"),152.14)</f>
        <v>152.13999999999999</v>
      </c>
      <c r="F46" s="65">
        <f ca="1">IFERROR(__xludf.DUMMYFUNCTION("IMPORTRANGE(""https://docs.google.com/spreadsheets/d/1X95olAWi--HM9h-EJm_86numjL-8HpC2uxM-LnDk7Q0/edit#gid=0"",""Resumen!G4"")"),231.74)</f>
        <v>231.74</v>
      </c>
      <c r="G46" s="65">
        <f ca="1">IFERROR(__xludf.DUMMYFUNCTION("IMPORTRANGE(""https://docs.google.com/spreadsheets/d/1X95olAWi--HM9h-EJm_86numjL-8HpC2uxM-LnDk7Q0/edit#gid=0"",""Resumen!H4"")"),244.88)</f>
        <v>244.88</v>
      </c>
      <c r="H46" s="65">
        <f ca="1">IFERROR(__xludf.DUMMYFUNCTION("IMPORTRANGE(""https://docs.google.com/spreadsheets/d/1X95olAWi--HM9h-EJm_86numjL-8HpC2uxM-LnDk7Q0/edit#gid=0"",""Resumen!I4"")"),236.949999999999)</f>
        <v>236.94999999999899</v>
      </c>
      <c r="I46" s="65">
        <f ca="1">IFERROR(__xludf.DUMMYFUNCTION("IMPORTRANGE(""https://docs.google.com/spreadsheets/d/1X95olAWi--HM9h-EJm_86numjL-8HpC2uxM-LnDk7Q0/edit#gid=0"",""Resumen!J4"")"),250.39)</f>
        <v>250.39</v>
      </c>
      <c r="J46" s="65">
        <f ca="1">IFERROR(__xludf.DUMMYFUNCTION("IMPORTRANGE(""https://docs.google.com/spreadsheets/d/1X95olAWi--HM9h-EJm_86numjL-8HpC2uxM-LnDk7Q0/edit#gid=0"",""Resumen!K4"")"),200.92)</f>
        <v>200.92</v>
      </c>
      <c r="K46" s="65">
        <f ca="1">IFERROR(__xludf.DUMMYFUNCTION("IMPORTRANGE(""https://docs.google.com/spreadsheets/d/1X95olAWi--HM9h-EJm_86numjL-8HpC2uxM-LnDk7Q0/edit#gid=0"",""Resumen!L4"")"),188.94)</f>
        <v>188.94</v>
      </c>
      <c r="L46" s="65">
        <f ca="1">IFERROR(__xludf.DUMMYFUNCTION("IMPORTRANGE(""https://docs.google.com/spreadsheets/d/1X95olAWi--HM9h-EJm_86numjL-8HpC2uxM-LnDk7Q0/edit#gid=0"",""Resumen!M4"")"),146.96)</f>
        <v>146.96</v>
      </c>
      <c r="M46" s="65">
        <f ca="1">IFERROR(__xludf.DUMMYFUNCTION("IMPORTRANGE(""https://docs.google.com/spreadsheets/d/1X95olAWi--HM9h-EJm_86numjL-8HpC2uxM-LnDk7Q0/edit#gid=0"",""Resumen!N4"")"),82.08)</f>
        <v>82.08</v>
      </c>
      <c r="N46" s="65">
        <f ca="1">IFERROR(__xludf.DUMMYFUNCTION("IMPORTRANGE(""https://docs.google.com/spreadsheets/d/1X95olAWi--HM9h-EJm_86numjL-8HpC2uxM-LnDk7Q0/edit#gid=0"",""Resumen!O4"")"),157.65)</f>
        <v>157.65</v>
      </c>
      <c r="O46" s="65">
        <f ca="1">IFERROR(__xludf.DUMMYFUNCTION("IMPORTRANGE(""https://docs.google.com/spreadsheets/d/1X95olAWi--HM9h-EJm_86numjL-8HpC2uxM-LnDk7Q0/edit#gid=0"",""Resumen!P4"")"),234.649999999999)</f>
        <v>234.64999999999901</v>
      </c>
      <c r="P46" s="44">
        <f t="shared" ca="1" si="15"/>
        <v>2266.8899999999985</v>
      </c>
      <c r="Q46" s="44">
        <f t="shared" ref="Q46:Q53" ca="1" si="16">IFERROR(AVERAGE(D46:O46),0)</f>
        <v>188.90749999999989</v>
      </c>
      <c r="R46" s="45"/>
    </row>
    <row r="47" spans="1:18" ht="18" outlineLevel="1" x14ac:dyDescent="0.2">
      <c r="A47" s="52"/>
      <c r="B47" s="53"/>
      <c r="C47" s="50" t="s">
        <v>67</v>
      </c>
      <c r="D47" s="65">
        <f ca="1">IFERROR(__xludf.DUMMYFUNCTION("IMPORTRANGE(""https://docs.google.com/spreadsheets/d/1X95olAWi--HM9h-EJm_86numjL-8HpC2uxM-LnDk7Q0/edit#gid=0"",""Resumen!E5"")"),212.13)</f>
        <v>212.13</v>
      </c>
      <c r="E47" s="65">
        <f ca="1">IFERROR(__xludf.DUMMYFUNCTION("IMPORTRANGE(""https://docs.google.com/spreadsheets/d/1X95olAWi--HM9h-EJm_86numjL-8HpC2uxM-LnDk7Q0/edit#gid=0"",""Resumen!F5"")"),139.9)</f>
        <v>139.9</v>
      </c>
      <c r="F47" s="65">
        <f ca="1">IFERROR(__xludf.DUMMYFUNCTION("IMPORTRANGE(""https://docs.google.com/spreadsheets/d/1X95olAWi--HM9h-EJm_86numjL-8HpC2uxM-LnDk7Q0/edit#gid=0"",""Resumen!G5"")"),62)</f>
        <v>62</v>
      </c>
      <c r="G47" s="65">
        <f ca="1">IFERROR(__xludf.DUMMYFUNCTION("IMPORTRANGE(""https://docs.google.com/spreadsheets/d/1X95olAWi--HM9h-EJm_86numjL-8HpC2uxM-LnDk7Q0/edit#gid=0"",""Resumen!H5"")"),120.96)</f>
        <v>120.96</v>
      </c>
      <c r="H47" s="65">
        <f ca="1">IFERROR(__xludf.DUMMYFUNCTION("IMPORTRANGE(""https://docs.google.com/spreadsheets/d/1X95olAWi--HM9h-EJm_86numjL-8HpC2uxM-LnDk7Q0/edit#gid=0"",""Resumen!I5"")"),212.709999999999)</f>
        <v>212.70999999999901</v>
      </c>
      <c r="I47" s="65">
        <f ca="1">IFERROR(__xludf.DUMMYFUNCTION("IMPORTRANGE(""https://docs.google.com/spreadsheets/d/1X95olAWi--HM9h-EJm_86numjL-8HpC2uxM-LnDk7Q0/edit#gid=0"",""Resumen!J5"")"),161.7)</f>
        <v>161.69999999999999</v>
      </c>
      <c r="J47" s="65">
        <f ca="1">IFERROR(__xludf.DUMMYFUNCTION("IMPORTRANGE(""https://docs.google.com/spreadsheets/d/1X95olAWi--HM9h-EJm_86numjL-8HpC2uxM-LnDk7Q0/edit#gid=0"",""Resumen!K5"")"),73.03)</f>
        <v>73.03</v>
      </c>
      <c r="K47" s="65">
        <f ca="1">IFERROR(__xludf.DUMMYFUNCTION("IMPORTRANGE(""https://docs.google.com/spreadsheets/d/1X95olAWi--HM9h-EJm_86numjL-8HpC2uxM-LnDk7Q0/edit#gid=0"",""Resumen!L5"")"),96.24)</f>
        <v>96.24</v>
      </c>
      <c r="L47" s="65">
        <f ca="1">IFERROR(__xludf.DUMMYFUNCTION("IMPORTRANGE(""https://docs.google.com/spreadsheets/d/1X95olAWi--HM9h-EJm_86numjL-8HpC2uxM-LnDk7Q0/edit#gid=0"",""Resumen!M5"")"),111.38)</f>
        <v>111.38</v>
      </c>
      <c r="M47" s="65">
        <f ca="1">IFERROR(__xludf.DUMMYFUNCTION("IMPORTRANGE(""https://docs.google.com/spreadsheets/d/1X95olAWi--HM9h-EJm_86numjL-8HpC2uxM-LnDk7Q0/edit#gid=0"",""Resumen!N5"")"),70.65)</f>
        <v>70.650000000000006</v>
      </c>
      <c r="N47" s="65">
        <f ca="1">IFERROR(__xludf.DUMMYFUNCTION("IMPORTRANGE(""https://docs.google.com/spreadsheets/d/1X95olAWi--HM9h-EJm_86numjL-8HpC2uxM-LnDk7Q0/edit#gid=0"",""Resumen!O5"")"),87.34)</f>
        <v>87.34</v>
      </c>
      <c r="O47" s="65">
        <f ca="1">IFERROR(__xludf.DUMMYFUNCTION("IMPORTRANGE(""https://docs.google.com/spreadsheets/d/1X95olAWi--HM9h-EJm_86numjL-8HpC2uxM-LnDk7Q0/edit#gid=0"",""Resumen!P5"")"),137.2)</f>
        <v>137.19999999999999</v>
      </c>
      <c r="P47" s="44">
        <f t="shared" ca="1" si="15"/>
        <v>1485.2399999999989</v>
      </c>
      <c r="Q47" s="44">
        <f t="shared" ca="1" si="16"/>
        <v>123.76999999999991</v>
      </c>
      <c r="R47" s="45"/>
    </row>
    <row r="48" spans="1:18" ht="18" outlineLevel="1" x14ac:dyDescent="0.2">
      <c r="A48" s="52"/>
      <c r="B48" s="53"/>
      <c r="C48" s="50" t="s">
        <v>68</v>
      </c>
      <c r="D48" s="65">
        <f ca="1">IFERROR(__xludf.DUMMYFUNCTION("IMPORTRANGE(""https://docs.google.com/spreadsheets/d/1X95olAWi--HM9h-EJm_86numjL-8HpC2uxM-LnDk7Q0/edit#gid=0"",""Resumen!E6"")"),18.4399999999999)</f>
        <v>18.439999999999898</v>
      </c>
      <c r="E48" s="65">
        <f ca="1">IFERROR(__xludf.DUMMYFUNCTION("IMPORTRANGE(""https://docs.google.com/spreadsheets/d/1X95olAWi--HM9h-EJm_86numjL-8HpC2uxM-LnDk7Q0/edit#gid=0"",""Resumen!F6"")"),8.34)</f>
        <v>8.34</v>
      </c>
      <c r="F48" s="65">
        <f ca="1">IFERROR(__xludf.DUMMYFUNCTION("IMPORTRANGE(""https://docs.google.com/spreadsheets/d/1X95olAWi--HM9h-EJm_86numjL-8HpC2uxM-LnDk7Q0/edit#gid=0"",""Resumen!G6"")"),7.33)</f>
        <v>7.33</v>
      </c>
      <c r="G48" s="65">
        <f ca="1">IFERROR(__xludf.DUMMYFUNCTION("IMPORTRANGE(""https://docs.google.com/spreadsheets/d/1X95olAWi--HM9h-EJm_86numjL-8HpC2uxM-LnDk7Q0/edit#gid=0"",""Resumen!H6"")"),20.09)</f>
        <v>20.09</v>
      </c>
      <c r="H48" s="65">
        <f ca="1">IFERROR(__xludf.DUMMYFUNCTION("IMPORTRANGE(""https://docs.google.com/spreadsheets/d/1X95olAWi--HM9h-EJm_86numjL-8HpC2uxM-LnDk7Q0/edit#gid=0"",""Resumen!I6"")"),1.6)</f>
        <v>1.6</v>
      </c>
      <c r="I48" s="65">
        <f ca="1">IFERROR(__xludf.DUMMYFUNCTION("IMPORTRANGE(""https://docs.google.com/spreadsheets/d/1X95olAWi--HM9h-EJm_86numjL-8HpC2uxM-LnDk7Q0/edit#gid=0"",""Resumen!J6"")"),29.05)</f>
        <v>29.05</v>
      </c>
      <c r="J48" s="65">
        <f ca="1">IFERROR(__xludf.DUMMYFUNCTION("IMPORTRANGE(""https://docs.google.com/spreadsheets/d/1X95olAWi--HM9h-EJm_86numjL-8HpC2uxM-LnDk7Q0/edit#gid=0"",""Resumen!K6"")"),29.87)</f>
        <v>29.87</v>
      </c>
      <c r="K48" s="65">
        <f ca="1">IFERROR(__xludf.DUMMYFUNCTION("IMPORTRANGE(""https://docs.google.com/spreadsheets/d/1X95olAWi--HM9h-EJm_86numjL-8HpC2uxM-LnDk7Q0/edit#gid=0"",""Resumen!L6"")"),14.68)</f>
        <v>14.68</v>
      </c>
      <c r="L48" s="65">
        <f ca="1">IFERROR(__xludf.DUMMYFUNCTION("IMPORTRANGE(""https://docs.google.com/spreadsheets/d/1X95olAWi--HM9h-EJm_86numjL-8HpC2uxM-LnDk7Q0/edit#gid=0"",""Resumen!M6"")"),0)</f>
        <v>0</v>
      </c>
      <c r="M48" s="65">
        <f ca="1">IFERROR(__xludf.DUMMYFUNCTION("IMPORTRANGE(""https://docs.google.com/spreadsheets/d/1X95olAWi--HM9h-EJm_86numjL-8HpC2uxM-LnDk7Q0/edit#gid=0"",""Resumen!N6"")"),4.59)</f>
        <v>4.59</v>
      </c>
      <c r="N48" s="65">
        <f ca="1">IFERROR(__xludf.DUMMYFUNCTION("IMPORTRANGE(""https://docs.google.com/spreadsheets/d/1X95olAWi--HM9h-EJm_86numjL-8HpC2uxM-LnDk7Q0/edit#gid=0"",""Resumen!O6"")"),7)</f>
        <v>7</v>
      </c>
      <c r="O48" s="65">
        <f ca="1">IFERROR(__xludf.DUMMYFUNCTION("IMPORTRANGE(""https://docs.google.com/spreadsheets/d/1X95olAWi--HM9h-EJm_86numjL-8HpC2uxM-LnDk7Q0/edit#gid=0"",""Resumen!P6"")"),31.9)</f>
        <v>31.9</v>
      </c>
      <c r="P48" s="44">
        <f t="shared" ca="1" si="15"/>
        <v>172.88999999999993</v>
      </c>
      <c r="Q48" s="44">
        <f t="shared" ca="1" si="16"/>
        <v>14.407499999999994</v>
      </c>
      <c r="R48" s="45"/>
    </row>
    <row r="49" spans="1:18" ht="18" outlineLevel="1" x14ac:dyDescent="0.2">
      <c r="A49" s="52"/>
      <c r="B49" s="53"/>
      <c r="C49" s="50" t="s">
        <v>69</v>
      </c>
      <c r="D49" s="65">
        <f ca="1">IFERROR(__xludf.DUMMYFUNCTION("IMPORTRANGE(""https://docs.google.com/spreadsheets/d/1X95olAWi--HM9h-EJm_86numjL-8HpC2uxM-LnDk7Q0/edit#gid=0"",""Resumen!E7"")"),120.65)</f>
        <v>120.65</v>
      </c>
      <c r="E49" s="65">
        <f ca="1">IFERROR(__xludf.DUMMYFUNCTION("IMPORTRANGE(""https://docs.google.com/spreadsheets/d/1X95olAWi--HM9h-EJm_86numjL-8HpC2uxM-LnDk7Q0/edit#gid=0"",""Resumen!F7"")"),89.65)</f>
        <v>89.65</v>
      </c>
      <c r="F49" s="65">
        <f ca="1">IFERROR(__xludf.DUMMYFUNCTION("IMPORTRANGE(""https://docs.google.com/spreadsheets/d/1X95olAWi--HM9h-EJm_86numjL-8HpC2uxM-LnDk7Q0/edit#gid=0"",""Resumen!G7"")"),108)</f>
        <v>108</v>
      </c>
      <c r="G49" s="65">
        <f ca="1">IFERROR(__xludf.DUMMYFUNCTION("IMPORTRANGE(""https://docs.google.com/spreadsheets/d/1X95olAWi--HM9h-EJm_86numjL-8HpC2uxM-LnDk7Q0/edit#gid=0"",""Resumen!H7"")"),71.39)</f>
        <v>71.39</v>
      </c>
      <c r="H49" s="65">
        <f ca="1">IFERROR(__xludf.DUMMYFUNCTION("IMPORTRANGE(""https://docs.google.com/spreadsheets/d/1X95olAWi--HM9h-EJm_86numjL-8HpC2uxM-LnDk7Q0/edit#gid=0"",""Resumen!I7"")"),150.2)</f>
        <v>150.19999999999999</v>
      </c>
      <c r="I49" s="65">
        <f ca="1">IFERROR(__xludf.DUMMYFUNCTION("IMPORTRANGE(""https://docs.google.com/spreadsheets/d/1X95olAWi--HM9h-EJm_86numjL-8HpC2uxM-LnDk7Q0/edit#gid=0"",""Resumen!J7"")"),165.019999999999)</f>
        <v>165.01999999999899</v>
      </c>
      <c r="J49" s="65">
        <f ca="1">IFERROR(__xludf.DUMMYFUNCTION("IMPORTRANGE(""https://docs.google.com/spreadsheets/d/1X95olAWi--HM9h-EJm_86numjL-8HpC2uxM-LnDk7Q0/edit#gid=0"",""Resumen!K7"")"),64.08)</f>
        <v>64.08</v>
      </c>
      <c r="K49" s="65">
        <f ca="1">IFERROR(__xludf.DUMMYFUNCTION("IMPORTRANGE(""https://docs.google.com/spreadsheets/d/1X95olAWi--HM9h-EJm_86numjL-8HpC2uxM-LnDk7Q0/edit#gid=0"",""Resumen!L7"")"),161.869999999999)</f>
        <v>161.86999999999901</v>
      </c>
      <c r="L49" s="65">
        <f ca="1">IFERROR(__xludf.DUMMYFUNCTION("IMPORTRANGE(""https://docs.google.com/spreadsheets/d/1X95olAWi--HM9h-EJm_86numjL-8HpC2uxM-LnDk7Q0/edit#gid=0"",""Resumen!M7"")"),88.26)</f>
        <v>88.26</v>
      </c>
      <c r="M49" s="65">
        <f ca="1">IFERROR(__xludf.DUMMYFUNCTION("IMPORTRANGE(""https://docs.google.com/spreadsheets/d/1X95olAWi--HM9h-EJm_86numjL-8HpC2uxM-LnDk7Q0/edit#gid=0"",""Resumen!N7"")"),381.39)</f>
        <v>381.39</v>
      </c>
      <c r="N49" s="65">
        <f ca="1">IFERROR(__xludf.DUMMYFUNCTION("IMPORTRANGE(""https://docs.google.com/spreadsheets/d/1X95olAWi--HM9h-EJm_86numjL-8HpC2uxM-LnDk7Q0/edit#gid=0"",""Resumen!O7"")"),228.17)</f>
        <v>228.17</v>
      </c>
      <c r="O49" s="65">
        <f ca="1">IFERROR(__xludf.DUMMYFUNCTION("IMPORTRANGE(""https://docs.google.com/spreadsheets/d/1X95olAWi--HM9h-EJm_86numjL-8HpC2uxM-LnDk7Q0/edit#gid=0"",""Resumen!P7"")"),70.83)</f>
        <v>70.83</v>
      </c>
      <c r="P49" s="44">
        <f t="shared" ca="1" si="15"/>
        <v>1699.5099999999979</v>
      </c>
      <c r="Q49" s="44">
        <f t="shared" ca="1" si="16"/>
        <v>141.62583333333316</v>
      </c>
      <c r="R49" s="45"/>
    </row>
    <row r="50" spans="1:18" ht="18" outlineLevel="1" x14ac:dyDescent="0.2">
      <c r="A50" s="52"/>
      <c r="B50" s="53"/>
      <c r="C50" s="50" t="s">
        <v>70</v>
      </c>
      <c r="D50" s="65">
        <f ca="1">IFERROR(__xludf.DUMMYFUNCTION("IMPORTRANGE(""https://docs.google.com/spreadsheets/d/1X95olAWi--HM9h-EJm_86numjL-8HpC2uxM-LnDk7Q0/edit#gid=0"",""Resumen!E8"")"),4.2)</f>
        <v>4.2</v>
      </c>
      <c r="E50" s="65">
        <f ca="1">IFERROR(__xludf.DUMMYFUNCTION("IMPORTRANGE(""https://docs.google.com/spreadsheets/d/1X95olAWi--HM9h-EJm_86numjL-8HpC2uxM-LnDk7Q0/edit#gid=0"",""Resumen!F8"")"),1.16)</f>
        <v>1.1599999999999999</v>
      </c>
      <c r="F50" s="65">
        <f ca="1">IFERROR(__xludf.DUMMYFUNCTION("IMPORTRANGE(""https://docs.google.com/spreadsheets/d/1X95olAWi--HM9h-EJm_86numjL-8HpC2uxM-LnDk7Q0/edit#gid=0"",""Resumen!G8"")"),8)</f>
        <v>8</v>
      </c>
      <c r="G50" s="65">
        <f ca="1">IFERROR(__xludf.DUMMYFUNCTION("IMPORTRANGE(""https://docs.google.com/spreadsheets/d/1X95olAWi--HM9h-EJm_86numjL-8HpC2uxM-LnDk7Q0/edit#gid=0"",""Resumen!H8"")"),36.49)</f>
        <v>36.49</v>
      </c>
      <c r="H50" s="65">
        <f ca="1">IFERROR(__xludf.DUMMYFUNCTION("IMPORTRANGE(""https://docs.google.com/spreadsheets/d/1X95olAWi--HM9h-EJm_86numjL-8HpC2uxM-LnDk7Q0/edit#gid=0"",""Resumen!I8"")"),24.56)</f>
        <v>24.56</v>
      </c>
      <c r="I50" s="65">
        <f ca="1">IFERROR(__xludf.DUMMYFUNCTION("IMPORTRANGE(""https://docs.google.com/spreadsheets/d/1X95olAWi--HM9h-EJm_86numjL-8HpC2uxM-LnDk7Q0/edit#gid=0"",""Resumen!J8"")"),57.5099999999999)</f>
        <v>57.509999999999899</v>
      </c>
      <c r="J50" s="65">
        <f ca="1">IFERROR(__xludf.DUMMYFUNCTION("IMPORTRANGE(""https://docs.google.com/spreadsheets/d/1X95olAWi--HM9h-EJm_86numjL-8HpC2uxM-LnDk7Q0/edit#gid=0"",""Resumen!K8"")"),5.17)</f>
        <v>5.17</v>
      </c>
      <c r="K50" s="65">
        <f ca="1">IFERROR(__xludf.DUMMYFUNCTION("IMPORTRANGE(""https://docs.google.com/spreadsheets/d/1X95olAWi--HM9h-EJm_86numjL-8HpC2uxM-LnDk7Q0/edit#gid=0"",""Resumen!L8"")"),26.92)</f>
        <v>26.92</v>
      </c>
      <c r="L50" s="65">
        <f ca="1">IFERROR(__xludf.DUMMYFUNCTION("IMPORTRANGE(""https://docs.google.com/spreadsheets/d/1X95olAWi--HM9h-EJm_86numjL-8HpC2uxM-LnDk7Q0/edit#gid=0"",""Resumen!M8"")"),8.19)</f>
        <v>8.19</v>
      </c>
      <c r="M50" s="65">
        <f ca="1">IFERROR(__xludf.DUMMYFUNCTION("IMPORTRANGE(""https://docs.google.com/spreadsheets/d/1X95olAWi--HM9h-EJm_86numjL-8HpC2uxM-LnDk7Q0/edit#gid=0"",""Resumen!N8"")"),26.25)</f>
        <v>26.25</v>
      </c>
      <c r="N50" s="65">
        <f ca="1">IFERROR(__xludf.DUMMYFUNCTION("IMPORTRANGE(""https://docs.google.com/spreadsheets/d/1X95olAWi--HM9h-EJm_86numjL-8HpC2uxM-LnDk7Q0/edit#gid=0"",""Resumen!O8"")"),9.48)</f>
        <v>9.48</v>
      </c>
      <c r="O50" s="65">
        <f ca="1">IFERROR(__xludf.DUMMYFUNCTION("IMPORTRANGE(""https://docs.google.com/spreadsheets/d/1X95olAWi--HM9h-EJm_86numjL-8HpC2uxM-LnDk7Q0/edit#gid=0"",""Resumen!P8"")"),48.35)</f>
        <v>48.35</v>
      </c>
      <c r="P50" s="44">
        <f t="shared" ca="1" si="15"/>
        <v>256.27999999999986</v>
      </c>
      <c r="Q50" s="44">
        <f t="shared" ca="1" si="16"/>
        <v>21.356666666666655</v>
      </c>
      <c r="R50" s="45"/>
    </row>
    <row r="51" spans="1:18" ht="18" outlineLevel="1" x14ac:dyDescent="0.2">
      <c r="A51" s="52"/>
      <c r="B51" s="53"/>
      <c r="C51" s="50" t="s">
        <v>71</v>
      </c>
      <c r="D51" s="65">
        <f ca="1">IFERROR(__xludf.DUMMYFUNCTION("IMPORTRANGE(""https://docs.google.com/spreadsheets/d/1X95olAWi--HM9h-EJm_86numjL-8HpC2uxM-LnDk7Q0/edit#gid=0"",""Resumen!E9"")"),105.75)</f>
        <v>105.75</v>
      </c>
      <c r="E51" s="65">
        <f ca="1">IFERROR(__xludf.DUMMYFUNCTION("IMPORTRANGE(""https://docs.google.com/spreadsheets/d/1X95olAWi--HM9h-EJm_86numjL-8HpC2uxM-LnDk7Q0/edit#gid=0"",""Resumen!F9"")"),0)</f>
        <v>0</v>
      </c>
      <c r="F51" s="65">
        <f ca="1">IFERROR(__xludf.DUMMYFUNCTION("IMPORTRANGE(""https://docs.google.com/spreadsheets/d/1X95olAWi--HM9h-EJm_86numjL-8HpC2uxM-LnDk7Q0/edit#gid=0"",""Resumen!G9"")"),65)</f>
        <v>65</v>
      </c>
      <c r="G51" s="65">
        <f ca="1">IFERROR(__xludf.DUMMYFUNCTION("IMPORTRANGE(""https://docs.google.com/spreadsheets/d/1X95olAWi--HM9h-EJm_86numjL-8HpC2uxM-LnDk7Q0/edit#gid=0"",""Resumen!H9"")"),2.5)</f>
        <v>2.5</v>
      </c>
      <c r="H51" s="65">
        <f ca="1">IFERROR(__xludf.DUMMYFUNCTION("IMPORTRANGE(""https://docs.google.com/spreadsheets/d/1X95olAWi--HM9h-EJm_86numjL-8HpC2uxM-LnDk7Q0/edit#gid=0"",""Resumen!I9"")"),0)</f>
        <v>0</v>
      </c>
      <c r="I51" s="65">
        <f ca="1">IFERROR(__xludf.DUMMYFUNCTION("IMPORTRANGE(""https://docs.google.com/spreadsheets/d/1X95olAWi--HM9h-EJm_86numjL-8HpC2uxM-LnDk7Q0/edit#gid=0"",""Resumen!J9"")"),0)</f>
        <v>0</v>
      </c>
      <c r="J51" s="65">
        <f ca="1">IFERROR(__xludf.DUMMYFUNCTION("IMPORTRANGE(""https://docs.google.com/spreadsheets/d/1X95olAWi--HM9h-EJm_86numjL-8HpC2uxM-LnDk7Q0/edit#gid=0"",""Resumen!K9"")"),0)</f>
        <v>0</v>
      </c>
      <c r="K51" s="65">
        <f ca="1">IFERROR(__xludf.DUMMYFUNCTION("IMPORTRANGE(""https://docs.google.com/spreadsheets/d/1X95olAWi--HM9h-EJm_86numjL-8HpC2uxM-LnDk7Q0/edit#gid=0"",""Resumen!L9"")"),0)</f>
        <v>0</v>
      </c>
      <c r="L51" s="65">
        <f ca="1">IFERROR(__xludf.DUMMYFUNCTION("IMPORTRANGE(""https://docs.google.com/spreadsheets/d/1X95olAWi--HM9h-EJm_86numjL-8HpC2uxM-LnDk7Q0/edit#gid=0"",""Resumen!M9"")"),0)</f>
        <v>0</v>
      </c>
      <c r="M51" s="65">
        <f ca="1">IFERROR(__xludf.DUMMYFUNCTION("IMPORTRANGE(""https://docs.google.com/spreadsheets/d/1X95olAWi--HM9h-EJm_86numjL-8HpC2uxM-LnDk7Q0/edit#gid=0"",""Resumen!N9"")"),0)</f>
        <v>0</v>
      </c>
      <c r="N51" s="65">
        <f ca="1">IFERROR(__xludf.DUMMYFUNCTION("IMPORTRANGE(""https://docs.google.com/spreadsheets/d/1X95olAWi--HM9h-EJm_86numjL-8HpC2uxM-LnDk7Q0/edit#gid=0"",""Resumen!O9"")"),0)</f>
        <v>0</v>
      </c>
      <c r="O51" s="65">
        <f ca="1">IFERROR(__xludf.DUMMYFUNCTION("IMPORTRANGE(""https://docs.google.com/spreadsheets/d/1X95olAWi--HM9h-EJm_86numjL-8HpC2uxM-LnDk7Q0/edit#gid=0"",""Resumen!P9"")"),0)</f>
        <v>0</v>
      </c>
      <c r="P51" s="44">
        <f t="shared" ca="1" si="15"/>
        <v>173.25</v>
      </c>
      <c r="Q51" s="44">
        <f t="shared" ca="1" si="16"/>
        <v>14.4375</v>
      </c>
      <c r="R51" s="45"/>
    </row>
    <row r="52" spans="1:18" ht="18" outlineLevel="1" x14ac:dyDescent="0.2">
      <c r="A52" s="52"/>
      <c r="B52" s="53"/>
      <c r="C52" s="50" t="s">
        <v>72</v>
      </c>
      <c r="D52" s="65">
        <f ca="1">IFERROR(__xludf.DUMMYFUNCTION("IMPORTRANGE(""https://docs.google.com/spreadsheets/d/1X95olAWi--HM9h-EJm_86numjL-8HpC2uxM-LnDk7Q0/edit#gid=0"",""Resumen!E10"")"),0)</f>
        <v>0</v>
      </c>
      <c r="E52" s="65">
        <f ca="1">IFERROR(__xludf.DUMMYFUNCTION("IMPORTRANGE(""https://docs.google.com/spreadsheets/d/1X95olAWi--HM9h-EJm_86numjL-8HpC2uxM-LnDk7Q0/edit#gid=0"",""Resumen!F10"")"),0)</f>
        <v>0</v>
      </c>
      <c r="F52" s="65">
        <f ca="1">IFERROR(__xludf.DUMMYFUNCTION("IMPORTRANGE(""https://docs.google.com/spreadsheets/d/1X95olAWi--HM9h-EJm_86numjL-8HpC2uxM-LnDk7Q0/edit#gid=0"",""Resumen!G10"")"),0)</f>
        <v>0</v>
      </c>
      <c r="G52" s="65">
        <f ca="1">IFERROR(__xludf.DUMMYFUNCTION("IMPORTRANGE(""https://docs.google.com/spreadsheets/d/1X95olAWi--HM9h-EJm_86numjL-8HpC2uxM-LnDk7Q0/edit#gid=0"",""Resumen!H10"")"),0)</f>
        <v>0</v>
      </c>
      <c r="H52" s="65">
        <f ca="1">IFERROR(__xludf.DUMMYFUNCTION("IMPORTRANGE(""https://docs.google.com/spreadsheets/d/1X95olAWi--HM9h-EJm_86numjL-8HpC2uxM-LnDk7Q0/edit#gid=0"",""Resumen!I10"")"),0)</f>
        <v>0</v>
      </c>
      <c r="I52" s="65">
        <f ca="1">IFERROR(__xludf.DUMMYFUNCTION("IMPORTRANGE(""https://docs.google.com/spreadsheets/d/1X95olAWi--HM9h-EJm_86numjL-8HpC2uxM-LnDk7Q0/edit#gid=0"",""Resumen!J10"")"),0)</f>
        <v>0</v>
      </c>
      <c r="J52" s="65">
        <f ca="1">IFERROR(__xludf.DUMMYFUNCTION("IMPORTRANGE(""https://docs.google.com/spreadsheets/d/1X95olAWi--HM9h-EJm_86numjL-8HpC2uxM-LnDk7Q0/edit#gid=0"",""Resumen!K10"")"),0)</f>
        <v>0</v>
      </c>
      <c r="K52" s="65">
        <f ca="1">IFERROR(__xludf.DUMMYFUNCTION("IMPORTRANGE(""https://docs.google.com/spreadsheets/d/1X95olAWi--HM9h-EJm_86numjL-8HpC2uxM-LnDk7Q0/edit#gid=0"",""Resumen!L10"")"),0)</f>
        <v>0</v>
      </c>
      <c r="L52" s="65">
        <f ca="1">IFERROR(__xludf.DUMMYFUNCTION("IMPORTRANGE(""https://docs.google.com/spreadsheets/d/1X95olAWi--HM9h-EJm_86numjL-8HpC2uxM-LnDk7Q0/edit#gid=0"",""Resumen!M10"")"),-24.4299999999999)</f>
        <v>-24.4299999999999</v>
      </c>
      <c r="M52" s="65">
        <f ca="1">IFERROR(__xludf.DUMMYFUNCTION("IMPORTRANGE(""https://docs.google.com/spreadsheets/d/1X95olAWi--HM9h-EJm_86numjL-8HpC2uxM-LnDk7Q0/edit#gid=0"",""Resumen!N10"")"),0)</f>
        <v>0</v>
      </c>
      <c r="N52" s="65">
        <f ca="1">IFERROR(__xludf.DUMMYFUNCTION("IMPORTRANGE(""https://docs.google.com/spreadsheets/d/1X95olAWi--HM9h-EJm_86numjL-8HpC2uxM-LnDk7Q0/edit#gid=0"",""Resumen!O10"")"),0)</f>
        <v>0</v>
      </c>
      <c r="O52" s="65">
        <f ca="1">IFERROR(__xludf.DUMMYFUNCTION("IMPORTRANGE(""https://docs.google.com/spreadsheets/d/1X95olAWi--HM9h-EJm_86numjL-8HpC2uxM-LnDk7Q0/edit#gid=0"",""Resumen!P10"")"),0)</f>
        <v>0</v>
      </c>
      <c r="P52" s="44">
        <f t="shared" ca="1" si="15"/>
        <v>-24.4299999999999</v>
      </c>
      <c r="Q52" s="44">
        <f t="shared" ca="1" si="16"/>
        <v>-2.0358333333333252</v>
      </c>
      <c r="R52" s="45"/>
    </row>
    <row r="53" spans="1:18" ht="18" outlineLevel="1" x14ac:dyDescent="0.2">
      <c r="A53" s="52"/>
      <c r="B53" s="53"/>
      <c r="C53" s="50" t="s">
        <v>73</v>
      </c>
      <c r="D53" s="65">
        <f ca="1">IFERROR(__xludf.DUMMYFUNCTION("IMPORTRANGE(""https://docs.google.com/spreadsheets/d/1X95olAWi--HM9h-EJm_86numjL-8HpC2uxM-LnDk7Q0/edit#gid=0"",""Resumen!E11"")"),0)</f>
        <v>0</v>
      </c>
      <c r="E53" s="65">
        <f ca="1">IFERROR(__xludf.DUMMYFUNCTION("IMPORTRANGE(""https://docs.google.com/spreadsheets/d/1X95olAWi--HM9h-EJm_86numjL-8HpC2uxM-LnDk7Q0/edit#gid=0"",""Resumen!F11"")"),0)</f>
        <v>0</v>
      </c>
      <c r="F53" s="65">
        <f ca="1">IFERROR(__xludf.DUMMYFUNCTION("IMPORTRANGE(""https://docs.google.com/spreadsheets/d/1X95olAWi--HM9h-EJm_86numjL-8HpC2uxM-LnDk7Q0/edit#gid=0"",""Resumen!G11"")"),0)</f>
        <v>0</v>
      </c>
      <c r="G53" s="65">
        <f ca="1">IFERROR(__xludf.DUMMYFUNCTION("IMPORTRANGE(""https://docs.google.com/spreadsheets/d/1X95olAWi--HM9h-EJm_86numjL-8HpC2uxM-LnDk7Q0/edit#gid=0"",""Resumen!H11"")"),0)</f>
        <v>0</v>
      </c>
      <c r="H53" s="65">
        <f ca="1">IFERROR(__xludf.DUMMYFUNCTION("IMPORTRANGE(""https://docs.google.com/spreadsheets/d/1X95olAWi--HM9h-EJm_86numjL-8HpC2uxM-LnDk7Q0/edit#gid=0"",""Resumen!I11"")"),5.99)</f>
        <v>5.99</v>
      </c>
      <c r="I53" s="65">
        <f ca="1">IFERROR(__xludf.DUMMYFUNCTION("IMPORTRANGE(""https://docs.google.com/spreadsheets/d/1X95olAWi--HM9h-EJm_86numjL-8HpC2uxM-LnDk7Q0/edit#gid=0"",""Resumen!J11"")"),5.99)</f>
        <v>5.99</v>
      </c>
      <c r="J53" s="65">
        <f ca="1">IFERROR(__xludf.DUMMYFUNCTION("IMPORTRANGE(""https://docs.google.com/spreadsheets/d/1X95olAWi--HM9h-EJm_86numjL-8HpC2uxM-LnDk7Q0/edit#gid=0"",""Resumen!K11"")"),5.99)</f>
        <v>5.99</v>
      </c>
      <c r="K53" s="65">
        <f ca="1">IFERROR(__xludf.DUMMYFUNCTION("IMPORTRANGE(""https://docs.google.com/spreadsheets/d/1X95olAWi--HM9h-EJm_86numjL-8HpC2uxM-LnDk7Q0/edit#gid=0"",""Resumen!L11"")"),0)</f>
        <v>0</v>
      </c>
      <c r="L53" s="65">
        <f ca="1">IFERROR(__xludf.DUMMYFUNCTION("IMPORTRANGE(""https://docs.google.com/spreadsheets/d/1X95olAWi--HM9h-EJm_86numjL-8HpC2uxM-LnDk7Q0/edit#gid=0"",""Resumen!M11"")"),0)</f>
        <v>0</v>
      </c>
      <c r="M53" s="65">
        <f ca="1">IFERROR(__xludf.DUMMYFUNCTION("IMPORTRANGE(""https://docs.google.com/spreadsheets/d/1X95olAWi--HM9h-EJm_86numjL-8HpC2uxM-LnDk7Q0/edit#gid=0"",""Resumen!N11"")"),5.99)</f>
        <v>5.99</v>
      </c>
      <c r="N53" s="65">
        <f ca="1">IFERROR(__xludf.DUMMYFUNCTION("IMPORTRANGE(""https://docs.google.com/spreadsheets/d/1X95olAWi--HM9h-EJm_86numjL-8HpC2uxM-LnDk7Q0/edit#gid=0"",""Resumen!O11"")"),0)</f>
        <v>0</v>
      </c>
      <c r="O53" s="65">
        <f ca="1">IFERROR(__xludf.DUMMYFUNCTION("IMPORTRANGE(""https://docs.google.com/spreadsheets/d/1X95olAWi--HM9h-EJm_86numjL-8HpC2uxM-LnDk7Q0/edit#gid=0"",""Resumen!P11"")"),5.99)</f>
        <v>5.99</v>
      </c>
      <c r="P53" s="44">
        <f t="shared" ca="1" si="15"/>
        <v>29.950000000000003</v>
      </c>
      <c r="Q53" s="44">
        <f t="shared" ca="1" si="16"/>
        <v>2.4958333333333336</v>
      </c>
      <c r="R53" s="45"/>
    </row>
    <row r="54" spans="1:18" ht="18" x14ac:dyDescent="0.2">
      <c r="A54" s="52"/>
      <c r="B54" s="53"/>
      <c r="C54" s="47"/>
      <c r="D54" s="48"/>
      <c r="E54" s="48"/>
      <c r="F54" s="48"/>
      <c r="G54" s="48"/>
      <c r="H54" s="48"/>
      <c r="I54" s="48"/>
      <c r="J54" s="54"/>
      <c r="K54" s="54"/>
      <c r="L54" s="48"/>
      <c r="M54" s="48"/>
      <c r="N54" s="48"/>
      <c r="O54" s="48"/>
      <c r="P54" s="49"/>
      <c r="Q54" s="49"/>
      <c r="R54" s="45"/>
    </row>
    <row r="55" spans="1:18" ht="18" x14ac:dyDescent="0.2">
      <c r="A55" s="62"/>
      <c r="B55" s="63"/>
      <c r="C55" s="64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51"/>
      <c r="Q55" s="51"/>
      <c r="R55" s="45"/>
    </row>
    <row r="56" spans="1:18" ht="18" collapsed="1" x14ac:dyDescent="0.2">
      <c r="A56" s="56" t="s">
        <v>26</v>
      </c>
      <c r="B56" s="35"/>
      <c r="C56" s="36" t="s">
        <v>16</v>
      </c>
      <c r="D56" s="37">
        <f t="shared" ref="D56:O56" si="17">SUM(D57:D61)</f>
        <v>0</v>
      </c>
      <c r="E56" s="37">
        <f t="shared" si="17"/>
        <v>0</v>
      </c>
      <c r="F56" s="37">
        <f t="shared" si="17"/>
        <v>0</v>
      </c>
      <c r="G56" s="37">
        <f t="shared" si="17"/>
        <v>0</v>
      </c>
      <c r="H56" s="37">
        <f t="shared" si="17"/>
        <v>0</v>
      </c>
      <c r="I56" s="37">
        <f t="shared" si="17"/>
        <v>0</v>
      </c>
      <c r="J56" s="37">
        <f t="shared" si="17"/>
        <v>0</v>
      </c>
      <c r="K56" s="37">
        <f t="shared" si="17"/>
        <v>0</v>
      </c>
      <c r="L56" s="37">
        <f t="shared" si="17"/>
        <v>0</v>
      </c>
      <c r="M56" s="37">
        <f t="shared" si="17"/>
        <v>0</v>
      </c>
      <c r="N56" s="37">
        <f t="shared" si="17"/>
        <v>0</v>
      </c>
      <c r="O56" s="37">
        <f t="shared" si="17"/>
        <v>0</v>
      </c>
      <c r="P56" s="38">
        <f t="shared" ref="P56:P59" si="18">SUM(D56:O56)</f>
        <v>0</v>
      </c>
      <c r="Q56" s="38">
        <v>0</v>
      </c>
      <c r="R56" s="39"/>
    </row>
    <row r="57" spans="1:18" ht="18" hidden="1" outlineLevel="1" x14ac:dyDescent="0.2">
      <c r="A57" s="52"/>
      <c r="B57" s="53"/>
      <c r="C57" s="50" t="s">
        <v>26</v>
      </c>
      <c r="D57" s="57"/>
      <c r="E57" s="57"/>
      <c r="F57" s="57"/>
      <c r="G57" s="57"/>
      <c r="H57" s="57"/>
      <c r="I57" s="57"/>
      <c r="J57" s="58"/>
      <c r="K57" s="58"/>
      <c r="L57" s="57"/>
      <c r="M57" s="57"/>
      <c r="N57" s="57"/>
      <c r="O57" s="57"/>
      <c r="P57" s="59">
        <f t="shared" si="18"/>
        <v>0</v>
      </c>
      <c r="Q57" s="59">
        <f t="shared" ref="Q57:Q59" si="19">IFERROR(AVERAGE(D57:O57),0)</f>
        <v>0</v>
      </c>
      <c r="R57" s="45"/>
    </row>
    <row r="58" spans="1:18" ht="18" hidden="1" outlineLevel="1" x14ac:dyDescent="0.2">
      <c r="A58" s="52"/>
      <c r="B58" s="53"/>
      <c r="C58" s="50" t="s">
        <v>74</v>
      </c>
      <c r="D58" s="57"/>
      <c r="E58" s="57"/>
      <c r="F58" s="57"/>
      <c r="G58" s="57"/>
      <c r="H58" s="57"/>
      <c r="I58" s="57"/>
      <c r="J58" s="58"/>
      <c r="K58" s="58"/>
      <c r="L58" s="57"/>
      <c r="M58" s="57"/>
      <c r="N58" s="57"/>
      <c r="O58" s="57"/>
      <c r="P58" s="59">
        <f t="shared" si="18"/>
        <v>0</v>
      </c>
      <c r="Q58" s="59">
        <f t="shared" si="19"/>
        <v>0</v>
      </c>
      <c r="R58" s="45"/>
    </row>
    <row r="59" spans="1:18" ht="18" hidden="1" outlineLevel="1" x14ac:dyDescent="0.2">
      <c r="A59" s="52"/>
      <c r="B59" s="53"/>
      <c r="C59" s="50" t="s">
        <v>75</v>
      </c>
      <c r="D59" s="57"/>
      <c r="E59" s="57"/>
      <c r="F59" s="57"/>
      <c r="G59" s="57"/>
      <c r="H59" s="57"/>
      <c r="I59" s="57"/>
      <c r="J59" s="58"/>
      <c r="K59" s="58"/>
      <c r="L59" s="57"/>
      <c r="M59" s="57"/>
      <c r="N59" s="57"/>
      <c r="O59" s="57"/>
      <c r="P59" s="59">
        <f t="shared" si="18"/>
        <v>0</v>
      </c>
      <c r="Q59" s="59">
        <f t="shared" si="19"/>
        <v>0</v>
      </c>
      <c r="R59" s="45"/>
    </row>
    <row r="60" spans="1:18" ht="18" x14ac:dyDescent="0.2">
      <c r="A60" s="52"/>
      <c r="B60" s="53"/>
      <c r="C60" s="47"/>
      <c r="D60" s="48"/>
      <c r="E60" s="48"/>
      <c r="F60" s="48"/>
      <c r="G60" s="48"/>
      <c r="H60" s="48"/>
      <c r="I60" s="48"/>
      <c r="J60" s="54"/>
      <c r="K60" s="54"/>
      <c r="L60" s="48"/>
      <c r="M60" s="48"/>
      <c r="N60" s="48"/>
      <c r="O60" s="48"/>
      <c r="P60" s="49"/>
      <c r="Q60" s="49"/>
      <c r="R60" s="45"/>
    </row>
    <row r="61" spans="1:18" ht="18" x14ac:dyDescent="0.2">
      <c r="A61" s="66"/>
      <c r="B61" s="67"/>
      <c r="C61" s="64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51"/>
      <c r="Q61" s="51"/>
      <c r="R61" s="45"/>
    </row>
    <row r="62" spans="1:18" ht="18" collapsed="1" x14ac:dyDescent="0.2">
      <c r="A62" s="56" t="s">
        <v>76</v>
      </c>
      <c r="B62" s="35"/>
      <c r="C62" s="36" t="s">
        <v>16</v>
      </c>
      <c r="D62" s="37">
        <f t="shared" ref="D62:O62" si="20">SUM(D63:D69)</f>
        <v>0</v>
      </c>
      <c r="E62" s="37">
        <f t="shared" si="20"/>
        <v>0</v>
      </c>
      <c r="F62" s="37">
        <f t="shared" si="20"/>
        <v>0</v>
      </c>
      <c r="G62" s="37">
        <f t="shared" si="20"/>
        <v>0</v>
      </c>
      <c r="H62" s="37">
        <f t="shared" si="20"/>
        <v>0</v>
      </c>
      <c r="I62" s="37">
        <f t="shared" si="20"/>
        <v>0</v>
      </c>
      <c r="J62" s="37">
        <f t="shared" si="20"/>
        <v>0</v>
      </c>
      <c r="K62" s="37">
        <f t="shared" si="20"/>
        <v>0</v>
      </c>
      <c r="L62" s="37">
        <f t="shared" si="20"/>
        <v>0</v>
      </c>
      <c r="M62" s="37">
        <f t="shared" si="20"/>
        <v>0</v>
      </c>
      <c r="N62" s="37">
        <f t="shared" si="20"/>
        <v>0</v>
      </c>
      <c r="O62" s="37">
        <f t="shared" si="20"/>
        <v>0</v>
      </c>
      <c r="P62" s="38">
        <f t="shared" ref="P62:P67" si="21">SUM(D62:O62)</f>
        <v>0</v>
      </c>
      <c r="Q62" s="38">
        <v>0</v>
      </c>
      <c r="R62" s="39"/>
    </row>
    <row r="63" spans="1:18" ht="18" hidden="1" outlineLevel="1" x14ac:dyDescent="0.2">
      <c r="A63" s="52"/>
      <c r="B63" s="53"/>
      <c r="C63" s="50" t="s">
        <v>77</v>
      </c>
      <c r="D63" s="57"/>
      <c r="E63" s="57"/>
      <c r="F63" s="57"/>
      <c r="G63" s="57"/>
      <c r="H63" s="57"/>
      <c r="I63" s="57"/>
      <c r="J63" s="58"/>
      <c r="K63" s="58"/>
      <c r="L63" s="57"/>
      <c r="M63" s="57"/>
      <c r="N63" s="57"/>
      <c r="O63" s="57"/>
      <c r="P63" s="59">
        <f t="shared" si="21"/>
        <v>0</v>
      </c>
      <c r="Q63" s="59">
        <f t="shared" ref="Q63:Q67" si="22">IFERROR(AVERAGE(D63:O63),0)</f>
        <v>0</v>
      </c>
      <c r="R63" s="45"/>
    </row>
    <row r="64" spans="1:18" ht="18" hidden="1" outlineLevel="1" x14ac:dyDescent="0.2">
      <c r="A64" s="52"/>
      <c r="B64" s="53"/>
      <c r="C64" s="50" t="s">
        <v>78</v>
      </c>
      <c r="D64" s="57"/>
      <c r="E64" s="57"/>
      <c r="F64" s="57"/>
      <c r="G64" s="57"/>
      <c r="H64" s="57"/>
      <c r="I64" s="57"/>
      <c r="J64" s="58"/>
      <c r="K64" s="58"/>
      <c r="L64" s="57"/>
      <c r="M64" s="57"/>
      <c r="N64" s="57"/>
      <c r="O64" s="57"/>
      <c r="P64" s="59">
        <f t="shared" si="21"/>
        <v>0</v>
      </c>
      <c r="Q64" s="59">
        <f t="shared" si="22"/>
        <v>0</v>
      </c>
      <c r="R64" s="45"/>
    </row>
    <row r="65" spans="1:18" ht="18" hidden="1" outlineLevel="1" x14ac:dyDescent="0.2">
      <c r="A65" s="52"/>
      <c r="B65" s="53"/>
      <c r="C65" s="50" t="s">
        <v>79</v>
      </c>
      <c r="D65" s="57"/>
      <c r="E65" s="57"/>
      <c r="F65" s="57"/>
      <c r="G65" s="57"/>
      <c r="H65" s="57"/>
      <c r="I65" s="57"/>
      <c r="J65" s="58"/>
      <c r="K65" s="43"/>
      <c r="L65" s="57"/>
      <c r="M65" s="57"/>
      <c r="N65" s="57"/>
      <c r="O65" s="57"/>
      <c r="P65" s="59">
        <f t="shared" si="21"/>
        <v>0</v>
      </c>
      <c r="Q65" s="59">
        <f t="shared" si="22"/>
        <v>0</v>
      </c>
      <c r="R65" s="45"/>
    </row>
    <row r="66" spans="1:18" ht="18" hidden="1" outlineLevel="1" x14ac:dyDescent="0.2">
      <c r="A66" s="52"/>
      <c r="B66" s="53"/>
      <c r="C66" s="50" t="s">
        <v>80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9">
        <f t="shared" si="21"/>
        <v>0</v>
      </c>
      <c r="Q66" s="59">
        <f t="shared" si="22"/>
        <v>0</v>
      </c>
      <c r="R66" s="45"/>
    </row>
    <row r="67" spans="1:18" ht="18" hidden="1" outlineLevel="1" x14ac:dyDescent="0.2">
      <c r="A67" s="52"/>
      <c r="B67" s="53"/>
      <c r="C67" s="50" t="s">
        <v>64</v>
      </c>
      <c r="D67" s="57"/>
      <c r="E67" s="57"/>
      <c r="F67" s="57"/>
      <c r="G67" s="57"/>
      <c r="H67" s="57"/>
      <c r="I67" s="57"/>
      <c r="J67" s="58"/>
      <c r="K67" s="58"/>
      <c r="L67" s="57"/>
      <c r="M67" s="57"/>
      <c r="N67" s="57"/>
      <c r="O67" s="57"/>
      <c r="P67" s="59">
        <f t="shared" si="21"/>
        <v>0</v>
      </c>
      <c r="Q67" s="59">
        <f t="shared" si="22"/>
        <v>0</v>
      </c>
      <c r="R67" s="45"/>
    </row>
    <row r="68" spans="1:18" ht="18" x14ac:dyDescent="0.2">
      <c r="A68" s="52"/>
      <c r="B68" s="53"/>
      <c r="C68" s="47"/>
      <c r="D68" s="48"/>
      <c r="E68" s="48"/>
      <c r="F68" s="48"/>
      <c r="G68" s="48"/>
      <c r="H68" s="48"/>
      <c r="I68" s="48"/>
      <c r="J68" s="54"/>
      <c r="K68" s="54"/>
      <c r="L68" s="48"/>
      <c r="M68" s="48"/>
      <c r="N68" s="48"/>
      <c r="O68" s="48"/>
      <c r="P68" s="49"/>
      <c r="Q68" s="49"/>
      <c r="R68" s="45"/>
    </row>
    <row r="69" spans="1:18" ht="18" x14ac:dyDescent="0.2">
      <c r="A69" s="66"/>
      <c r="B69" s="67"/>
      <c r="C69" s="64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51"/>
      <c r="Q69" s="51"/>
      <c r="R69" s="45"/>
    </row>
    <row r="70" spans="1:18" ht="18" x14ac:dyDescent="0.2">
      <c r="A70" s="56" t="s">
        <v>81</v>
      </c>
      <c r="B70" s="35"/>
      <c r="C70" s="36" t="s">
        <v>16</v>
      </c>
      <c r="D70" s="37">
        <f t="shared" ref="D70:O70" ca="1" si="23">SUM(D71:D81)</f>
        <v>641.9699999999998</v>
      </c>
      <c r="E70" s="37">
        <f t="shared" ca="1" si="23"/>
        <v>1065.6899999999998</v>
      </c>
      <c r="F70" s="37">
        <f t="shared" ca="1" si="23"/>
        <v>943.41000000000008</v>
      </c>
      <c r="G70" s="37">
        <f t="shared" ca="1" si="23"/>
        <v>937.53000000000009</v>
      </c>
      <c r="H70" s="37">
        <f t="shared" ca="1" si="23"/>
        <v>634.09</v>
      </c>
      <c r="I70" s="37">
        <f t="shared" ca="1" si="23"/>
        <v>995.45999999999992</v>
      </c>
      <c r="J70" s="37">
        <f t="shared" ca="1" si="23"/>
        <v>825.21</v>
      </c>
      <c r="K70" s="37">
        <f t="shared" ca="1" si="23"/>
        <v>807.07999999999902</v>
      </c>
      <c r="L70" s="37">
        <f t="shared" ca="1" si="23"/>
        <v>959.91999999999894</v>
      </c>
      <c r="M70" s="37">
        <f t="shared" ca="1" si="23"/>
        <v>665.78999999999985</v>
      </c>
      <c r="N70" s="37">
        <f t="shared" ca="1" si="23"/>
        <v>546.05999999999995</v>
      </c>
      <c r="O70" s="37">
        <f t="shared" ca="1" si="23"/>
        <v>134.17999999999989</v>
      </c>
      <c r="P70" s="38">
        <f t="shared" ref="P70:P79" ca="1" si="24">SUM(D70:O70)</f>
        <v>9156.3899999999976</v>
      </c>
      <c r="Q70" s="38">
        <v>763.03250000000003</v>
      </c>
      <c r="R70" s="39"/>
    </row>
    <row r="71" spans="1:18" ht="18" outlineLevel="1" x14ac:dyDescent="0.2">
      <c r="A71" s="52"/>
      <c r="B71" s="53"/>
      <c r="C71" s="46" t="s">
        <v>82</v>
      </c>
      <c r="D71" s="65">
        <v>370</v>
      </c>
      <c r="E71" s="65">
        <v>370</v>
      </c>
      <c r="F71" s="65">
        <v>370</v>
      </c>
      <c r="G71" s="65">
        <v>370</v>
      </c>
      <c r="H71" s="65">
        <v>370</v>
      </c>
      <c r="I71" s="65">
        <v>370</v>
      </c>
      <c r="J71" s="65">
        <v>370</v>
      </c>
      <c r="K71" s="65">
        <v>370</v>
      </c>
      <c r="L71" s="65">
        <v>370</v>
      </c>
      <c r="M71" s="65">
        <v>370</v>
      </c>
      <c r="N71" s="65">
        <v>370</v>
      </c>
      <c r="O71" s="43"/>
      <c r="P71" s="44">
        <f t="shared" si="24"/>
        <v>4070</v>
      </c>
      <c r="Q71" s="44">
        <f t="shared" ref="Q71:Q79" si="25">IFERROR(AVERAGE(D71:O71),0)</f>
        <v>370</v>
      </c>
      <c r="R71" s="45"/>
    </row>
    <row r="72" spans="1:18" ht="18" outlineLevel="1" x14ac:dyDescent="0.2">
      <c r="A72" s="52"/>
      <c r="B72" s="53"/>
      <c r="C72" s="46" t="s">
        <v>83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>
        <f t="shared" si="24"/>
        <v>0</v>
      </c>
      <c r="Q72" s="44">
        <f t="shared" si="25"/>
        <v>0</v>
      </c>
      <c r="R72" s="45"/>
    </row>
    <row r="73" spans="1:18" ht="18" outlineLevel="1" x14ac:dyDescent="0.2">
      <c r="A73" s="52"/>
      <c r="B73" s="53"/>
      <c r="C73" s="46" t="s">
        <v>84</v>
      </c>
      <c r="D73" s="65">
        <f ca="1">IFERROR(__xludf.DUMMYFUNCTION("IMPORTRANGE(""https://docs.google.com/spreadsheets/d/1X95olAWi--HM9h-EJm_86numjL-8HpC2uxM-LnDk7Q0/edit#gid=0"",""Resumen!E12"")"),41.0199999999999)</f>
        <v>41.019999999999897</v>
      </c>
      <c r="E73" s="65">
        <f ca="1">IFERROR(__xludf.DUMMYFUNCTION("IMPORTRANGE(""https://docs.google.com/spreadsheets/d/1X95olAWi--HM9h-EJm_86numjL-8HpC2uxM-LnDk7Q0/edit#gid=0"",""Resumen!F12"")"),532.78)</f>
        <v>532.78</v>
      </c>
      <c r="F73" s="65">
        <f ca="1">IFERROR(__xludf.DUMMYFUNCTION("IMPORTRANGE(""https://docs.google.com/spreadsheets/d/1X95olAWi--HM9h-EJm_86numjL-8HpC2uxM-LnDk7Q0/edit#gid=0"",""Resumen!G12"")"),470.17)</f>
        <v>470.17</v>
      </c>
      <c r="G73" s="65">
        <f ca="1">IFERROR(__xludf.DUMMYFUNCTION("IMPORTRANGE(""https://docs.google.com/spreadsheets/d/1X95olAWi--HM9h-EJm_86numjL-8HpC2uxM-LnDk7Q0/edit#gid=0"",""Resumen!H12"")"),416.5)</f>
        <v>416.5</v>
      </c>
      <c r="H73" s="65">
        <f ca="1">IFERROR(__xludf.DUMMYFUNCTION("IMPORTRANGE(""https://docs.google.com/spreadsheets/d/1X95olAWi--HM9h-EJm_86numjL-8HpC2uxM-LnDk7Q0/edit#gid=0"",""Resumen!I12"")"),1.95)</f>
        <v>1.95</v>
      </c>
      <c r="I73" s="65">
        <f ca="1">IFERROR(__xludf.DUMMYFUNCTION("IMPORTRANGE(""https://docs.google.com/spreadsheets/d/1X95olAWi--HM9h-EJm_86numjL-8HpC2uxM-LnDk7Q0/edit#gid=0"",""Resumen!J12"")"),366.02)</f>
        <v>366.02</v>
      </c>
      <c r="J73" s="65">
        <f ca="1">IFERROR(__xludf.DUMMYFUNCTION("IMPORTRANGE(""https://docs.google.com/spreadsheets/d/1X95olAWi--HM9h-EJm_86numjL-8HpC2uxM-LnDk7Q0/edit#gid=0"",""Resumen!K12"")"),216.08)</f>
        <v>216.08</v>
      </c>
      <c r="K73" s="65">
        <f ca="1">IFERROR(__xludf.DUMMYFUNCTION("IMPORTRANGE(""https://docs.google.com/spreadsheets/d/1X95olAWi--HM9h-EJm_86numjL-8HpC2uxM-LnDk7Q0/edit#gid=0"",""Resumen!L12"")"),227.759999999999)</f>
        <v>227.759999999999</v>
      </c>
      <c r="L73" s="65">
        <f ca="1">IFERROR(__xludf.DUMMYFUNCTION("IMPORTRANGE(""https://docs.google.com/spreadsheets/d/1X95olAWi--HM9h-EJm_86numjL-8HpC2uxM-LnDk7Q0/edit#gid=0"",""Resumen!M12"")"),0)</f>
        <v>0</v>
      </c>
      <c r="M73" s="65">
        <f ca="1">IFERROR(__xludf.DUMMYFUNCTION("IMPORTRANGE(""https://docs.google.com/spreadsheets/d/1X95olAWi--HM9h-EJm_86numjL-8HpC2uxM-LnDk7Q0/edit#gid=0"",""Resumen!N12"")"),23.29)</f>
        <v>23.29</v>
      </c>
      <c r="N73" s="65">
        <f ca="1">IFERROR(__xludf.DUMMYFUNCTION("IMPORTRANGE(""https://docs.google.com/spreadsheets/d/1X95olAWi--HM9h-EJm_86numjL-8HpC2uxM-LnDk7Q0/edit#gid=0"",""Resumen!O12"")"),0)</f>
        <v>0</v>
      </c>
      <c r="O73" s="65">
        <f ca="1">IFERROR(__xludf.DUMMYFUNCTION("IMPORTRANGE(""https://docs.google.com/spreadsheets/d/1X95olAWi--HM9h-EJm_86numjL-8HpC2uxM-LnDk7Q0/edit#gid=0"",""Resumen!P12"")"),0)</f>
        <v>0</v>
      </c>
      <c r="P73" s="44">
        <f t="shared" ca="1" si="24"/>
        <v>2295.5699999999988</v>
      </c>
      <c r="Q73" s="44">
        <f t="shared" ca="1" si="25"/>
        <v>191.2974999999999</v>
      </c>
      <c r="R73" s="45"/>
    </row>
    <row r="74" spans="1:18" ht="18" outlineLevel="1" x14ac:dyDescent="0.2">
      <c r="A74" s="52"/>
      <c r="B74" s="53"/>
      <c r="C74" s="46" t="s">
        <v>85</v>
      </c>
      <c r="D74" s="65">
        <f ca="1">IFERROR(__xludf.DUMMYFUNCTION("IMPORTRANGE(""https://docs.google.com/spreadsheets/d/1X95olAWi--HM9h-EJm_86numjL-8HpC2uxM-LnDk7Q0/edit#gid=0"",""Resumen!E13"")"),0)</f>
        <v>0</v>
      </c>
      <c r="E74" s="65">
        <f ca="1">IFERROR(__xludf.DUMMYFUNCTION("IMPORTRANGE(""https://docs.google.com/spreadsheets/d/1X95olAWi--HM9h-EJm_86numjL-8HpC2uxM-LnDk7Q0/edit#gid=0"",""Resumen!F13"")"),0)</f>
        <v>0</v>
      </c>
      <c r="F74" s="65">
        <f ca="1">IFERROR(__xludf.DUMMYFUNCTION("IMPORTRANGE(""https://docs.google.com/spreadsheets/d/1X95olAWi--HM9h-EJm_86numjL-8HpC2uxM-LnDk7Q0/edit#gid=0"",""Resumen!G13"")"),0)</f>
        <v>0</v>
      </c>
      <c r="G74" s="65">
        <f ca="1">IFERROR(__xludf.DUMMYFUNCTION("IMPORTRANGE(""https://docs.google.com/spreadsheets/d/1X95olAWi--HM9h-EJm_86numjL-8HpC2uxM-LnDk7Q0/edit#gid=0"",""Resumen!H13"")"),37.2)</f>
        <v>37.200000000000003</v>
      </c>
      <c r="H74" s="65">
        <f ca="1">IFERROR(__xludf.DUMMYFUNCTION("IMPORTRANGE(""https://docs.google.com/spreadsheets/d/1X95olAWi--HM9h-EJm_86numjL-8HpC2uxM-LnDk7Q0/edit#gid=0"",""Resumen!I13"")"),0)</f>
        <v>0</v>
      </c>
      <c r="I74" s="65">
        <f ca="1">IFERROR(__xludf.DUMMYFUNCTION("IMPORTRANGE(""https://docs.google.com/spreadsheets/d/1X95olAWi--HM9h-EJm_86numjL-8HpC2uxM-LnDk7Q0/edit#gid=0"",""Resumen!J13"")"),0)</f>
        <v>0</v>
      </c>
      <c r="J74" s="65">
        <f ca="1">IFERROR(__xludf.DUMMYFUNCTION("IMPORTRANGE(""https://docs.google.com/spreadsheets/d/1X95olAWi--HM9h-EJm_86numjL-8HpC2uxM-LnDk7Q0/edit#gid=0"",""Resumen!K13"")"),0)</f>
        <v>0</v>
      </c>
      <c r="K74" s="65">
        <f ca="1">IFERROR(__xludf.DUMMYFUNCTION("IMPORTRANGE(""https://docs.google.com/spreadsheets/d/1X95olAWi--HM9h-EJm_86numjL-8HpC2uxM-LnDk7Q0/edit#gid=0"",""Resumen!L13"")"),0)</f>
        <v>0</v>
      </c>
      <c r="L74" s="65">
        <f ca="1">IFERROR(__xludf.DUMMYFUNCTION("IMPORTRANGE(""https://docs.google.com/spreadsheets/d/1X95olAWi--HM9h-EJm_86numjL-8HpC2uxM-LnDk7Q0/edit#gid=0"",""Resumen!M13"")"),0)</f>
        <v>0</v>
      </c>
      <c r="M74" s="65">
        <f ca="1">IFERROR(__xludf.DUMMYFUNCTION("IMPORTRANGE(""https://docs.google.com/spreadsheets/d/1X95olAWi--HM9h-EJm_86numjL-8HpC2uxM-LnDk7Q0/edit#gid=0"",""Resumen!N13"")"),85)</f>
        <v>85</v>
      </c>
      <c r="N74" s="65">
        <f ca="1">IFERROR(__xludf.DUMMYFUNCTION("IMPORTRANGE(""https://docs.google.com/spreadsheets/d/1X95olAWi--HM9h-EJm_86numjL-8HpC2uxM-LnDk7Q0/edit#gid=0"",""Resumen!O13"")"),0)</f>
        <v>0</v>
      </c>
      <c r="O74" s="65">
        <f ca="1">IFERROR(__xludf.DUMMYFUNCTION("IMPORTRANGE(""https://docs.google.com/spreadsheets/d/1X95olAWi--HM9h-EJm_86numjL-8HpC2uxM-LnDk7Q0/edit#gid=0"",""Resumen!P13"")"),0)</f>
        <v>0</v>
      </c>
      <c r="P74" s="44">
        <f t="shared" ca="1" si="24"/>
        <v>122.2</v>
      </c>
      <c r="Q74" s="44">
        <f t="shared" ca="1" si="25"/>
        <v>10.183333333333334</v>
      </c>
      <c r="R74" s="45"/>
    </row>
    <row r="75" spans="1:18" ht="18" outlineLevel="1" x14ac:dyDescent="0.2">
      <c r="A75" s="52"/>
      <c r="B75" s="53"/>
      <c r="C75" s="46" t="s">
        <v>21</v>
      </c>
      <c r="D75" s="65">
        <f ca="1">IFERROR(__xludf.DUMMYFUNCTION("IMPORTRANGE(""https://docs.google.com/spreadsheets/d/1X95olAWi--HM9h-EJm_86numjL-8HpC2uxM-LnDk7Q0/edit#gid=0"",""Resumen!E14"")"),65)</f>
        <v>65</v>
      </c>
      <c r="E75" s="65">
        <f ca="1">IFERROR(__xludf.DUMMYFUNCTION("IMPORTRANGE(""https://docs.google.com/spreadsheets/d/1X95olAWi--HM9h-EJm_86numjL-8HpC2uxM-LnDk7Q0/edit#gid=0"",""Resumen!F14"")"),64.99)</f>
        <v>64.989999999999995</v>
      </c>
      <c r="F75" s="65">
        <f ca="1">IFERROR(__xludf.DUMMYFUNCTION("IMPORTRANGE(""https://docs.google.com/spreadsheets/d/1X95olAWi--HM9h-EJm_86numjL-8HpC2uxM-LnDk7Q0/edit#gid=0"",""Resumen!G13"")"),0)</f>
        <v>0</v>
      </c>
      <c r="G75" s="65">
        <f ca="1">IFERROR(__xludf.DUMMYFUNCTION("IMPORTRANGE(""https://docs.google.com/spreadsheets/d/1X95olAWi--HM9h-EJm_86numjL-8HpC2uxM-LnDk7Q0/edit#gid=0"",""Resumen!H14"")"),0)</f>
        <v>0</v>
      </c>
      <c r="H75" s="65">
        <f ca="1">IFERROR(__xludf.DUMMYFUNCTION("IMPORTRANGE(""https://docs.google.com/spreadsheets/d/1X95olAWi--HM9h-EJm_86numjL-8HpC2uxM-LnDk7Q0/edit#gid=0"",""Resumen!I14"")"),121)</f>
        <v>121</v>
      </c>
      <c r="I75" s="65">
        <f ca="1">IFERROR(__xludf.DUMMYFUNCTION("IMPORTRANGE(""https://docs.google.com/spreadsheets/d/1X95olAWi--HM9h-EJm_86numjL-8HpC2uxM-LnDk7Q0/edit#gid=0"",""Resumen!J14"")"),121.03)</f>
        <v>121.03</v>
      </c>
      <c r="J75" s="65">
        <f ca="1">IFERROR(__xludf.DUMMYFUNCTION("IMPORTRANGE(""https://docs.google.com/spreadsheets/d/1X95olAWi--HM9h-EJm_86numjL-8HpC2uxM-LnDk7Q0/edit#gid=0"",""Resumen!K14"")"),128.67)</f>
        <v>128.66999999999999</v>
      </c>
      <c r="K75" s="65">
        <f ca="1">IFERROR(__xludf.DUMMYFUNCTION("IMPORTRANGE(""https://docs.google.com/spreadsheets/d/1X95olAWi--HM9h-EJm_86numjL-8HpC2uxM-LnDk7Q0/edit#gid=0"",""Resumen!L14"")"),97.72)</f>
        <v>97.72</v>
      </c>
      <c r="L75" s="65">
        <f ca="1">IFERROR(__xludf.DUMMYFUNCTION("IMPORTRANGE(""https://docs.google.com/spreadsheets/d/1X95olAWi--HM9h-EJm_86numjL-8HpC2uxM-LnDk7Q0/edit#gid=0"",""Resumen!M14"")"),434.299999999999)</f>
        <v>434.29999999999899</v>
      </c>
      <c r="M75" s="65">
        <f ca="1">IFERROR(__xludf.DUMMYFUNCTION("IMPORTRANGE(""https://docs.google.com/spreadsheets/d/1X95olAWi--HM9h-EJm_86numjL-8HpC2uxM-LnDk7Q0/edit#gid=0"",""Resumen!N14"")"),42.45)</f>
        <v>42.45</v>
      </c>
      <c r="N75" s="65">
        <f ca="1">IFERROR(__xludf.DUMMYFUNCTION("IMPORTRANGE(""https://docs.google.com/spreadsheets/d/1X95olAWi--HM9h-EJm_86numjL-8HpC2uxM-LnDk7Q0/edit#gid=0"",""Resumen!O14"")"),0)</f>
        <v>0</v>
      </c>
      <c r="O75" s="65">
        <f ca="1">IFERROR(__xludf.DUMMYFUNCTION("IMPORTRANGE(""https://docs.google.com/spreadsheets/d/1X95olAWi--HM9h-EJm_86numjL-8HpC2uxM-LnDk7Q0/edit#gid=0"",""Resumen!P14"")"),0)</f>
        <v>0</v>
      </c>
      <c r="P75" s="44">
        <f t="shared" ca="1" si="24"/>
        <v>1075.1599999999989</v>
      </c>
      <c r="Q75" s="44">
        <f t="shared" ca="1" si="25"/>
        <v>89.596666666666579</v>
      </c>
      <c r="R75" s="45"/>
    </row>
    <row r="76" spans="1:18" ht="18" outlineLevel="1" x14ac:dyDescent="0.2">
      <c r="A76" s="52"/>
      <c r="B76" s="53"/>
      <c r="C76" s="46" t="s">
        <v>86</v>
      </c>
      <c r="D76" s="65">
        <f ca="1">IFERROR(__xludf.DUMMYFUNCTION("IMPORTRANGE(""https://docs.google.com/spreadsheets/d/1X95olAWi--HM9h-EJm_86numjL-8HpC2uxM-LnDk7Q0/edit#gid=0"",""Resumen!E15"")"),24.7599999999999)</f>
        <v>24.759999999999899</v>
      </c>
      <c r="E76" s="65">
        <f ca="1">IFERROR(__xludf.DUMMYFUNCTION("IMPORTRANGE(""https://docs.google.com/spreadsheets/d/1X95olAWi--HM9h-EJm_86numjL-8HpC2uxM-LnDk7Q0/edit#gid=0"",""Resumen!F15"")"),26.1699999999999)</f>
        <v>26.169999999999899</v>
      </c>
      <c r="F76" s="65">
        <f ca="1">IFERROR(__xludf.DUMMYFUNCTION("IMPORTRANGE(""https://docs.google.com/spreadsheets/d/1X95olAWi--HM9h-EJm_86numjL-8HpC2uxM-LnDk7Q0/edit#gid=0"",""Resumen!G15"")"),31.49)</f>
        <v>31.49</v>
      </c>
      <c r="G76" s="65">
        <f ca="1">IFERROR(__xludf.DUMMYFUNCTION("IMPORTRANGE(""https://docs.google.com/spreadsheets/d/1X95olAWi--HM9h-EJm_86numjL-8HpC2uxM-LnDk7Q0/edit#gid=0"",""Resumen!H15"")"),42.08)</f>
        <v>42.08</v>
      </c>
      <c r="H76" s="65">
        <f ca="1">IFERROR(__xludf.DUMMYFUNCTION("IMPORTRANGE(""https://docs.google.com/spreadsheets/d/1X95olAWi--HM9h-EJm_86numjL-8HpC2uxM-LnDk7Q0/edit#gid=0"",""Resumen!I15"")"),69.39)</f>
        <v>69.39</v>
      </c>
      <c r="I76" s="65">
        <f ca="1">IFERROR(__xludf.DUMMYFUNCTION("IMPORTRANGE(""https://docs.google.com/spreadsheets/d/1X95olAWi--HM9h-EJm_86numjL-8HpC2uxM-LnDk7Q0/edit#gid=0"",""Resumen!J15"")"),66.66)</f>
        <v>66.66</v>
      </c>
      <c r="J76" s="65">
        <f ca="1">IFERROR(__xludf.DUMMYFUNCTION("IMPORTRANGE(""https://docs.google.com/spreadsheets/d/1X95olAWi--HM9h-EJm_86numjL-8HpC2uxM-LnDk7Q0/edit#gid=0"",""Resumen!K15"")"),38.71)</f>
        <v>38.71</v>
      </c>
      <c r="K76" s="65">
        <f ca="1">IFERROR(__xludf.DUMMYFUNCTION("IMPORTRANGE(""https://docs.google.com/spreadsheets/d/1X95olAWi--HM9h-EJm_86numjL-8HpC2uxM-LnDk7Q0/edit#gid=0"",""Resumen!L15"")"),39.85)</f>
        <v>39.85</v>
      </c>
      <c r="L76" s="65">
        <f ca="1">IFERROR(__xludf.DUMMYFUNCTION("IMPORTRANGE(""https://docs.google.com/spreadsheets/d/1X95olAWi--HM9h-EJm_86numjL-8HpC2uxM-LnDk7Q0/edit#gid=0"",""Resumen!M15"")"),54.1299999999999)</f>
        <v>54.129999999999903</v>
      </c>
      <c r="M76" s="65">
        <f ca="1">IFERROR(__xludf.DUMMYFUNCTION("IMPORTRANGE(""https://docs.google.com/spreadsheets/d/1X95olAWi--HM9h-EJm_86numjL-8HpC2uxM-LnDk7Q0/edit#gid=0"",""Resumen!N15"")"),55.04)</f>
        <v>55.04</v>
      </c>
      <c r="N76" s="65">
        <f ca="1">IFERROR(__xludf.DUMMYFUNCTION("IMPORTRANGE(""https://docs.google.com/spreadsheets/d/1X95olAWi--HM9h-EJm_86numjL-8HpC2uxM-LnDk7Q0/edit#gid=0"",""Resumen!O15"")"),82.65)</f>
        <v>82.65</v>
      </c>
      <c r="O76" s="65">
        <f ca="1">IFERROR(__xludf.DUMMYFUNCTION("IMPORTRANGE(""https://docs.google.com/spreadsheets/d/1X95olAWi--HM9h-EJm_86numjL-8HpC2uxM-LnDk7Q0/edit#gid=0"",""Resumen!P15"")"),39.9499999999999)</f>
        <v>39.949999999999903</v>
      </c>
      <c r="P76" s="44">
        <f t="shared" ca="1" si="24"/>
        <v>570.87999999999965</v>
      </c>
      <c r="Q76" s="44">
        <f t="shared" ca="1" si="25"/>
        <v>47.573333333333302</v>
      </c>
      <c r="R76" s="45"/>
    </row>
    <row r="77" spans="1:18" ht="18" outlineLevel="1" x14ac:dyDescent="0.2">
      <c r="A77" s="52"/>
      <c r="B77" s="53"/>
      <c r="C77" s="46" t="s">
        <v>87</v>
      </c>
      <c r="D77" s="65">
        <f ca="1">IFERROR(__xludf.DUMMYFUNCTION("IMPORTRANGE(""https://docs.google.com/spreadsheets/d/1X95olAWi--HM9h-EJm_86numjL-8HpC2uxM-LnDk7Q0/edit#gid=0"",""Resumen!E16"")"),141.19)</f>
        <v>141.19</v>
      </c>
      <c r="E77" s="65">
        <f ca="1">IFERROR(__xludf.DUMMYFUNCTION("IMPORTRANGE(""https://docs.google.com/spreadsheets/d/1X95olAWi--HM9h-EJm_86numjL-8HpC2uxM-LnDk7Q0/edit#gid=0"",""Resumen!F16"")"),71.75)</f>
        <v>71.75</v>
      </c>
      <c r="F77" s="65">
        <f ca="1">IFERROR(__xludf.DUMMYFUNCTION("IMPORTRANGE(""https://docs.google.com/spreadsheets/d/1X95olAWi--HM9h-EJm_86numjL-8HpC2uxM-LnDk7Q0/edit#gid=0"",""Resumen!G16"")"),71.75)</f>
        <v>71.75</v>
      </c>
      <c r="G77" s="65">
        <f ca="1">IFERROR(__xludf.DUMMYFUNCTION("IMPORTRANGE(""https://docs.google.com/spreadsheets/d/1X95olAWi--HM9h-EJm_86numjL-8HpC2uxM-LnDk7Q0/edit#gid=0"",""Resumen!H16"")"),71.75)</f>
        <v>71.75</v>
      </c>
      <c r="H77" s="65">
        <f ca="1">IFERROR(__xludf.DUMMYFUNCTION("IMPORTRANGE(""https://docs.google.com/spreadsheets/d/1X95olAWi--HM9h-EJm_86numjL-8HpC2uxM-LnDk7Q0/edit#gid=0"",""Resumen!I16"")"),71.75)</f>
        <v>71.75</v>
      </c>
      <c r="I77" s="65">
        <f ca="1">IFERROR(__xludf.DUMMYFUNCTION("IMPORTRANGE(""https://docs.google.com/spreadsheets/d/1X95olAWi--HM9h-EJm_86numjL-8HpC2uxM-LnDk7Q0/edit#gid=0"",""Resumen!J16"")"),71.75)</f>
        <v>71.75</v>
      </c>
      <c r="J77" s="65">
        <f ca="1">IFERROR(__xludf.DUMMYFUNCTION("IMPORTRANGE(""https://docs.google.com/spreadsheets/d/1X95olAWi--HM9h-EJm_86numjL-8HpC2uxM-LnDk7Q0/edit#gid=0"",""Resumen!K16"")"),71.75)</f>
        <v>71.75</v>
      </c>
      <c r="K77" s="65">
        <f ca="1">IFERROR(__xludf.DUMMYFUNCTION("IMPORTRANGE(""https://docs.google.com/spreadsheets/d/1X95olAWi--HM9h-EJm_86numjL-8HpC2uxM-LnDk7Q0/edit#gid=0"",""Resumen!L16"")"),71.75)</f>
        <v>71.75</v>
      </c>
      <c r="L77" s="65">
        <f ca="1">IFERROR(__xludf.DUMMYFUNCTION("IMPORTRANGE(""https://docs.google.com/spreadsheets/d/1X95olAWi--HM9h-EJm_86numjL-8HpC2uxM-LnDk7Q0/edit#gid=0"",""Resumen!M16"")"),71.75)</f>
        <v>71.75</v>
      </c>
      <c r="M77" s="65">
        <f ca="1">IFERROR(__xludf.DUMMYFUNCTION("IMPORTRANGE(""https://docs.google.com/spreadsheets/d/1X95olAWi--HM9h-EJm_86numjL-8HpC2uxM-LnDk7Q0/edit#gid=0"",""Resumen!N16"")"),71.75)</f>
        <v>71.75</v>
      </c>
      <c r="N77" s="65">
        <f ca="1">IFERROR(__xludf.DUMMYFUNCTION("IMPORTRANGE(""https://docs.google.com/spreadsheets/d/1X95olAWi--HM9h-EJm_86numjL-8HpC2uxM-LnDk7Q0/edit#gid=0"",""Resumen!O16"")"),71.75)</f>
        <v>71.75</v>
      </c>
      <c r="O77" s="65">
        <f ca="1">IFERROR(__xludf.DUMMYFUNCTION("IMPORTRANGE(""https://docs.google.com/spreadsheets/d/1X95olAWi--HM9h-EJm_86numjL-8HpC2uxM-LnDk7Q0/edit#gid=0"",""Resumen!P16"")"),71.75)</f>
        <v>71.75</v>
      </c>
      <c r="P77" s="44">
        <f t="shared" ca="1" si="24"/>
        <v>930.44</v>
      </c>
      <c r="Q77" s="44">
        <f t="shared" ca="1" si="25"/>
        <v>77.536666666666676</v>
      </c>
      <c r="R77" s="45"/>
    </row>
    <row r="78" spans="1:18" ht="18" outlineLevel="1" x14ac:dyDescent="0.2">
      <c r="A78" s="52"/>
      <c r="B78" s="53"/>
      <c r="C78" s="46" t="s">
        <v>88</v>
      </c>
      <c r="D78" s="65">
        <f ca="1">IFERROR(__xludf.DUMMYFUNCTION("IMPORTRANGE(""https://docs.google.com/spreadsheets/d/1X95olAWi--HM9h-EJm_86numjL-8HpC2uxM-LnDk7Q0/edit#gid=0"",""Resumen!E17"")"),0)</f>
        <v>0</v>
      </c>
      <c r="E78" s="65">
        <f ca="1">IFERROR(__xludf.DUMMYFUNCTION("IMPORTRANGE(""https://docs.google.com/spreadsheets/d/1X95olAWi--HM9h-EJm_86numjL-8HpC2uxM-LnDk7Q0/edit#gid=0"",""Resumen!F17"")"),0)</f>
        <v>0</v>
      </c>
      <c r="F78" s="65">
        <f ca="1">IFERROR(__xludf.DUMMYFUNCTION("IMPORTRANGE(""https://docs.google.com/spreadsheets/d/1X95olAWi--HM9h-EJm_86numjL-8HpC2uxM-LnDk7Q0/edit#gid=0"",""Resumen!G17"")"),0)</f>
        <v>0</v>
      </c>
      <c r="G78" s="65">
        <f ca="1">IFERROR(__xludf.DUMMYFUNCTION("IMPORTRANGE(""https://docs.google.com/spreadsheets/d/1X95olAWi--HM9h-EJm_86numjL-8HpC2uxM-LnDk7Q0/edit#gid=0"",""Resumen!H17"")"),0)</f>
        <v>0</v>
      </c>
      <c r="H78" s="65">
        <f ca="1">IFERROR(__xludf.DUMMYFUNCTION("IMPORTRANGE(""https://docs.google.com/spreadsheets/d/1X95olAWi--HM9h-EJm_86numjL-8HpC2uxM-LnDk7Q0/edit#gid=0"",""Resumen!I17"")"),0)</f>
        <v>0</v>
      </c>
      <c r="I78" s="65">
        <f ca="1">IFERROR(__xludf.DUMMYFUNCTION("IMPORTRANGE(""https://docs.google.com/spreadsheets/d/1X95olAWi--HM9h-EJm_86numjL-8HpC2uxM-LnDk7Q0/edit#gid=0"",""Resumen!J17"")"),0)</f>
        <v>0</v>
      </c>
      <c r="J78" s="65">
        <f ca="1">IFERROR(__xludf.DUMMYFUNCTION("IMPORTRANGE(""https://docs.google.com/spreadsheets/d/1X95olAWi--HM9h-EJm_86numjL-8HpC2uxM-LnDk7Q0/edit#gid=0"",""Resumen!K17"")"),0)</f>
        <v>0</v>
      </c>
      <c r="K78" s="65">
        <f ca="1">IFERROR(__xludf.DUMMYFUNCTION("IMPORTRANGE(""https://docs.google.com/spreadsheets/d/1X95olAWi--HM9h-EJm_86numjL-8HpC2uxM-LnDk7Q0/edit#gid=0"",""Resumen!L17"")"),0)</f>
        <v>0</v>
      </c>
      <c r="L78" s="65">
        <f ca="1">IFERROR(__xludf.DUMMYFUNCTION("IMPORTRANGE(""https://docs.google.com/spreadsheets/d/1X95olAWi--HM9h-EJm_86numjL-8HpC2uxM-LnDk7Q0/edit#gid=0"",""Resumen!M17"")"),0)</f>
        <v>0</v>
      </c>
      <c r="M78" s="65">
        <f ca="1">IFERROR(__xludf.DUMMYFUNCTION("IMPORTRANGE(""https://docs.google.com/spreadsheets/d/1X95olAWi--HM9h-EJm_86numjL-8HpC2uxM-LnDk7Q0/edit#gid=0"",""Resumen!N17"")"),0)</f>
        <v>0</v>
      </c>
      <c r="N78" s="65">
        <f ca="1">IFERROR(__xludf.DUMMYFUNCTION("IMPORTRANGE(""https://docs.google.com/spreadsheets/d/1X95olAWi--HM9h-EJm_86numjL-8HpC2uxM-LnDk7Q0/edit#gid=0"",""Resumen!O17"")"),0)</f>
        <v>0</v>
      </c>
      <c r="O78" s="65">
        <f ca="1">IFERROR(__xludf.DUMMYFUNCTION("IMPORTRANGE(""https://docs.google.com/spreadsheets/d/1X95olAWi--HM9h-EJm_86numjL-8HpC2uxM-LnDk7Q0/edit#gid=0"",""Resumen!P17"")"),0)</f>
        <v>0</v>
      </c>
      <c r="P78" s="44">
        <f t="shared" ca="1" si="24"/>
        <v>0</v>
      </c>
      <c r="Q78" s="44">
        <f t="shared" ca="1" si="25"/>
        <v>0</v>
      </c>
      <c r="R78" s="45"/>
    </row>
    <row r="79" spans="1:18" ht="18" outlineLevel="1" x14ac:dyDescent="0.2">
      <c r="A79" s="52"/>
      <c r="B79" s="53"/>
      <c r="C79" s="50" t="s">
        <v>89</v>
      </c>
      <c r="D79" s="65">
        <f ca="1">IFERROR(__xludf.DUMMYFUNCTION("IMPORTRANGE(""https://docs.google.com/spreadsheets/d/1X95olAWi--HM9h-EJm_86numjL-8HpC2uxM-LnDk7Q0/edit#gid=0"",""Resumen!E18"")"),0)</f>
        <v>0</v>
      </c>
      <c r="E79" s="65">
        <f ca="1">IFERROR(__xludf.DUMMYFUNCTION("IMPORTRANGE(""https://docs.google.com/spreadsheets/d/1X95olAWi--HM9h-EJm_86numjL-8HpC2uxM-LnDk7Q0/edit#gid=0"",""Resumen!F18"")"),0)</f>
        <v>0</v>
      </c>
      <c r="F79" s="65">
        <f ca="1">IFERROR(__xludf.DUMMYFUNCTION("IMPORTRANGE(""https://docs.google.com/spreadsheets/d/1X95olAWi--HM9h-EJm_86numjL-8HpC2uxM-LnDk7Q0/edit#gid=0"",""Resumen!G18"")"),0)</f>
        <v>0</v>
      </c>
      <c r="G79" s="65">
        <f ca="1">IFERROR(__xludf.DUMMYFUNCTION("IMPORTRANGE(""https://docs.google.com/spreadsheets/d/1X95olAWi--HM9h-EJm_86numjL-8HpC2uxM-LnDk7Q0/edit#gid=0"",""Resumen!H18"")"),0)</f>
        <v>0</v>
      </c>
      <c r="H79" s="65">
        <f ca="1">IFERROR(__xludf.DUMMYFUNCTION("IMPORTRANGE(""https://docs.google.com/spreadsheets/d/1X95olAWi--HM9h-EJm_86numjL-8HpC2uxM-LnDk7Q0/edit#gid=0"",""Resumen!I18"")"),0)</f>
        <v>0</v>
      </c>
      <c r="I79" s="65">
        <f ca="1">IFERROR(__xludf.DUMMYFUNCTION("IMPORTRANGE(""https://docs.google.com/spreadsheets/d/1X95olAWi--HM9h-EJm_86numjL-8HpC2uxM-LnDk7Q0/edit#gid=0"",""Resumen!J18"")"),0)</f>
        <v>0</v>
      </c>
      <c r="J79" s="65">
        <f ca="1">IFERROR(__xludf.DUMMYFUNCTION("IMPORTRANGE(""https://docs.google.com/spreadsheets/d/1X95olAWi--HM9h-EJm_86numjL-8HpC2uxM-LnDk7Q0/edit#gid=0"",""Resumen!K18"")"),0)</f>
        <v>0</v>
      </c>
      <c r="K79" s="65">
        <f ca="1">IFERROR(__xludf.DUMMYFUNCTION("IMPORTRANGE(""https://docs.google.com/spreadsheets/d/1X95olAWi--HM9h-EJm_86numjL-8HpC2uxM-LnDk7Q0/edit#gid=0"",""Resumen!L18"")"),0)</f>
        <v>0</v>
      </c>
      <c r="L79" s="65">
        <f ca="1">IFERROR(__xludf.DUMMYFUNCTION("IMPORTRANGE(""https://docs.google.com/spreadsheets/d/1X95olAWi--HM9h-EJm_86numjL-8HpC2uxM-LnDk7Q0/edit#gid=0"",""Resumen!M18"")"),29.74)</f>
        <v>29.74</v>
      </c>
      <c r="M79" s="65">
        <f ca="1">IFERROR(__xludf.DUMMYFUNCTION("IMPORTRANGE(""https://docs.google.com/spreadsheets/d/1X95olAWi--HM9h-EJm_86numjL-8HpC2uxM-LnDk7Q0/edit#gid=0"",""Resumen!N18"")"),18.2599999999999)</f>
        <v>18.259999999999899</v>
      </c>
      <c r="N79" s="65">
        <f ca="1">IFERROR(__xludf.DUMMYFUNCTION("IMPORTRANGE(""https://docs.google.com/spreadsheets/d/1X95olAWi--HM9h-EJm_86numjL-8HpC2uxM-LnDk7Q0/edit#gid=0"",""Resumen!O18"")"),21.66)</f>
        <v>21.66</v>
      </c>
      <c r="O79" s="65">
        <f ca="1">IFERROR(__xludf.DUMMYFUNCTION("IMPORTRANGE(""https://docs.google.com/spreadsheets/d/1X95olAWi--HM9h-EJm_86numjL-8HpC2uxM-LnDk7Q0/edit#gid=0"",""Resumen!P18"")"),22.48)</f>
        <v>22.48</v>
      </c>
      <c r="P79" s="44">
        <f t="shared" ca="1" si="24"/>
        <v>92.139999999999901</v>
      </c>
      <c r="Q79" s="44">
        <f t="shared" ca="1" si="25"/>
        <v>7.6783333333333248</v>
      </c>
      <c r="R79" s="45"/>
    </row>
    <row r="80" spans="1:18" ht="18" x14ac:dyDescent="0.2">
      <c r="A80" s="52"/>
      <c r="B80" s="53"/>
      <c r="C80" s="42" t="s">
        <v>90</v>
      </c>
      <c r="D80" s="48"/>
      <c r="E80" s="48"/>
      <c r="F80" s="48"/>
      <c r="G80" s="48"/>
      <c r="H80" s="48"/>
      <c r="I80" s="48"/>
      <c r="J80" s="54"/>
      <c r="K80" s="54"/>
      <c r="L80" s="48"/>
      <c r="M80" s="48"/>
      <c r="N80" s="48"/>
      <c r="O80" s="48"/>
      <c r="P80" s="49"/>
      <c r="Q80" s="49"/>
      <c r="R80" s="45"/>
    </row>
    <row r="81" spans="1:18" ht="18" x14ac:dyDescent="0.2">
      <c r="A81" s="66"/>
      <c r="B81" s="67"/>
      <c r="C81" s="64"/>
      <c r="D81" s="48"/>
      <c r="E81" s="48"/>
      <c r="F81" s="48"/>
      <c r="G81" s="48"/>
      <c r="H81" s="48"/>
      <c r="I81" s="48"/>
      <c r="J81" s="48"/>
      <c r="K81" s="48"/>
      <c r="M81" s="48"/>
      <c r="N81" s="48"/>
      <c r="O81" s="48"/>
      <c r="P81" s="51"/>
      <c r="Q81" s="51"/>
      <c r="R81" s="45"/>
    </row>
    <row r="82" spans="1:18" ht="18" x14ac:dyDescent="0.2">
      <c r="A82" s="56" t="s">
        <v>91</v>
      </c>
      <c r="B82" s="35"/>
      <c r="C82" s="36" t="s">
        <v>16</v>
      </c>
      <c r="D82" s="37">
        <f t="shared" ref="D82:O82" si="26">SUM(D83:D90)</f>
        <v>0</v>
      </c>
      <c r="E82" s="37">
        <f t="shared" si="26"/>
        <v>0</v>
      </c>
      <c r="F82" s="37">
        <f t="shared" si="26"/>
        <v>0</v>
      </c>
      <c r="G82" s="37">
        <f t="shared" si="26"/>
        <v>0</v>
      </c>
      <c r="H82" s="37">
        <f t="shared" si="26"/>
        <v>0</v>
      </c>
      <c r="I82" s="37">
        <f t="shared" si="26"/>
        <v>0</v>
      </c>
      <c r="J82" s="37">
        <f t="shared" si="26"/>
        <v>0</v>
      </c>
      <c r="K82" s="37">
        <f t="shared" si="26"/>
        <v>0</v>
      </c>
      <c r="L82" s="37">
        <f t="shared" si="26"/>
        <v>1464.08</v>
      </c>
      <c r="M82" s="37">
        <f t="shared" si="26"/>
        <v>1151.1300000000001</v>
      </c>
      <c r="N82" s="37">
        <f t="shared" si="26"/>
        <v>871.71</v>
      </c>
      <c r="O82" s="37">
        <f t="shared" si="26"/>
        <v>871.71</v>
      </c>
      <c r="P82" s="38">
        <f t="shared" ref="P82:P96" si="27">SUM(D82:O82)</f>
        <v>4358.63</v>
      </c>
      <c r="Q82" s="38">
        <v>363.21916670000002</v>
      </c>
      <c r="R82" s="39"/>
    </row>
    <row r="83" spans="1:18" ht="18" outlineLevel="1" x14ac:dyDescent="0.2">
      <c r="A83" s="52"/>
      <c r="B83" s="53"/>
      <c r="C83" s="46" t="s">
        <v>92</v>
      </c>
      <c r="D83" s="43"/>
      <c r="E83" s="43"/>
      <c r="F83" s="43"/>
      <c r="G83" s="43"/>
      <c r="H83" s="43"/>
      <c r="J83" s="43"/>
      <c r="K83" s="43"/>
      <c r="L83" s="65">
        <v>1000</v>
      </c>
      <c r="M83" s="65">
        <v>500</v>
      </c>
      <c r="N83" s="65">
        <v>500</v>
      </c>
      <c r="O83" s="43">
        <v>500</v>
      </c>
      <c r="P83" s="44">
        <f t="shared" si="27"/>
        <v>2500</v>
      </c>
      <c r="Q83" s="44">
        <f t="shared" ref="Q83:Q90" si="28">IFERROR(AVERAGE(D83:O83),0)</f>
        <v>625</v>
      </c>
      <c r="R83" s="45"/>
    </row>
    <row r="84" spans="1:18" ht="18" outlineLevel="1" x14ac:dyDescent="0.2">
      <c r="A84" s="52"/>
      <c r="B84" s="53"/>
      <c r="C84" s="46" t="s">
        <v>93</v>
      </c>
      <c r="D84" s="43"/>
      <c r="E84" s="43"/>
      <c r="F84" s="43"/>
      <c r="G84" s="43"/>
      <c r="H84" s="43"/>
      <c r="J84" s="43"/>
      <c r="K84" s="43"/>
      <c r="L84" s="43"/>
      <c r="M84" s="43"/>
      <c r="N84" s="43"/>
      <c r="O84" s="43"/>
      <c r="P84" s="44">
        <f t="shared" si="27"/>
        <v>0</v>
      </c>
      <c r="Q84" s="44">
        <f t="shared" si="28"/>
        <v>0</v>
      </c>
      <c r="R84" s="45"/>
    </row>
    <row r="85" spans="1:18" ht="18" outlineLevel="1" x14ac:dyDescent="0.2">
      <c r="A85" s="52"/>
      <c r="B85" s="53"/>
      <c r="C85" s="46" t="s">
        <v>94</v>
      </c>
      <c r="D85" s="43"/>
      <c r="E85" s="43"/>
      <c r="F85" s="43"/>
      <c r="G85" s="43"/>
      <c r="H85" s="43"/>
      <c r="J85" s="43"/>
      <c r="K85" s="43"/>
      <c r="L85" s="65">
        <v>72</v>
      </c>
      <c r="M85" s="65">
        <v>72</v>
      </c>
      <c r="N85" s="43">
        <v>72</v>
      </c>
      <c r="O85" s="43">
        <v>72</v>
      </c>
      <c r="P85" s="44">
        <f t="shared" si="27"/>
        <v>288</v>
      </c>
      <c r="Q85" s="44">
        <f t="shared" si="28"/>
        <v>72</v>
      </c>
      <c r="R85" s="45"/>
    </row>
    <row r="86" spans="1:18" ht="18" outlineLevel="1" x14ac:dyDescent="0.2">
      <c r="A86" s="52"/>
      <c r="B86" s="53"/>
      <c r="C86" s="46" t="s">
        <v>95</v>
      </c>
      <c r="D86" s="43"/>
      <c r="E86" s="43"/>
      <c r="F86" s="43"/>
      <c r="G86" s="43"/>
      <c r="H86" s="43"/>
      <c r="J86" s="43"/>
      <c r="K86" s="43"/>
      <c r="L86" s="65">
        <v>299.70999999999998</v>
      </c>
      <c r="M86" s="65">
        <v>299.70999999999998</v>
      </c>
      <c r="N86" s="43">
        <v>299.70999999999998</v>
      </c>
      <c r="O86" s="43">
        <v>299.70999999999998</v>
      </c>
      <c r="P86" s="44">
        <f t="shared" si="27"/>
        <v>1198.8399999999999</v>
      </c>
      <c r="Q86" s="44">
        <f t="shared" si="28"/>
        <v>299.70999999999998</v>
      </c>
      <c r="R86" s="45"/>
    </row>
    <row r="87" spans="1:18" ht="18" outlineLevel="1" x14ac:dyDescent="0.2">
      <c r="A87" s="52"/>
      <c r="B87" s="53"/>
      <c r="C87" s="46" t="s">
        <v>96</v>
      </c>
      <c r="D87" s="43"/>
      <c r="E87" s="43"/>
      <c r="F87" s="43"/>
      <c r="G87" s="43"/>
      <c r="H87" s="43"/>
      <c r="J87" s="68"/>
      <c r="K87" s="68"/>
      <c r="L87" s="43"/>
      <c r="M87" s="43"/>
      <c r="N87" s="43"/>
      <c r="O87" s="43"/>
      <c r="P87" s="43">
        <f t="shared" si="27"/>
        <v>0</v>
      </c>
      <c r="Q87" s="44">
        <f t="shared" si="28"/>
        <v>0</v>
      </c>
      <c r="R87" s="45"/>
    </row>
    <row r="88" spans="1:18" ht="18" x14ac:dyDescent="0.2">
      <c r="A88" s="52"/>
      <c r="B88" s="53"/>
      <c r="C88" s="50" t="s">
        <v>97</v>
      </c>
      <c r="D88" s="48"/>
      <c r="E88" s="48"/>
      <c r="F88" s="48"/>
      <c r="G88" s="48"/>
      <c r="H88" s="48"/>
      <c r="J88" s="54"/>
      <c r="K88" s="54"/>
      <c r="L88" s="43"/>
      <c r="M88" s="43"/>
      <c r="N88" s="43"/>
      <c r="O88" s="43"/>
      <c r="P88" s="44">
        <f t="shared" si="27"/>
        <v>0</v>
      </c>
      <c r="Q88" s="44">
        <f t="shared" si="28"/>
        <v>0</v>
      </c>
      <c r="R88" s="45"/>
    </row>
    <row r="89" spans="1:18" ht="18" x14ac:dyDescent="0.2">
      <c r="A89" s="69"/>
      <c r="B89" s="70"/>
      <c r="C89" s="50" t="s">
        <v>98</v>
      </c>
      <c r="D89" s="48"/>
      <c r="E89" s="48"/>
      <c r="F89" s="48"/>
      <c r="G89" s="48"/>
      <c r="H89" s="48"/>
      <c r="J89" s="48"/>
      <c r="K89" s="48"/>
      <c r="M89" s="65">
        <f>93.14*3</f>
        <v>279.42</v>
      </c>
      <c r="N89" s="43"/>
      <c r="O89" s="43"/>
      <c r="P89" s="44">
        <f t="shared" si="27"/>
        <v>279.42</v>
      </c>
      <c r="Q89" s="44">
        <f t="shared" si="28"/>
        <v>279.42</v>
      </c>
      <c r="R89" s="45"/>
    </row>
    <row r="90" spans="1:18" ht="18" x14ac:dyDescent="0.2">
      <c r="A90" s="66"/>
      <c r="B90" s="67"/>
      <c r="C90" s="50" t="s">
        <v>99</v>
      </c>
      <c r="D90" s="48"/>
      <c r="E90" s="48"/>
      <c r="F90" s="48"/>
      <c r="G90" s="48"/>
      <c r="H90" s="48"/>
      <c r="I90" s="48"/>
      <c r="J90" s="48"/>
      <c r="K90" s="48"/>
      <c r="L90" s="65">
        <v>92.37</v>
      </c>
      <c r="M90" s="43"/>
      <c r="N90" s="43"/>
      <c r="O90" s="43"/>
      <c r="P90" s="43">
        <f t="shared" si="27"/>
        <v>92.37</v>
      </c>
      <c r="Q90" s="44">
        <f t="shared" si="28"/>
        <v>92.37</v>
      </c>
      <c r="R90" s="45"/>
    </row>
    <row r="91" spans="1:18" ht="18" collapsed="1" x14ac:dyDescent="0.2">
      <c r="A91" s="56"/>
      <c r="B91" s="35"/>
      <c r="C91" s="36" t="s">
        <v>16</v>
      </c>
      <c r="D91" s="37">
        <f t="shared" ref="D91:O91" si="29">SUM(D92:D98)</f>
        <v>0</v>
      </c>
      <c r="E91" s="37">
        <f t="shared" si="29"/>
        <v>0</v>
      </c>
      <c r="F91" s="37">
        <f t="shared" si="29"/>
        <v>0</v>
      </c>
      <c r="G91" s="37">
        <f t="shared" si="29"/>
        <v>0</v>
      </c>
      <c r="H91" s="37">
        <f t="shared" si="29"/>
        <v>0</v>
      </c>
      <c r="I91" s="37">
        <f t="shared" si="29"/>
        <v>0</v>
      </c>
      <c r="J91" s="37">
        <f t="shared" si="29"/>
        <v>0</v>
      </c>
      <c r="K91" s="37">
        <f t="shared" si="29"/>
        <v>0</v>
      </c>
      <c r="L91" s="37">
        <f t="shared" si="29"/>
        <v>0</v>
      </c>
      <c r="M91" s="37">
        <f t="shared" si="29"/>
        <v>0</v>
      </c>
      <c r="N91" s="37">
        <f t="shared" si="29"/>
        <v>0</v>
      </c>
      <c r="O91" s="37">
        <f t="shared" si="29"/>
        <v>0</v>
      </c>
      <c r="P91" s="38">
        <f t="shared" si="27"/>
        <v>0</v>
      </c>
      <c r="Q91" s="38">
        <v>0</v>
      </c>
      <c r="R91" s="39"/>
    </row>
    <row r="92" spans="1:18" ht="18" hidden="1" outlineLevel="1" x14ac:dyDescent="0.2">
      <c r="A92" s="52"/>
      <c r="B92" s="53"/>
      <c r="C92" s="50" t="s">
        <v>66</v>
      </c>
      <c r="D92" s="57"/>
      <c r="E92" s="57"/>
      <c r="F92" s="57"/>
      <c r="G92" s="57"/>
      <c r="H92" s="57"/>
      <c r="I92" s="57"/>
      <c r="J92" s="58"/>
      <c r="K92" s="58"/>
      <c r="L92" s="57"/>
      <c r="M92" s="57"/>
      <c r="N92" s="57"/>
      <c r="O92" s="57"/>
      <c r="P92" s="59">
        <f t="shared" si="27"/>
        <v>0</v>
      </c>
      <c r="Q92" s="59">
        <f t="shared" ref="Q92:Q96" si="30">IFERROR(AVERAGE(D92:O92),0)</f>
        <v>0</v>
      </c>
      <c r="R92" s="45"/>
    </row>
    <row r="93" spans="1:18" ht="18" hidden="1" outlineLevel="1" x14ac:dyDescent="0.2">
      <c r="A93" s="52"/>
      <c r="B93" s="53"/>
      <c r="C93" s="50" t="s">
        <v>100</v>
      </c>
      <c r="D93" s="57"/>
      <c r="E93" s="57"/>
      <c r="F93" s="57"/>
      <c r="G93" s="57"/>
      <c r="H93" s="57"/>
      <c r="I93" s="57"/>
      <c r="J93" s="58"/>
      <c r="K93" s="58"/>
      <c r="L93" s="57"/>
      <c r="M93" s="57"/>
      <c r="N93" s="57"/>
      <c r="O93" s="57"/>
      <c r="P93" s="59">
        <f t="shared" si="27"/>
        <v>0</v>
      </c>
      <c r="Q93" s="59">
        <f t="shared" si="30"/>
        <v>0</v>
      </c>
      <c r="R93" s="45"/>
    </row>
    <row r="94" spans="1:18" ht="18" hidden="1" outlineLevel="1" x14ac:dyDescent="0.2">
      <c r="A94" s="52"/>
      <c r="B94" s="53"/>
      <c r="C94" s="50" t="s">
        <v>101</v>
      </c>
      <c r="D94" s="57"/>
      <c r="E94" s="57"/>
      <c r="F94" s="57"/>
      <c r="G94" s="57"/>
      <c r="H94" s="57"/>
      <c r="I94" s="57"/>
      <c r="J94" s="58"/>
      <c r="K94" s="58"/>
      <c r="L94" s="57"/>
      <c r="M94" s="57"/>
      <c r="N94" s="57"/>
      <c r="O94" s="57"/>
      <c r="P94" s="59">
        <f t="shared" si="27"/>
        <v>0</v>
      </c>
      <c r="Q94" s="59">
        <f t="shared" si="30"/>
        <v>0</v>
      </c>
      <c r="R94" s="45"/>
    </row>
    <row r="95" spans="1:18" ht="18" hidden="1" outlineLevel="1" x14ac:dyDescent="0.2">
      <c r="A95" s="52"/>
      <c r="B95" s="53"/>
      <c r="C95" s="50" t="s">
        <v>102</v>
      </c>
      <c r="D95" s="57"/>
      <c r="E95" s="57"/>
      <c r="F95" s="57"/>
      <c r="G95" s="57"/>
      <c r="H95" s="57"/>
      <c r="I95" s="57"/>
      <c r="J95" s="58"/>
      <c r="K95" s="58"/>
      <c r="L95" s="57"/>
      <c r="M95" s="57"/>
      <c r="N95" s="57"/>
      <c r="O95" s="57"/>
      <c r="P95" s="59">
        <f t="shared" si="27"/>
        <v>0</v>
      </c>
      <c r="Q95" s="59">
        <f t="shared" si="30"/>
        <v>0</v>
      </c>
      <c r="R95" s="45"/>
    </row>
    <row r="96" spans="1:18" ht="18" hidden="1" outlineLevel="1" x14ac:dyDescent="0.2">
      <c r="A96" s="52"/>
      <c r="B96" s="53"/>
      <c r="C96" s="47" t="s">
        <v>103</v>
      </c>
      <c r="D96" s="57"/>
      <c r="E96" s="57"/>
      <c r="F96" s="57"/>
      <c r="G96" s="57"/>
      <c r="H96" s="57"/>
      <c r="I96" s="57"/>
      <c r="J96" s="58"/>
      <c r="K96" s="58"/>
      <c r="L96" s="57"/>
      <c r="M96" s="57"/>
      <c r="N96" s="57"/>
      <c r="O96" s="57"/>
      <c r="P96" s="59">
        <f t="shared" si="27"/>
        <v>0</v>
      </c>
      <c r="Q96" s="59">
        <f t="shared" si="30"/>
        <v>0</v>
      </c>
      <c r="R96" s="45"/>
    </row>
    <row r="97" spans="1:18" ht="18" x14ac:dyDescent="0.2">
      <c r="A97" s="52"/>
      <c r="B97" s="53"/>
      <c r="C97" s="50" t="s">
        <v>104</v>
      </c>
      <c r="D97" s="48"/>
      <c r="E97" s="48"/>
      <c r="F97" s="48"/>
      <c r="G97" s="48"/>
      <c r="H97" s="48"/>
      <c r="I97" s="48"/>
      <c r="J97" s="54"/>
      <c r="K97" s="54"/>
      <c r="L97" s="48"/>
      <c r="M97" s="48"/>
      <c r="N97" s="48"/>
      <c r="O97" s="48"/>
      <c r="P97" s="49"/>
      <c r="Q97" s="49"/>
      <c r="R97" s="45"/>
    </row>
    <row r="98" spans="1:18" ht="18" x14ac:dyDescent="0.2">
      <c r="A98" s="66"/>
      <c r="B98" s="67"/>
      <c r="C98" s="47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51"/>
      <c r="Q98" s="51"/>
      <c r="R98" s="45"/>
    </row>
    <row r="99" spans="1:18" ht="18" collapsed="1" x14ac:dyDescent="0.2">
      <c r="A99" s="56" t="s">
        <v>105</v>
      </c>
      <c r="B99" s="35"/>
      <c r="C99" s="36" t="s">
        <v>16</v>
      </c>
      <c r="D99" s="37">
        <f t="shared" ref="D99:O99" si="31">SUM(D100:D106)</f>
        <v>0</v>
      </c>
      <c r="E99" s="37">
        <f t="shared" si="31"/>
        <v>0</v>
      </c>
      <c r="F99" s="37">
        <f t="shared" si="31"/>
        <v>0</v>
      </c>
      <c r="G99" s="37">
        <f t="shared" si="31"/>
        <v>0</v>
      </c>
      <c r="H99" s="37">
        <f t="shared" si="31"/>
        <v>0</v>
      </c>
      <c r="I99" s="37">
        <f t="shared" si="31"/>
        <v>0</v>
      </c>
      <c r="J99" s="37">
        <f t="shared" si="31"/>
        <v>0</v>
      </c>
      <c r="K99" s="37">
        <f t="shared" si="31"/>
        <v>0</v>
      </c>
      <c r="L99" s="37">
        <f t="shared" si="31"/>
        <v>0</v>
      </c>
      <c r="M99" s="37">
        <f t="shared" si="31"/>
        <v>0</v>
      </c>
      <c r="N99" s="37">
        <f t="shared" si="31"/>
        <v>0</v>
      </c>
      <c r="O99" s="37">
        <f t="shared" si="31"/>
        <v>0</v>
      </c>
      <c r="P99" s="38">
        <f t="shared" ref="P99:P104" si="32">SUM(D99:O99)</f>
        <v>0</v>
      </c>
      <c r="Q99" s="38">
        <v>0</v>
      </c>
      <c r="R99" s="39"/>
    </row>
    <row r="100" spans="1:18" ht="18" hidden="1" outlineLevel="1" x14ac:dyDescent="0.2">
      <c r="A100" s="52"/>
      <c r="B100" s="53"/>
      <c r="C100" s="47" t="s">
        <v>106</v>
      </c>
      <c r="D100" s="57"/>
      <c r="E100" s="57"/>
      <c r="F100" s="57"/>
      <c r="G100" s="57"/>
      <c r="H100" s="57"/>
      <c r="I100" s="57"/>
      <c r="J100" s="58"/>
      <c r="K100" s="58"/>
      <c r="L100" s="57"/>
      <c r="M100" s="57"/>
      <c r="N100" s="57"/>
      <c r="O100" s="57"/>
      <c r="P100" s="59">
        <f t="shared" si="32"/>
        <v>0</v>
      </c>
      <c r="Q100" s="59">
        <f t="shared" ref="Q100:Q104" si="33">IFERROR(AVERAGE(D100:O100),0)</f>
        <v>0</v>
      </c>
      <c r="R100" s="45"/>
    </row>
    <row r="101" spans="1:18" ht="18" hidden="1" outlineLevel="1" x14ac:dyDescent="0.2">
      <c r="A101" s="52"/>
      <c r="B101" s="53"/>
      <c r="C101" s="50" t="s">
        <v>107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9">
        <f t="shared" si="32"/>
        <v>0</v>
      </c>
      <c r="Q101" s="59">
        <f t="shared" si="33"/>
        <v>0</v>
      </c>
      <c r="R101" s="45"/>
    </row>
    <row r="102" spans="1:18" ht="18" hidden="1" outlineLevel="1" x14ac:dyDescent="0.2">
      <c r="A102" s="52"/>
      <c r="B102" s="53"/>
      <c r="C102" s="47" t="s">
        <v>108</v>
      </c>
      <c r="D102" s="57"/>
      <c r="E102" s="57"/>
      <c r="F102" s="57"/>
      <c r="G102" s="57"/>
      <c r="H102" s="57"/>
      <c r="I102" s="57"/>
      <c r="J102" s="58"/>
      <c r="K102" s="58"/>
      <c r="L102" s="57"/>
      <c r="M102" s="57"/>
      <c r="N102" s="57"/>
      <c r="O102" s="57"/>
      <c r="P102" s="59">
        <f t="shared" si="32"/>
        <v>0</v>
      </c>
      <c r="Q102" s="59">
        <f t="shared" si="33"/>
        <v>0</v>
      </c>
      <c r="R102" s="45"/>
    </row>
    <row r="103" spans="1:18" ht="18" hidden="1" outlineLevel="1" x14ac:dyDescent="0.2">
      <c r="A103" s="52"/>
      <c r="B103" s="53"/>
      <c r="C103" s="47" t="s">
        <v>109</v>
      </c>
      <c r="D103" s="57"/>
      <c r="E103" s="57"/>
      <c r="F103" s="57"/>
      <c r="G103" s="57"/>
      <c r="H103" s="57"/>
      <c r="I103" s="57"/>
      <c r="J103" s="58"/>
      <c r="K103" s="58"/>
      <c r="L103" s="57"/>
      <c r="M103" s="57"/>
      <c r="N103" s="57"/>
      <c r="O103" s="57"/>
      <c r="P103" s="59">
        <f t="shared" si="32"/>
        <v>0</v>
      </c>
      <c r="Q103" s="59">
        <f t="shared" si="33"/>
        <v>0</v>
      </c>
      <c r="R103" s="45"/>
    </row>
    <row r="104" spans="1:18" ht="18" hidden="1" outlineLevel="1" x14ac:dyDescent="0.2">
      <c r="A104" s="52"/>
      <c r="B104" s="53"/>
      <c r="C104" s="50" t="s">
        <v>21</v>
      </c>
      <c r="D104" s="57"/>
      <c r="E104" s="57"/>
      <c r="F104" s="57"/>
      <c r="G104" s="57"/>
      <c r="H104" s="57"/>
      <c r="I104" s="57"/>
      <c r="J104" s="58"/>
      <c r="K104" s="58"/>
      <c r="L104" s="57"/>
      <c r="M104" s="57"/>
      <c r="N104" s="57"/>
      <c r="O104" s="57"/>
      <c r="P104" s="59">
        <f t="shared" si="32"/>
        <v>0</v>
      </c>
      <c r="Q104" s="59">
        <f t="shared" si="33"/>
        <v>0</v>
      </c>
      <c r="R104" s="45"/>
    </row>
    <row r="105" spans="1:18" ht="18" x14ac:dyDescent="0.2">
      <c r="A105" s="52"/>
      <c r="B105" s="53"/>
      <c r="C105" s="47"/>
      <c r="D105" s="48"/>
      <c r="E105" s="48"/>
      <c r="F105" s="48"/>
      <c r="G105" s="48"/>
      <c r="H105" s="48"/>
      <c r="I105" s="48"/>
      <c r="J105" s="54"/>
      <c r="K105" s="54"/>
      <c r="L105" s="48"/>
      <c r="M105" s="48"/>
      <c r="N105" s="48"/>
      <c r="O105" s="48"/>
      <c r="P105" s="49"/>
      <c r="Q105" s="49"/>
      <c r="R105" s="45"/>
    </row>
    <row r="106" spans="1:18" ht="18" x14ac:dyDescent="0.2">
      <c r="A106" s="66"/>
      <c r="B106" s="67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51"/>
      <c r="Q106" s="51"/>
      <c r="R106" s="45"/>
    </row>
    <row r="107" spans="1:18" ht="18" collapsed="1" x14ac:dyDescent="0.2">
      <c r="A107" s="56" t="s">
        <v>70</v>
      </c>
      <c r="B107" s="35"/>
      <c r="C107" s="36" t="s">
        <v>16</v>
      </c>
      <c r="D107" s="37">
        <f t="shared" ref="D107:O107" si="34">SUM(D108:D116)</f>
        <v>0</v>
      </c>
      <c r="E107" s="37">
        <f t="shared" si="34"/>
        <v>0</v>
      </c>
      <c r="F107" s="37">
        <f t="shared" si="34"/>
        <v>0</v>
      </c>
      <c r="G107" s="37">
        <f t="shared" si="34"/>
        <v>0</v>
      </c>
      <c r="H107" s="37">
        <f t="shared" si="34"/>
        <v>0</v>
      </c>
      <c r="I107" s="37">
        <f t="shared" si="34"/>
        <v>0</v>
      </c>
      <c r="J107" s="37">
        <f t="shared" si="34"/>
        <v>0</v>
      </c>
      <c r="K107" s="37">
        <f t="shared" si="34"/>
        <v>0</v>
      </c>
      <c r="L107" s="37">
        <f t="shared" si="34"/>
        <v>0</v>
      </c>
      <c r="M107" s="37">
        <f t="shared" si="34"/>
        <v>0</v>
      </c>
      <c r="N107" s="37">
        <f t="shared" si="34"/>
        <v>0</v>
      </c>
      <c r="O107" s="37">
        <f t="shared" si="34"/>
        <v>0</v>
      </c>
      <c r="P107" s="38">
        <f t="shared" ref="P107:P114" si="35">SUM(D107:O107)</f>
        <v>0</v>
      </c>
      <c r="Q107" s="38">
        <v>0</v>
      </c>
      <c r="R107" s="39"/>
    </row>
    <row r="108" spans="1:18" ht="18" hidden="1" outlineLevel="1" x14ac:dyDescent="0.2">
      <c r="A108" s="52"/>
      <c r="B108" s="53"/>
      <c r="C108" s="50" t="s">
        <v>110</v>
      </c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9">
        <f t="shared" si="35"/>
        <v>0</v>
      </c>
      <c r="Q108" s="59">
        <f t="shared" ref="Q108:Q114" si="36">IFERROR(AVERAGE(D108:O108),0)</f>
        <v>0</v>
      </c>
      <c r="R108" s="45"/>
    </row>
    <row r="109" spans="1:18" ht="18" hidden="1" outlineLevel="1" x14ac:dyDescent="0.2">
      <c r="A109" s="52"/>
      <c r="B109" s="53"/>
      <c r="C109" s="50" t="s">
        <v>111</v>
      </c>
      <c r="D109" s="57"/>
      <c r="E109" s="57"/>
      <c r="F109" s="57"/>
      <c r="G109" s="57"/>
      <c r="H109" s="57"/>
      <c r="I109" s="57"/>
      <c r="J109" s="58"/>
      <c r="K109" s="58"/>
      <c r="L109" s="57"/>
      <c r="M109" s="57"/>
      <c r="N109" s="57"/>
      <c r="O109" s="57"/>
      <c r="P109" s="59">
        <f t="shared" si="35"/>
        <v>0</v>
      </c>
      <c r="Q109" s="59">
        <f t="shared" si="36"/>
        <v>0</v>
      </c>
      <c r="R109" s="45"/>
    </row>
    <row r="110" spans="1:18" ht="18" hidden="1" outlineLevel="1" x14ac:dyDescent="0.2">
      <c r="A110" s="52"/>
      <c r="B110" s="53"/>
      <c r="C110" s="50" t="s">
        <v>112</v>
      </c>
      <c r="D110" s="57"/>
      <c r="E110" s="57"/>
      <c r="F110" s="57"/>
      <c r="G110" s="57"/>
      <c r="H110" s="57"/>
      <c r="I110" s="57"/>
      <c r="J110" s="58"/>
      <c r="K110" s="58"/>
      <c r="L110" s="57"/>
      <c r="M110" s="57"/>
      <c r="N110" s="57"/>
      <c r="O110" s="57"/>
      <c r="P110" s="59">
        <f t="shared" si="35"/>
        <v>0</v>
      </c>
      <c r="Q110" s="59">
        <f t="shared" si="36"/>
        <v>0</v>
      </c>
      <c r="R110" s="45"/>
    </row>
    <row r="111" spans="1:18" ht="18" hidden="1" outlineLevel="1" x14ac:dyDescent="0.2">
      <c r="A111" s="52"/>
      <c r="B111" s="53"/>
      <c r="C111" s="50" t="s">
        <v>113</v>
      </c>
      <c r="D111" s="57"/>
      <c r="E111" s="57"/>
      <c r="F111" s="57"/>
      <c r="G111" s="57"/>
      <c r="H111" s="57"/>
      <c r="I111" s="57"/>
      <c r="J111" s="58"/>
      <c r="K111" s="58"/>
      <c r="L111" s="57"/>
      <c r="M111" s="57"/>
      <c r="N111" s="57"/>
      <c r="O111" s="57"/>
      <c r="P111" s="59">
        <f t="shared" si="35"/>
        <v>0</v>
      </c>
      <c r="Q111" s="59">
        <f t="shared" si="36"/>
        <v>0</v>
      </c>
      <c r="R111" s="45"/>
    </row>
    <row r="112" spans="1:18" ht="18" hidden="1" outlineLevel="1" x14ac:dyDescent="0.2">
      <c r="A112" s="52"/>
      <c r="B112" s="53"/>
      <c r="C112" s="50" t="s">
        <v>114</v>
      </c>
      <c r="D112" s="57"/>
      <c r="E112" s="57"/>
      <c r="F112" s="57"/>
      <c r="G112" s="57"/>
      <c r="H112" s="57"/>
      <c r="I112" s="57"/>
      <c r="J112" s="58"/>
      <c r="K112" s="58"/>
      <c r="L112" s="57"/>
      <c r="M112" s="57"/>
      <c r="N112" s="57"/>
      <c r="O112" s="57"/>
      <c r="P112" s="59">
        <f t="shared" si="35"/>
        <v>0</v>
      </c>
      <c r="Q112" s="59">
        <f t="shared" si="36"/>
        <v>0</v>
      </c>
      <c r="R112" s="45"/>
    </row>
    <row r="113" spans="1:18" ht="18" hidden="1" outlineLevel="1" x14ac:dyDescent="0.2">
      <c r="A113" s="52"/>
      <c r="B113" s="53"/>
      <c r="C113" s="50" t="s">
        <v>115</v>
      </c>
      <c r="D113" s="57"/>
      <c r="E113" s="57"/>
      <c r="F113" s="57"/>
      <c r="G113" s="57"/>
      <c r="H113" s="57"/>
      <c r="I113" s="57"/>
      <c r="J113" s="58"/>
      <c r="K113" s="58"/>
      <c r="L113" s="57"/>
      <c r="M113" s="57"/>
      <c r="N113" s="57"/>
      <c r="O113" s="57"/>
      <c r="P113" s="59">
        <f t="shared" si="35"/>
        <v>0</v>
      </c>
      <c r="Q113" s="59">
        <f t="shared" si="36"/>
        <v>0</v>
      </c>
      <c r="R113" s="45"/>
    </row>
    <row r="114" spans="1:18" ht="18" hidden="1" outlineLevel="1" x14ac:dyDescent="0.2">
      <c r="A114" s="52"/>
      <c r="B114" s="53"/>
      <c r="C114" s="50" t="s">
        <v>116</v>
      </c>
      <c r="D114" s="57"/>
      <c r="E114" s="57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59">
        <f t="shared" si="35"/>
        <v>0</v>
      </c>
      <c r="Q114" s="59">
        <f t="shared" si="36"/>
        <v>0</v>
      </c>
      <c r="R114" s="45"/>
    </row>
    <row r="115" spans="1:18" ht="18" x14ac:dyDescent="0.2">
      <c r="A115" s="52"/>
      <c r="B115" s="53"/>
      <c r="C115" s="47"/>
      <c r="D115" s="48"/>
      <c r="E115" s="48"/>
      <c r="F115" s="48"/>
      <c r="G115" s="48"/>
      <c r="H115" s="48"/>
      <c r="I115" s="48"/>
      <c r="J115" s="54"/>
      <c r="K115" s="54"/>
      <c r="L115" s="48"/>
      <c r="M115" s="48"/>
      <c r="N115" s="48"/>
      <c r="O115" s="48"/>
      <c r="P115" s="49"/>
      <c r="Q115" s="49"/>
      <c r="R115" s="45"/>
    </row>
    <row r="116" spans="1:18" ht="18" x14ac:dyDescent="0.2">
      <c r="A116" s="62"/>
      <c r="B116" s="63"/>
      <c r="C116" s="47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51"/>
      <c r="Q116" s="51"/>
      <c r="R116" s="45"/>
    </row>
    <row r="117" spans="1:18" ht="18" x14ac:dyDescent="0.2">
      <c r="A117" s="56" t="s">
        <v>84</v>
      </c>
      <c r="B117" s="35"/>
      <c r="C117" s="36" t="s">
        <v>16</v>
      </c>
      <c r="D117" s="37">
        <f t="shared" ref="D117:O117" si="37">SUM(D118:D125)</f>
        <v>0</v>
      </c>
      <c r="E117" s="37">
        <f t="shared" si="37"/>
        <v>0</v>
      </c>
      <c r="F117" s="37">
        <f t="shared" si="37"/>
        <v>0</v>
      </c>
      <c r="G117" s="37">
        <f t="shared" si="37"/>
        <v>0</v>
      </c>
      <c r="H117" s="37">
        <f t="shared" si="37"/>
        <v>0</v>
      </c>
      <c r="I117" s="37">
        <f t="shared" si="37"/>
        <v>0</v>
      </c>
      <c r="J117" s="37">
        <f t="shared" si="37"/>
        <v>0</v>
      </c>
      <c r="K117" s="37">
        <f t="shared" si="37"/>
        <v>0</v>
      </c>
      <c r="L117" s="37">
        <f t="shared" si="37"/>
        <v>0</v>
      </c>
      <c r="M117" s="37">
        <f t="shared" si="37"/>
        <v>0</v>
      </c>
      <c r="N117" s="37">
        <f t="shared" si="37"/>
        <v>0</v>
      </c>
      <c r="O117" s="37">
        <f t="shared" si="37"/>
        <v>0</v>
      </c>
      <c r="P117" s="38">
        <f t="shared" ref="P117:P123" si="38">SUM(D117:O117)</f>
        <v>0</v>
      </c>
      <c r="Q117" s="38">
        <v>0</v>
      </c>
      <c r="R117" s="39"/>
    </row>
    <row r="118" spans="1:18" ht="18" outlineLevel="1" x14ac:dyDescent="0.2">
      <c r="A118" s="52"/>
      <c r="B118" s="53"/>
      <c r="C118" s="50" t="s">
        <v>117</v>
      </c>
      <c r="D118" s="57"/>
      <c r="E118" s="57"/>
      <c r="F118" s="57"/>
      <c r="G118" s="57"/>
      <c r="H118" s="57"/>
      <c r="I118" s="57"/>
      <c r="J118" s="58"/>
      <c r="K118" s="58"/>
      <c r="L118" s="57"/>
      <c r="M118" s="57"/>
      <c r="N118" s="57"/>
      <c r="O118" s="57"/>
      <c r="P118" s="59">
        <f t="shared" si="38"/>
        <v>0</v>
      </c>
      <c r="Q118" s="59">
        <f t="shared" ref="Q118:Q123" si="39">IFERROR(AVERAGE(D118:O118),0)</f>
        <v>0</v>
      </c>
      <c r="R118" s="45"/>
    </row>
    <row r="119" spans="1:18" ht="18" outlineLevel="1" x14ac:dyDescent="0.2">
      <c r="A119" s="52"/>
      <c r="B119" s="53"/>
      <c r="C119" s="47" t="s">
        <v>118</v>
      </c>
      <c r="D119" s="57"/>
      <c r="E119" s="57"/>
      <c r="F119" s="57"/>
      <c r="G119" s="57"/>
      <c r="H119" s="43"/>
      <c r="I119" s="57"/>
      <c r="J119" s="58"/>
      <c r="K119" s="58"/>
      <c r="L119" s="57"/>
      <c r="M119" s="57"/>
      <c r="N119" s="57"/>
      <c r="O119" s="57"/>
      <c r="P119" s="59">
        <f t="shared" si="38"/>
        <v>0</v>
      </c>
      <c r="Q119" s="59">
        <f t="shared" si="39"/>
        <v>0</v>
      </c>
      <c r="R119" s="45"/>
    </row>
    <row r="120" spans="1:18" ht="18" outlineLevel="1" x14ac:dyDescent="0.2">
      <c r="A120" s="52"/>
      <c r="B120" s="53"/>
      <c r="C120" s="50" t="s">
        <v>66</v>
      </c>
      <c r="D120" s="57"/>
      <c r="E120" s="57"/>
      <c r="F120" s="57"/>
      <c r="G120" s="57"/>
      <c r="H120" s="57"/>
      <c r="I120" s="57"/>
      <c r="J120" s="58"/>
      <c r="K120" s="58"/>
      <c r="L120" s="57"/>
      <c r="M120" s="57"/>
      <c r="N120" s="57"/>
      <c r="O120" s="57"/>
      <c r="P120" s="59">
        <f t="shared" si="38"/>
        <v>0</v>
      </c>
      <c r="Q120" s="59">
        <f t="shared" si="39"/>
        <v>0</v>
      </c>
      <c r="R120" s="45"/>
    </row>
    <row r="121" spans="1:18" ht="18" outlineLevel="1" x14ac:dyDescent="0.2">
      <c r="A121" s="52"/>
      <c r="B121" s="53"/>
      <c r="C121" s="50" t="s">
        <v>70</v>
      </c>
      <c r="D121" s="57"/>
      <c r="E121" s="57"/>
      <c r="F121" s="57"/>
      <c r="G121" s="57"/>
      <c r="H121" s="43"/>
      <c r="I121" s="57"/>
      <c r="J121" s="58"/>
      <c r="K121" s="58"/>
      <c r="L121" s="57"/>
      <c r="M121" s="57"/>
      <c r="N121" s="57"/>
      <c r="O121" s="57"/>
      <c r="P121" s="59">
        <f t="shared" si="38"/>
        <v>0</v>
      </c>
      <c r="Q121" s="59">
        <f t="shared" si="39"/>
        <v>0</v>
      </c>
      <c r="R121" s="45"/>
    </row>
    <row r="122" spans="1:18" ht="18" outlineLevel="1" x14ac:dyDescent="0.2">
      <c r="A122" s="52"/>
      <c r="B122" s="53"/>
      <c r="C122" s="50" t="s">
        <v>53</v>
      </c>
      <c r="D122" s="57"/>
      <c r="E122" s="57"/>
      <c r="F122" s="57"/>
      <c r="G122" s="57"/>
      <c r="H122" s="43"/>
      <c r="I122" s="57"/>
      <c r="J122" s="58"/>
      <c r="K122" s="58"/>
      <c r="L122" s="57"/>
      <c r="M122" s="57"/>
      <c r="N122" s="57"/>
      <c r="O122" s="57"/>
      <c r="P122" s="59">
        <f t="shared" si="38"/>
        <v>0</v>
      </c>
      <c r="Q122" s="59">
        <f t="shared" si="39"/>
        <v>0</v>
      </c>
      <c r="R122" s="45"/>
    </row>
    <row r="123" spans="1:18" ht="18" outlineLevel="1" x14ac:dyDescent="0.2">
      <c r="A123" s="52"/>
      <c r="B123" s="53"/>
      <c r="C123" s="50" t="s">
        <v>64</v>
      </c>
      <c r="D123" s="57"/>
      <c r="E123" s="57"/>
      <c r="F123" s="57"/>
      <c r="G123" s="57"/>
      <c r="H123" s="57"/>
      <c r="I123" s="57"/>
      <c r="J123" s="58"/>
      <c r="K123" s="43"/>
      <c r="L123" s="43"/>
      <c r="M123" s="57"/>
      <c r="N123" s="57"/>
      <c r="O123" s="57"/>
      <c r="P123" s="59">
        <f t="shared" si="38"/>
        <v>0</v>
      </c>
      <c r="Q123" s="59">
        <f t="shared" si="39"/>
        <v>0</v>
      </c>
      <c r="R123" s="45"/>
    </row>
    <row r="124" spans="1:18" ht="18" x14ac:dyDescent="0.2">
      <c r="A124" s="52"/>
      <c r="B124" s="53"/>
      <c r="C124" s="47"/>
      <c r="D124" s="48"/>
      <c r="E124" s="48"/>
      <c r="F124" s="48"/>
      <c r="G124" s="48"/>
      <c r="H124" s="48"/>
      <c r="I124" s="48"/>
      <c r="J124" s="54"/>
      <c r="K124" s="54"/>
      <c r="L124" s="48"/>
      <c r="M124" s="48"/>
      <c r="N124" s="48"/>
      <c r="O124" s="48"/>
      <c r="P124" s="49"/>
      <c r="Q124" s="49"/>
      <c r="R124" s="45"/>
    </row>
    <row r="125" spans="1:18" ht="18" x14ac:dyDescent="0.2">
      <c r="A125" s="62"/>
      <c r="B125" s="63"/>
      <c r="C125" s="47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51"/>
      <c r="Q125" s="51"/>
      <c r="R125" s="45"/>
    </row>
    <row r="126" spans="1:18" ht="18" collapsed="1" x14ac:dyDescent="0.2">
      <c r="A126" s="56" t="s">
        <v>119</v>
      </c>
      <c r="B126" s="35"/>
      <c r="C126" s="36" t="s">
        <v>16</v>
      </c>
      <c r="D126" s="37">
        <f t="shared" ref="D126:O126" si="40">SUM(D127:D136)</f>
        <v>0</v>
      </c>
      <c r="E126" s="37">
        <f t="shared" si="40"/>
        <v>0</v>
      </c>
      <c r="F126" s="37">
        <f t="shared" si="40"/>
        <v>0</v>
      </c>
      <c r="G126" s="37">
        <f t="shared" si="40"/>
        <v>0</v>
      </c>
      <c r="H126" s="37">
        <f t="shared" si="40"/>
        <v>0</v>
      </c>
      <c r="I126" s="37">
        <f t="shared" si="40"/>
        <v>0</v>
      </c>
      <c r="J126" s="37">
        <f t="shared" si="40"/>
        <v>0</v>
      </c>
      <c r="K126" s="37">
        <f t="shared" si="40"/>
        <v>0</v>
      </c>
      <c r="L126" s="37">
        <f t="shared" si="40"/>
        <v>0</v>
      </c>
      <c r="M126" s="37">
        <f t="shared" si="40"/>
        <v>0</v>
      </c>
      <c r="N126" s="37">
        <f t="shared" si="40"/>
        <v>0</v>
      </c>
      <c r="O126" s="37">
        <f t="shared" si="40"/>
        <v>0</v>
      </c>
      <c r="P126" s="38">
        <f>SUM(D126:O126)</f>
        <v>0</v>
      </c>
      <c r="Q126" s="38">
        <v>0</v>
      </c>
      <c r="R126" s="39"/>
    </row>
    <row r="127" spans="1:18" ht="18" hidden="1" outlineLevel="1" x14ac:dyDescent="0.2">
      <c r="A127" s="52"/>
      <c r="B127" s="53"/>
      <c r="C127" s="50" t="s">
        <v>120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9"/>
      <c r="Q127" s="59">
        <f t="shared" ref="Q127:Q134" si="41">IFERROR(AVERAGE(D127:O127),0)</f>
        <v>0</v>
      </c>
      <c r="R127" s="45"/>
    </row>
    <row r="128" spans="1:18" ht="18" hidden="1" outlineLevel="1" x14ac:dyDescent="0.2">
      <c r="A128" s="52"/>
      <c r="B128" s="53"/>
      <c r="C128" s="47" t="s">
        <v>63</v>
      </c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9"/>
      <c r="Q128" s="59">
        <f t="shared" si="41"/>
        <v>0</v>
      </c>
      <c r="R128" s="45"/>
    </row>
    <row r="129" spans="1:18" ht="18" hidden="1" outlineLevel="1" x14ac:dyDescent="0.2">
      <c r="A129" s="52"/>
      <c r="B129" s="53"/>
      <c r="C129" s="47" t="s">
        <v>121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9"/>
      <c r="Q129" s="59">
        <f t="shared" si="41"/>
        <v>0</v>
      </c>
      <c r="R129" s="45"/>
    </row>
    <row r="130" spans="1:18" ht="18" hidden="1" outlineLevel="1" x14ac:dyDescent="0.2">
      <c r="A130" s="52"/>
      <c r="B130" s="53"/>
      <c r="C130" s="50" t="s">
        <v>122</v>
      </c>
      <c r="D130" s="43"/>
      <c r="E130" s="43"/>
      <c r="F130" s="43"/>
      <c r="G130" s="57"/>
      <c r="H130" s="57"/>
      <c r="I130" s="57"/>
      <c r="J130" s="57"/>
      <c r="K130" s="57"/>
      <c r="L130" s="57"/>
      <c r="M130" s="57"/>
      <c r="N130" s="57"/>
      <c r="O130" s="57"/>
      <c r="P130" s="59"/>
      <c r="Q130" s="59">
        <f t="shared" si="41"/>
        <v>0</v>
      </c>
      <c r="R130" s="45"/>
    </row>
    <row r="131" spans="1:18" ht="18" hidden="1" outlineLevel="1" x14ac:dyDescent="0.2">
      <c r="A131" s="52"/>
      <c r="B131" s="53"/>
      <c r="C131" s="50" t="s">
        <v>123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9"/>
      <c r="Q131" s="59">
        <f t="shared" si="41"/>
        <v>0</v>
      </c>
      <c r="R131" s="45"/>
    </row>
    <row r="132" spans="1:18" ht="18" hidden="1" outlineLevel="1" x14ac:dyDescent="0.2">
      <c r="A132" s="52"/>
      <c r="B132" s="53"/>
      <c r="C132" s="50" t="s">
        <v>124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9"/>
      <c r="Q132" s="59">
        <f t="shared" si="41"/>
        <v>0</v>
      </c>
      <c r="R132" s="45"/>
    </row>
    <row r="133" spans="1:18" ht="18" hidden="1" outlineLevel="1" x14ac:dyDescent="0.2">
      <c r="A133" s="52"/>
      <c r="B133" s="53"/>
      <c r="C133" s="50" t="s">
        <v>125</v>
      </c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9"/>
      <c r="Q133" s="59">
        <f t="shared" si="41"/>
        <v>0</v>
      </c>
      <c r="R133" s="45"/>
    </row>
    <row r="134" spans="1:18" ht="18" hidden="1" outlineLevel="1" x14ac:dyDescent="0.2">
      <c r="A134" s="52"/>
      <c r="B134" s="53"/>
      <c r="C134" s="47" t="s">
        <v>103</v>
      </c>
      <c r="D134" s="57"/>
      <c r="E134" s="57"/>
      <c r="F134" s="57"/>
      <c r="G134" s="57"/>
      <c r="H134" s="57"/>
      <c r="I134" s="57"/>
      <c r="J134" s="58"/>
      <c r="K134" s="58"/>
      <c r="L134" s="57"/>
      <c r="M134" s="57"/>
      <c r="N134" s="57"/>
      <c r="O134" s="57"/>
      <c r="P134" s="59"/>
      <c r="Q134" s="59">
        <f t="shared" si="41"/>
        <v>0</v>
      </c>
      <c r="R134" s="45"/>
    </row>
    <row r="135" spans="1:18" ht="19.5" customHeight="1" x14ac:dyDescent="0.2">
      <c r="A135" s="52"/>
      <c r="B135" s="53"/>
      <c r="C135" s="47"/>
      <c r="D135" s="48"/>
      <c r="E135" s="48"/>
      <c r="F135" s="48"/>
      <c r="G135" s="48"/>
      <c r="H135" s="48"/>
      <c r="I135" s="48"/>
      <c r="J135" s="54"/>
      <c r="K135" s="54"/>
      <c r="L135" s="48"/>
      <c r="M135" s="48"/>
      <c r="N135" s="48"/>
      <c r="O135" s="48"/>
      <c r="P135" s="49"/>
      <c r="Q135" s="49"/>
      <c r="R135" s="45"/>
    </row>
    <row r="136" spans="1:18" ht="18" x14ac:dyDescent="0.2">
      <c r="A136" s="62"/>
      <c r="B136" s="63"/>
      <c r="C136" s="47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51"/>
      <c r="Q136" s="51"/>
      <c r="R136" s="45"/>
    </row>
    <row r="137" spans="1:18" ht="18" collapsed="1" x14ac:dyDescent="0.2">
      <c r="A137" s="56" t="s">
        <v>103</v>
      </c>
      <c r="B137" s="35"/>
      <c r="C137" s="36" t="s">
        <v>16</v>
      </c>
      <c r="D137" s="37">
        <f t="shared" ref="D137:O137" si="42">SUM(D138:D142)</f>
        <v>0</v>
      </c>
      <c r="E137" s="37">
        <f t="shared" si="42"/>
        <v>0</v>
      </c>
      <c r="F137" s="37">
        <f t="shared" si="42"/>
        <v>0</v>
      </c>
      <c r="G137" s="37">
        <f t="shared" si="42"/>
        <v>0</v>
      </c>
      <c r="H137" s="37">
        <f t="shared" si="42"/>
        <v>0</v>
      </c>
      <c r="I137" s="37">
        <f t="shared" si="42"/>
        <v>0</v>
      </c>
      <c r="J137" s="37">
        <f t="shared" si="42"/>
        <v>237.98</v>
      </c>
      <c r="K137" s="37">
        <f t="shared" si="42"/>
        <v>91.5</v>
      </c>
      <c r="L137" s="37">
        <f t="shared" si="42"/>
        <v>0</v>
      </c>
      <c r="M137" s="37">
        <f t="shared" si="42"/>
        <v>0</v>
      </c>
      <c r="N137" s="37">
        <f t="shared" si="42"/>
        <v>0</v>
      </c>
      <c r="O137" s="37">
        <f t="shared" si="42"/>
        <v>0</v>
      </c>
      <c r="P137" s="38">
        <f t="shared" ref="P137:P141" si="43">SUM(D137:O137)</f>
        <v>329.48</v>
      </c>
      <c r="Q137" s="38">
        <v>27.456666670000001</v>
      </c>
      <c r="R137" s="39"/>
    </row>
    <row r="138" spans="1:18" ht="18" hidden="1" outlineLevel="1" x14ac:dyDescent="0.2">
      <c r="A138" s="52"/>
      <c r="B138" s="53"/>
      <c r="C138" s="50" t="s">
        <v>126</v>
      </c>
      <c r="D138" s="57"/>
      <c r="E138" s="57"/>
      <c r="F138" s="57"/>
      <c r="G138" s="57"/>
      <c r="H138" s="57"/>
      <c r="I138" s="57"/>
      <c r="J138" s="65">
        <v>237.98</v>
      </c>
      <c r="K138" s="58"/>
      <c r="L138" s="57"/>
      <c r="M138" s="57"/>
      <c r="N138" s="57"/>
      <c r="O138" s="57"/>
      <c r="P138" s="59">
        <f t="shared" si="43"/>
        <v>237.98</v>
      </c>
      <c r="Q138" s="59">
        <f t="shared" ref="Q138:Q139" si="44">IFERROR(AVERAGE(D138:O138),0)</f>
        <v>237.98</v>
      </c>
      <c r="R138" s="45"/>
    </row>
    <row r="139" spans="1:18" ht="18" hidden="1" outlineLevel="1" x14ac:dyDescent="0.2">
      <c r="A139" s="52"/>
      <c r="B139" s="53"/>
      <c r="C139" s="50" t="s">
        <v>127</v>
      </c>
      <c r="D139" s="57"/>
      <c r="E139" s="57"/>
      <c r="F139" s="57"/>
      <c r="G139" s="57"/>
      <c r="H139" s="57"/>
      <c r="I139" s="57"/>
      <c r="J139" s="58"/>
      <c r="K139" s="65">
        <v>91.5</v>
      </c>
      <c r="L139" s="57"/>
      <c r="M139" s="57"/>
      <c r="N139" s="57"/>
      <c r="O139" s="57"/>
      <c r="P139" s="59">
        <f t="shared" si="43"/>
        <v>91.5</v>
      </c>
      <c r="Q139" s="59">
        <f t="shared" si="44"/>
        <v>91.5</v>
      </c>
      <c r="R139" s="45"/>
    </row>
    <row r="140" spans="1:18" ht="18" x14ac:dyDescent="0.2">
      <c r="A140" s="52"/>
      <c r="B140" s="53"/>
      <c r="C140" s="50" t="s">
        <v>127</v>
      </c>
      <c r="D140" s="48"/>
      <c r="E140" s="48"/>
      <c r="F140" s="48"/>
      <c r="G140" s="48"/>
      <c r="H140" s="48"/>
      <c r="I140" s="48"/>
      <c r="J140" s="54"/>
      <c r="K140" s="54"/>
      <c r="L140" s="48"/>
      <c r="M140" s="48"/>
      <c r="N140" s="48"/>
      <c r="O140" s="48"/>
      <c r="P140" s="59">
        <f t="shared" si="43"/>
        <v>0</v>
      </c>
      <c r="Q140" s="49"/>
      <c r="R140" s="45"/>
    </row>
    <row r="141" spans="1:18" ht="18" x14ac:dyDescent="0.2">
      <c r="A141" s="52"/>
      <c r="B141" s="53"/>
      <c r="C141" s="50" t="s">
        <v>128</v>
      </c>
      <c r="D141" s="48"/>
      <c r="E141" s="48"/>
      <c r="F141" s="48"/>
      <c r="G141" s="48"/>
      <c r="H141" s="48"/>
      <c r="I141" s="48"/>
      <c r="J141" s="54"/>
      <c r="K141" s="54"/>
      <c r="L141" s="48"/>
      <c r="M141" s="48"/>
      <c r="N141" s="48"/>
      <c r="O141" s="48"/>
      <c r="P141" s="59">
        <f t="shared" si="43"/>
        <v>0</v>
      </c>
      <c r="Q141" s="49"/>
      <c r="R141" s="45"/>
    </row>
    <row r="142" spans="1:18" ht="19.5" hidden="1" customHeight="1" x14ac:dyDescent="0.2">
      <c r="A142" s="66"/>
      <c r="B142" s="67"/>
      <c r="C142" s="71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3"/>
      <c r="Q142" s="73"/>
      <c r="R142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9"/>
  <sheetViews>
    <sheetView showGridLines="0" tabSelected="1" topLeftCell="A7" workbookViewId="0">
      <selection activeCell="S23" sqref="S23"/>
    </sheetView>
  </sheetViews>
  <sheetFormatPr baseColWidth="10" defaultColWidth="12.5703125" defaultRowHeight="15.75" customHeight="1" x14ac:dyDescent="0.2"/>
  <cols>
    <col min="1" max="1" width="5.140625" style="83" customWidth="1"/>
    <col min="2" max="2" width="5.140625" style="83" hidden="1" customWidth="1"/>
    <col min="3" max="3" width="15.5703125" style="83" customWidth="1"/>
    <col min="4" max="15" width="10.140625" style="83" customWidth="1"/>
    <col min="16" max="16" width="12.5703125" style="83" customWidth="1"/>
    <col min="17" max="17" width="10.140625" style="83" customWidth="1"/>
    <col min="18" max="18" width="5.140625" style="83" customWidth="1"/>
    <col min="19" max="16384" width="12.5703125" style="83"/>
  </cols>
  <sheetData>
    <row r="1" spans="1:18" ht="6" customHeight="1" x14ac:dyDescent="0.3">
      <c r="A1" s="78"/>
      <c r="B1" s="79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2"/>
      <c r="Q1" s="82"/>
      <c r="R1" s="81"/>
    </row>
    <row r="2" spans="1:18" ht="24" customHeight="1" x14ac:dyDescent="0.3">
      <c r="A2" s="84"/>
      <c r="B2" s="85"/>
      <c r="C2" s="86" t="s">
        <v>129</v>
      </c>
      <c r="D2" s="87"/>
      <c r="E2" s="87"/>
      <c r="F2" s="87"/>
      <c r="G2" s="87"/>
      <c r="H2" s="87"/>
      <c r="I2" s="88"/>
      <c r="J2" s="87"/>
      <c r="K2" s="89" t="s">
        <v>130</v>
      </c>
      <c r="L2" s="87"/>
      <c r="M2" s="87"/>
      <c r="N2" s="90"/>
      <c r="O2" s="90"/>
      <c r="P2" s="91"/>
      <c r="Q2" s="91"/>
      <c r="R2" s="90"/>
    </row>
    <row r="3" spans="1:18" ht="18" customHeight="1" x14ac:dyDescent="0.2">
      <c r="A3" s="84"/>
      <c r="B3" s="85"/>
      <c r="C3" s="92" t="s">
        <v>131</v>
      </c>
      <c r="D3" s="90"/>
      <c r="E3" s="90"/>
      <c r="F3" s="90"/>
      <c r="G3" s="90"/>
      <c r="H3" s="90"/>
      <c r="I3" s="90"/>
      <c r="J3" s="90"/>
      <c r="K3" s="93" t="s">
        <v>132</v>
      </c>
      <c r="L3" s="94"/>
      <c r="M3" s="94"/>
      <c r="N3" s="95"/>
      <c r="O3" s="90"/>
      <c r="P3" s="91"/>
      <c r="Q3" s="91"/>
      <c r="R3" s="90"/>
    </row>
    <row r="4" spans="1:18" ht="24" customHeight="1" x14ac:dyDescent="0.3">
      <c r="A4" s="84"/>
      <c r="B4" s="85"/>
      <c r="C4" s="96" t="s">
        <v>133</v>
      </c>
      <c r="D4" s="97"/>
      <c r="E4" s="98"/>
      <c r="F4" s="98"/>
      <c r="G4" s="98"/>
      <c r="H4" s="98"/>
      <c r="I4" s="88"/>
      <c r="J4" s="98"/>
      <c r="K4" s="99" t="s">
        <v>134</v>
      </c>
      <c r="L4" s="98"/>
      <c r="M4" s="98"/>
      <c r="N4" s="98"/>
      <c r="O4" s="98"/>
      <c r="P4" s="100"/>
      <c r="Q4" s="100"/>
      <c r="R4" s="98"/>
    </row>
    <row r="5" spans="1:18" ht="30" customHeight="1" x14ac:dyDescent="0.2">
      <c r="A5" s="101"/>
      <c r="B5" s="102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3"/>
      <c r="Q5" s="103"/>
      <c r="R5" s="101"/>
    </row>
    <row r="6" spans="1:18" ht="18" customHeight="1" x14ac:dyDescent="0.2">
      <c r="A6" s="84"/>
      <c r="B6" s="85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  <c r="Q6" s="105"/>
      <c r="R6" s="90"/>
    </row>
    <row r="7" spans="1:18" ht="18" customHeight="1" x14ac:dyDescent="0.2">
      <c r="A7" s="84"/>
      <c r="B7" s="85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  <c r="Q7" s="105"/>
      <c r="R7" s="90"/>
    </row>
    <row r="8" spans="1:18" ht="18" customHeight="1" x14ac:dyDescent="0.2">
      <c r="A8" s="84"/>
      <c r="B8" s="85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105"/>
      <c r="R8" s="90"/>
    </row>
    <row r="9" spans="1:18" ht="18" customHeight="1" x14ac:dyDescent="0.2">
      <c r="A9" s="84"/>
      <c r="B9" s="85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5"/>
      <c r="Q9" s="105"/>
      <c r="R9" s="90"/>
    </row>
    <row r="10" spans="1:18" ht="18" customHeight="1" x14ac:dyDescent="0.2">
      <c r="A10" s="84"/>
      <c r="B10" s="8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5"/>
      <c r="Q10" s="105"/>
      <c r="R10" s="90"/>
    </row>
    <row r="11" spans="1:18" ht="18" customHeight="1" x14ac:dyDescent="0.2">
      <c r="A11" s="84"/>
      <c r="B11" s="85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5"/>
      <c r="Q11" s="105"/>
      <c r="R11" s="90"/>
    </row>
    <row r="12" spans="1:18" ht="18" customHeight="1" x14ac:dyDescent="0.2">
      <c r="A12" s="84"/>
      <c r="B12" s="85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5"/>
      <c r="Q12" s="105"/>
      <c r="R12" s="90"/>
    </row>
    <row r="13" spans="1:18" ht="18" customHeight="1" x14ac:dyDescent="0.2">
      <c r="A13" s="84"/>
      <c r="B13" s="85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5"/>
      <c r="Q13" s="105"/>
      <c r="R13" s="90"/>
    </row>
    <row r="14" spans="1:18" ht="18" customHeight="1" x14ac:dyDescent="0.2">
      <c r="A14" s="84"/>
      <c r="B14" s="85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5"/>
      <c r="Q14" s="105"/>
      <c r="R14" s="90"/>
    </row>
    <row r="15" spans="1:18" ht="18" customHeight="1" x14ac:dyDescent="0.2">
      <c r="A15" s="84"/>
      <c r="B15" s="85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5"/>
      <c r="Q15" s="105"/>
      <c r="R15" s="90"/>
    </row>
    <row r="16" spans="1:18" ht="18" customHeight="1" x14ac:dyDescent="0.2">
      <c r="A16" s="84"/>
      <c r="B16" s="85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5"/>
      <c r="Q16" s="105"/>
      <c r="R16" s="90"/>
    </row>
    <row r="17" spans="1:19" ht="18" customHeight="1" x14ac:dyDescent="0.2">
      <c r="A17" s="84"/>
      <c r="B17" s="85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5"/>
      <c r="Q17" s="105"/>
      <c r="R17" s="90"/>
    </row>
    <row r="18" spans="1:19" ht="18" customHeight="1" x14ac:dyDescent="0.2">
      <c r="A18" s="84"/>
      <c r="B18" s="85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5"/>
      <c r="Q18" s="105"/>
      <c r="R18" s="90"/>
    </row>
    <row r="19" spans="1:19" ht="30" customHeight="1" x14ac:dyDescent="0.2">
      <c r="A19" s="84"/>
      <c r="B19" s="85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1"/>
      <c r="Q19" s="91"/>
      <c r="R19" s="90"/>
    </row>
    <row r="20" spans="1:19" ht="19.5" customHeight="1" x14ac:dyDescent="0.2">
      <c r="A20" s="84"/>
      <c r="B20" s="85"/>
      <c r="C20" s="106" t="s">
        <v>135</v>
      </c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  <c r="Q20" s="109"/>
      <c r="R20" s="108"/>
    </row>
    <row r="21" spans="1:19" ht="19.5" customHeight="1" x14ac:dyDescent="0.2">
      <c r="A21" s="110"/>
      <c r="B21" s="111"/>
      <c r="C21" s="112"/>
      <c r="D21" s="113" t="str">
        <f>Gastos!D2</f>
        <v>Ene</v>
      </c>
      <c r="E21" s="113">
        <f>Gastos!E2</f>
        <v>42401</v>
      </c>
      <c r="F21" s="113">
        <f>Gastos!F2</f>
        <v>42430</v>
      </c>
      <c r="G21" s="113" t="str">
        <f>Gastos!G2</f>
        <v>Abr</v>
      </c>
      <c r="H21" s="113">
        <f>Gastos!H2</f>
        <v>42491</v>
      </c>
      <c r="I21" s="113">
        <f>Gastos!I2</f>
        <v>42522</v>
      </c>
      <c r="J21" s="113">
        <f>Gastos!J2</f>
        <v>42552</v>
      </c>
      <c r="K21" s="113" t="str">
        <f>Gastos!K2</f>
        <v>Ago</v>
      </c>
      <c r="L21" s="113">
        <f>Gastos!L2</f>
        <v>42614</v>
      </c>
      <c r="M21" s="113">
        <f>Gastos!M2</f>
        <v>42644</v>
      </c>
      <c r="N21" s="113">
        <f>Gastos!N2</f>
        <v>42675</v>
      </c>
      <c r="O21" s="113" t="str">
        <f>Gastos!O2</f>
        <v>Dic</v>
      </c>
      <c r="P21" s="114" t="s">
        <v>13</v>
      </c>
      <c r="Q21" s="114" t="s">
        <v>14</v>
      </c>
      <c r="R21" s="115"/>
    </row>
    <row r="22" spans="1:19" ht="24" customHeight="1" x14ac:dyDescent="0.2">
      <c r="A22" s="84"/>
      <c r="B22" s="85"/>
      <c r="C22" s="116" t="s">
        <v>12</v>
      </c>
      <c r="D22" s="117">
        <f t="shared" ref="D22:O22" ca="1" si="0">SUM(D30:D40)</f>
        <v>4310.45999999999</v>
      </c>
      <c r="E22" s="117">
        <f t="shared" si="0"/>
        <v>2655.65</v>
      </c>
      <c r="F22" s="117">
        <f t="shared" si="0"/>
        <v>5659.75</v>
      </c>
      <c r="G22" s="117">
        <f t="shared" si="0"/>
        <v>3229.26</v>
      </c>
      <c r="H22" s="117">
        <f t="shared" si="0"/>
        <v>3908.67</v>
      </c>
      <c r="I22" s="117">
        <f t="shared" si="0"/>
        <v>3970.52</v>
      </c>
      <c r="J22" s="117">
        <f t="shared" si="0"/>
        <v>3747.83</v>
      </c>
      <c r="K22" s="117">
        <f t="shared" si="0"/>
        <v>2723.84</v>
      </c>
      <c r="L22" s="117">
        <f t="shared" si="0"/>
        <v>2942.75</v>
      </c>
      <c r="M22" s="117">
        <f t="shared" si="0"/>
        <v>3598.19</v>
      </c>
      <c r="N22" s="117">
        <f t="shared" si="0"/>
        <v>3812.63</v>
      </c>
      <c r="O22" s="117">
        <f t="shared" si="0"/>
        <v>3697.0299999999997</v>
      </c>
      <c r="P22" s="118">
        <f t="shared" ref="P22:P24" ca="1" si="1">SUM(D22:O22)</f>
        <v>44256.579999999994</v>
      </c>
      <c r="Q22" s="118">
        <f t="shared" ref="Q22:Q24" ca="1" si="2">IFERROR(AVERAGEIF(D22:O22, "&gt;0", D22:O22), 0)</f>
        <v>3688.0483333333327</v>
      </c>
      <c r="R22" s="119"/>
    </row>
    <row r="23" spans="1:19" ht="21" customHeight="1" x14ac:dyDescent="0.2">
      <c r="A23" s="120"/>
      <c r="B23" s="121"/>
      <c r="C23" s="122" t="s">
        <v>28</v>
      </c>
      <c r="D23" s="117">
        <f t="shared" ref="D23:O23" ca="1" si="3">SUM(D43:D57)</f>
        <v>1242.7299999999998</v>
      </c>
      <c r="E23" s="117">
        <f t="shared" si="3"/>
        <v>1456.88</v>
      </c>
      <c r="F23" s="117">
        <f t="shared" si="3"/>
        <v>1425.48</v>
      </c>
      <c r="G23" s="117">
        <f t="shared" si="3"/>
        <v>1433.8400000000001</v>
      </c>
      <c r="H23" s="117">
        <f t="shared" si="3"/>
        <v>1266.0999999999999</v>
      </c>
      <c r="I23" s="117">
        <f t="shared" si="3"/>
        <v>1665.12</v>
      </c>
      <c r="J23" s="117">
        <f t="shared" si="3"/>
        <v>1442.25</v>
      </c>
      <c r="K23" s="117">
        <f t="shared" si="3"/>
        <v>1387.23</v>
      </c>
      <c r="L23" s="117">
        <f t="shared" si="3"/>
        <v>2754.3599999999997</v>
      </c>
      <c r="M23" s="117">
        <f t="shared" si="3"/>
        <v>2387.87</v>
      </c>
      <c r="N23" s="117">
        <f t="shared" si="3"/>
        <v>1907.41</v>
      </c>
      <c r="O23" s="117">
        <f t="shared" si="3"/>
        <v>1534.81</v>
      </c>
      <c r="P23" s="118">
        <f t="shared" ca="1" si="1"/>
        <v>19904.080000000002</v>
      </c>
      <c r="Q23" s="118">
        <f t="shared" ca="1" si="2"/>
        <v>1658.6733333333334</v>
      </c>
      <c r="R23" s="123"/>
      <c r="S23" s="170">
        <f ca="1">Q23/2</f>
        <v>829.3366666666667</v>
      </c>
    </row>
    <row r="24" spans="1:19" ht="21" customHeight="1" x14ac:dyDescent="0.3">
      <c r="A24" s="124"/>
      <c r="B24" s="125"/>
      <c r="C24" s="126" t="s">
        <v>136</v>
      </c>
      <c r="D24" s="117">
        <f t="shared" ref="D24:O24" ca="1" si="4">D22-D23</f>
        <v>3067.7299999999905</v>
      </c>
      <c r="E24" s="117">
        <f t="shared" si="4"/>
        <v>1198.77</v>
      </c>
      <c r="F24" s="117">
        <f t="shared" si="4"/>
        <v>4234.2700000000004</v>
      </c>
      <c r="G24" s="117">
        <f t="shared" si="4"/>
        <v>1795.42</v>
      </c>
      <c r="H24" s="117">
        <f t="shared" si="4"/>
        <v>2642.57</v>
      </c>
      <c r="I24" s="117">
        <f t="shared" si="4"/>
        <v>2305.4</v>
      </c>
      <c r="J24" s="117">
        <f t="shared" si="4"/>
        <v>2305.58</v>
      </c>
      <c r="K24" s="117">
        <f t="shared" si="4"/>
        <v>1336.6100000000001</v>
      </c>
      <c r="L24" s="117">
        <f t="shared" si="4"/>
        <v>188.39000000000033</v>
      </c>
      <c r="M24" s="117">
        <f t="shared" si="4"/>
        <v>1210.3200000000002</v>
      </c>
      <c r="N24" s="117">
        <f t="shared" si="4"/>
        <v>1905.22</v>
      </c>
      <c r="O24" s="117">
        <f t="shared" si="4"/>
        <v>2162.2199999999998</v>
      </c>
      <c r="P24" s="118">
        <f t="shared" ca="1" si="1"/>
        <v>24352.499999999993</v>
      </c>
      <c r="Q24" s="118">
        <f t="shared" ca="1" si="2"/>
        <v>2029.3749999999993</v>
      </c>
      <c r="R24" s="127"/>
    </row>
    <row r="25" spans="1:19" ht="21" customHeight="1" x14ac:dyDescent="0.2">
      <c r="A25" s="84"/>
      <c r="B25" s="85"/>
      <c r="C25" s="128" t="s">
        <v>137</v>
      </c>
      <c r="D25" s="117">
        <f ca="1">(StartingBalance+D22)-D23</f>
        <v>3067.7299999999905</v>
      </c>
      <c r="E25" s="117">
        <f t="shared" ref="E25:O25" ca="1" si="5">(D25+E22)-E23</f>
        <v>4266.49999999999</v>
      </c>
      <c r="F25" s="117">
        <f t="shared" ca="1" si="5"/>
        <v>8500.7699999999895</v>
      </c>
      <c r="G25" s="117">
        <f t="shared" ca="1" si="5"/>
        <v>10296.18999999999</v>
      </c>
      <c r="H25" s="117">
        <f t="shared" ca="1" si="5"/>
        <v>12938.759999999989</v>
      </c>
      <c r="I25" s="117">
        <f t="shared" ca="1" si="5"/>
        <v>15244.159999999989</v>
      </c>
      <c r="J25" s="117">
        <f t="shared" ca="1" si="5"/>
        <v>17549.739999999991</v>
      </c>
      <c r="K25" s="117">
        <f t="shared" ca="1" si="5"/>
        <v>18886.349999999991</v>
      </c>
      <c r="L25" s="117">
        <f t="shared" ca="1" si="5"/>
        <v>19074.739999999991</v>
      </c>
      <c r="M25" s="117">
        <f t="shared" ca="1" si="5"/>
        <v>20285.05999999999</v>
      </c>
      <c r="N25" s="117">
        <f t="shared" ca="1" si="5"/>
        <v>22190.279999999992</v>
      </c>
      <c r="O25" s="117">
        <f t="shared" ca="1" si="5"/>
        <v>24352.499999999989</v>
      </c>
      <c r="P25" s="118"/>
      <c r="Q25" s="118">
        <v>14721.065000000001</v>
      </c>
      <c r="R25" s="119"/>
    </row>
    <row r="26" spans="1:19" ht="19.5" customHeight="1" x14ac:dyDescent="0.2">
      <c r="A26" s="84"/>
      <c r="B26" s="85"/>
      <c r="C26" s="90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29"/>
      <c r="Q26" s="129"/>
      <c r="R26" s="119"/>
    </row>
    <row r="27" spans="1:19" ht="19.5" customHeight="1" x14ac:dyDescent="0.2">
      <c r="A27" s="84"/>
      <c r="B27" s="85"/>
      <c r="C27" s="9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1"/>
      <c r="Q27" s="131"/>
      <c r="R27" s="130"/>
    </row>
    <row r="28" spans="1:19" ht="19.5" customHeight="1" x14ac:dyDescent="0.2">
      <c r="A28" s="84"/>
      <c r="B28" s="85"/>
      <c r="C28" s="106" t="s">
        <v>12</v>
      </c>
      <c r="D28" s="132"/>
      <c r="E28" s="115"/>
      <c r="F28" s="115"/>
      <c r="G28" s="115"/>
      <c r="H28" s="115"/>
      <c r="I28" s="115"/>
      <c r="J28" s="133"/>
      <c r="K28" s="130"/>
      <c r="L28" s="130"/>
      <c r="M28" s="130"/>
      <c r="N28" s="130"/>
      <c r="O28" s="130"/>
      <c r="P28" s="131"/>
      <c r="Q28" s="131"/>
      <c r="R28" s="130"/>
    </row>
    <row r="29" spans="1:19" ht="19.5" customHeight="1" x14ac:dyDescent="0.2">
      <c r="A29" s="110"/>
      <c r="B29" s="111" t="s">
        <v>138</v>
      </c>
      <c r="C29" s="134" t="str">
        <f ca="1">IFERROR(__xludf.DUMMYFUNCTION("unique(Ingresos!A:A)"),"")</f>
        <v/>
      </c>
      <c r="D29" s="135" t="str">
        <f>Gastos!D2</f>
        <v>Ene</v>
      </c>
      <c r="E29" s="135">
        <f>Gastos!E2</f>
        <v>42401</v>
      </c>
      <c r="F29" s="135">
        <f>Gastos!F2</f>
        <v>42430</v>
      </c>
      <c r="G29" s="135" t="str">
        <f>Gastos!G2</f>
        <v>Abr</v>
      </c>
      <c r="H29" s="135">
        <f>Gastos!H2</f>
        <v>42491</v>
      </c>
      <c r="I29" s="135">
        <f>Gastos!I2</f>
        <v>42522</v>
      </c>
      <c r="J29" s="135">
        <f>Gastos!J2</f>
        <v>42552</v>
      </c>
      <c r="K29" s="135" t="str">
        <f>Gastos!K2</f>
        <v>Ago</v>
      </c>
      <c r="L29" s="135">
        <f>Gastos!L2</f>
        <v>42614</v>
      </c>
      <c r="M29" s="135">
        <f>Gastos!M2</f>
        <v>42644</v>
      </c>
      <c r="N29" s="135">
        <f>Gastos!N2</f>
        <v>42675</v>
      </c>
      <c r="O29" s="135" t="str">
        <f>Gastos!O2</f>
        <v>Dic</v>
      </c>
      <c r="P29" s="136" t="s">
        <v>13</v>
      </c>
      <c r="Q29" s="136" t="s">
        <v>14</v>
      </c>
      <c r="R29" s="115"/>
    </row>
    <row r="30" spans="1:19" ht="19.5" customHeight="1" x14ac:dyDescent="0.2">
      <c r="A30" s="84"/>
      <c r="B30" s="137">
        <v>3</v>
      </c>
      <c r="C30" s="138" t="str">
        <f ca="1">IFERROR(__xludf.DUMMYFUNCTION("""COMPUTED_VALUE"""),"Salario")</f>
        <v>Salario</v>
      </c>
      <c r="D30" s="139">
        <f t="shared" ref="D30:D31" ca="1" si="6">IF(NOT(ISBLANK(B30)), INDIRECT("Ingresos!D"&amp;B30&amp;":Q"&amp;B30),"")</f>
        <v>4310.45999999999</v>
      </c>
      <c r="E30" s="139">
        <v>2655.65</v>
      </c>
      <c r="F30" s="139">
        <v>5659.75</v>
      </c>
      <c r="G30" s="139">
        <v>3229.26</v>
      </c>
      <c r="H30" s="139">
        <v>3908.67</v>
      </c>
      <c r="I30" s="139">
        <v>3970.52</v>
      </c>
      <c r="J30" s="139">
        <v>3747.83</v>
      </c>
      <c r="K30" s="139">
        <v>2723.84</v>
      </c>
      <c r="L30" s="139">
        <v>2942.75</v>
      </c>
      <c r="M30" s="139">
        <v>3598.19</v>
      </c>
      <c r="N30" s="139">
        <v>3812.63</v>
      </c>
      <c r="O30" s="139">
        <v>3697.0299999999997</v>
      </c>
      <c r="P30" s="140">
        <v>44256.579999999994</v>
      </c>
      <c r="Q30" s="140">
        <v>3688.0483333333327</v>
      </c>
      <c r="R30" s="141"/>
    </row>
    <row r="31" spans="1:19" ht="19.5" customHeight="1" x14ac:dyDescent="0.2">
      <c r="A31" s="84"/>
      <c r="B31" s="137">
        <v>11</v>
      </c>
      <c r="C31" s="142" t="str">
        <f ca="1">IFERROR(__xludf.DUMMYFUNCTION("""COMPUTED_VALUE"""),"Otros")</f>
        <v>Otros</v>
      </c>
      <c r="D31" s="139">
        <f t="shared" ca="1" si="6"/>
        <v>0</v>
      </c>
      <c r="E31" s="139">
        <v>0</v>
      </c>
      <c r="F31" s="139">
        <v>0</v>
      </c>
      <c r="G31" s="139">
        <v>0</v>
      </c>
      <c r="H31" s="139">
        <v>0</v>
      </c>
      <c r="I31" s="139">
        <v>0</v>
      </c>
      <c r="J31" s="139">
        <v>0</v>
      </c>
      <c r="K31" s="139">
        <v>0</v>
      </c>
      <c r="L31" s="139">
        <v>0</v>
      </c>
      <c r="M31" s="139">
        <v>0</v>
      </c>
      <c r="N31" s="139">
        <v>0</v>
      </c>
      <c r="O31" s="139">
        <v>0</v>
      </c>
      <c r="P31" s="140">
        <v>0</v>
      </c>
      <c r="Q31" s="140">
        <v>0</v>
      </c>
      <c r="R31" s="141"/>
    </row>
    <row r="32" spans="1:19" ht="1.5" customHeight="1" x14ac:dyDescent="0.2">
      <c r="A32" s="84"/>
      <c r="B32" s="85"/>
      <c r="C32" s="142"/>
      <c r="D32" s="143" t="str">
        <f t="shared" ref="D32:D39" ca="1" si="7">IF(NOT(ISBLANK(B32)), INDIRECT("Income!D"&amp;B32&amp;":Q"&amp;B32),"")</f>
        <v/>
      </c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4"/>
      <c r="Q32" s="144"/>
      <c r="R32" s="119"/>
    </row>
    <row r="33" spans="1:18" ht="1.5" customHeight="1" x14ac:dyDescent="0.2">
      <c r="A33" s="84"/>
      <c r="B33" s="85"/>
      <c r="C33" s="142"/>
      <c r="D33" s="143" t="str">
        <f t="shared" ca="1" si="7"/>
        <v/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4"/>
      <c r="Q33" s="144"/>
      <c r="R33" s="119"/>
    </row>
    <row r="34" spans="1:18" ht="1.5" customHeight="1" x14ac:dyDescent="0.2">
      <c r="A34" s="84"/>
      <c r="B34" s="85"/>
      <c r="C34" s="142"/>
      <c r="D34" s="143" t="str">
        <f t="shared" ca="1" si="7"/>
        <v/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4"/>
      <c r="Q34" s="144"/>
      <c r="R34" s="119"/>
    </row>
    <row r="35" spans="1:18" ht="1.5" customHeight="1" x14ac:dyDescent="0.2">
      <c r="A35" s="84"/>
      <c r="B35" s="85"/>
      <c r="C35" s="142"/>
      <c r="D35" s="143" t="str">
        <f t="shared" ca="1" si="7"/>
        <v/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4"/>
      <c r="Q35" s="144"/>
      <c r="R35" s="119"/>
    </row>
    <row r="36" spans="1:18" ht="1.5" customHeight="1" x14ac:dyDescent="0.2">
      <c r="A36" s="84"/>
      <c r="B36" s="85"/>
      <c r="C36" s="142"/>
      <c r="D36" s="143" t="str">
        <f t="shared" ca="1" si="7"/>
        <v/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4"/>
      <c r="Q36" s="144"/>
      <c r="R36" s="119"/>
    </row>
    <row r="37" spans="1:18" ht="1.5" customHeight="1" x14ac:dyDescent="0.2">
      <c r="A37" s="84"/>
      <c r="B37" s="85"/>
      <c r="C37" s="142"/>
      <c r="D37" s="143" t="str">
        <f t="shared" ca="1" si="7"/>
        <v/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4"/>
      <c r="Q37" s="144"/>
      <c r="R37" s="119"/>
    </row>
    <row r="38" spans="1:18" ht="1.5" customHeight="1" x14ac:dyDescent="0.2">
      <c r="A38" s="84"/>
      <c r="B38" s="85"/>
      <c r="C38" s="142"/>
      <c r="D38" s="143" t="str">
        <f t="shared" ca="1" si="7"/>
        <v/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4"/>
      <c r="Q38" s="144"/>
      <c r="R38" s="119"/>
    </row>
    <row r="39" spans="1:18" ht="1.5" customHeight="1" x14ac:dyDescent="0.2">
      <c r="A39" s="84"/>
      <c r="B39" s="85"/>
      <c r="C39" s="142"/>
      <c r="D39" s="143" t="str">
        <f t="shared" ca="1" si="7"/>
        <v/>
      </c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4"/>
      <c r="Q39" s="144"/>
      <c r="R39" s="130"/>
    </row>
    <row r="40" spans="1:18" ht="19.5" customHeight="1" x14ac:dyDescent="0.3">
      <c r="A40" s="84"/>
      <c r="B40" s="85"/>
      <c r="C40" s="107"/>
      <c r="D40" s="145"/>
      <c r="E40" s="146"/>
      <c r="F40" s="146"/>
      <c r="G40" s="147"/>
      <c r="H40" s="147"/>
      <c r="I40" s="147"/>
      <c r="J40" s="147"/>
      <c r="K40" s="147"/>
      <c r="L40" s="147"/>
      <c r="M40" s="147"/>
      <c r="N40" s="147"/>
      <c r="O40" s="147"/>
      <c r="P40" s="144"/>
      <c r="Q40" s="144"/>
      <c r="R40" s="130"/>
    </row>
    <row r="41" spans="1:18" ht="19.5" customHeight="1" x14ac:dyDescent="0.3">
      <c r="A41" s="84"/>
      <c r="B41" s="85"/>
      <c r="C41" s="106" t="s">
        <v>28</v>
      </c>
      <c r="D41" s="132"/>
      <c r="E41" s="133"/>
      <c r="F41" s="133"/>
      <c r="G41" s="148"/>
      <c r="H41" s="148"/>
      <c r="I41" s="148"/>
      <c r="J41" s="148"/>
      <c r="K41" s="148"/>
      <c r="L41" s="148"/>
      <c r="M41" s="148"/>
      <c r="N41" s="148"/>
      <c r="O41" s="148"/>
      <c r="P41" s="144"/>
      <c r="Q41" s="144"/>
      <c r="R41" s="130"/>
    </row>
    <row r="42" spans="1:18" ht="19.5" customHeight="1" x14ac:dyDescent="0.2">
      <c r="A42" s="110"/>
      <c r="B42" s="111" t="s">
        <v>138</v>
      </c>
      <c r="C42" s="149" t="str">
        <f ca="1">IFERROR(__xludf.DUMMYFUNCTION("unique(Gastos!A:A)"),"")</f>
        <v/>
      </c>
      <c r="D42" s="150" t="str">
        <f>Gastos!D2</f>
        <v>Ene</v>
      </c>
      <c r="E42" s="150">
        <f>Gastos!E2</f>
        <v>42401</v>
      </c>
      <c r="F42" s="150">
        <f>Gastos!F2</f>
        <v>42430</v>
      </c>
      <c r="G42" s="150" t="str">
        <f>Gastos!G2</f>
        <v>Abr</v>
      </c>
      <c r="H42" s="150">
        <f>Gastos!H2</f>
        <v>42491</v>
      </c>
      <c r="I42" s="150">
        <f>Gastos!I2</f>
        <v>42522</v>
      </c>
      <c r="J42" s="150">
        <f>Gastos!J2</f>
        <v>42552</v>
      </c>
      <c r="K42" s="150" t="str">
        <f>Gastos!K2</f>
        <v>Ago</v>
      </c>
      <c r="L42" s="150">
        <f>Gastos!L2</f>
        <v>42614</v>
      </c>
      <c r="M42" s="150">
        <f>Gastos!M2</f>
        <v>42644</v>
      </c>
      <c r="N42" s="150">
        <f>Gastos!N2</f>
        <v>42675</v>
      </c>
      <c r="O42" s="150" t="str">
        <f>Gastos!O2</f>
        <v>Dic</v>
      </c>
      <c r="P42" s="136" t="s">
        <v>13</v>
      </c>
      <c r="Q42" s="136" t="s">
        <v>14</v>
      </c>
      <c r="R42" s="115"/>
    </row>
    <row r="43" spans="1:18" ht="19.5" customHeight="1" x14ac:dyDescent="0.2">
      <c r="A43" s="84"/>
      <c r="B43" s="137">
        <v>3</v>
      </c>
      <c r="C43" s="151" t="str">
        <f ca="1">IFERROR(__xludf.DUMMYFUNCTION("""COMPUTED_VALUE"""),"Hijos")</f>
        <v>Hijos</v>
      </c>
      <c r="D43" s="152">
        <f t="shared" ref="D43:D57" ca="1" si="8">IF(NOT(ISBLANK(B43)), INDIRECT("Gastos!D"&amp;B43&amp;":Q"&amp;B43),"")</f>
        <v>0</v>
      </c>
      <c r="E43" s="152">
        <v>0</v>
      </c>
      <c r="F43" s="152">
        <v>0</v>
      </c>
      <c r="G43" s="152">
        <v>0</v>
      </c>
      <c r="H43" s="152">
        <v>0</v>
      </c>
      <c r="I43" s="152">
        <v>0</v>
      </c>
      <c r="J43" s="152">
        <v>0</v>
      </c>
      <c r="K43" s="152">
        <v>0</v>
      </c>
      <c r="L43" s="152">
        <v>0</v>
      </c>
      <c r="M43" s="152">
        <v>0</v>
      </c>
      <c r="N43" s="152">
        <v>0</v>
      </c>
      <c r="O43" s="152">
        <v>0</v>
      </c>
      <c r="P43" s="153">
        <v>0</v>
      </c>
      <c r="Q43" s="154">
        <v>0</v>
      </c>
      <c r="R43" s="155"/>
    </row>
    <row r="44" spans="1:18" ht="19.5" customHeight="1" x14ac:dyDescent="0.2">
      <c r="A44" s="84"/>
      <c r="B44" s="137">
        <v>14</v>
      </c>
      <c r="C44" s="156" t="str">
        <f ca="1">IFERROR(__xludf.DUMMYFUNCTION("""COMPUTED_VALUE"""),"Deudas")</f>
        <v>Deudas</v>
      </c>
      <c r="D44" s="152">
        <f t="shared" ca="1" si="8"/>
        <v>0</v>
      </c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0</v>
      </c>
      <c r="N44" s="152">
        <v>0</v>
      </c>
      <c r="O44" s="152">
        <v>0</v>
      </c>
      <c r="P44" s="157">
        <v>0</v>
      </c>
      <c r="Q44" s="158">
        <v>0</v>
      </c>
      <c r="R44" s="155"/>
    </row>
    <row r="45" spans="1:18" ht="19.5" customHeight="1" x14ac:dyDescent="0.2">
      <c r="A45" s="84"/>
      <c r="B45" s="137">
        <v>23</v>
      </c>
      <c r="C45" s="156" t="str">
        <f ca="1">IFERROR(__xludf.DUMMYFUNCTION("""COMPUTED_VALUE"""),"Educacion")</f>
        <v>Educacion</v>
      </c>
      <c r="D45" s="152">
        <f t="shared" ca="1" si="8"/>
        <v>0</v>
      </c>
      <c r="E45" s="152">
        <v>0</v>
      </c>
      <c r="F45" s="152">
        <v>0</v>
      </c>
      <c r="G45" s="152">
        <v>0</v>
      </c>
      <c r="H45" s="152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2">
        <v>0</v>
      </c>
      <c r="O45" s="152">
        <v>0</v>
      </c>
      <c r="P45" s="157">
        <v>0</v>
      </c>
      <c r="Q45" s="158">
        <v>0</v>
      </c>
      <c r="R45" s="155"/>
    </row>
    <row r="46" spans="1:18" ht="19.5" customHeight="1" x14ac:dyDescent="0.2">
      <c r="A46" s="84"/>
      <c r="B46" s="137">
        <v>30</v>
      </c>
      <c r="C46" s="156" t="str">
        <f ca="1">IFERROR(__xludf.DUMMYFUNCTION("""COMPUTED_VALUE"""),"Entretenimiento")</f>
        <v>Entretenimiento</v>
      </c>
      <c r="D46" s="152">
        <f t="shared" ca="1" si="8"/>
        <v>0</v>
      </c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2">
        <v>0</v>
      </c>
      <c r="O46" s="152">
        <v>0</v>
      </c>
      <c r="P46" s="157">
        <v>0</v>
      </c>
      <c r="Q46" s="158">
        <v>0</v>
      </c>
      <c r="R46" s="155"/>
    </row>
    <row r="47" spans="1:18" ht="19.5" customHeight="1" x14ac:dyDescent="0.2">
      <c r="A47" s="84"/>
      <c r="B47" s="137">
        <v>45</v>
      </c>
      <c r="C47" s="156" t="str">
        <f ca="1">IFERROR(__xludf.DUMMYFUNCTION("""COMPUTED_VALUE"""),"Diario")</f>
        <v>Diario</v>
      </c>
      <c r="D47" s="152">
        <f t="shared" ca="1" si="8"/>
        <v>600.76</v>
      </c>
      <c r="E47" s="152">
        <v>391.19</v>
      </c>
      <c r="F47" s="152">
        <v>482.07</v>
      </c>
      <c r="G47" s="152">
        <v>496.31000000000006</v>
      </c>
      <c r="H47" s="152">
        <v>632.00999999999976</v>
      </c>
      <c r="I47" s="152">
        <v>669.66000000000008</v>
      </c>
      <c r="J47" s="152">
        <v>379.06000000000006</v>
      </c>
      <c r="K47" s="152">
        <v>488.65000000000003</v>
      </c>
      <c r="L47" s="152">
        <v>330.36</v>
      </c>
      <c r="M47" s="152">
        <v>570.95000000000005</v>
      </c>
      <c r="N47" s="152">
        <v>489.64000000000004</v>
      </c>
      <c r="O47" s="152">
        <v>528.91999999999985</v>
      </c>
      <c r="P47" s="157">
        <v>6059.58</v>
      </c>
      <c r="Q47" s="158">
        <v>504.96499999999997</v>
      </c>
      <c r="R47" s="155"/>
    </row>
    <row r="48" spans="1:18" ht="19.5" customHeight="1" x14ac:dyDescent="0.2">
      <c r="A48" s="84"/>
      <c r="B48" s="137">
        <v>56</v>
      </c>
      <c r="C48" s="156" t="str">
        <f ca="1">IFERROR(__xludf.DUMMYFUNCTION("""COMPUTED_VALUE"""),"Regalos")</f>
        <v>Regalos</v>
      </c>
      <c r="D48" s="152">
        <f t="shared" ca="1" si="8"/>
        <v>0</v>
      </c>
      <c r="E48" s="152">
        <v>0</v>
      </c>
      <c r="F48" s="152">
        <v>0</v>
      </c>
      <c r="G48" s="152">
        <v>0</v>
      </c>
      <c r="H48" s="152">
        <v>0</v>
      </c>
      <c r="I48" s="152">
        <v>0</v>
      </c>
      <c r="J48" s="152">
        <v>0</v>
      </c>
      <c r="K48" s="152">
        <v>0</v>
      </c>
      <c r="L48" s="152">
        <v>0</v>
      </c>
      <c r="M48" s="152">
        <v>0</v>
      </c>
      <c r="N48" s="152">
        <v>0</v>
      </c>
      <c r="O48" s="152">
        <v>0</v>
      </c>
      <c r="P48" s="157">
        <v>0</v>
      </c>
      <c r="Q48" s="158">
        <v>0</v>
      </c>
      <c r="R48" s="155"/>
    </row>
    <row r="49" spans="1:18" ht="19.5" customHeight="1" x14ac:dyDescent="0.2">
      <c r="A49" s="84"/>
      <c r="B49" s="137">
        <v>62</v>
      </c>
      <c r="C49" s="156" t="str">
        <f ca="1">IFERROR(__xludf.DUMMYFUNCTION("""COMPUTED_VALUE"""),"Salud")</f>
        <v>Salud</v>
      </c>
      <c r="D49" s="152">
        <f t="shared" ca="1" si="8"/>
        <v>0</v>
      </c>
      <c r="E49" s="152">
        <v>0</v>
      </c>
      <c r="F49" s="152">
        <v>0</v>
      </c>
      <c r="G49" s="152">
        <v>0</v>
      </c>
      <c r="H49" s="152">
        <v>0</v>
      </c>
      <c r="I49" s="152">
        <v>0</v>
      </c>
      <c r="J49" s="152">
        <v>0</v>
      </c>
      <c r="K49" s="152">
        <v>0</v>
      </c>
      <c r="L49" s="152">
        <v>0</v>
      </c>
      <c r="M49" s="152">
        <v>0</v>
      </c>
      <c r="N49" s="152">
        <v>0</v>
      </c>
      <c r="O49" s="152">
        <v>0</v>
      </c>
      <c r="P49" s="157">
        <v>0</v>
      </c>
      <c r="Q49" s="158">
        <v>0</v>
      </c>
      <c r="R49" s="155"/>
    </row>
    <row r="50" spans="1:18" ht="19.5" customHeight="1" x14ac:dyDescent="0.2">
      <c r="A50" s="84"/>
      <c r="B50" s="137">
        <v>70</v>
      </c>
      <c r="C50" s="156" t="str">
        <f ca="1">IFERROR(__xludf.DUMMYFUNCTION("""COMPUTED_VALUE"""),"Hogar")</f>
        <v>Hogar</v>
      </c>
      <c r="D50" s="152">
        <f t="shared" ca="1" si="8"/>
        <v>641.9699999999998</v>
      </c>
      <c r="E50" s="152">
        <v>1065.69</v>
      </c>
      <c r="F50" s="152">
        <v>943.41000000000008</v>
      </c>
      <c r="G50" s="152">
        <v>937.53000000000009</v>
      </c>
      <c r="H50" s="152">
        <v>634.09</v>
      </c>
      <c r="I50" s="152">
        <v>995.45999999999992</v>
      </c>
      <c r="J50" s="152">
        <v>825.21</v>
      </c>
      <c r="K50" s="152">
        <v>807.08</v>
      </c>
      <c r="L50" s="152">
        <v>959.92</v>
      </c>
      <c r="M50" s="152">
        <v>665.79</v>
      </c>
      <c r="N50" s="152">
        <v>546.05999999999995</v>
      </c>
      <c r="O50" s="152">
        <v>134.17999999999998</v>
      </c>
      <c r="P50" s="157">
        <v>9156.3900000000012</v>
      </c>
      <c r="Q50" s="158">
        <v>763.03250000000014</v>
      </c>
      <c r="R50" s="155"/>
    </row>
    <row r="51" spans="1:18" ht="19.5" customHeight="1" x14ac:dyDescent="0.2">
      <c r="A51" s="84"/>
      <c r="B51" s="137">
        <v>82</v>
      </c>
      <c r="C51" s="156" t="str">
        <f ca="1">IFERROR(__xludf.DUMMYFUNCTION("""COMPUTED_VALUE"""),"Pilates")</f>
        <v>Pilates</v>
      </c>
      <c r="D51" s="152">
        <f t="shared" ca="1" si="8"/>
        <v>0</v>
      </c>
      <c r="E51" s="152">
        <v>0</v>
      </c>
      <c r="F51" s="152">
        <v>0</v>
      </c>
      <c r="G51" s="152">
        <v>0</v>
      </c>
      <c r="H51" s="152">
        <v>0</v>
      </c>
      <c r="I51" s="152">
        <v>0</v>
      </c>
      <c r="J51" s="152">
        <v>0</v>
      </c>
      <c r="K51" s="152">
        <v>0</v>
      </c>
      <c r="L51" s="152">
        <v>1464.08</v>
      </c>
      <c r="M51" s="152">
        <v>1151.1300000000001</v>
      </c>
      <c r="N51" s="152">
        <v>871.71</v>
      </c>
      <c r="O51" s="152">
        <v>871.71</v>
      </c>
      <c r="P51" s="157">
        <v>4358.63</v>
      </c>
      <c r="Q51" s="158">
        <v>363.21916666666669</v>
      </c>
      <c r="R51" s="155"/>
    </row>
    <row r="52" spans="1:18" ht="19.5" customHeight="1" x14ac:dyDescent="0.2">
      <c r="A52" s="84"/>
      <c r="B52" s="137">
        <v>99</v>
      </c>
      <c r="C52" s="156" t="str">
        <f ca="1">IFERROR(__xludf.DUMMYFUNCTION("""COMPUTED_VALUE"""),"Tecnologia")</f>
        <v>Tecnologia</v>
      </c>
      <c r="D52" s="152">
        <f t="shared" ca="1" si="8"/>
        <v>0</v>
      </c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  <c r="O52" s="152">
        <v>0</v>
      </c>
      <c r="P52" s="157">
        <v>0</v>
      </c>
      <c r="Q52" s="158">
        <v>0</v>
      </c>
      <c r="R52" s="155"/>
    </row>
    <row r="53" spans="1:18" ht="19.5" customHeight="1" x14ac:dyDescent="0.2">
      <c r="A53" s="84"/>
      <c r="B53" s="137">
        <v>107</v>
      </c>
      <c r="C53" s="156" t="str">
        <f ca="1">IFERROR(__xludf.DUMMYFUNCTION("""COMPUTED_VALUE"""),"Transporte")</f>
        <v>Transporte</v>
      </c>
      <c r="D53" s="152">
        <f t="shared" ca="1" si="8"/>
        <v>0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2">
        <v>0</v>
      </c>
      <c r="O53" s="152">
        <v>0</v>
      </c>
      <c r="P53" s="157">
        <v>0</v>
      </c>
      <c r="Q53" s="158">
        <v>0</v>
      </c>
      <c r="R53" s="155"/>
    </row>
    <row r="54" spans="1:18" ht="19.5" customHeight="1" x14ac:dyDescent="0.2">
      <c r="A54" s="84"/>
      <c r="B54" s="137">
        <v>117</v>
      </c>
      <c r="C54" s="156" t="str">
        <f ca="1">IFERROR(__xludf.DUMMYFUNCTION("""COMPUTED_VALUE"""),"Viajes")</f>
        <v>Viajes</v>
      </c>
      <c r="D54" s="152">
        <f t="shared" ca="1" si="8"/>
        <v>0</v>
      </c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  <c r="O54" s="152">
        <v>0</v>
      </c>
      <c r="P54" s="157">
        <v>0</v>
      </c>
      <c r="Q54" s="158">
        <v>0</v>
      </c>
      <c r="R54" s="155"/>
    </row>
    <row r="55" spans="1:18" ht="19.5" customHeight="1" x14ac:dyDescent="0.2">
      <c r="A55" s="84"/>
      <c r="B55" s="137">
        <v>126</v>
      </c>
      <c r="C55" s="156" t="str">
        <f ca="1">IFERROR(__xludf.DUMMYFUNCTION("""COMPUTED_VALUE"""),"Servicios")</f>
        <v>Servicios</v>
      </c>
      <c r="D55" s="152">
        <f t="shared" ca="1" si="8"/>
        <v>0</v>
      </c>
      <c r="E55" s="152">
        <v>0</v>
      </c>
      <c r="F55" s="152">
        <v>0</v>
      </c>
      <c r="G55" s="152">
        <v>0</v>
      </c>
      <c r="H55" s="152">
        <v>0</v>
      </c>
      <c r="I55" s="152">
        <v>0</v>
      </c>
      <c r="J55" s="152">
        <v>0</v>
      </c>
      <c r="K55" s="152">
        <v>0</v>
      </c>
      <c r="L55" s="152">
        <v>0</v>
      </c>
      <c r="M55" s="152">
        <v>0</v>
      </c>
      <c r="N55" s="152">
        <v>0</v>
      </c>
      <c r="O55" s="152">
        <v>0</v>
      </c>
      <c r="P55" s="157">
        <v>0</v>
      </c>
      <c r="Q55" s="158">
        <v>0</v>
      </c>
      <c r="R55" s="155"/>
    </row>
    <row r="56" spans="1:18" ht="19.5" customHeight="1" x14ac:dyDescent="0.2">
      <c r="A56" s="84"/>
      <c r="B56" s="137">
        <v>137</v>
      </c>
      <c r="C56" s="159" t="str">
        <f ca="1">IFERROR(__xludf.DUMMYFUNCTION("""COMPUTED_VALUE"""),"Other")</f>
        <v>Other</v>
      </c>
      <c r="D56" s="152">
        <f t="shared" ca="1" si="8"/>
        <v>0</v>
      </c>
      <c r="E56" s="152">
        <v>0</v>
      </c>
      <c r="F56" s="152">
        <v>0</v>
      </c>
      <c r="G56" s="152">
        <v>0</v>
      </c>
      <c r="H56" s="152">
        <v>0</v>
      </c>
      <c r="I56" s="152">
        <v>0</v>
      </c>
      <c r="J56" s="152">
        <v>237.98</v>
      </c>
      <c r="K56" s="152">
        <v>91.5</v>
      </c>
      <c r="L56" s="152">
        <v>0</v>
      </c>
      <c r="M56" s="152">
        <v>0</v>
      </c>
      <c r="N56" s="152">
        <v>0</v>
      </c>
      <c r="O56" s="152">
        <v>0</v>
      </c>
      <c r="P56" s="157">
        <v>329.48</v>
      </c>
      <c r="Q56" s="158">
        <v>27.456666666666667</v>
      </c>
      <c r="R56" s="155"/>
    </row>
    <row r="57" spans="1:18" ht="19.5" customHeight="1" x14ac:dyDescent="0.2">
      <c r="A57" s="84"/>
      <c r="B57" s="137"/>
      <c r="C57" s="156"/>
      <c r="D57" s="152" t="str">
        <f t="shared" ca="1" si="8"/>
        <v/>
      </c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7"/>
      <c r="Q57" s="158"/>
      <c r="R57" s="155"/>
    </row>
    <row r="58" spans="1:18" ht="19.5" customHeight="1" x14ac:dyDescent="0.2">
      <c r="A58" s="84"/>
      <c r="B58" s="137"/>
      <c r="C58" s="160"/>
      <c r="D58" s="161" t="str">
        <f t="shared" ref="D58:D79" ca="1" si="9">IF(NOT(ISBLANK(B58)), INDIRECT("Expenses!D"&amp;B58&amp;":Q"&amp;B58),"")</f>
        <v/>
      </c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2"/>
      <c r="Q58" s="162"/>
      <c r="R58" s="163"/>
    </row>
    <row r="59" spans="1:18" ht="19.5" customHeight="1" x14ac:dyDescent="0.2">
      <c r="A59" s="84"/>
      <c r="B59" s="85"/>
      <c r="C59" s="90"/>
      <c r="D59" s="143" t="str">
        <f t="shared" ca="1" si="9"/>
        <v/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29"/>
      <c r="Q59" s="129"/>
      <c r="R59" s="165"/>
    </row>
    <row r="60" spans="1:18" ht="19.5" customHeight="1" x14ac:dyDescent="0.3">
      <c r="A60" s="84"/>
      <c r="B60" s="85"/>
      <c r="C60" s="88"/>
      <c r="D60" s="143" t="str">
        <f t="shared" ca="1" si="9"/>
        <v/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29"/>
      <c r="Q60" s="129"/>
      <c r="R60" s="90"/>
    </row>
    <row r="61" spans="1:18" ht="19.5" customHeight="1" x14ac:dyDescent="0.3">
      <c r="A61" s="84"/>
      <c r="B61" s="85"/>
      <c r="C61" s="88"/>
      <c r="D61" s="143" t="str">
        <f t="shared" ca="1" si="9"/>
        <v/>
      </c>
      <c r="E61" s="166"/>
      <c r="F61" s="167"/>
      <c r="G61" s="167"/>
      <c r="H61" s="168"/>
      <c r="I61" s="167"/>
      <c r="J61" s="167"/>
      <c r="K61" s="167"/>
      <c r="L61" s="167"/>
      <c r="M61" s="167"/>
      <c r="N61" s="167"/>
      <c r="O61" s="167"/>
      <c r="P61" s="169"/>
      <c r="Q61" s="169"/>
      <c r="R61" s="90"/>
    </row>
    <row r="62" spans="1:18" ht="19.5" customHeight="1" x14ac:dyDescent="0.3">
      <c r="A62" s="84"/>
      <c r="B62" s="85"/>
      <c r="C62" s="88"/>
      <c r="D62" s="143" t="str">
        <f t="shared" ca="1" si="9"/>
        <v/>
      </c>
      <c r="E62" s="166"/>
      <c r="F62" s="167"/>
      <c r="G62" s="167"/>
      <c r="H62" s="168"/>
      <c r="I62" s="167"/>
      <c r="J62" s="167"/>
      <c r="K62" s="167"/>
      <c r="L62" s="167"/>
      <c r="M62" s="167"/>
      <c r="N62" s="167"/>
      <c r="O62" s="167"/>
      <c r="P62" s="169"/>
      <c r="Q62" s="169"/>
      <c r="R62" s="90"/>
    </row>
    <row r="63" spans="1:18" ht="19.5" customHeight="1" x14ac:dyDescent="0.3">
      <c r="A63" s="84"/>
      <c r="B63" s="85"/>
      <c r="C63" s="88"/>
      <c r="D63" s="143" t="str">
        <f t="shared" ca="1" si="9"/>
        <v/>
      </c>
      <c r="E63" s="166"/>
      <c r="F63" s="167"/>
      <c r="G63" s="167"/>
      <c r="H63" s="168"/>
      <c r="I63" s="167"/>
      <c r="J63" s="167"/>
      <c r="K63" s="167"/>
      <c r="L63" s="167"/>
      <c r="M63" s="167"/>
      <c r="N63" s="167"/>
      <c r="O63" s="167"/>
      <c r="P63" s="169"/>
      <c r="Q63" s="169"/>
      <c r="R63" s="90"/>
    </row>
    <row r="64" spans="1:18" ht="19.5" customHeight="1" x14ac:dyDescent="0.3">
      <c r="A64" s="84"/>
      <c r="B64" s="85"/>
      <c r="C64" s="88"/>
      <c r="D64" s="143" t="str">
        <f t="shared" ca="1" si="9"/>
        <v/>
      </c>
      <c r="E64" s="166"/>
      <c r="F64" s="167"/>
      <c r="G64" s="167"/>
      <c r="H64" s="168"/>
      <c r="I64" s="167"/>
      <c r="J64" s="167"/>
      <c r="K64" s="167"/>
      <c r="L64" s="167"/>
      <c r="M64" s="167"/>
      <c r="N64" s="167"/>
      <c r="O64" s="167"/>
      <c r="P64" s="169"/>
      <c r="Q64" s="169"/>
      <c r="R64" s="90"/>
    </row>
    <row r="65" spans="1:18" ht="19.5" customHeight="1" x14ac:dyDescent="0.2">
      <c r="A65" s="84"/>
      <c r="B65" s="85"/>
      <c r="C65" s="90"/>
      <c r="D65" s="143" t="str">
        <f t="shared" ca="1" si="9"/>
        <v/>
      </c>
      <c r="E65" s="167"/>
      <c r="F65" s="167"/>
      <c r="G65" s="167"/>
      <c r="H65" s="168"/>
      <c r="I65" s="167"/>
      <c r="J65" s="167"/>
      <c r="K65" s="167"/>
      <c r="L65" s="167"/>
      <c r="M65" s="167"/>
      <c r="N65" s="167"/>
      <c r="O65" s="167"/>
      <c r="P65" s="169"/>
      <c r="Q65" s="169"/>
      <c r="R65" s="90"/>
    </row>
    <row r="66" spans="1:18" ht="19.5" customHeight="1" x14ac:dyDescent="0.2">
      <c r="A66" s="84"/>
      <c r="B66" s="85"/>
      <c r="C66" s="90"/>
      <c r="D66" s="143" t="str">
        <f t="shared" ca="1" si="9"/>
        <v/>
      </c>
      <c r="E66" s="167"/>
      <c r="F66" s="167"/>
      <c r="G66" s="167"/>
      <c r="H66" s="168"/>
      <c r="I66" s="167"/>
      <c r="J66" s="167"/>
      <c r="K66" s="167"/>
      <c r="L66" s="167"/>
      <c r="M66" s="167"/>
      <c r="N66" s="167"/>
      <c r="O66" s="167"/>
      <c r="P66" s="169"/>
      <c r="Q66" s="169"/>
      <c r="R66" s="90"/>
    </row>
    <row r="67" spans="1:18" ht="19.5" customHeight="1" x14ac:dyDescent="0.2">
      <c r="A67" s="84"/>
      <c r="B67" s="85"/>
      <c r="C67" s="90"/>
      <c r="D67" s="143" t="str">
        <f t="shared" ca="1" si="9"/>
        <v/>
      </c>
      <c r="E67" s="167"/>
      <c r="F67" s="167"/>
      <c r="G67" s="167"/>
      <c r="H67" s="168"/>
      <c r="I67" s="167"/>
      <c r="J67" s="167"/>
      <c r="K67" s="167"/>
      <c r="L67" s="167"/>
      <c r="M67" s="167"/>
      <c r="N67" s="167"/>
      <c r="O67" s="167"/>
      <c r="P67" s="169"/>
      <c r="Q67" s="169"/>
      <c r="R67" s="90"/>
    </row>
    <row r="68" spans="1:18" ht="19.5" customHeight="1" x14ac:dyDescent="0.2">
      <c r="A68" s="84"/>
      <c r="B68" s="85"/>
      <c r="C68" s="90"/>
      <c r="D68" s="143" t="str">
        <f t="shared" ca="1" si="9"/>
        <v/>
      </c>
      <c r="E68" s="167"/>
      <c r="F68" s="167"/>
      <c r="G68" s="167"/>
      <c r="H68" s="168"/>
      <c r="I68" s="167"/>
      <c r="J68" s="167"/>
      <c r="K68" s="167"/>
      <c r="L68" s="167"/>
      <c r="M68" s="167"/>
      <c r="N68" s="167"/>
      <c r="O68" s="167"/>
      <c r="P68" s="169"/>
      <c r="Q68" s="169"/>
      <c r="R68" s="90"/>
    </row>
    <row r="69" spans="1:18" ht="19.5" customHeight="1" x14ac:dyDescent="0.2">
      <c r="A69" s="84"/>
      <c r="B69" s="85"/>
      <c r="C69" s="90"/>
      <c r="D69" s="143" t="str">
        <f t="shared" ca="1" si="9"/>
        <v/>
      </c>
      <c r="E69" s="167"/>
      <c r="F69" s="167"/>
      <c r="G69" s="167"/>
      <c r="H69" s="168"/>
      <c r="I69" s="167"/>
      <c r="J69" s="167"/>
      <c r="K69" s="167"/>
      <c r="L69" s="167"/>
      <c r="M69" s="167"/>
      <c r="N69" s="167"/>
      <c r="O69" s="167"/>
      <c r="P69" s="169"/>
      <c r="Q69" s="169"/>
      <c r="R69" s="90"/>
    </row>
    <row r="70" spans="1:18" ht="19.5" customHeight="1" x14ac:dyDescent="0.2">
      <c r="A70" s="84"/>
      <c r="B70" s="85"/>
      <c r="C70" s="90"/>
      <c r="D70" s="143" t="str">
        <f t="shared" ca="1" si="9"/>
        <v/>
      </c>
      <c r="E70" s="167"/>
      <c r="F70" s="167"/>
      <c r="G70" s="167"/>
      <c r="H70" s="168"/>
      <c r="I70" s="167"/>
      <c r="J70" s="167"/>
      <c r="K70" s="167"/>
      <c r="L70" s="167"/>
      <c r="M70" s="167"/>
      <c r="N70" s="167"/>
      <c r="O70" s="167"/>
      <c r="P70" s="169"/>
      <c r="Q70" s="169"/>
      <c r="R70" s="90"/>
    </row>
    <row r="71" spans="1:18" ht="19.5" customHeight="1" x14ac:dyDescent="0.2">
      <c r="A71" s="84"/>
      <c r="B71" s="85"/>
      <c r="C71" s="90"/>
      <c r="D71" s="143" t="str">
        <f t="shared" ca="1" si="9"/>
        <v/>
      </c>
      <c r="E71" s="167"/>
      <c r="F71" s="167"/>
      <c r="G71" s="167"/>
      <c r="H71" s="168"/>
      <c r="I71" s="167"/>
      <c r="J71" s="167"/>
      <c r="K71" s="167"/>
      <c r="L71" s="167"/>
      <c r="M71" s="167"/>
      <c r="N71" s="167"/>
      <c r="O71" s="167"/>
      <c r="P71" s="169"/>
      <c r="Q71" s="169"/>
      <c r="R71" s="90"/>
    </row>
    <row r="72" spans="1:18" ht="19.5" customHeight="1" x14ac:dyDescent="0.2">
      <c r="A72" s="84"/>
      <c r="B72" s="85"/>
      <c r="C72" s="90"/>
      <c r="D72" s="143" t="str">
        <f t="shared" ca="1" si="9"/>
        <v/>
      </c>
      <c r="E72" s="167"/>
      <c r="F72" s="167"/>
      <c r="G72" s="167"/>
      <c r="H72" s="168"/>
      <c r="I72" s="167"/>
      <c r="J72" s="167"/>
      <c r="K72" s="167"/>
      <c r="L72" s="167"/>
      <c r="M72" s="167"/>
      <c r="N72" s="167"/>
      <c r="O72" s="167"/>
      <c r="P72" s="169"/>
      <c r="Q72" s="169"/>
      <c r="R72" s="90"/>
    </row>
    <row r="73" spans="1:18" ht="19.5" customHeight="1" x14ac:dyDescent="0.2">
      <c r="A73" s="84"/>
      <c r="B73" s="85"/>
      <c r="C73" s="90"/>
      <c r="D73" s="143" t="str">
        <f t="shared" ca="1" si="9"/>
        <v/>
      </c>
      <c r="E73" s="167"/>
      <c r="F73" s="167"/>
      <c r="G73" s="167"/>
      <c r="H73" s="168"/>
      <c r="I73" s="167"/>
      <c r="J73" s="167"/>
      <c r="K73" s="167"/>
      <c r="L73" s="167"/>
      <c r="M73" s="167"/>
      <c r="N73" s="167"/>
      <c r="O73" s="167"/>
      <c r="P73" s="169"/>
      <c r="Q73" s="169"/>
      <c r="R73" s="90"/>
    </row>
    <row r="74" spans="1:18" ht="19.5" customHeight="1" x14ac:dyDescent="0.2">
      <c r="A74" s="84"/>
      <c r="B74" s="85"/>
      <c r="C74" s="90"/>
      <c r="D74" s="143" t="str">
        <f t="shared" ca="1" si="9"/>
        <v/>
      </c>
      <c r="E74" s="167"/>
      <c r="F74" s="167"/>
      <c r="G74" s="167"/>
      <c r="H74" s="168"/>
      <c r="I74" s="167"/>
      <c r="J74" s="167"/>
      <c r="K74" s="167"/>
      <c r="L74" s="167"/>
      <c r="M74" s="167"/>
      <c r="N74" s="167"/>
      <c r="O74" s="167"/>
      <c r="P74" s="169"/>
      <c r="Q74" s="169"/>
      <c r="R74" s="90"/>
    </row>
    <row r="75" spans="1:18" ht="19.5" customHeight="1" x14ac:dyDescent="0.2">
      <c r="A75" s="84"/>
      <c r="B75" s="85"/>
      <c r="C75" s="90"/>
      <c r="D75" s="143" t="str">
        <f t="shared" ca="1" si="9"/>
        <v/>
      </c>
      <c r="E75" s="167"/>
      <c r="F75" s="167"/>
      <c r="G75" s="167"/>
      <c r="H75" s="168"/>
      <c r="I75" s="167"/>
      <c r="J75" s="167"/>
      <c r="K75" s="167"/>
      <c r="L75" s="167"/>
      <c r="M75" s="167"/>
      <c r="N75" s="167"/>
      <c r="O75" s="167"/>
      <c r="P75" s="169"/>
      <c r="Q75" s="169"/>
      <c r="R75" s="90"/>
    </row>
    <row r="76" spans="1:18" ht="19.5" customHeight="1" x14ac:dyDescent="0.2">
      <c r="A76" s="84"/>
      <c r="B76" s="85"/>
      <c r="C76" s="90"/>
      <c r="D76" s="143" t="str">
        <f t="shared" ca="1" si="9"/>
        <v/>
      </c>
      <c r="E76" s="167"/>
      <c r="F76" s="167"/>
      <c r="G76" s="167"/>
      <c r="H76" s="168"/>
      <c r="I76" s="167"/>
      <c r="J76" s="167"/>
      <c r="K76" s="167"/>
      <c r="L76" s="167"/>
      <c r="M76" s="167"/>
      <c r="N76" s="167"/>
      <c r="O76" s="167"/>
      <c r="P76" s="169"/>
      <c r="Q76" s="169"/>
      <c r="R76" s="90"/>
    </row>
    <row r="77" spans="1:18" ht="19.5" customHeight="1" x14ac:dyDescent="0.2">
      <c r="A77" s="84"/>
      <c r="B77" s="85"/>
      <c r="C77" s="90"/>
      <c r="D77" s="143" t="str">
        <f t="shared" ca="1" si="9"/>
        <v/>
      </c>
      <c r="E77" s="167"/>
      <c r="F77" s="167"/>
      <c r="G77" s="167"/>
      <c r="H77" s="168"/>
      <c r="I77" s="167"/>
      <c r="J77" s="167"/>
      <c r="K77" s="167"/>
      <c r="L77" s="167"/>
      <c r="M77" s="167"/>
      <c r="N77" s="167"/>
      <c r="O77" s="167"/>
      <c r="P77" s="169"/>
      <c r="Q77" s="169"/>
      <c r="R77" s="90"/>
    </row>
    <row r="78" spans="1:18" ht="19.5" customHeight="1" x14ac:dyDescent="0.2">
      <c r="A78" s="84"/>
      <c r="B78" s="85"/>
      <c r="C78" s="90"/>
      <c r="D78" s="143" t="str">
        <f t="shared" ca="1" si="9"/>
        <v/>
      </c>
      <c r="E78" s="167"/>
      <c r="F78" s="167"/>
      <c r="G78" s="167"/>
      <c r="H78" s="168"/>
      <c r="I78" s="167"/>
      <c r="J78" s="167"/>
      <c r="K78" s="167"/>
      <c r="L78" s="167"/>
      <c r="M78" s="167"/>
      <c r="N78" s="167"/>
      <c r="O78" s="167"/>
      <c r="P78" s="169"/>
      <c r="Q78" s="169"/>
      <c r="R78" s="90"/>
    </row>
    <row r="79" spans="1:18" ht="19.5" customHeight="1" x14ac:dyDescent="0.2">
      <c r="A79" s="84"/>
      <c r="B79" s="85"/>
      <c r="C79" s="90"/>
      <c r="D79" s="143" t="str">
        <f t="shared" ca="1" si="9"/>
        <v/>
      </c>
      <c r="E79" s="167"/>
      <c r="F79" s="167"/>
      <c r="G79" s="167"/>
      <c r="H79" s="168"/>
      <c r="I79" s="167"/>
      <c r="J79" s="167"/>
      <c r="K79" s="167"/>
      <c r="L79" s="167"/>
      <c r="M79" s="167"/>
      <c r="N79" s="167"/>
      <c r="O79" s="167"/>
      <c r="P79" s="169"/>
      <c r="Q79" s="169"/>
      <c r="R79" s="90"/>
    </row>
  </sheetData>
  <mergeCells count="1">
    <mergeCell ref="K3:M3"/>
  </mergeCells>
  <conditionalFormatting sqref="D24:O2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Setup</vt:lpstr>
      <vt:lpstr>Ingresos</vt:lpstr>
      <vt:lpstr>Gastos</vt:lpstr>
      <vt:lpstr>Resumen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modified xsi:type="dcterms:W3CDTF">2024-02-06T13:59:19Z</dcterms:modified>
</cp:coreProperties>
</file>