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75.xml" ContentType="application/vnd.openxmlformats-officedocument.spreadsheetml.worksheet+xml"/>
  <Override PartName="/xl/worksheets/sheet74.xml" ContentType="application/vnd.openxmlformats-officedocument.spreadsheetml.worksheet+xml"/>
  <Override PartName="/xl/worksheets/sheet73.xml" ContentType="application/vnd.openxmlformats-officedocument.spreadsheetml.worksheet+xml"/>
  <Override PartName="/xl/worksheets/sheet72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82.xml" ContentType="application/vnd.openxmlformats-officedocument.spreadsheetml.worksheet+xml"/>
  <Override PartName="/xl/worksheets/sheet81.xml" ContentType="application/vnd.openxmlformats-officedocument.spreadsheetml.worksheet+xml"/>
  <Override PartName="/xl/worksheets/sheet80.xml" ContentType="application/vnd.openxmlformats-officedocument.spreadsheetml.worksheet+xml"/>
  <Override PartName="/xl/worksheets/sheet79.xml" ContentType="application/vnd.openxmlformats-officedocument.spreadsheetml.worksheet+xml"/>
  <Override PartName="/xl/worksheets/sheet71.xml" ContentType="application/vnd.openxmlformats-officedocument.spreadsheetml.worksheet+xml"/>
  <Override PartName="/xl/worksheets/sheet70.xml" ContentType="application/vnd.openxmlformats-officedocument.spreadsheetml.worksheet+xml"/>
  <Override PartName="/xl/worksheets/sheet69.xml" ContentType="application/vnd.openxmlformats-officedocument.spreadsheetml.worksheet+xml"/>
  <Override PartName="/xl/worksheets/sheet62.xml" ContentType="application/vnd.openxmlformats-officedocument.spreadsheetml.worksheet+xml"/>
  <Override PartName="/xl/worksheets/sheet61.xml" ContentType="application/vnd.openxmlformats-officedocument.spreadsheetml.worksheet+xml"/>
  <Override PartName="/xl/worksheets/sheet60.xml" ContentType="application/vnd.openxmlformats-officedocument.spreadsheetml.worksheet+xml"/>
  <Override PartName="/xl/worksheets/sheet59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0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06.xml" ContentType="application/vnd.openxmlformats-officedocument.spreadsheetml.worksheet+xml"/>
  <Override PartName="/xl/worksheets/sheet98.xml" ContentType="application/vnd.openxmlformats-officedocument.spreadsheetml.worksheet+xml"/>
  <Override PartName="/xl/worksheets/sheet97.xml" ContentType="application/vnd.openxmlformats-officedocument.spreadsheetml.worksheet+xml"/>
  <Override PartName="/xl/worksheets/sheet96.xml" ContentType="application/vnd.openxmlformats-officedocument.spreadsheetml.worksheet+xml"/>
  <Override PartName="/xl/worksheets/sheet89.xml" ContentType="application/vnd.openxmlformats-officedocument.spreadsheetml.worksheet+xml"/>
  <Override PartName="/xl/worksheets/sheet88.xml" ContentType="application/vnd.openxmlformats-officedocument.spreadsheetml.worksheet+xml"/>
  <Override PartName="/xl/worksheets/sheet87.xml" ContentType="application/vnd.openxmlformats-officedocument.spreadsheetml.worksheet+xml"/>
  <Override PartName="/xl/worksheets/sheet86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drawings/drawing1.xml" ContentType="application/vnd.openxmlformats-officedocument.drawing+xml"/>
  <Override PartName="/xl/worksheets/sheet58.xml" ContentType="application/vnd.openxmlformats-officedocument.spreadsheetml.worksheet+xml"/>
  <Override PartName="/xl/worksheets/sheet5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57.xml" ContentType="application/vnd.openxmlformats-officedocument.spreadsheetml.worksheet+xml"/>
  <Override PartName="/xl/worksheets/sheet29.xml" ContentType="application/vnd.openxmlformats-officedocument.spreadsheetml.worksheet+xml"/>
  <Override PartName="/xl/worksheets/sheet31.xml" ContentType="application/vnd.openxmlformats-officedocument.spreadsheetml.worksheet+xml"/>
  <Override PartName="/xl/worksheets/sheet48.xml" ContentType="application/vnd.openxmlformats-officedocument.spreadsheetml.worksheet+xml"/>
  <Override PartName="/xl/worksheets/sheet47.xml" ContentType="application/vnd.openxmlformats-officedocument.spreadsheetml.worksheet+xml"/>
  <Override PartName="/xl/worksheets/sheet46.xml" ContentType="application/vnd.openxmlformats-officedocument.spreadsheetml.worksheet+xml"/>
  <Override PartName="/xl/worksheets/sheet45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5.xml" ContentType="application/vnd.openxmlformats-officedocument.spreadsheetml.worksheet+xml"/>
  <Override PartName="/xl/worksheets/sheet54.xml" ContentType="application/vnd.openxmlformats-officedocument.spreadsheetml.worksheet+xml"/>
  <Override PartName="/xl/worksheets/sheet53.xml" ContentType="application/vnd.openxmlformats-officedocument.spreadsheetml.worksheet+xml"/>
  <Override PartName="/xl/worksheets/sheet52.xml" ContentType="application/vnd.openxmlformats-officedocument.spreadsheetml.worksheet+xml"/>
  <Override PartName="/xl/worksheets/sheet30.xml" ContentType="application/vnd.openxmlformats-officedocument.spreadsheetml.worksheet+xml"/>
  <Override PartName="/xl/worksheets/sheet44.xml" ContentType="application/vnd.openxmlformats-officedocument.spreadsheetml.worksheet+xml"/>
  <Override PartName="/xl/worksheets/sheet42.xml" ContentType="application/vnd.openxmlformats-officedocument.spreadsheetml.worksheet+xml"/>
  <Override PartName="/xl/worksheets/sheet3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3.xml" ContentType="application/vnd.openxmlformats-officedocument.spreadsheetml.worksheet+xml"/>
  <Override PartName="/xl/worksheets/sheet36.xml" ContentType="application/vnd.openxmlformats-officedocument.spreadsheetml.worksheet+xml"/>
  <Override PartName="/xl/worksheets/sheet38.xml" ContentType="application/vnd.openxmlformats-officedocument.spreadsheetml.worksheet+xml"/>
  <Override PartName="/xl/worksheets/sheet37.xml" ContentType="application/vnd.openxmlformats-officedocument.spreadsheetml.worksheet+xml"/>
  <Override PartName="/xl/worksheets/sheet41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075"/>
  </bookViews>
  <sheets>
    <sheet name="cover" sheetId="110" r:id="rId1"/>
    <sheet name="index" sheetId="4" r:id="rId2"/>
    <sheet name="factors" sheetId="6" r:id="rId3"/>
    <sheet name="TOTAL" sheetId="7" r:id="rId4"/>
    <sheet name="TITOT" sheetId="8" r:id="rId5"/>
    <sheet name="tipgt" sheetId="9" r:id="rId6"/>
    <sheet name="tipgtele" sheetId="10" r:id="rId7"/>
    <sheet name="tipgtchp" sheetId="11" r:id="rId8"/>
    <sheet name="tidh" sheetId="12" r:id="rId9"/>
    <sheet name="CEN" sheetId="13" r:id="rId10"/>
    <sheet name="cenrf" sheetId="14" r:id="rId11"/>
    <sheet name="cenog" sheetId="15" r:id="rId12"/>
    <sheet name="cennu" sheetId="16" r:id="rId13"/>
    <sheet name="cencm" sheetId="17" r:id="rId14"/>
    <sheet name="cenck" sheetId="18" r:id="rId15"/>
    <sheet name="cenbf" sheetId="19" r:id="rId16"/>
    <sheet name="cengw" sheetId="20" r:id="rId17"/>
    <sheet name="cenpf" sheetId="21" r:id="rId18"/>
    <sheet name="cenbr" sheetId="22" r:id="rId19"/>
    <sheet name="cench" sheetId="23" r:id="rId20"/>
    <sheet name="cencl" sheetId="24" r:id="rId21"/>
    <sheet name="cenlr" sheetId="25" r:id="rId22"/>
    <sheet name="cenbg" sheetId="26" r:id="rId23"/>
    <sheet name="cengl" sheetId="27" r:id="rId24"/>
    <sheet name="cenns" sheetId="28" r:id="rId25"/>
    <sheet name="CF" sheetId="29" r:id="rId26"/>
    <sheet name="CIN" sheetId="30" r:id="rId27"/>
    <sheet name="cisi" sheetId="31" r:id="rId28"/>
    <sheet name="cisb" sheetId="32" r:id="rId29"/>
    <sheet name="cise" sheetId="33" r:id="rId30"/>
    <sheet name="cnfm" sheetId="34" r:id="rId31"/>
    <sheet name="cnfa" sheetId="35" r:id="rId32"/>
    <sheet name="cnfp" sheetId="36" r:id="rId33"/>
    <sheet name="cnfs" sheetId="37" r:id="rId34"/>
    <sheet name="cnfo" sheetId="38" r:id="rId35"/>
    <sheet name="cchi" sheetId="39" r:id="rId36"/>
    <sheet name="cbch" sheetId="40" r:id="rId37"/>
    <sheet name="coch" sheetId="41" r:id="rId38"/>
    <sheet name="cpha" sheetId="42" r:id="rId39"/>
    <sheet name="cnmm" sheetId="43" r:id="rId40"/>
    <sheet name="ccem" sheetId="44" r:id="rId41"/>
    <sheet name="ccer" sheetId="45" r:id="rId42"/>
    <sheet name="cgla" sheetId="46" r:id="rId43"/>
    <sheet name="cppa" sheetId="47" r:id="rId44"/>
    <sheet name="cpul" sheetId="48" r:id="rId45"/>
    <sheet name="cpap" sheetId="49" r:id="rId46"/>
    <sheet name="cprp" sheetId="50" r:id="rId47"/>
    <sheet name="cfbt" sheetId="51" r:id="rId48"/>
    <sheet name="ctre" sheetId="52" r:id="rId49"/>
    <sheet name="cmae" sheetId="53" r:id="rId50"/>
    <sheet name="ctel" sheetId="54" r:id="rId51"/>
    <sheet name="cwwp" sheetId="55" r:id="rId52"/>
    <sheet name="cmiq" sheetId="56" r:id="rId53"/>
    <sheet name="ccon" sheetId="57" r:id="rId54"/>
    <sheet name="cnsi" sheetId="58" r:id="rId55"/>
    <sheet name="CDM" sheetId="59" r:id="rId56"/>
    <sheet name="cres" sheetId="60" r:id="rId57"/>
    <sheet name="cressh" sheetId="61" r:id="rId58"/>
    <sheet name="cressc" sheetId="62" r:id="rId59"/>
    <sheet name="creswh" sheetId="63" r:id="rId60"/>
    <sheet name="cresco" sheetId="64" r:id="rId61"/>
    <sheet name="cresrf" sheetId="65" r:id="rId62"/>
    <sheet name="creswm" sheetId="66" r:id="rId63"/>
    <sheet name="cresdr" sheetId="67" r:id="rId64"/>
    <sheet name="cresdw" sheetId="68" r:id="rId65"/>
    <sheet name="crestv" sheetId="69" r:id="rId66"/>
    <sheet name="cresit" sheetId="70" r:id="rId67"/>
    <sheet name="cresli" sheetId="71" r:id="rId68"/>
    <sheet name="cresoa" sheetId="72" r:id="rId69"/>
    <sheet name="cser" sheetId="73" r:id="rId70"/>
    <sheet name="csersh" sheetId="74" r:id="rId71"/>
    <sheet name="csersc" sheetId="75" r:id="rId72"/>
    <sheet name="cserhw" sheetId="76" r:id="rId73"/>
    <sheet name="cserca" sheetId="77" r:id="rId74"/>
    <sheet name="cserve" sheetId="78" r:id="rId75"/>
    <sheet name="csersl" sheetId="79" r:id="rId76"/>
    <sheet name="cserbl" sheetId="80" r:id="rId77"/>
    <sheet name="csercr" sheetId="81" r:id="rId78"/>
    <sheet name="cserbt" sheetId="82" r:id="rId79"/>
    <sheet name="cserit" sheetId="83" r:id="rId80"/>
    <sheet name="cagr" sheetId="84" r:id="rId81"/>
    <sheet name="CTR" sheetId="85" r:id="rId82"/>
    <sheet name="ctro" sheetId="86" r:id="rId83"/>
    <sheet name="cp2w" sheetId="87" r:id="rId84"/>
    <sheet name="ccar" sheetId="88" r:id="rId85"/>
    <sheet name="cbus" sheetId="89" r:id="rId86"/>
    <sheet name="clcv" sheetId="90" r:id="rId87"/>
    <sheet name="chdv" sheetId="91" r:id="rId88"/>
    <sheet name="ctra" sheetId="92" r:id="rId89"/>
    <sheet name="crtp" sheetId="93" r:id="rId90"/>
    <sheet name="crth" sheetId="94" r:id="rId91"/>
    <sheet name="crtm" sheetId="95" r:id="rId92"/>
    <sheet name="crtf" sheetId="96" r:id="rId93"/>
    <sheet name="ctav" sheetId="97" r:id="rId94"/>
    <sheet name="capd" sheetId="98" r:id="rId95"/>
    <sheet name="capi" sheetId="99" r:id="rId96"/>
    <sheet name="cape" sheetId="100" r:id="rId97"/>
    <sheet name="cafi" sheetId="101" r:id="rId98"/>
    <sheet name="cafe" sheetId="102" r:id="rId99"/>
    <sheet name="ctdn" sheetId="103" r:id="rId100"/>
    <sheet name="cncs" sheetId="104" r:id="rId101"/>
    <sheet name="cniw" sheetId="105" r:id="rId102"/>
    <sheet name="ctpi" sheetId="106" r:id="rId103"/>
    <sheet name="BUN" sheetId="107" r:id="rId104"/>
    <sheet name="buni" sheetId="108" r:id="rId105"/>
    <sheet name="bune" sheetId="109" r:id="rId106"/>
  </sheets>
  <calcPr calcId="145621"/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B102" i="4"/>
  <c r="B107" i="4"/>
  <c r="B101" i="4"/>
  <c r="B26" i="4"/>
  <c r="B9" i="4"/>
  <c r="B56" i="4"/>
  <c r="B62" i="4"/>
  <c r="B3" i="4"/>
  <c r="B87" i="4"/>
  <c r="B96" i="4"/>
  <c r="B6" i="4"/>
  <c r="B18" i="4"/>
  <c r="B16" i="4"/>
  <c r="B48" i="4"/>
  <c r="B40" i="4"/>
  <c r="B27" i="4"/>
  <c r="B29" i="4"/>
  <c r="B24" i="4"/>
  <c r="B25" i="4"/>
  <c r="B39" i="4"/>
  <c r="B12" i="4"/>
  <c r="B61" i="4"/>
  <c r="B64" i="4"/>
  <c r="B51" i="4"/>
  <c r="B34" i="4"/>
  <c r="B54" i="4"/>
  <c r="B55" i="4"/>
  <c r="B53" i="4"/>
  <c r="B69" i="4"/>
  <c r="B76" i="4"/>
  <c r="B38" i="4"/>
  <c r="B86" i="4"/>
  <c r="B17" i="4"/>
  <c r="B84" i="4"/>
  <c r="B83" i="4"/>
  <c r="B79" i="4"/>
  <c r="B98" i="4"/>
  <c r="B82" i="4"/>
  <c r="B15" i="4"/>
  <c r="B11" i="4"/>
  <c r="B43" i="4"/>
  <c r="B94" i="4"/>
  <c r="B36" i="4"/>
  <c r="B78" i="4"/>
  <c r="B95" i="4"/>
  <c r="B33" i="4"/>
  <c r="B65" i="4"/>
  <c r="B44" i="4"/>
  <c r="B90" i="4"/>
  <c r="B19" i="4"/>
  <c r="B46" i="4"/>
  <c r="B63" i="4"/>
  <c r="B99" i="4"/>
  <c r="B70" i="4"/>
  <c r="B21" i="4"/>
  <c r="B67" i="4"/>
  <c r="B49" i="4"/>
  <c r="B68" i="4"/>
  <c r="B57" i="4"/>
  <c r="B22" i="4"/>
  <c r="B91" i="4"/>
  <c r="B73" i="4"/>
  <c r="B8" i="4"/>
  <c r="B104" i="4"/>
  <c r="B72" i="4"/>
  <c r="B93" i="4"/>
  <c r="B89" i="4"/>
  <c r="B75" i="4"/>
  <c r="B85" i="4"/>
  <c r="B32" i="4"/>
  <c r="B81" i="4"/>
  <c r="B77" i="4"/>
  <c r="B88" i="4"/>
  <c r="B37" i="4"/>
  <c r="B74" i="4"/>
  <c r="B45" i="4"/>
  <c r="B20" i="4"/>
  <c r="B30" i="4"/>
  <c r="B35" i="4"/>
  <c r="B52" i="4"/>
  <c r="B66" i="4"/>
  <c r="B28" i="4"/>
  <c r="B80" i="4"/>
  <c r="B71" i="4"/>
  <c r="B31" i="4"/>
  <c r="B7" i="4"/>
  <c r="B13" i="4"/>
  <c r="B50" i="4"/>
  <c r="B23" i="4"/>
  <c r="B42" i="4"/>
  <c r="B58" i="4"/>
  <c r="B92" i="4"/>
  <c r="B5" i="4"/>
  <c r="B14" i="4"/>
  <c r="B4" i="4"/>
  <c r="B106" i="4"/>
  <c r="B59" i="4"/>
  <c r="B105" i="4"/>
  <c r="B41" i="4"/>
  <c r="B97" i="4"/>
  <c r="B60" i="4"/>
  <c r="B10" i="4"/>
  <c r="B100" i="4"/>
  <c r="B47" i="4"/>
</calcChain>
</file>

<file path=xl/sharedStrings.xml><?xml version="1.0" encoding="utf-8"?>
<sst xmlns="http://schemas.openxmlformats.org/spreadsheetml/2006/main" count="14783" uniqueCount="365">
  <si>
    <t>Emissions from Biomass and Renewable wastes</t>
  </si>
  <si>
    <t>Extra-EU</t>
  </si>
  <si>
    <t>Intra-EU</t>
  </si>
  <si>
    <t>International Marine Bunkers</t>
  </si>
  <si>
    <t>Pipeline transport</t>
  </si>
  <si>
    <t>Inland waterways</t>
  </si>
  <si>
    <t>Domestic coastal shipping</t>
  </si>
  <si>
    <t>Domestic Navigation</t>
  </si>
  <si>
    <t>Extra-EU freight aviation</t>
  </si>
  <si>
    <t>Intra-EU freight aviation</t>
  </si>
  <si>
    <t>Extra-EU passenger aviation</t>
  </si>
  <si>
    <t>Intra-EU passenger aviation</t>
  </si>
  <si>
    <t>Domestic aviation</t>
  </si>
  <si>
    <t>Aviation</t>
  </si>
  <si>
    <t>Rail transport - Conventional freight transport</t>
  </si>
  <si>
    <t>Rail transport - Metro</t>
  </si>
  <si>
    <t>Rail transport - High speed trains</t>
  </si>
  <si>
    <t>Rail transport - Conventional passenger transport</t>
  </si>
  <si>
    <t>Rail</t>
  </si>
  <si>
    <t>Road transport - Heavy duty vehicles (trucks and lorries)</t>
  </si>
  <si>
    <t>Road transport - Light commercial vehicles</t>
  </si>
  <si>
    <t>Road transport - Buses and coaches</t>
  </si>
  <si>
    <t>Road transport - Private cars</t>
  </si>
  <si>
    <t>Road transport - Powered 2-wheelers</t>
  </si>
  <si>
    <t>Road</t>
  </si>
  <si>
    <t>Transport</t>
  </si>
  <si>
    <t>Agriculture/Forestry/Fishing</t>
  </si>
  <si>
    <t>Services: ICT and multimedia</t>
  </si>
  <si>
    <t>Services: Miscellaneous building technologies</t>
  </si>
  <si>
    <t>Services: Commercial refrigeration</t>
  </si>
  <si>
    <t>Services: Building lighting</t>
  </si>
  <si>
    <t>Services: Street lighting</t>
  </si>
  <si>
    <t>Services: Ventilation and others</t>
  </si>
  <si>
    <t>Services: Catering</t>
  </si>
  <si>
    <t>Services: Hot water</t>
  </si>
  <si>
    <t>Services: Space cooling</t>
  </si>
  <si>
    <t>Services: Space heating</t>
  </si>
  <si>
    <t>Services</t>
  </si>
  <si>
    <t>Residential: Other appliances</t>
  </si>
  <si>
    <t>Residential: Household lighting</t>
  </si>
  <si>
    <t>Residential: ICT equipment</t>
  </si>
  <si>
    <t>Residential: TV and multimedia</t>
  </si>
  <si>
    <t>Residential: Dishwashers</t>
  </si>
  <si>
    <t>Residential: Clothes dryers</t>
  </si>
  <si>
    <t>Residential: Washing machines</t>
  </si>
  <si>
    <t>Residential: Refrigerators and freezers</t>
  </si>
  <si>
    <t>Residential: Cooking</t>
  </si>
  <si>
    <t>Residential: Water heating</t>
  </si>
  <si>
    <t>Residential: Space cooling</t>
  </si>
  <si>
    <t>Residential: Space heating</t>
  </si>
  <si>
    <t>Residential</t>
  </si>
  <si>
    <t>Other Sectors</t>
  </si>
  <si>
    <t>Non-specified (Industry)</t>
  </si>
  <si>
    <t>Construction</t>
  </si>
  <si>
    <t>Mining and Quarrying</t>
  </si>
  <si>
    <t>Wood and Wood Products</t>
  </si>
  <si>
    <t>Textile and Leather</t>
  </si>
  <si>
    <t>Machinery</t>
  </si>
  <si>
    <t>Transport Equipment</t>
  </si>
  <si>
    <t>Food and Tobacco</t>
  </si>
  <si>
    <t>Printing and reproduction of recorded media</t>
  </si>
  <si>
    <t>Paper production</t>
  </si>
  <si>
    <t>Pulp production</t>
  </si>
  <si>
    <t>Paper, Pulp and Print</t>
  </si>
  <si>
    <t>Glass production</t>
  </si>
  <si>
    <t>Ceramics &amp; other non-metallic minerals</t>
  </si>
  <si>
    <t>Cement</t>
  </si>
  <si>
    <t>Non-Metallic Minerals</t>
  </si>
  <si>
    <t>Basic pharmaceutical products</t>
  </si>
  <si>
    <t>Other chemicals</t>
  </si>
  <si>
    <t>Basic chemicals</t>
  </si>
  <si>
    <t>Chemical and Petrochemical</t>
  </si>
  <si>
    <t>Other non-ferrous metals</t>
  </si>
  <si>
    <t>Aluminium production - Secondary</t>
  </si>
  <si>
    <t>Aluminium production - Primary</t>
  </si>
  <si>
    <t>Alumina production</t>
  </si>
  <si>
    <t>Non-Ferrous Metals</t>
  </si>
  <si>
    <t>Iron and Steel - Electric arc</t>
  </si>
  <si>
    <t>Iron and Steel - Integrated steelworks</t>
  </si>
  <si>
    <t>Iron and Steel</t>
  </si>
  <si>
    <t>Industry</t>
  </si>
  <si>
    <t>Final Energy Consumption</t>
  </si>
  <si>
    <t>Non-specified (Energy)</t>
  </si>
  <si>
    <t>Gas-to-liquids (GTL) plants (energy)</t>
  </si>
  <si>
    <t>Gasification plants for biogas</t>
  </si>
  <si>
    <t>Liquefaction (LNG) / regasification plants</t>
  </si>
  <si>
    <t>Coal Liquefaction Plants</t>
  </si>
  <si>
    <t>Charcoal production plants (Energy)</t>
  </si>
  <si>
    <t>BKB / PB Plants</t>
  </si>
  <si>
    <t>Patent Fuel Plants</t>
  </si>
  <si>
    <t>Gas Works</t>
  </si>
  <si>
    <t>Blast Furnaces</t>
  </si>
  <si>
    <t>Coke Ovens</t>
  </si>
  <si>
    <t>Coal Mines</t>
  </si>
  <si>
    <t>Nuclear industry</t>
  </si>
  <si>
    <t>Oil and gas extraction</t>
  </si>
  <si>
    <t>Petroleum Refineries</t>
  </si>
  <si>
    <t>Energy Sector</t>
  </si>
  <si>
    <t>District Heating Plants</t>
  </si>
  <si>
    <t>CHP Plants</t>
  </si>
  <si>
    <t>Electricity-only Plants</t>
  </si>
  <si>
    <t>Conventional Thermal Power Stations</t>
  </si>
  <si>
    <t>Transformation input</t>
  </si>
  <si>
    <t>Total CO2 emissions from fuel combustion</t>
  </si>
  <si>
    <t>Click on the link to jump to the sheet</t>
  </si>
  <si>
    <t>Emission balances (kt CO2)</t>
  </si>
  <si>
    <t>5548</t>
  </si>
  <si>
    <t>Other liquid biofuels</t>
  </si>
  <si>
    <t>5549</t>
  </si>
  <si>
    <t>Bio jet kerosene</t>
  </si>
  <si>
    <t>5547</t>
  </si>
  <si>
    <t>Biodiesels</t>
  </si>
  <si>
    <t>5546</t>
  </si>
  <si>
    <t>Biogasoline</t>
  </si>
  <si>
    <t>5545</t>
  </si>
  <si>
    <t>Liquid biofuels</t>
  </si>
  <si>
    <t>55431</t>
  </si>
  <si>
    <t>Municipal waste (renewable)</t>
  </si>
  <si>
    <t>5542</t>
  </si>
  <si>
    <t>Biogas</t>
  </si>
  <si>
    <t>5544</t>
  </si>
  <si>
    <t>Charcoal</t>
  </si>
  <si>
    <t>5541</t>
  </si>
  <si>
    <t>Solid biofuels (Wood &amp; Wood waste)</t>
  </si>
  <si>
    <t>5540</t>
  </si>
  <si>
    <t>Biomass and Renewable wastes</t>
  </si>
  <si>
    <t>CO2 emissions not accounted:</t>
  </si>
  <si>
    <t>55432</t>
  </si>
  <si>
    <t>Municipal waste (non-renewable)</t>
  </si>
  <si>
    <t>7100</t>
  </si>
  <si>
    <t>Industrial wastes</t>
  </si>
  <si>
    <t>Wastes (non-renewable)</t>
  </si>
  <si>
    <t>4240</t>
  </si>
  <si>
    <t>Other recovered gases</t>
  </si>
  <si>
    <t>4230</t>
  </si>
  <si>
    <t>Gas Works gas</t>
  </si>
  <si>
    <t>4220</t>
  </si>
  <si>
    <t>Blast Furnace Gas</t>
  </si>
  <si>
    <t>4210</t>
  </si>
  <si>
    <t>Coke Oven Gas</t>
  </si>
  <si>
    <t>4200</t>
  </si>
  <si>
    <t>Derived Gases</t>
  </si>
  <si>
    <t>4100</t>
  </si>
  <si>
    <t>Natural gas</t>
  </si>
  <si>
    <t>4000</t>
  </si>
  <si>
    <t>Gases</t>
  </si>
  <si>
    <t>3295</t>
  </si>
  <si>
    <t>Other Oil Products</t>
  </si>
  <si>
    <t>3286</t>
  </si>
  <si>
    <t>Paraffin Waxes</t>
  </si>
  <si>
    <t>3285</t>
  </si>
  <si>
    <t>Petroleum Coke</t>
  </si>
  <si>
    <t>3283</t>
  </si>
  <si>
    <t>Bitumen</t>
  </si>
  <si>
    <t>3282</t>
  </si>
  <si>
    <t>Lubricants</t>
  </si>
  <si>
    <t>3281</t>
  </si>
  <si>
    <t>White Spirit and SBP</t>
  </si>
  <si>
    <t>3280</t>
  </si>
  <si>
    <t>Other Petroleum Products</t>
  </si>
  <si>
    <t>3270A</t>
  </si>
  <si>
    <t>Residual Fuel Oil</t>
  </si>
  <si>
    <t>3260</t>
  </si>
  <si>
    <t>Gas/Diesel oil (without biofuels)</t>
  </si>
  <si>
    <t>3250</t>
  </si>
  <si>
    <t>Naphtha</t>
  </si>
  <si>
    <t>3244</t>
  </si>
  <si>
    <t>Other Kerosene</t>
  </si>
  <si>
    <t>3247</t>
  </si>
  <si>
    <t>Kerosene Type Jet Fuel</t>
  </si>
  <si>
    <t>3246</t>
  </si>
  <si>
    <t>Gasoline Type Jet Fuel</t>
  </si>
  <si>
    <t>3240</t>
  </si>
  <si>
    <t>Kerosenes - Jet Fuels</t>
  </si>
  <si>
    <t>3235</t>
  </si>
  <si>
    <t>Aviation Gasoline</t>
  </si>
  <si>
    <t>3234</t>
  </si>
  <si>
    <t>Gasoline (without biofuels)</t>
  </si>
  <si>
    <t>3230</t>
  </si>
  <si>
    <t>Motor spirit</t>
  </si>
  <si>
    <t>3220</t>
  </si>
  <si>
    <t>Liquified petroleum gas (LPG)</t>
  </si>
  <si>
    <t>3215</t>
  </si>
  <si>
    <t>Ethane</t>
  </si>
  <si>
    <t>3214</t>
  </si>
  <si>
    <t>Refinery Gas (not. Liquid)</t>
  </si>
  <si>
    <t>3210</t>
  </si>
  <si>
    <t>Refinery gas and Ethane</t>
  </si>
  <si>
    <t>3200</t>
  </si>
  <si>
    <t>All Petroleum Products</t>
  </si>
  <si>
    <t>3193</t>
  </si>
  <si>
    <t>Other Hydrocarbons (without biofuels)</t>
  </si>
  <si>
    <t>3192</t>
  </si>
  <si>
    <t>Additives / Oxygenates</t>
  </si>
  <si>
    <t>3191</t>
  </si>
  <si>
    <t>Refinery Feedstocks</t>
  </si>
  <si>
    <t>3190</t>
  </si>
  <si>
    <t>Feedstocks and other hydrocarbons</t>
  </si>
  <si>
    <t>3106</t>
  </si>
  <si>
    <t>Natural Gas Liquids (NGL)</t>
  </si>
  <si>
    <t>3105</t>
  </si>
  <si>
    <t>Crude Oil without NGL</t>
  </si>
  <si>
    <t>3110</t>
  </si>
  <si>
    <t>Crude oil and NGL</t>
  </si>
  <si>
    <t>3100</t>
  </si>
  <si>
    <t>Crude oil, feedstocks and other hydrocarbons</t>
  </si>
  <si>
    <t>3000</t>
  </si>
  <si>
    <t>Total petroleum products (without biofuels)</t>
  </si>
  <si>
    <t>2410</t>
  </si>
  <si>
    <t>Oil Shale and Oil Sands</t>
  </si>
  <si>
    <t>2330</t>
  </si>
  <si>
    <t>Peat Products</t>
  </si>
  <si>
    <t>2230</t>
  </si>
  <si>
    <t>2310</t>
  </si>
  <si>
    <t>Peat</t>
  </si>
  <si>
    <t>2210</t>
  </si>
  <si>
    <t>Lignite/Brown Coal</t>
  </si>
  <si>
    <t>2200</t>
  </si>
  <si>
    <t>Lignite and Derivatives</t>
  </si>
  <si>
    <t>2130</t>
  </si>
  <si>
    <t>Coal Tar</t>
  </si>
  <si>
    <t>2122</t>
  </si>
  <si>
    <t>Gas Coke</t>
  </si>
  <si>
    <t>2121</t>
  </si>
  <si>
    <t>Coke Oven Coke</t>
  </si>
  <si>
    <t>2120</t>
  </si>
  <si>
    <t>Coke</t>
  </si>
  <si>
    <t>2112</t>
  </si>
  <si>
    <t>Patent Fuels</t>
  </si>
  <si>
    <t>2118</t>
  </si>
  <si>
    <t>Sub-bituminous Coal</t>
  </si>
  <si>
    <t>2117</t>
  </si>
  <si>
    <t>Other Bituminous Coal</t>
  </si>
  <si>
    <t>2116</t>
  </si>
  <si>
    <t>Coking Coal</t>
  </si>
  <si>
    <t>2115</t>
  </si>
  <si>
    <t>Anthracite</t>
  </si>
  <si>
    <t>2111</t>
  </si>
  <si>
    <t>Hard Coal</t>
  </si>
  <si>
    <t>2100</t>
  </si>
  <si>
    <t>Hard coal and derivatives</t>
  </si>
  <si>
    <t>2000</t>
  </si>
  <si>
    <t>Solid Fuels</t>
  </si>
  <si>
    <t>0000</t>
  </si>
  <si>
    <t>All Products</t>
  </si>
  <si>
    <t>Fuel emission factors (kt CO2 / ktoe)</t>
  </si>
  <si>
    <t>B_101000</t>
  </si>
  <si>
    <t>Total CO2 emissions (kt CO2)</t>
  </si>
  <si>
    <t>Transformation input (kt CO2)</t>
  </si>
  <si>
    <t>Conventional Thermal Power Stations (kt CO2)</t>
  </si>
  <si>
    <t>Electricity-only Plants (kt CO2)</t>
  </si>
  <si>
    <t>CHP Plants (kt CO2)</t>
  </si>
  <si>
    <t>District Heating Plants (kt CO2)</t>
  </si>
  <si>
    <t>Energy Sector (kt CO2)</t>
  </si>
  <si>
    <t>Petroleum Refineries (kt CO2)</t>
  </si>
  <si>
    <t>Oil and gas extraction (kt CO2)</t>
  </si>
  <si>
    <t>Nuclear industry (kt CO2)</t>
  </si>
  <si>
    <t>Coal Mines (kt CO2)</t>
  </si>
  <si>
    <t>Coke Ovens (kt CO2)</t>
  </si>
  <si>
    <t>Blast Furnaces (kt CO2)</t>
  </si>
  <si>
    <t>Gas Works (kt CO2)</t>
  </si>
  <si>
    <t>Patent Fuel Plants (kt CO2)</t>
  </si>
  <si>
    <t>BKB / PB Plants (kt CO2)</t>
  </si>
  <si>
    <t>Charcoal production plants (Energy) (kt CO2)</t>
  </si>
  <si>
    <t>Coal Liquefaction Plants (kt CO2)</t>
  </si>
  <si>
    <t>Liquefaction (LNG) / regasification plants (kt CO2)</t>
  </si>
  <si>
    <t>Gasification plants for biogas (kt CO2)</t>
  </si>
  <si>
    <t>Gas-to-liquids (GTL) plants (energy) (kt CO2)</t>
  </si>
  <si>
    <t>Non-specified (Energy) (kt CO2)</t>
  </si>
  <si>
    <t>Final Energy Consumption (kt CO2)</t>
  </si>
  <si>
    <t>Final Energy Consumption - Industry (kt CO2)</t>
  </si>
  <si>
    <t>Iron and Steel (kt CO2)</t>
  </si>
  <si>
    <t>Iron and Steel - Integrated steelworks (kt CO2)</t>
  </si>
  <si>
    <t>Iron and Steel - Electric arc (kt CO2)</t>
  </si>
  <si>
    <t>Non-Ferrous Metals (kt CO2)</t>
  </si>
  <si>
    <t>Alumina production (kt CO2)</t>
  </si>
  <si>
    <t>Aluminium production - Primary (kt CO2)</t>
  </si>
  <si>
    <t>Aluminium production - Secondary (kt CO2)</t>
  </si>
  <si>
    <t>Other non-ferrous metals (kt CO2)</t>
  </si>
  <si>
    <t>Chemical and Petrochemical (kt CO2)</t>
  </si>
  <si>
    <t>Basic chemicals (kt CO2)</t>
  </si>
  <si>
    <t>Other chemicals (kt CO2)</t>
  </si>
  <si>
    <t>Pharmaceutical products (kt CO2)</t>
  </si>
  <si>
    <t>Non-Metallic Minerals (kt CO2)</t>
  </si>
  <si>
    <t>Cement (kt CO2)</t>
  </si>
  <si>
    <t>Ceramics &amp; other non-metallic minerals (kt CO2)</t>
  </si>
  <si>
    <t>Glass production (kt CO2)</t>
  </si>
  <si>
    <t>Paper, Pulp and Print (kt CO2)</t>
  </si>
  <si>
    <t>Pulp production (kt CO2)</t>
  </si>
  <si>
    <t>Paper production (kt CO2)</t>
  </si>
  <si>
    <t>Printing and reproduction of recorded media (kt CO2)</t>
  </si>
  <si>
    <t>Food and Tobacco (kt CO2)</t>
  </si>
  <si>
    <t>Transport Equipment (kt CO2)</t>
  </si>
  <si>
    <t>Machinery (kt CO2)</t>
  </si>
  <si>
    <t>Textile and Leather (kt CO2)</t>
  </si>
  <si>
    <t>Wood and Wood Products (kt CO2)</t>
  </si>
  <si>
    <t>Mining and Quarrying (kt CO2)</t>
  </si>
  <si>
    <t>Construction (kt CO2)</t>
  </si>
  <si>
    <t>Non-specified (Industry) (kt CO2)</t>
  </si>
  <si>
    <t>Final Energy Consumption - Other Sectors (kt CO2)</t>
  </si>
  <si>
    <t>Residential (kt CO2)</t>
  </si>
  <si>
    <t>Residential: Space heating (kt CO2)</t>
  </si>
  <si>
    <t>Residential: Space cooling (kt CO2)</t>
  </si>
  <si>
    <t>Residential: Water heating (kt CO2)</t>
  </si>
  <si>
    <t>Residential: Cooking (kt CO2)</t>
  </si>
  <si>
    <t>Residential: Refrigerators and freezers (kt CO2)</t>
  </si>
  <si>
    <t>Residential: Washing machines (kt CO2)</t>
  </si>
  <si>
    <t>Residential: Clothes dryers (kt CO2)</t>
  </si>
  <si>
    <t>Residential: Dishwashers (kt CO2)</t>
  </si>
  <si>
    <t>Residential: TV and multimedia (kt CO2)</t>
  </si>
  <si>
    <t>Residential: ICT equipment (kt CO2)</t>
  </si>
  <si>
    <t>Residential: Household lighting (kt CO2)</t>
  </si>
  <si>
    <t>Residential: Other appliances (kt CO2)</t>
  </si>
  <si>
    <t>Services (kt CO2)</t>
  </si>
  <si>
    <t>Services: Space heating (kt CO2)</t>
  </si>
  <si>
    <t>Services: Space cooling (kt CO2)</t>
  </si>
  <si>
    <t>Services: Hot water (kt CO2)</t>
  </si>
  <si>
    <t>Services: Catering (kt CO2)</t>
  </si>
  <si>
    <t>Services: Ventilation and others (kt CO2)</t>
  </si>
  <si>
    <t>Services: Street lighting (kt CO2)</t>
  </si>
  <si>
    <t>Services: Building lighting (kt CO2)</t>
  </si>
  <si>
    <t>Services: Commercial refrigeration (kt CO2)</t>
  </si>
  <si>
    <t>Services: Miscellaneous building technologies (kt CO2)</t>
  </si>
  <si>
    <t>Services: ICT and multimedia (kt CO2)</t>
  </si>
  <si>
    <t>Agriculture/Forestry/Fishing (kt CO2)</t>
  </si>
  <si>
    <t>Final Energy Consumption - Transport (kt CO2)</t>
  </si>
  <si>
    <t>Road (kt CO2)</t>
  </si>
  <si>
    <t>Road transport - Powered 2-wheelers (kt CO2)</t>
  </si>
  <si>
    <t>Road transport - Private cars (kt CO2)</t>
  </si>
  <si>
    <t>Road transport - Buses and coaches (kt CO2)</t>
  </si>
  <si>
    <t>Road transport - Light commercial vehicles (kt CO2)</t>
  </si>
  <si>
    <t>Road transport - Heavy duty vehicles (trucks and lorries) (kt CO2)</t>
  </si>
  <si>
    <t>Rail (kt CO2)</t>
  </si>
  <si>
    <t>Rail transport - Conventional passenger transport (kt CO2)</t>
  </si>
  <si>
    <t>Rail transport - High speed (kt CO2)</t>
  </si>
  <si>
    <t>Rail transport - Metro (kt CO2)</t>
  </si>
  <si>
    <t>Rail transport - Conventional freight transport (kt CO2)</t>
  </si>
  <si>
    <t>Aviation (kt CO2)</t>
  </si>
  <si>
    <t>Domestic passenger aviation (kt CO2)</t>
  </si>
  <si>
    <t>Intra-EU passenger aviation (kt CO2)</t>
  </si>
  <si>
    <t>Extra-EU passenger aviation (kt CO2)</t>
  </si>
  <si>
    <t>Intra-EU freight aviation (kt CO2)</t>
  </si>
  <si>
    <t>Extra-EU freight aviation (kt CO2)</t>
  </si>
  <si>
    <t>Domestic Navigation (kt CO2)</t>
  </si>
  <si>
    <t>Domestic coastal shipping (kt CO2)</t>
  </si>
  <si>
    <t>Inland waterways (kt CO2)</t>
  </si>
  <si>
    <t>Pipeline transport (kt CO2)</t>
  </si>
  <si>
    <t>International Marine Bunkers (kt CO2)</t>
  </si>
  <si>
    <t>International Marine Bunkers - Intra-EU (kt CO2)</t>
  </si>
  <si>
    <t>International Marine Bunkers - Extra-EU (kt CO2)</t>
  </si>
  <si>
    <t>JRC-IDEES - Integrated Database of the European Energy System (2000-2015)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</si>
  <si>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</si>
  <si>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</si>
  <si>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</si>
  <si>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</si>
  <si>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</si>
  <si>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</si>
  <si>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BKB (browncoal briquettes)</t>
  </si>
  <si>
    <t>version 1.0</t>
  </si>
  <si>
    <t>© European Union 2017-2018</t>
  </si>
  <si>
    <t>MT</t>
  </si>
  <si>
    <t>Malta</t>
  </si>
  <si>
    <t>Prepared by JRC C.6</t>
  </si>
  <si>
    <t>The information made available is property of the Joint Research Centre of the European Commission.</t>
  </si>
  <si>
    <t>CO2 Emission balances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</si>
</sst>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-;\-* #,##0.00_-;_-* &quot;-&quot;??_-;_-@_-"/>
    <numFmt numFmtId="165" formatCode="#,##0.0;\-#,##0.0;&quot;-&quot;"/>
    <numFmt numFmtId="166" formatCode="#,##0.00;\-#,##0.00;&quot;-&quot;"/>
    <numFmt numFmtId="168" formatCode="0.00;\-0.00;&quot;-&quot;"/>
    <numFmt numFmtId="169" formatCode="mmmm\ yyyy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color rgb="FF603643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Arial"/>
      <family val="2"/>
    </font>
    <font>
      <sz val="8"/>
      <color rgb="FF537C4C"/>
      <name val="Arial"/>
      <family val="2"/>
    </font>
    <font>
      <sz val="8"/>
      <color indexed="12"/>
      <name val="Arial"/>
      <family val="2"/>
    </font>
    <font>
      <sz val="8"/>
      <color rgb="FF333333"/>
      <name val="Arial"/>
      <family val="2"/>
    </font>
    <font>
      <sz val="8"/>
      <color indexed="21"/>
      <name val="Arial"/>
      <family val="2"/>
    </font>
    <font>
      <sz val="8"/>
      <color indexed="16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i/>
      <sz val="9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  <charset val="161"/>
    </font>
    <font>
      <sz val="8"/>
      <color rgb="FF627DB2"/>
      <name val="Arial"/>
      <family val="2"/>
    </font>
    <font>
      <sz val="8"/>
      <color rgb="FF800000"/>
      <name val="Arial"/>
      <family val="2"/>
    </font>
    <font>
      <sz val="8"/>
      <color indexed="63"/>
      <name val="Arial"/>
      <family val="2"/>
    </font>
    <font>
      <sz val="8"/>
      <color rgb="FF008080"/>
      <name val="Arial"/>
      <family val="2"/>
    </font>
    <font>
      <sz val="8"/>
      <color rgb="FF0000FF"/>
      <name val="Arial"/>
      <family val="2"/>
    </font>
    <font>
      <b/>
      <sz val="20"/>
      <name val="Arial"/>
      <family val="2"/>
    </font>
    <font>
      <b/>
      <sz val="24"/>
      <name val="Arial"/>
      <family val="2"/>
    </font>
    <font>
      <sz val="8"/>
      <name val="Calibri"/>
      <family val="2"/>
      <scheme val="minor"/>
    </font>
    <font>
      <b/>
      <sz val="22"/>
      <name val="Arial"/>
      <family val="2"/>
    </font>
    <font>
      <b/>
      <sz val="14"/>
      <name val="Arial"/>
      <family val="2"/>
    </font>
    <font>
      <b/>
      <u/>
      <sz val="16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9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5" fillId="0" borderId="0"/>
    <xf numFmtId="9" fontId="16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3" fillId="0" borderId="0"/>
  </cellStyleXfs>
  <cellXfs count="85">
    <xf numFmtId="0" fontId="0" fillId="0" borderId="0" xfId="0"/>
    <xf numFmtId="0" fontId="13" fillId="0" borderId="1" xfId="1" applyFont="1" applyFill="1" applyBorder="1"/>
    <xf numFmtId="0" fontId="13" fillId="0" borderId="2" xfId="1" applyFont="1" applyFill="1" applyBorder="1" applyAlignment="1">
      <alignment horizontal="center"/>
    </xf>
    <xf numFmtId="0" fontId="13" fillId="0" borderId="2" xfId="1" applyFont="1" applyFill="1" applyBorder="1"/>
    <xf numFmtId="49" fontId="18" fillId="0" borderId="0" xfId="1" applyNumberFormat="1" applyFont="1" applyFill="1"/>
    <xf numFmtId="49" fontId="18" fillId="0" borderId="0" xfId="1" applyNumberFormat="1" applyFont="1" applyFill="1" applyAlignment="1">
      <alignment indent="1"/>
    </xf>
    <xf numFmtId="168" fontId="19" fillId="0" borderId="0" xfId="8" applyNumberFormat="1" applyFont="1" applyFill="1"/>
    <xf numFmtId="168" fontId="8" fillId="0" borderId="0" xfId="8" applyNumberFormat="1" applyFont="1" applyFill="1"/>
    <xf numFmtId="165" fontId="20" fillId="0" borderId="0" xfId="1" applyNumberFormat="1" applyFont="1" applyFill="1"/>
    <xf numFmtId="165" fontId="21" fillId="0" borderId="0" xfId="1" applyNumberFormat="1" applyFont="1" applyFill="1"/>
    <xf numFmtId="165" fontId="9" fillId="0" borderId="0" xfId="1" applyNumberFormat="1" applyFont="1" applyFill="1"/>
    <xf numFmtId="0" fontId="22" fillId="0" borderId="2" xfId="5" applyFont="1" applyFill="1" applyBorder="1" applyAlignment="1">
      <alignment vertical="center"/>
    </xf>
    <xf numFmtId="0" fontId="23" fillId="0" borderId="2" xfId="5" applyFont="1" applyFill="1" applyBorder="1" applyAlignment="1">
      <alignment vertical="center"/>
    </xf>
    <xf numFmtId="0" fontId="13" fillId="0" borderId="2" xfId="5" applyFont="1" applyFill="1" applyBorder="1" applyAlignment="1">
      <alignment vertical="center"/>
    </xf>
    <xf numFmtId="0" fontId="13" fillId="0" borderId="0" xfId="5" applyFont="1" applyFill="1" applyAlignment="1">
      <alignment vertical="center"/>
    </xf>
    <xf numFmtId="0" fontId="24" fillId="0" borderId="0" xfId="5" applyFont="1" applyFill="1" applyAlignment="1">
      <alignment vertical="center"/>
    </xf>
    <xf numFmtId="0" fontId="13" fillId="0" borderId="0" xfId="5" applyFont="1" applyFill="1" applyAlignment="1">
      <alignment horizontal="center" vertical="center"/>
    </xf>
    <xf numFmtId="0" fontId="22" fillId="0" borderId="0" xfId="5" applyFont="1" applyFill="1" applyBorder="1" applyAlignment="1">
      <alignment horizontal="left" vertical="center"/>
    </xf>
    <xf numFmtId="0" fontId="25" fillId="0" borderId="0" xfId="5" applyFont="1" applyFill="1" applyBorder="1" applyAlignment="1">
      <alignment horizontal="left" vertical="center"/>
    </xf>
    <xf numFmtId="0" fontId="22" fillId="0" borderId="0" xfId="5" applyFont="1" applyFill="1" applyBorder="1" applyAlignment="1">
      <alignment horizontal="right" vertical="center"/>
    </xf>
    <xf numFmtId="0" fontId="25" fillId="0" borderId="0" xfId="5" applyFont="1" applyFill="1" applyAlignment="1">
      <alignment vertical="center"/>
    </xf>
    <xf numFmtId="0" fontId="23" fillId="0" borderId="0" xfId="5" applyFont="1" applyFill="1" applyAlignment="1">
      <alignment vertical="center"/>
    </xf>
    <xf numFmtId="0" fontId="27" fillId="0" borderId="0" xfId="5" applyFont="1" applyFill="1" applyAlignment="1">
      <alignment horizontal="left" vertical="center"/>
    </xf>
    <xf numFmtId="169" fontId="26" fillId="0" borderId="0" xfId="5" quotePrefix="1" applyNumberFormat="1" applyFont="1" applyFill="1" applyAlignment="1">
      <alignment horizontal="left" vertical="center"/>
    </xf>
    <xf numFmtId="0" fontId="15" fillId="0" borderId="0" xfId="5" applyFont="1" applyFill="1" applyAlignment="1">
      <alignment vertical="center"/>
    </xf>
    <xf numFmtId="0" fontId="2" fillId="0" borderId="0" xfId="1" applyFont="1" applyFill="1" applyAlignment="1">
      <alignment vertical="center"/>
    </xf>
    <xf numFmtId="0" fontId="15" fillId="0" borderId="0" xfId="5" applyFont="1" applyFill="1" applyAlignment="1">
      <alignment horizontal="center" vertical="center"/>
    </xf>
    <xf numFmtId="0" fontId="15" fillId="0" borderId="0" xfId="5" applyFont="1" applyFill="1" applyAlignment="1">
      <alignment horizontal="center" vertical="center"/>
    </xf>
    <xf numFmtId="0" fontId="15" fillId="0" borderId="0" xfId="5" applyFont="1" applyFill="1" applyAlignment="1">
      <alignment horizontal="right" vertical="center"/>
    </xf>
    <xf numFmtId="0" fontId="3" fillId="0" borderId="0" xfId="1" applyFill="1"/>
    <xf numFmtId="0" fontId="14" fillId="0" borderId="1" xfId="3" applyFont="1" applyFill="1" applyBorder="1" applyAlignment="1">
      <alignment horizontal="right"/>
    </xf>
    <xf numFmtId="166" fontId="12" fillId="0" borderId="0" xfId="1" applyNumberFormat="1" applyFont="1" applyFill="1" applyBorder="1"/>
    <xf numFmtId="0" fontId="6" fillId="0" borderId="0" xfId="2" applyFont="1" applyFill="1" applyBorder="1"/>
    <xf numFmtId="165" fontId="12" fillId="0" borderId="0" xfId="1" applyNumberFormat="1" applyFont="1" applyFill="1" applyBorder="1"/>
    <xf numFmtId="166" fontId="11" fillId="0" borderId="0" xfId="1" applyNumberFormat="1" applyFont="1" applyFill="1" applyBorder="1" applyAlignment="1">
      <alignment indent="1"/>
    </xf>
    <xf numFmtId="165" fontId="11" fillId="0" borderId="0" xfId="1" applyNumberFormat="1" applyFont="1" applyFill="1" applyBorder="1"/>
    <xf numFmtId="166" fontId="10" fillId="0" borderId="0" xfId="1" applyNumberFormat="1" applyFont="1" applyFill="1" applyBorder="1" applyAlignment="1">
      <alignment indent="2"/>
    </xf>
    <xf numFmtId="165" fontId="10" fillId="0" borderId="0" xfId="1" applyNumberFormat="1" applyFont="1" applyFill="1" applyBorder="1"/>
    <xf numFmtId="166" fontId="8" fillId="0" borderId="0" xfId="1" applyNumberFormat="1" applyFont="1" applyFill="1" applyBorder="1" applyAlignment="1">
      <alignment indent="3"/>
    </xf>
    <xf numFmtId="165" fontId="8" fillId="0" borderId="0" xfId="1" applyNumberFormat="1" applyFont="1" applyFill="1" applyBorder="1"/>
    <xf numFmtId="0" fontId="9" fillId="0" borderId="0" xfId="1" applyFont="1" applyFill="1" applyBorder="1" applyAlignment="1">
      <alignment horizontal="left" indent="4"/>
    </xf>
    <xf numFmtId="165" fontId="9" fillId="0" borderId="0" xfId="1" applyNumberFormat="1" applyFont="1" applyFill="1" applyBorder="1"/>
    <xf numFmtId="166" fontId="9" fillId="0" borderId="0" xfId="1" applyNumberFormat="1" applyFont="1" applyFill="1" applyBorder="1" applyAlignment="1">
      <alignment horizontal="left" indent="4"/>
    </xf>
    <xf numFmtId="0" fontId="3" fillId="0" borderId="0" xfId="1" applyFill="1" applyBorder="1"/>
    <xf numFmtId="2" fontId="4" fillId="0" borderId="0" xfId="1" applyNumberFormat="1" applyFont="1" applyFill="1" applyBorder="1" applyAlignment="1">
      <alignment horizontal="left"/>
    </xf>
    <xf numFmtId="165" fontId="4" fillId="0" borderId="0" xfId="1" applyNumberFormat="1" applyFont="1" applyFill="1" applyBorder="1"/>
    <xf numFmtId="2" fontId="7" fillId="0" borderId="0" xfId="1" applyNumberFormat="1" applyFont="1" applyFill="1" applyBorder="1" applyAlignment="1">
      <alignment horizontal="left" indent="1"/>
    </xf>
    <xf numFmtId="165" fontId="7" fillId="0" borderId="0" xfId="1" applyNumberFormat="1" applyFont="1" applyFill="1" applyBorder="1"/>
    <xf numFmtId="0" fontId="13" fillId="0" borderId="2" xfId="8" applyFont="1" applyFill="1" applyBorder="1"/>
    <xf numFmtId="0" fontId="3" fillId="0" borderId="0" xfId="8" applyFill="1"/>
    <xf numFmtId="2" fontId="12" fillId="0" borderId="0" xfId="1" applyNumberFormat="1" applyFont="1" applyFill="1"/>
    <xf numFmtId="49" fontId="12" fillId="0" borderId="0" xfId="1" applyNumberFormat="1" applyFont="1" applyFill="1"/>
    <xf numFmtId="168" fontId="12" fillId="0" borderId="0" xfId="8" applyNumberFormat="1" applyFont="1" applyFill="1"/>
    <xf numFmtId="2" fontId="11" fillId="0" borderId="0" xfId="1" applyNumberFormat="1" applyFont="1" applyFill="1" applyAlignment="1">
      <alignment indent="1"/>
    </xf>
    <xf numFmtId="49" fontId="11" fillId="0" borderId="0" xfId="1" applyNumberFormat="1" applyFont="1" applyFill="1"/>
    <xf numFmtId="168" fontId="11" fillId="0" borderId="0" xfId="8" applyNumberFormat="1" applyFont="1" applyFill="1"/>
    <xf numFmtId="2" fontId="10" fillId="0" borderId="0" xfId="1" applyNumberFormat="1" applyFont="1" applyFill="1" applyAlignment="1">
      <alignment indent="2"/>
    </xf>
    <xf numFmtId="49" fontId="10" fillId="0" borderId="0" xfId="1" applyNumberFormat="1" applyFont="1" applyFill="1"/>
    <xf numFmtId="168" fontId="10" fillId="0" borderId="0" xfId="8" applyNumberFormat="1" applyFont="1" applyFill="1"/>
    <xf numFmtId="2" fontId="8" fillId="0" borderId="0" xfId="1" applyNumberFormat="1" applyFont="1" applyFill="1" applyAlignment="1">
      <alignment indent="3"/>
    </xf>
    <xf numFmtId="49" fontId="8" fillId="0" borderId="0" xfId="1" applyNumberFormat="1" applyFont="1" applyFill="1"/>
    <xf numFmtId="2" fontId="19" fillId="0" borderId="0" xfId="1" applyNumberFormat="1" applyFont="1" applyFill="1" applyAlignment="1">
      <alignment indent="4"/>
    </xf>
    <xf numFmtId="49" fontId="19" fillId="0" borderId="0" xfId="1" applyNumberFormat="1" applyFont="1" applyFill="1"/>
    <xf numFmtId="49" fontId="10" fillId="0" borderId="0" xfId="1" applyNumberFormat="1" applyFont="1" applyFill="1" applyAlignment="1">
      <alignment indent="2"/>
    </xf>
    <xf numFmtId="49" fontId="8" fillId="0" borderId="0" xfId="1" applyNumberFormat="1" applyFont="1" applyFill="1" applyAlignment="1">
      <alignment indent="3"/>
    </xf>
    <xf numFmtId="49" fontId="19" fillId="0" borderId="0" xfId="1" applyNumberFormat="1" applyFont="1" applyFill="1" applyAlignment="1">
      <alignment indent="4"/>
    </xf>
    <xf numFmtId="2" fontId="10" fillId="0" borderId="0" xfId="8" applyNumberFormat="1" applyFont="1" applyFill="1" applyAlignment="1">
      <alignment indent="2"/>
    </xf>
    <xf numFmtId="2" fontId="10" fillId="0" borderId="0" xfId="8" applyNumberFormat="1" applyFont="1" applyFill="1"/>
    <xf numFmtId="2" fontId="4" fillId="0" borderId="0" xfId="1" applyNumberFormat="1" applyFont="1" applyFill="1" applyAlignment="1">
      <alignment indent="1"/>
    </xf>
    <xf numFmtId="49" fontId="4" fillId="0" borderId="0" xfId="1" applyNumberFormat="1" applyFont="1" applyFill="1"/>
    <xf numFmtId="166" fontId="4" fillId="0" borderId="0" xfId="1" applyNumberFormat="1" applyFont="1" applyFill="1"/>
    <xf numFmtId="2" fontId="7" fillId="0" borderId="0" xfId="1" applyNumberFormat="1" applyFont="1" applyFill="1" applyAlignment="1">
      <alignment indent="2"/>
    </xf>
    <xf numFmtId="49" fontId="7" fillId="0" borderId="0" xfId="1" applyNumberFormat="1" applyFont="1" applyFill="1"/>
    <xf numFmtId="166" fontId="7" fillId="0" borderId="0" xfId="1" applyNumberFormat="1" applyFont="1" applyFill="1"/>
    <xf numFmtId="2" fontId="17" fillId="0" borderId="0" xfId="1" applyNumberFormat="1" applyFont="1" applyFill="1" applyAlignment="1">
      <alignment indent="3"/>
    </xf>
    <xf numFmtId="49" fontId="17" fillId="0" borderId="0" xfId="1" applyNumberFormat="1" applyFont="1" applyFill="1"/>
    <xf numFmtId="166" fontId="17" fillId="0" borderId="0" xfId="1" applyNumberFormat="1" applyFont="1" applyFill="1"/>
    <xf numFmtId="0" fontId="13" fillId="0" borderId="3" xfId="1" applyFont="1" applyFill="1" applyBorder="1"/>
    <xf numFmtId="165" fontId="12" fillId="0" borderId="0" xfId="1" applyNumberFormat="1" applyFont="1" applyFill="1"/>
    <xf numFmtId="165" fontId="18" fillId="0" borderId="0" xfId="1" applyNumberFormat="1" applyFont="1" applyFill="1"/>
    <xf numFmtId="49" fontId="11" fillId="0" borderId="0" xfId="1" applyNumberFormat="1" applyFont="1" applyFill="1" applyAlignment="1">
      <alignment indent="1"/>
    </xf>
    <xf numFmtId="165" fontId="4" fillId="0" borderId="0" xfId="1" applyNumberFormat="1" applyFont="1" applyFill="1"/>
    <xf numFmtId="165" fontId="7" fillId="0" borderId="0" xfId="1" applyNumberFormat="1" applyFont="1" applyFill="1"/>
    <xf numFmtId="165" fontId="17" fillId="0" borderId="0" xfId="1" applyNumberFormat="1" applyFont="1" applyFill="1"/>
    <xf numFmtId="165" fontId="3" fillId="0" borderId="0" xfId="1" applyNumberFormat="1" applyFill="1"/>
  </cellXfs>
  <cellStyles count="9">
    <cellStyle name="Comma 2" xfId="4"/>
    <cellStyle name="Hyperlink" xfId="2" builtinId="8"/>
    <cellStyle name="Normal" xfId="0" builtinId="0"/>
    <cellStyle name="Normal 2" xfId="1"/>
    <cellStyle name="Normal 2 2" xfId="3"/>
    <cellStyle name="Normal 2 2 2" xfId="8"/>
    <cellStyle name="Normal 3" xfId="5"/>
    <cellStyle name="Percent 2" xfId="6"/>
    <cellStyle name="Percent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customXml" Target="../customXml/item2.xml"/><Relationship Id="rId16" Type="http://schemas.openxmlformats.org/officeDocument/2006/relationships/worksheet" Target="worksheets/sheet16.xml"/><Relationship Id="rId107" Type="http://schemas.openxmlformats.org/officeDocument/2006/relationships/theme" Target="theme/theme1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customXml" Target="../customXml/item3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styles" Target="styles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sharedStrings" Target="sharedStrings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calcChain" Target="calcChain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15" customWidth="1"/>
    <col min="2" max="2" width="9.7109375" style="16" customWidth="1"/>
    <col min="3" max="3" width="107.42578125" style="14" customWidth="1"/>
    <col min="4" max="4" width="44.7109375" style="14" customWidth="1"/>
    <col min="5" max="6" width="9.7109375" style="14" customWidth="1"/>
    <col min="7" max="16384" width="9.140625" style="14"/>
  </cols>
  <sheetData>
    <row r="9" spans="1:10" ht="30" x14ac:dyDescent="0.25">
      <c r="A9" s="11"/>
      <c r="B9" s="12" t="s">
        <v>350</v>
      </c>
      <c r="C9" s="13"/>
      <c r="D9" s="13"/>
      <c r="E9" s="13"/>
      <c r="F9" s="13"/>
    </row>
    <row r="10" spans="1:10" hidden="1" x14ac:dyDescent="0.25"/>
    <row r="11" spans="1:10" hidden="1" x14ac:dyDescent="0.25">
      <c r="B11" s="15"/>
      <c r="C11" s="15"/>
    </row>
    <row r="12" spans="1:10" ht="11.25" hidden="1" customHeight="1" x14ac:dyDescent="0.25">
      <c r="B12" s="15"/>
      <c r="C12" s="15"/>
    </row>
    <row r="13" spans="1:10" s="15" customFormat="1" ht="11.25" hidden="1" customHeight="1" x14ac:dyDescent="0.25">
      <c r="D13" s="14"/>
      <c r="E13" s="14"/>
      <c r="F13" s="14"/>
      <c r="G13" s="14"/>
      <c r="H13" s="14"/>
      <c r="I13" s="14"/>
      <c r="J13" s="14"/>
    </row>
    <row r="14" spans="1:10" s="15" customFormat="1" ht="12.75" customHeight="1" x14ac:dyDescent="0.25">
      <c r="D14" s="14"/>
      <c r="E14" s="14"/>
      <c r="F14" s="14"/>
      <c r="G14" s="14"/>
      <c r="H14" s="14"/>
      <c r="I14" s="14"/>
      <c r="J14" s="14"/>
    </row>
    <row r="15" spans="1:10" s="15" customFormat="1" ht="12.75" customHeight="1" x14ac:dyDescent="0.25">
      <c r="D15" s="14"/>
      <c r="E15" s="14"/>
      <c r="F15" s="14"/>
      <c r="G15" s="14"/>
      <c r="H15" s="14"/>
      <c r="I15" s="14"/>
      <c r="J15" s="14"/>
    </row>
    <row r="16" spans="1:10" s="15" customFormat="1" ht="12.75" customHeight="1" x14ac:dyDescent="0.25">
      <c r="D16" s="14"/>
      <c r="E16" s="14"/>
      <c r="F16" s="14"/>
      <c r="G16" s="14"/>
      <c r="H16" s="14"/>
      <c r="I16" s="14"/>
      <c r="J16" s="14"/>
    </row>
    <row r="17" spans="1:10" s="15" customFormat="1" ht="12.75" customHeight="1" x14ac:dyDescent="0.25">
      <c r="D17" s="14"/>
      <c r="E17" s="14"/>
      <c r="F17" s="14"/>
      <c r="G17" s="14"/>
      <c r="H17" s="14"/>
      <c r="I17" s="14"/>
      <c r="J17" s="14"/>
    </row>
    <row r="18" spans="1:10" s="15" customFormat="1" ht="12.75" customHeight="1" x14ac:dyDescent="0.25">
      <c r="D18" s="14"/>
      <c r="E18" s="14"/>
      <c r="F18" s="14"/>
      <c r="G18" s="14"/>
      <c r="H18" s="14"/>
      <c r="I18" s="14"/>
      <c r="J18" s="14"/>
    </row>
    <row r="19" spans="1:10" s="15" customFormat="1" x14ac:dyDescent="0.25">
      <c r="D19" s="14"/>
      <c r="E19" s="14"/>
      <c r="F19" s="14"/>
      <c r="G19" s="14"/>
      <c r="H19" s="14"/>
      <c r="I19" s="14"/>
      <c r="J19" s="14"/>
    </row>
    <row r="20" spans="1:10" s="15" customFormat="1" ht="11.25" customHeight="1" x14ac:dyDescent="0.25">
      <c r="D20" s="14"/>
      <c r="E20" s="14"/>
      <c r="F20" s="14"/>
      <c r="G20" s="14"/>
      <c r="H20" s="14"/>
      <c r="I20" s="14"/>
      <c r="J20" s="14"/>
    </row>
    <row r="21" spans="1:10" s="15" customFormat="1" ht="11.25" customHeight="1" x14ac:dyDescent="0.25">
      <c r="D21" s="14"/>
      <c r="E21" s="14"/>
      <c r="F21" s="14"/>
      <c r="G21" s="14"/>
      <c r="H21" s="14"/>
      <c r="I21" s="14"/>
      <c r="J21" s="14"/>
    </row>
    <row r="22" spans="1:10" s="15" customFormat="1" ht="11.25" customHeight="1" x14ac:dyDescent="0.25">
      <c r="B22" s="16"/>
      <c r="C22" s="14"/>
      <c r="D22" s="14"/>
      <c r="E22" s="14"/>
      <c r="F22" s="14"/>
      <c r="G22" s="14"/>
      <c r="H22" s="14"/>
      <c r="I22" s="14"/>
      <c r="J22" s="14"/>
    </row>
    <row r="23" spans="1:10" s="15" customFormat="1" ht="27.75" x14ac:dyDescent="0.25">
      <c r="B23" s="17"/>
      <c r="C23" s="18" t="s">
        <v>361</v>
      </c>
      <c r="D23" s="19"/>
      <c r="E23" s="14"/>
      <c r="F23" s="14"/>
      <c r="G23" s="14"/>
      <c r="H23" s="14"/>
      <c r="I23" s="14"/>
      <c r="J23" s="14"/>
    </row>
    <row r="24" spans="1:10" s="15" customFormat="1" ht="11.25" customHeight="1" x14ac:dyDescent="0.25">
      <c r="B24" s="16"/>
      <c r="C24" s="14"/>
      <c r="D24" s="14"/>
      <c r="E24" s="14"/>
      <c r="F24" s="14"/>
      <c r="G24" s="14"/>
      <c r="H24" s="14"/>
      <c r="I24" s="14"/>
      <c r="J24" s="14"/>
    </row>
    <row r="25" spans="1:10" s="15" customFormat="1" ht="13.5" customHeight="1" x14ac:dyDescent="0.25">
      <c r="B25" s="16"/>
      <c r="C25" s="14"/>
      <c r="D25" s="14"/>
      <c r="E25" s="14"/>
      <c r="F25" s="14"/>
      <c r="G25" s="14"/>
      <c r="H25" s="14"/>
      <c r="I25" s="14"/>
      <c r="J25" s="14"/>
    </row>
    <row r="26" spans="1:10" s="15" customFormat="1" ht="10.5" customHeight="1" x14ac:dyDescent="0.25">
      <c r="B26" s="16"/>
      <c r="C26" s="14"/>
      <c r="D26" s="14"/>
      <c r="E26" s="14"/>
      <c r="F26" s="14"/>
      <c r="G26" s="14"/>
      <c r="H26" s="14"/>
      <c r="I26" s="14"/>
      <c r="J26" s="14"/>
    </row>
    <row r="27" spans="1:10" x14ac:dyDescent="0.25">
      <c r="A27" s="14"/>
    </row>
    <row r="28" spans="1:10" s="15" customFormat="1" ht="11.25" customHeight="1" x14ac:dyDescent="0.25">
      <c r="B28" s="16"/>
      <c r="C28" s="14"/>
      <c r="D28" s="14"/>
      <c r="E28" s="14"/>
      <c r="F28" s="14"/>
      <c r="G28" s="14"/>
      <c r="H28" s="14"/>
      <c r="I28" s="14"/>
      <c r="J28" s="14"/>
    </row>
    <row r="29" spans="1:10" s="15" customFormat="1" x14ac:dyDescent="0.25">
      <c r="B29" s="16"/>
      <c r="C29" s="14"/>
      <c r="D29" s="14"/>
      <c r="E29" s="14"/>
      <c r="F29" s="14"/>
      <c r="G29" s="14"/>
      <c r="H29" s="14"/>
      <c r="I29" s="14"/>
      <c r="J29" s="14"/>
    </row>
    <row r="30" spans="1:10" s="15" customFormat="1" ht="27.75" x14ac:dyDescent="0.25">
      <c r="B30" s="16"/>
      <c r="C30" s="20" t="s">
        <v>364</v>
      </c>
      <c r="D30" s="14"/>
      <c r="E30" s="14"/>
      <c r="F30" s="14"/>
      <c r="G30" s="14"/>
      <c r="H30" s="14"/>
      <c r="I30" s="14"/>
      <c r="J30" s="14"/>
    </row>
    <row r="31" spans="1:10" s="15" customFormat="1" ht="11.25" customHeight="1" x14ac:dyDescent="0.25">
      <c r="B31" s="16"/>
      <c r="C31" s="21"/>
      <c r="D31" s="14"/>
      <c r="E31" s="14"/>
      <c r="F31" s="14"/>
      <c r="G31" s="14"/>
      <c r="H31" s="14"/>
      <c r="I31" s="14"/>
      <c r="J31" s="14"/>
    </row>
    <row r="32" spans="1:10" s="15" customFormat="1" ht="11.25" customHeight="1" x14ac:dyDescent="0.25">
      <c r="B32" s="16"/>
      <c r="C32" s="21"/>
      <c r="D32" s="14"/>
      <c r="E32" s="14"/>
      <c r="F32" s="14"/>
      <c r="G32" s="14"/>
      <c r="H32" s="14"/>
      <c r="I32" s="14"/>
      <c r="J32" s="14"/>
    </row>
    <row r="33" spans="1:12" s="15" customFormat="1" ht="11.25" customHeight="1" x14ac:dyDescent="0.25">
      <c r="B33" s="16"/>
      <c r="C33" s="14"/>
      <c r="D33" s="14"/>
      <c r="E33" s="14"/>
      <c r="F33" s="14"/>
      <c r="G33" s="14"/>
      <c r="H33" s="14"/>
      <c r="I33" s="14"/>
      <c r="J33" s="14"/>
    </row>
    <row r="34" spans="1:12" s="15" customFormat="1" ht="11.25" customHeight="1" x14ac:dyDescent="0.25">
      <c r="B34" s="16"/>
      <c r="C34" s="14"/>
      <c r="D34" s="14"/>
      <c r="E34" s="14"/>
      <c r="F34" s="14"/>
      <c r="G34" s="14"/>
      <c r="H34" s="14"/>
      <c r="I34" s="14"/>
      <c r="J34" s="14"/>
    </row>
    <row r="35" spans="1:12" s="15" customFormat="1" ht="11.25" customHeight="1" x14ac:dyDescent="0.25">
      <c r="B35" s="16"/>
      <c r="C35" s="14"/>
      <c r="D35" s="14"/>
      <c r="E35" s="14"/>
      <c r="F35" s="14"/>
      <c r="G35" s="14"/>
      <c r="H35" s="14"/>
      <c r="I35" s="14"/>
      <c r="J35" s="14"/>
    </row>
    <row r="36" spans="1:12" s="15" customFormat="1" ht="13.5" customHeight="1" x14ac:dyDescent="0.25">
      <c r="B36" s="16"/>
      <c r="C36" s="14"/>
      <c r="D36" s="14"/>
      <c r="E36" s="14"/>
      <c r="F36" s="14"/>
      <c r="G36" s="14"/>
      <c r="H36" s="14"/>
      <c r="I36" s="14"/>
      <c r="J36" s="14"/>
    </row>
    <row r="37" spans="1:12" s="15" customFormat="1" ht="10.5" customHeight="1" x14ac:dyDescent="0.25">
      <c r="B37" s="16"/>
      <c r="C37" s="14"/>
      <c r="D37" s="14"/>
      <c r="E37" s="14"/>
      <c r="F37" s="14"/>
      <c r="G37" s="14"/>
      <c r="H37" s="14"/>
      <c r="I37" s="14"/>
      <c r="J37" s="14"/>
    </row>
    <row r="38" spans="1:12" x14ac:dyDescent="0.25">
      <c r="A38" s="14"/>
    </row>
    <row r="39" spans="1:12" s="15" customFormat="1" ht="12.75" customHeight="1" x14ac:dyDescent="0.25">
      <c r="B39" s="16"/>
      <c r="C39" s="14"/>
      <c r="E39" s="14"/>
      <c r="F39" s="14"/>
      <c r="G39" s="14"/>
      <c r="H39" s="14"/>
      <c r="I39" s="14"/>
      <c r="J39" s="14"/>
    </row>
    <row r="40" spans="1:12" s="15" customFormat="1" x14ac:dyDescent="0.25">
      <c r="B40" s="16"/>
      <c r="C40" s="14"/>
      <c r="E40" s="14"/>
      <c r="F40" s="14"/>
      <c r="G40" s="14"/>
      <c r="H40" s="14"/>
      <c r="I40" s="14"/>
      <c r="J40" s="14"/>
    </row>
    <row r="41" spans="1:12" s="15" customFormat="1" x14ac:dyDescent="0.25">
      <c r="B41" s="16"/>
      <c r="C41" s="14"/>
      <c r="D41" s="14"/>
      <c r="E41" s="14"/>
      <c r="F41" s="14"/>
      <c r="G41" s="14"/>
      <c r="H41" s="14"/>
      <c r="I41" s="14"/>
      <c r="J41" s="14"/>
    </row>
    <row r="42" spans="1:12" s="15" customFormat="1" ht="12.75" customHeight="1" x14ac:dyDescent="0.25">
      <c r="B42" s="16"/>
      <c r="C42" s="14"/>
      <c r="D42" s="14"/>
      <c r="E42" s="14"/>
      <c r="F42" s="14"/>
      <c r="G42" s="14"/>
      <c r="H42" s="14"/>
      <c r="I42" s="14"/>
      <c r="J42" s="14"/>
    </row>
    <row r="43" spans="1:12" ht="20.25" x14ac:dyDescent="0.25">
      <c r="D43" s="22" t="s">
        <v>362</v>
      </c>
    </row>
    <row r="44" spans="1:12" x14ac:dyDescent="0.25">
      <c r="A44" s="14"/>
      <c r="B44" s="14"/>
    </row>
    <row r="45" spans="1:12" ht="18" x14ac:dyDescent="0.25">
      <c r="A45" s="14"/>
      <c r="B45" s="14"/>
      <c r="D45" s="23">
        <v>43300.66238425926</v>
      </c>
    </row>
    <row r="46" spans="1:12" ht="12.75" x14ac:dyDescent="0.25">
      <c r="A46" s="14"/>
      <c r="B46" s="14"/>
      <c r="G46" s="24"/>
      <c r="H46" s="24"/>
      <c r="I46" s="24"/>
      <c r="J46" s="24"/>
      <c r="K46" s="24"/>
      <c r="L46" s="24"/>
    </row>
    <row r="47" spans="1:12" x14ac:dyDescent="0.25">
      <c r="A47" s="14"/>
      <c r="B47" s="14"/>
    </row>
    <row r="48" spans="1:12" x14ac:dyDescent="0.25">
      <c r="A48" s="14"/>
      <c r="B48" s="14"/>
    </row>
    <row r="49" spans="1:12" ht="15" x14ac:dyDescent="0.25">
      <c r="B49" s="25" t="s">
        <v>359</v>
      </c>
    </row>
    <row r="50" spans="1:12" ht="15" x14ac:dyDescent="0.25">
      <c r="B50" s="25"/>
    </row>
    <row r="51" spans="1:12" ht="15" x14ac:dyDescent="0.25">
      <c r="A51" s="24"/>
      <c r="B51" s="25" t="s">
        <v>351</v>
      </c>
      <c r="C51" s="24"/>
      <c r="D51" s="24"/>
      <c r="E51" s="24"/>
      <c r="F51" s="24"/>
    </row>
    <row r="52" spans="1:12" ht="15" x14ac:dyDescent="0.25">
      <c r="B52" s="25"/>
    </row>
    <row r="53" spans="1:12" ht="15" x14ac:dyDescent="0.25">
      <c r="B53" s="25" t="s">
        <v>363</v>
      </c>
    </row>
    <row r="54" spans="1:12" ht="15" x14ac:dyDescent="0.25">
      <c r="B54" s="25" t="s">
        <v>352</v>
      </c>
    </row>
    <row r="55" spans="1:12" ht="12.75" x14ac:dyDescent="0.25">
      <c r="B55" s="15"/>
      <c r="G55" s="24"/>
      <c r="H55" s="24"/>
      <c r="I55" s="24"/>
      <c r="J55" s="24"/>
      <c r="K55" s="24"/>
      <c r="L55" s="24"/>
    </row>
    <row r="56" spans="1:12" ht="15" x14ac:dyDescent="0.25">
      <c r="B56" s="25" t="s">
        <v>353</v>
      </c>
    </row>
    <row r="57" spans="1:12" ht="15" x14ac:dyDescent="0.25">
      <c r="B57" s="25" t="s">
        <v>354</v>
      </c>
    </row>
    <row r="62" spans="1:12" ht="12.75" x14ac:dyDescent="0.25">
      <c r="A62" s="24" t="s">
        <v>355</v>
      </c>
      <c r="B62" s="26"/>
      <c r="C62" s="27" t="s">
        <v>358</v>
      </c>
      <c r="D62" s="27"/>
      <c r="E62" s="28"/>
      <c r="F62" s="28" t="s">
        <v>356</v>
      </c>
    </row>
    <row r="65" spans="1:10" s="15" customFormat="1" ht="11.25" customHeight="1" x14ac:dyDescent="0.25">
      <c r="B65" s="16"/>
      <c r="C65" s="14"/>
      <c r="D65" s="14"/>
      <c r="E65" s="14"/>
      <c r="F65" s="14"/>
      <c r="G65" s="14"/>
      <c r="H65" s="14"/>
      <c r="I65" s="14"/>
      <c r="J65" s="14"/>
    </row>
    <row r="69" spans="1:10" x14ac:dyDescent="0.25">
      <c r="A69" s="14"/>
      <c r="B69" s="14"/>
    </row>
    <row r="70" spans="1:10" x14ac:dyDescent="0.25">
      <c r="A70" s="14"/>
      <c r="B70" s="14"/>
    </row>
    <row r="71" spans="1:10" x14ac:dyDescent="0.25">
      <c r="A71" s="14"/>
      <c r="B71" s="14"/>
    </row>
    <row r="72" spans="1:10" x14ac:dyDescent="0.25">
      <c r="A72" s="14"/>
      <c r="B72" s="14"/>
    </row>
    <row r="73" spans="1:10" x14ac:dyDescent="0.25">
      <c r="A73" s="14"/>
      <c r="B73" s="14"/>
    </row>
    <row r="74" spans="1:10" x14ac:dyDescent="0.25">
      <c r="A74" s="14"/>
      <c r="B74" s="14"/>
    </row>
    <row r="75" spans="1:10" x14ac:dyDescent="0.25">
      <c r="A75" s="14"/>
      <c r="B75" s="14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53.896200000000135</v>
      </c>
      <c r="N2" s="78">
        <v>50.891992145527041</v>
      </c>
      <c r="O2" s="78">
        <v>44.427558435732209</v>
      </c>
      <c r="P2" s="78">
        <v>53.897728384460663</v>
      </c>
      <c r="Q2" s="78">
        <v>34.862397905196453</v>
      </c>
      <c r="R2" s="78">
        <v>44.437361778921435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53.896200000000135</v>
      </c>
      <c r="N21" s="79">
        <v>50.891992145527041</v>
      </c>
      <c r="O21" s="79">
        <v>44.427558435732209</v>
      </c>
      <c r="P21" s="79">
        <v>53.897728384460663</v>
      </c>
      <c r="Q21" s="79">
        <v>34.862397905196453</v>
      </c>
      <c r="R21" s="79">
        <v>44.437361778921435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53.896200000000135</v>
      </c>
      <c r="N30" s="8">
        <v>50.891992145527041</v>
      </c>
      <c r="O30" s="8">
        <v>44.427558435732209</v>
      </c>
      <c r="P30" s="8">
        <v>53.897728384460663</v>
      </c>
      <c r="Q30" s="8">
        <v>34.862397905196453</v>
      </c>
      <c r="R30" s="8">
        <v>44.437361778921435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44.608200000000139</v>
      </c>
      <c r="N43" s="9">
        <v>47.795899887495324</v>
      </c>
      <c r="O43" s="9">
        <v>38.235584976666622</v>
      </c>
      <c r="P43" s="9">
        <v>44.609264019288062</v>
      </c>
      <c r="Q43" s="9">
        <v>28.674729034028655</v>
      </c>
      <c r="R43" s="9">
        <v>38.238050157366743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9.2879999999999967</v>
      </c>
      <c r="N44" s="9">
        <v>3.0960922580317209</v>
      </c>
      <c r="O44" s="9">
        <v>6.1919734590655837</v>
      </c>
      <c r="P44" s="9">
        <v>9.2884643651726044</v>
      </c>
      <c r="Q44" s="9">
        <v>6.1876688711677996</v>
      </c>
      <c r="R44" s="9">
        <v>6.1993116215546937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7.1437416805395212E-2</v>
      </c>
      <c r="P64" s="81">
        <v>7.0238234582254949E-2</v>
      </c>
      <c r="Q64" s="81">
        <v>7.0791421851110217E-2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7.1437416805395212E-2</v>
      </c>
      <c r="P69" s="82">
        <v>7.0238234582254949E-2</v>
      </c>
      <c r="Q69" s="82">
        <v>7.0791421851110217E-2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7.1437416805395212E-2</v>
      </c>
      <c r="P71" s="83">
        <v>7.0238234582254949E-2</v>
      </c>
      <c r="Q71" s="83">
        <v>7.0791421851110217E-2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53.896200000000135</v>
      </c>
      <c r="N2" s="78">
        <v>50.891992145527041</v>
      </c>
      <c r="O2" s="78">
        <v>44.427558435732209</v>
      </c>
      <c r="P2" s="78">
        <v>53.897728384460663</v>
      </c>
      <c r="Q2" s="78">
        <v>34.862397905196453</v>
      </c>
      <c r="R2" s="78">
        <v>44.437361778921435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53.896200000000135</v>
      </c>
      <c r="N21" s="79">
        <v>50.891992145527041</v>
      </c>
      <c r="O21" s="79">
        <v>44.427558435732209</v>
      </c>
      <c r="P21" s="79">
        <v>53.897728384460663</v>
      </c>
      <c r="Q21" s="79">
        <v>34.862397905196453</v>
      </c>
      <c r="R21" s="79">
        <v>44.437361778921435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53.896200000000135</v>
      </c>
      <c r="N30" s="8">
        <v>50.891992145527041</v>
      </c>
      <c r="O30" s="8">
        <v>44.427558435732209</v>
      </c>
      <c r="P30" s="8">
        <v>53.897728384460663</v>
      </c>
      <c r="Q30" s="8">
        <v>34.862397905196453</v>
      </c>
      <c r="R30" s="8">
        <v>44.437361778921435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44.608200000000139</v>
      </c>
      <c r="N43" s="9">
        <v>47.795899887495324</v>
      </c>
      <c r="O43" s="9">
        <v>38.235584976666622</v>
      </c>
      <c r="P43" s="9">
        <v>44.609264019288062</v>
      </c>
      <c r="Q43" s="9">
        <v>28.674729034028655</v>
      </c>
      <c r="R43" s="9">
        <v>38.238050157366743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9.2879999999999967</v>
      </c>
      <c r="N44" s="9">
        <v>3.0960922580317209</v>
      </c>
      <c r="O44" s="9">
        <v>6.1919734590655837</v>
      </c>
      <c r="P44" s="9">
        <v>9.2884643651726044</v>
      </c>
      <c r="Q44" s="9">
        <v>6.1876688711677996</v>
      </c>
      <c r="R44" s="9">
        <v>6.1993116215546937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7.1437416805395212E-2</v>
      </c>
      <c r="P64" s="81">
        <v>7.0238234582254949E-2</v>
      </c>
      <c r="Q64" s="81">
        <v>7.0791421851110217E-2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7.1437416805395212E-2</v>
      </c>
      <c r="P69" s="82">
        <v>7.0238234582254949E-2</v>
      </c>
      <c r="Q69" s="82">
        <v>7.0791421851110217E-2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7.1437416805395212E-2</v>
      </c>
      <c r="P71" s="83">
        <v>7.0238234582254949E-2</v>
      </c>
      <c r="Q71" s="83">
        <v>7.0791421851110217E-2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2097.2990999999997</v>
      </c>
      <c r="D2" s="78">
        <v>2312.8695439200001</v>
      </c>
      <c r="E2" s="78">
        <v>2367.69694596</v>
      </c>
      <c r="F2" s="78">
        <v>2922.0702966000003</v>
      </c>
      <c r="G2" s="78">
        <v>3126.3137049600005</v>
      </c>
      <c r="H2" s="78">
        <v>2111.5215000000003</v>
      </c>
      <c r="I2" s="78">
        <v>2411.3367997200003</v>
      </c>
      <c r="J2" s="78">
        <v>2702.1213640800001</v>
      </c>
      <c r="K2" s="78">
        <v>2922.7648867200005</v>
      </c>
      <c r="L2" s="78">
        <v>3617.7519153600006</v>
      </c>
      <c r="M2" s="78">
        <v>4660.8345000000008</v>
      </c>
      <c r="N2" s="78">
        <v>4292.5266000000047</v>
      </c>
      <c r="O2" s="78">
        <v>3809.4602999999906</v>
      </c>
      <c r="P2" s="78">
        <v>3789.7362000000153</v>
      </c>
      <c r="Q2" s="78">
        <v>3905.2815000000146</v>
      </c>
      <c r="R2" s="78">
        <v>4942.9316999999992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2097.2990999999997</v>
      </c>
      <c r="D21" s="79">
        <v>2312.8695439200001</v>
      </c>
      <c r="E21" s="79">
        <v>2367.69694596</v>
      </c>
      <c r="F21" s="79">
        <v>2922.0702966000003</v>
      </c>
      <c r="G21" s="79">
        <v>3126.3137049600005</v>
      </c>
      <c r="H21" s="79">
        <v>2111.5215000000003</v>
      </c>
      <c r="I21" s="79">
        <v>2411.3367997200003</v>
      </c>
      <c r="J21" s="79">
        <v>2702.1213640800001</v>
      </c>
      <c r="K21" s="79">
        <v>2922.7648867200005</v>
      </c>
      <c r="L21" s="79">
        <v>3617.7519153600006</v>
      </c>
      <c r="M21" s="79">
        <v>4660.8345000000008</v>
      </c>
      <c r="N21" s="79">
        <v>4292.5266000000047</v>
      </c>
      <c r="O21" s="79">
        <v>3809.4602999999906</v>
      </c>
      <c r="P21" s="79">
        <v>3789.7362000000153</v>
      </c>
      <c r="Q21" s="79">
        <v>3905.2815000000146</v>
      </c>
      <c r="R21" s="79">
        <v>4942.9316999999992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2097.2990999999997</v>
      </c>
      <c r="D30" s="8">
        <v>2312.8695439200001</v>
      </c>
      <c r="E30" s="8">
        <v>2367.69694596</v>
      </c>
      <c r="F30" s="8">
        <v>2922.0702966000003</v>
      </c>
      <c r="G30" s="8">
        <v>3126.3137049600005</v>
      </c>
      <c r="H30" s="8">
        <v>2111.5215000000003</v>
      </c>
      <c r="I30" s="8">
        <v>2411.3367997200003</v>
      </c>
      <c r="J30" s="8">
        <v>2702.1213640800001</v>
      </c>
      <c r="K30" s="8">
        <v>2922.7648867200005</v>
      </c>
      <c r="L30" s="8">
        <v>3617.7519153600006</v>
      </c>
      <c r="M30" s="8">
        <v>4660.8345000000008</v>
      </c>
      <c r="N30" s="8">
        <v>4292.5266000000047</v>
      </c>
      <c r="O30" s="8">
        <v>3809.4602999999906</v>
      </c>
      <c r="P30" s="8">
        <v>3789.7362000000153</v>
      </c>
      <c r="Q30" s="8">
        <v>3905.2815000000146</v>
      </c>
      <c r="R30" s="8">
        <v>4942.9316999999992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406.88309999999996</v>
      </c>
      <c r="D43" s="9">
        <v>362.36251584000001</v>
      </c>
      <c r="E43" s="9">
        <v>448.2995166</v>
      </c>
      <c r="F43" s="9">
        <v>457.60677300000003</v>
      </c>
      <c r="G43" s="9">
        <v>572.08602672000006</v>
      </c>
      <c r="H43" s="9">
        <v>476.83350000000115</v>
      </c>
      <c r="I43" s="9">
        <v>581.70352500000001</v>
      </c>
      <c r="J43" s="9">
        <v>572.08602672000006</v>
      </c>
      <c r="K43" s="9">
        <v>718.52019408000001</v>
      </c>
      <c r="L43" s="9">
        <v>1128.6599594400002</v>
      </c>
      <c r="M43" s="9">
        <v>812.50649999999916</v>
      </c>
      <c r="N43" s="9">
        <v>707.35860000000241</v>
      </c>
      <c r="O43" s="9">
        <v>704.17229999999711</v>
      </c>
      <c r="P43" s="9">
        <v>554.41620000000137</v>
      </c>
      <c r="Q43" s="9">
        <v>589.46550000000332</v>
      </c>
      <c r="R43" s="9">
        <v>825.25169999999764</v>
      </c>
    </row>
    <row r="44" spans="1:18" ht="11.25" customHeight="1" x14ac:dyDescent="0.25">
      <c r="A44" s="59" t="s">
        <v>161</v>
      </c>
      <c r="B44" s="60" t="s">
        <v>160</v>
      </c>
      <c r="C44" s="9">
        <v>1690.4159999999997</v>
      </c>
      <c r="D44" s="9">
        <v>1950.5070280800003</v>
      </c>
      <c r="E44" s="9">
        <v>1919.3974293600002</v>
      </c>
      <c r="F44" s="9">
        <v>2464.4635236000004</v>
      </c>
      <c r="G44" s="9">
        <v>2554.2276782400004</v>
      </c>
      <c r="H44" s="9">
        <v>1634.687999999999</v>
      </c>
      <c r="I44" s="9">
        <v>1829.6332747200004</v>
      </c>
      <c r="J44" s="9">
        <v>2130.0353373600001</v>
      </c>
      <c r="K44" s="9">
        <v>2204.2446926400007</v>
      </c>
      <c r="L44" s="9">
        <v>2489.0919559200006</v>
      </c>
      <c r="M44" s="9">
        <v>3848.3280000000013</v>
      </c>
      <c r="N44" s="9">
        <v>3585.1680000000024</v>
      </c>
      <c r="O44" s="9">
        <v>3105.2879999999936</v>
      </c>
      <c r="P44" s="9">
        <v>3235.3200000000138</v>
      </c>
      <c r="Q44" s="9">
        <v>3315.8160000000112</v>
      </c>
      <c r="R44" s="9">
        <v>4117.6800000000012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136.8830074242961</v>
      </c>
      <c r="D2" s="78">
        <v>126.34394791974947</v>
      </c>
      <c r="E2" s="78">
        <v>127.07757109613074</v>
      </c>
      <c r="F2" s="78">
        <v>115.77575551025602</v>
      </c>
      <c r="G2" s="78">
        <v>120.09058420919382</v>
      </c>
      <c r="H2" s="78">
        <v>107.07751554382772</v>
      </c>
      <c r="I2" s="78">
        <v>107.32609677822441</v>
      </c>
      <c r="J2" s="78">
        <v>177.40907838442999</v>
      </c>
      <c r="K2" s="78">
        <v>179.30091762551848</v>
      </c>
      <c r="L2" s="78">
        <v>167.82078112116938</v>
      </c>
      <c r="M2" s="78">
        <v>169.91238712385675</v>
      </c>
      <c r="N2" s="78">
        <v>144.77556295289631</v>
      </c>
      <c r="O2" s="78">
        <v>140.67110038725079</v>
      </c>
      <c r="P2" s="78">
        <v>133.2976381335109</v>
      </c>
      <c r="Q2" s="78">
        <v>155.4376320368213</v>
      </c>
      <c r="R2" s="78">
        <v>154.34744252449138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136.8830074242961</v>
      </c>
      <c r="D21" s="79">
        <v>126.34394791974947</v>
      </c>
      <c r="E21" s="79">
        <v>127.07757109613074</v>
      </c>
      <c r="F21" s="79">
        <v>115.77575551025602</v>
      </c>
      <c r="G21" s="79">
        <v>120.09058420919382</v>
      </c>
      <c r="H21" s="79">
        <v>107.07751554382772</v>
      </c>
      <c r="I21" s="79">
        <v>107.32609677822441</v>
      </c>
      <c r="J21" s="79">
        <v>177.40907838442999</v>
      </c>
      <c r="K21" s="79">
        <v>179.30091762551848</v>
      </c>
      <c r="L21" s="79">
        <v>167.82078112116938</v>
      </c>
      <c r="M21" s="79">
        <v>169.91238712385675</v>
      </c>
      <c r="N21" s="79">
        <v>144.77556295289631</v>
      </c>
      <c r="O21" s="79">
        <v>140.67110038725079</v>
      </c>
      <c r="P21" s="79">
        <v>133.2976381335109</v>
      </c>
      <c r="Q21" s="79">
        <v>155.4376320368213</v>
      </c>
      <c r="R21" s="79">
        <v>154.34744252449138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136.8830074242961</v>
      </c>
      <c r="D30" s="8">
        <v>126.34394791974947</v>
      </c>
      <c r="E30" s="8">
        <v>127.07757109613074</v>
      </c>
      <c r="F30" s="8">
        <v>115.77575551025602</v>
      </c>
      <c r="G30" s="8">
        <v>120.09058420919382</v>
      </c>
      <c r="H30" s="8">
        <v>107.07751554382772</v>
      </c>
      <c r="I30" s="8">
        <v>107.32609677822441</v>
      </c>
      <c r="J30" s="8">
        <v>177.40907838442999</v>
      </c>
      <c r="K30" s="8">
        <v>179.30091762551848</v>
      </c>
      <c r="L30" s="8">
        <v>167.82078112116938</v>
      </c>
      <c r="M30" s="8">
        <v>169.91238712385675</v>
      </c>
      <c r="N30" s="8">
        <v>144.77556295289631</v>
      </c>
      <c r="O30" s="8">
        <v>140.67110038725079</v>
      </c>
      <c r="P30" s="8">
        <v>133.2976381335109</v>
      </c>
      <c r="Q30" s="8">
        <v>155.4376320368213</v>
      </c>
      <c r="R30" s="8">
        <v>154.34744252449138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26.555765173465542</v>
      </c>
      <c r="D43" s="9">
        <v>19.794592803433066</v>
      </c>
      <c r="E43" s="9">
        <v>24.060855334675917</v>
      </c>
      <c r="F43" s="9">
        <v>18.130901892514455</v>
      </c>
      <c r="G43" s="9">
        <v>21.97544829161675</v>
      </c>
      <c r="H43" s="9">
        <v>24.180737211564217</v>
      </c>
      <c r="I43" s="9">
        <v>25.891019797663173</v>
      </c>
      <c r="J43" s="9">
        <v>37.560583364678486</v>
      </c>
      <c r="K43" s="9">
        <v>44.078581454284333</v>
      </c>
      <c r="L43" s="9">
        <v>52.356435832212057</v>
      </c>
      <c r="M43" s="9">
        <v>29.620214785281426</v>
      </c>
      <c r="N43" s="9">
        <v>23.857333702852962</v>
      </c>
      <c r="O43" s="9">
        <v>26.002815229028929</v>
      </c>
      <c r="P43" s="9">
        <v>19.500663397878746</v>
      </c>
      <c r="Q43" s="9">
        <v>23.461848137554504</v>
      </c>
      <c r="R43" s="9">
        <v>25.769218970593602</v>
      </c>
    </row>
    <row r="44" spans="1:18" ht="11.25" customHeight="1" x14ac:dyDescent="0.25">
      <c r="A44" s="59" t="s">
        <v>161</v>
      </c>
      <c r="B44" s="60" t="s">
        <v>160</v>
      </c>
      <c r="C44" s="9">
        <v>110.32724225083057</v>
      </c>
      <c r="D44" s="9">
        <v>106.54935511631641</v>
      </c>
      <c r="E44" s="9">
        <v>103.01671576145482</v>
      </c>
      <c r="F44" s="9">
        <v>97.64485361774156</v>
      </c>
      <c r="G44" s="9">
        <v>98.115135917577078</v>
      </c>
      <c r="H44" s="9">
        <v>82.896778332263494</v>
      </c>
      <c r="I44" s="9">
        <v>81.435076980561234</v>
      </c>
      <c r="J44" s="9">
        <v>139.84849501975151</v>
      </c>
      <c r="K44" s="9">
        <v>135.22233617123416</v>
      </c>
      <c r="L44" s="9">
        <v>115.4643452889573</v>
      </c>
      <c r="M44" s="9">
        <v>140.29217233857531</v>
      </c>
      <c r="N44" s="9">
        <v>120.91822925004335</v>
      </c>
      <c r="O44" s="9">
        <v>114.66828515822185</v>
      </c>
      <c r="P44" s="9">
        <v>113.79697473563215</v>
      </c>
      <c r="Q44" s="9">
        <v>131.97578389926679</v>
      </c>
      <c r="R44" s="9">
        <v>128.57822355389777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1960.4160925757033</v>
      </c>
      <c r="D2" s="78">
        <v>2186.5255960002505</v>
      </c>
      <c r="E2" s="78">
        <v>2240.6193748638689</v>
      </c>
      <c r="F2" s="78">
        <v>2806.2945410897446</v>
      </c>
      <c r="G2" s="78">
        <v>3006.2231207508066</v>
      </c>
      <c r="H2" s="78">
        <v>2004.4439844561725</v>
      </c>
      <c r="I2" s="78">
        <v>2304.0107029417759</v>
      </c>
      <c r="J2" s="78">
        <v>2524.7122856955698</v>
      </c>
      <c r="K2" s="78">
        <v>2743.4639690944819</v>
      </c>
      <c r="L2" s="78">
        <v>3449.9311342388314</v>
      </c>
      <c r="M2" s="78">
        <v>4490.9221128761446</v>
      </c>
      <c r="N2" s="78">
        <v>4147.7510370471082</v>
      </c>
      <c r="O2" s="78">
        <v>3668.7891996127405</v>
      </c>
      <c r="P2" s="78">
        <v>3656.4385618665042</v>
      </c>
      <c r="Q2" s="78">
        <v>3749.8438679631931</v>
      </c>
      <c r="R2" s="78">
        <v>4788.584257475507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1960.4160925757033</v>
      </c>
      <c r="D21" s="79">
        <v>2186.5255960002505</v>
      </c>
      <c r="E21" s="79">
        <v>2240.6193748638689</v>
      </c>
      <c r="F21" s="79">
        <v>2806.2945410897446</v>
      </c>
      <c r="G21" s="79">
        <v>3006.2231207508066</v>
      </c>
      <c r="H21" s="79">
        <v>2004.4439844561725</v>
      </c>
      <c r="I21" s="79">
        <v>2304.0107029417759</v>
      </c>
      <c r="J21" s="79">
        <v>2524.7122856955698</v>
      </c>
      <c r="K21" s="79">
        <v>2743.4639690944819</v>
      </c>
      <c r="L21" s="79">
        <v>3449.9311342388314</v>
      </c>
      <c r="M21" s="79">
        <v>4490.9221128761446</v>
      </c>
      <c r="N21" s="79">
        <v>4147.7510370471082</v>
      </c>
      <c r="O21" s="79">
        <v>3668.7891996127405</v>
      </c>
      <c r="P21" s="79">
        <v>3656.4385618665042</v>
      </c>
      <c r="Q21" s="79">
        <v>3749.8438679631931</v>
      </c>
      <c r="R21" s="79">
        <v>4788.584257475507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1960.4160925757033</v>
      </c>
      <c r="D30" s="8">
        <v>2186.5255960002505</v>
      </c>
      <c r="E30" s="8">
        <v>2240.6193748638689</v>
      </c>
      <c r="F30" s="8">
        <v>2806.2945410897446</v>
      </c>
      <c r="G30" s="8">
        <v>3006.2231207508066</v>
      </c>
      <c r="H30" s="8">
        <v>2004.4439844561725</v>
      </c>
      <c r="I30" s="8">
        <v>2304.0107029417759</v>
      </c>
      <c r="J30" s="8">
        <v>2524.7122856955698</v>
      </c>
      <c r="K30" s="8">
        <v>2743.4639690944819</v>
      </c>
      <c r="L30" s="8">
        <v>3449.9311342388314</v>
      </c>
      <c r="M30" s="8">
        <v>4490.9221128761446</v>
      </c>
      <c r="N30" s="8">
        <v>4147.7510370471082</v>
      </c>
      <c r="O30" s="8">
        <v>3668.7891996127405</v>
      </c>
      <c r="P30" s="8">
        <v>3656.4385618665042</v>
      </c>
      <c r="Q30" s="8">
        <v>3749.8438679631931</v>
      </c>
      <c r="R30" s="8">
        <v>4788.584257475507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380.32733482653441</v>
      </c>
      <c r="D43" s="9">
        <v>342.56792303656698</v>
      </c>
      <c r="E43" s="9">
        <v>424.23866126532408</v>
      </c>
      <c r="F43" s="9">
        <v>439.4758711074856</v>
      </c>
      <c r="G43" s="9">
        <v>550.11057842838329</v>
      </c>
      <c r="H43" s="9">
        <v>452.65276278843697</v>
      </c>
      <c r="I43" s="9">
        <v>555.81250520233687</v>
      </c>
      <c r="J43" s="9">
        <v>534.5254433553215</v>
      </c>
      <c r="K43" s="9">
        <v>674.44161262571561</v>
      </c>
      <c r="L43" s="9">
        <v>1076.3035236077881</v>
      </c>
      <c r="M43" s="9">
        <v>782.88628521471787</v>
      </c>
      <c r="N43" s="9">
        <v>683.50126629714941</v>
      </c>
      <c r="O43" s="9">
        <v>678.16948477096821</v>
      </c>
      <c r="P43" s="9">
        <v>534.91553660212264</v>
      </c>
      <c r="Q43" s="9">
        <v>566.00365186244881</v>
      </c>
      <c r="R43" s="9">
        <v>799.4824810294042</v>
      </c>
    </row>
    <row r="44" spans="1:18" ht="11.25" customHeight="1" x14ac:dyDescent="0.25">
      <c r="A44" s="59" t="s">
        <v>161</v>
      </c>
      <c r="B44" s="60" t="s">
        <v>160</v>
      </c>
      <c r="C44" s="9">
        <v>1580.088757749169</v>
      </c>
      <c r="D44" s="9">
        <v>1843.9576729636838</v>
      </c>
      <c r="E44" s="9">
        <v>1816.3807135985448</v>
      </c>
      <c r="F44" s="9">
        <v>2366.8186699822591</v>
      </c>
      <c r="G44" s="9">
        <v>2456.1125423224235</v>
      </c>
      <c r="H44" s="9">
        <v>1551.7912216677355</v>
      </c>
      <c r="I44" s="9">
        <v>1748.1981977394391</v>
      </c>
      <c r="J44" s="9">
        <v>1990.1868423402484</v>
      </c>
      <c r="K44" s="9">
        <v>2069.0223564687662</v>
      </c>
      <c r="L44" s="9">
        <v>2373.6276106310434</v>
      </c>
      <c r="M44" s="9">
        <v>3708.0358276614265</v>
      </c>
      <c r="N44" s="9">
        <v>3464.2497707499592</v>
      </c>
      <c r="O44" s="9">
        <v>2990.6197148417723</v>
      </c>
      <c r="P44" s="9">
        <v>3121.5230252643814</v>
      </c>
      <c r="Q44" s="9">
        <v>3183.8402161007443</v>
      </c>
      <c r="R44" s="9">
        <v>3989.101776446103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R107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57.140625" style="29" bestFit="1" customWidth="1"/>
    <col min="2" max="2" width="20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3" t="s">
        <v>105</v>
      </c>
      <c r="B1" s="2" t="s">
        <v>360</v>
      </c>
      <c r="C1" s="3">
        <v>2000</v>
      </c>
      <c r="D1" s="3">
        <v>2001</v>
      </c>
      <c r="E1" s="3">
        <v>2002</v>
      </c>
      <c r="F1" s="3">
        <v>2003</v>
      </c>
      <c r="G1" s="3">
        <v>2004</v>
      </c>
      <c r="H1" s="3">
        <v>2005</v>
      </c>
      <c r="I1" s="3">
        <v>2006</v>
      </c>
      <c r="J1" s="3">
        <v>2007</v>
      </c>
      <c r="K1" s="3">
        <v>2008</v>
      </c>
      <c r="L1" s="3">
        <v>2009</v>
      </c>
      <c r="M1" s="3">
        <v>2010</v>
      </c>
      <c r="N1" s="3">
        <v>2011</v>
      </c>
      <c r="O1" s="3">
        <v>2012</v>
      </c>
      <c r="P1" s="3">
        <v>2013</v>
      </c>
      <c r="Q1" s="3">
        <v>2014</v>
      </c>
      <c r="R1" s="3">
        <v>2015</v>
      </c>
    </row>
    <row r="2" spans="1:18" ht="11.25" customHeight="1" x14ac:dyDescent="0.25">
      <c r="A2" s="1"/>
      <c r="B2" s="30" t="s">
        <v>104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11.25" customHeight="1" x14ac:dyDescent="0.25">
      <c r="A3" s="31" t="s">
        <v>103</v>
      </c>
      <c r="B3" s="32" t="str">
        <f ca="1">HYPERLINK("#"&amp;CELL("address",TOTAL!$C$2),"TOTAL")</f>
        <v>TOTAL</v>
      </c>
      <c r="C3" s="33">
        <f>TOTAL!C$2</f>
        <v>2508.022417665763</v>
      </c>
      <c r="D3" s="33">
        <f>TOTAL!D$2</f>
        <v>2775.1639578458403</v>
      </c>
      <c r="E3" s="33">
        <f>TOTAL!E$2</f>
        <v>2594.4686877600006</v>
      </c>
      <c r="F3" s="33">
        <f>TOTAL!F$2</f>
        <v>2854.6638153611402</v>
      </c>
      <c r="G3" s="33">
        <f>TOTAL!G$2</f>
        <v>2911.5605912400001</v>
      </c>
      <c r="H3" s="33">
        <f>TOTAL!H$2</f>
        <v>2999.862879593582</v>
      </c>
      <c r="I3" s="33">
        <f>TOTAL!I$2</f>
        <v>2835.7911123185163</v>
      </c>
      <c r="J3" s="33">
        <f>TOTAL!J$2</f>
        <v>3028.7994246275043</v>
      </c>
      <c r="K3" s="33">
        <f>TOTAL!K$2</f>
        <v>2980.549758408732</v>
      </c>
      <c r="L3" s="33">
        <f>TOTAL!L$2</f>
        <v>2755.0383132445563</v>
      </c>
      <c r="M3" s="33">
        <f>TOTAL!M$2</f>
        <v>2887.6414000000018</v>
      </c>
      <c r="N3" s="33">
        <f>TOTAL!N$2</f>
        <v>2883.3959906225009</v>
      </c>
      <c r="O3" s="33">
        <f>TOTAL!O$2</f>
        <v>3010.517635436539</v>
      </c>
      <c r="P3" s="33">
        <f>TOTAL!P$2</f>
        <v>2688.1256999999987</v>
      </c>
      <c r="Q3" s="33">
        <f>TOTAL!Q$2</f>
        <v>2688.499010921194</v>
      </c>
      <c r="R3" s="33">
        <f>TOTAL!R$2</f>
        <v>1992.0624159019299</v>
      </c>
    </row>
    <row r="4" spans="1:18" ht="11.25" customHeight="1" x14ac:dyDescent="0.25">
      <c r="A4" s="34" t="s">
        <v>102</v>
      </c>
      <c r="B4" s="32" t="str">
        <f ca="1">HYPERLINK("#"&amp;CELL("address",TITOT!$C$2),"TITOT")</f>
        <v>TITOT</v>
      </c>
      <c r="C4" s="35">
        <f>TITOT!C$2</f>
        <v>1588.3098000000005</v>
      </c>
      <c r="D4" s="35">
        <f>TITOT!D$2</f>
        <v>1979.7555930276962</v>
      </c>
      <c r="E4" s="35">
        <f>TITOT!E$2</f>
        <v>1939.6560985200003</v>
      </c>
      <c r="F4" s="35">
        <f>TITOT!F$2</f>
        <v>2141.6453749162442</v>
      </c>
      <c r="G4" s="35">
        <f>TITOT!G$2</f>
        <v>2047.1366973600002</v>
      </c>
      <c r="H4" s="35">
        <f>TITOT!H$2</f>
        <v>2343.2700000000018</v>
      </c>
      <c r="I4" s="35">
        <f>TITOT!I$2</f>
        <v>2182.5164566800004</v>
      </c>
      <c r="J4" s="35">
        <f>TITOT!J$2</f>
        <v>2350.4037872400004</v>
      </c>
      <c r="K4" s="35">
        <f>TITOT!K$2</f>
        <v>1984.6143260282884</v>
      </c>
      <c r="L4" s="35">
        <f>TITOT!L$2</f>
        <v>1864.1002683600002</v>
      </c>
      <c r="M4" s="35">
        <f>TITOT!M$2</f>
        <v>1861.9989000000016</v>
      </c>
      <c r="N4" s="35">
        <f>TITOT!N$2</f>
        <v>1907.5358999999996</v>
      </c>
      <c r="O4" s="35">
        <f>TITOT!O$2</f>
        <v>2018.9919000000016</v>
      </c>
      <c r="P4" s="35">
        <f>TITOT!P$2</f>
        <v>1639.9253999999992</v>
      </c>
      <c r="Q4" s="35">
        <f>TITOT!Q$2</f>
        <v>1602.4121999999988</v>
      </c>
      <c r="R4" s="35">
        <f>TITOT!R$2</f>
        <v>850.11000000000047</v>
      </c>
    </row>
    <row r="5" spans="1:18" ht="11.25" customHeight="1" x14ac:dyDescent="0.25">
      <c r="A5" s="36" t="s">
        <v>101</v>
      </c>
      <c r="B5" s="32" t="str">
        <f ca="1">HYPERLINK("#"&amp;CELL("address",tipgt!$C$2),"tipgt")</f>
        <v>tipgt</v>
      </c>
      <c r="C5" s="37">
        <f>tipgt!C$2</f>
        <v>1588.3098000000005</v>
      </c>
      <c r="D5" s="37">
        <f>tipgt!D$2</f>
        <v>1979.7555930276962</v>
      </c>
      <c r="E5" s="37">
        <f>tipgt!E$2</f>
        <v>1939.6560985200003</v>
      </c>
      <c r="F5" s="37">
        <f>tipgt!F$2</f>
        <v>2141.6453749162442</v>
      </c>
      <c r="G5" s="37">
        <f>tipgt!G$2</f>
        <v>2047.1366973600002</v>
      </c>
      <c r="H5" s="37">
        <f>tipgt!H$2</f>
        <v>2343.2700000000018</v>
      </c>
      <c r="I5" s="37">
        <f>tipgt!I$2</f>
        <v>2182.5164566800004</v>
      </c>
      <c r="J5" s="37">
        <f>tipgt!J$2</f>
        <v>2350.4037872400004</v>
      </c>
      <c r="K5" s="37">
        <f>tipgt!K$2</f>
        <v>1984.6143260282884</v>
      </c>
      <c r="L5" s="37">
        <f>tipgt!L$2</f>
        <v>1864.1002683600002</v>
      </c>
      <c r="M5" s="37">
        <f>tipgt!M$2</f>
        <v>1861.9989000000016</v>
      </c>
      <c r="N5" s="37">
        <f>tipgt!N$2</f>
        <v>1907.5358999999996</v>
      </c>
      <c r="O5" s="37">
        <f>tipgt!O$2</f>
        <v>2018.9919000000016</v>
      </c>
      <c r="P5" s="37">
        <f>tipgt!P$2</f>
        <v>1639.9253999999992</v>
      </c>
      <c r="Q5" s="37">
        <f>tipgt!Q$2</f>
        <v>1602.4121999999988</v>
      </c>
      <c r="R5" s="37">
        <f>tipgt!R$2</f>
        <v>850.11000000000047</v>
      </c>
    </row>
    <row r="6" spans="1:18" ht="11.25" customHeight="1" x14ac:dyDescent="0.25">
      <c r="A6" s="38" t="s">
        <v>100</v>
      </c>
      <c r="B6" s="32" t="str">
        <f ca="1">HYPERLINK("#"&amp;CELL("address",tipgtele!$C$2),"tipgtele")</f>
        <v>tipgtele</v>
      </c>
      <c r="C6" s="39">
        <f>tipgtele!C$2</f>
        <v>1588.3098000000005</v>
      </c>
      <c r="D6" s="39">
        <f>tipgtele!D$2</f>
        <v>1979.7555930276962</v>
      </c>
      <c r="E6" s="39">
        <f>tipgtele!E$2</f>
        <v>1939.6560985200003</v>
      </c>
      <c r="F6" s="39">
        <f>tipgtele!F$2</f>
        <v>2141.6453749162442</v>
      </c>
      <c r="G6" s="39">
        <f>tipgtele!G$2</f>
        <v>2047.1366973600002</v>
      </c>
      <c r="H6" s="39">
        <f>tipgtele!H$2</f>
        <v>2343.2700000000018</v>
      </c>
      <c r="I6" s="39">
        <f>tipgtele!I$2</f>
        <v>2182.5164566800004</v>
      </c>
      <c r="J6" s="39">
        <f>tipgtele!J$2</f>
        <v>2350.4037872400004</v>
      </c>
      <c r="K6" s="39">
        <f>tipgtele!K$2</f>
        <v>1984.6143260282884</v>
      </c>
      <c r="L6" s="39">
        <f>tipgtele!L$2</f>
        <v>1864.1002683600002</v>
      </c>
      <c r="M6" s="39">
        <f>tipgtele!M$2</f>
        <v>1861.9989000000016</v>
      </c>
      <c r="N6" s="39">
        <f>tipgtele!N$2</f>
        <v>1907.5358999999996</v>
      </c>
      <c r="O6" s="39">
        <f>tipgtele!O$2</f>
        <v>2018.9919000000016</v>
      </c>
      <c r="P6" s="39">
        <f>tipgtele!P$2</f>
        <v>1639.9253999999992</v>
      </c>
      <c r="Q6" s="39">
        <f>tipgtele!Q$2</f>
        <v>1602.4121999999988</v>
      </c>
      <c r="R6" s="39">
        <f>tipgtele!R$2</f>
        <v>850.11000000000047</v>
      </c>
    </row>
    <row r="7" spans="1:18" ht="11.25" customHeight="1" x14ac:dyDescent="0.25">
      <c r="A7" s="38" t="s">
        <v>99</v>
      </c>
      <c r="B7" s="32" t="str">
        <f ca="1">HYPERLINK("#"&amp;CELL("address",tipgtchp!$C$2),"tipgtchp")</f>
        <v>tipgtchp</v>
      </c>
      <c r="C7" s="39">
        <f>tipgtchp!C$2</f>
        <v>0</v>
      </c>
      <c r="D7" s="39">
        <f>tipgtchp!D$2</f>
        <v>0</v>
      </c>
      <c r="E7" s="39">
        <f>tipgtchp!E$2</f>
        <v>0</v>
      </c>
      <c r="F7" s="39">
        <f>tipgtchp!F$2</f>
        <v>0</v>
      </c>
      <c r="G7" s="39">
        <f>tipgtchp!G$2</f>
        <v>0</v>
      </c>
      <c r="H7" s="39">
        <f>tipgtchp!H$2</f>
        <v>0</v>
      </c>
      <c r="I7" s="39">
        <f>tipgtchp!I$2</f>
        <v>0</v>
      </c>
      <c r="J7" s="39">
        <f>tipgtchp!J$2</f>
        <v>0</v>
      </c>
      <c r="K7" s="39">
        <f>tipgtchp!K$2</f>
        <v>0</v>
      </c>
      <c r="L7" s="39">
        <f>tipgtchp!L$2</f>
        <v>0</v>
      </c>
      <c r="M7" s="39">
        <f>tipgtchp!M$2</f>
        <v>0</v>
      </c>
      <c r="N7" s="39">
        <f>tipgtchp!N$2</f>
        <v>0</v>
      </c>
      <c r="O7" s="39">
        <f>tipgtchp!O$2</f>
        <v>0</v>
      </c>
      <c r="P7" s="39">
        <f>tipgtchp!P$2</f>
        <v>0</v>
      </c>
      <c r="Q7" s="39">
        <f>tipgtchp!Q$2</f>
        <v>0</v>
      </c>
      <c r="R7" s="39">
        <f>tipgtchp!R$2</f>
        <v>0</v>
      </c>
    </row>
    <row r="8" spans="1:18" ht="11.25" customHeight="1" x14ac:dyDescent="0.25">
      <c r="A8" s="36" t="s">
        <v>98</v>
      </c>
      <c r="B8" s="32" t="str">
        <f ca="1">HYPERLINK("#"&amp;CELL("address",tidh!$C$2),"tidh")</f>
        <v>tidh</v>
      </c>
      <c r="C8" s="37">
        <f>tidh!C$2</f>
        <v>0</v>
      </c>
      <c r="D8" s="37">
        <f>tidh!D$2</f>
        <v>0</v>
      </c>
      <c r="E8" s="37">
        <f>tidh!E$2</f>
        <v>0</v>
      </c>
      <c r="F8" s="37">
        <f>tidh!F$2</f>
        <v>0</v>
      </c>
      <c r="G8" s="37">
        <f>tidh!G$2</f>
        <v>0</v>
      </c>
      <c r="H8" s="37">
        <f>tidh!H$2</f>
        <v>0</v>
      </c>
      <c r="I8" s="37">
        <f>tidh!I$2</f>
        <v>0</v>
      </c>
      <c r="J8" s="37">
        <f>tidh!J$2</f>
        <v>0</v>
      </c>
      <c r="K8" s="37">
        <f>tidh!K$2</f>
        <v>0</v>
      </c>
      <c r="L8" s="37">
        <f>tidh!L$2</f>
        <v>0</v>
      </c>
      <c r="M8" s="37">
        <f>tidh!M$2</f>
        <v>0</v>
      </c>
      <c r="N8" s="37">
        <f>tidh!N$2</f>
        <v>0</v>
      </c>
      <c r="O8" s="37">
        <f>tidh!O$2</f>
        <v>0</v>
      </c>
      <c r="P8" s="37">
        <f>tidh!P$2</f>
        <v>0</v>
      </c>
      <c r="Q8" s="37">
        <f>tidh!Q$2</f>
        <v>0</v>
      </c>
      <c r="R8" s="37">
        <f>tidh!R$2</f>
        <v>0</v>
      </c>
    </row>
    <row r="9" spans="1:18" ht="11.25" customHeight="1" x14ac:dyDescent="0.25">
      <c r="A9" s="34" t="s">
        <v>97</v>
      </c>
      <c r="B9" s="32" t="str">
        <f ca="1">HYPERLINK("#"&amp;CELL("address",CEN!$C$2),"CEN")</f>
        <v>CEN</v>
      </c>
      <c r="C9" s="35">
        <f>CEN!C$2</f>
        <v>0</v>
      </c>
      <c r="D9" s="35">
        <f>CEN!D$2</f>
        <v>0</v>
      </c>
      <c r="E9" s="35">
        <f>CEN!E$2</f>
        <v>0</v>
      </c>
      <c r="F9" s="35">
        <f>CEN!F$2</f>
        <v>0</v>
      </c>
      <c r="G9" s="35">
        <f>CEN!G$2</f>
        <v>0</v>
      </c>
      <c r="H9" s="35">
        <f>CEN!H$2</f>
        <v>0</v>
      </c>
      <c r="I9" s="35">
        <f>CEN!I$2</f>
        <v>0</v>
      </c>
      <c r="J9" s="35">
        <f>CEN!J$2</f>
        <v>0</v>
      </c>
      <c r="K9" s="35">
        <f>CEN!K$2</f>
        <v>0</v>
      </c>
      <c r="L9" s="35">
        <f>CEN!L$2</f>
        <v>0</v>
      </c>
      <c r="M9" s="35">
        <f>CEN!M$2</f>
        <v>0</v>
      </c>
      <c r="N9" s="35">
        <f>CEN!N$2</f>
        <v>0</v>
      </c>
      <c r="O9" s="35">
        <f>CEN!O$2</f>
        <v>0</v>
      </c>
      <c r="P9" s="35">
        <f>CEN!P$2</f>
        <v>0</v>
      </c>
      <c r="Q9" s="35">
        <f>CEN!Q$2</f>
        <v>0</v>
      </c>
      <c r="R9" s="35">
        <f>CEN!R$2</f>
        <v>0</v>
      </c>
    </row>
    <row r="10" spans="1:18" ht="11.25" customHeight="1" x14ac:dyDescent="0.25">
      <c r="A10" s="36" t="s">
        <v>96</v>
      </c>
      <c r="B10" s="32" t="str">
        <f ca="1">HYPERLINK("#"&amp;CELL("address",cenrf!$C$2),"cenrf")</f>
        <v>cenrf</v>
      </c>
      <c r="C10" s="37">
        <f>cenrf!C$2</f>
        <v>0</v>
      </c>
      <c r="D10" s="37">
        <f>cenrf!D$2</f>
        <v>0</v>
      </c>
      <c r="E10" s="37">
        <f>cenrf!E$2</f>
        <v>0</v>
      </c>
      <c r="F10" s="37">
        <f>cenrf!F$2</f>
        <v>0</v>
      </c>
      <c r="G10" s="37">
        <f>cenrf!G$2</f>
        <v>0</v>
      </c>
      <c r="H10" s="37">
        <f>cenrf!H$2</f>
        <v>0</v>
      </c>
      <c r="I10" s="37">
        <f>cenrf!I$2</f>
        <v>0</v>
      </c>
      <c r="J10" s="37">
        <f>cenrf!J$2</f>
        <v>0</v>
      </c>
      <c r="K10" s="37">
        <f>cenrf!K$2</f>
        <v>0</v>
      </c>
      <c r="L10" s="37">
        <f>cenrf!L$2</f>
        <v>0</v>
      </c>
      <c r="M10" s="37">
        <f>cenrf!M$2</f>
        <v>0</v>
      </c>
      <c r="N10" s="37">
        <f>cenrf!N$2</f>
        <v>0</v>
      </c>
      <c r="O10" s="37">
        <f>cenrf!O$2</f>
        <v>0</v>
      </c>
      <c r="P10" s="37">
        <f>cenrf!P$2</f>
        <v>0</v>
      </c>
      <c r="Q10" s="37">
        <f>cenrf!Q$2</f>
        <v>0</v>
      </c>
      <c r="R10" s="37">
        <f>cenrf!R$2</f>
        <v>0</v>
      </c>
    </row>
    <row r="11" spans="1:18" ht="11.25" customHeight="1" x14ac:dyDescent="0.25">
      <c r="A11" s="36" t="s">
        <v>95</v>
      </c>
      <c r="B11" s="32" t="str">
        <f ca="1">HYPERLINK("#"&amp;CELL("address",cenog!$C$2),"cenog")</f>
        <v>cenog</v>
      </c>
      <c r="C11" s="37">
        <f>cenog!C$2</f>
        <v>0</v>
      </c>
      <c r="D11" s="37">
        <f>cenog!D$2</f>
        <v>0</v>
      </c>
      <c r="E11" s="37">
        <f>cenog!E$2</f>
        <v>0</v>
      </c>
      <c r="F11" s="37">
        <f>cenog!F$2</f>
        <v>0</v>
      </c>
      <c r="G11" s="37">
        <f>cenog!G$2</f>
        <v>0</v>
      </c>
      <c r="H11" s="37">
        <f>cenog!H$2</f>
        <v>0</v>
      </c>
      <c r="I11" s="37">
        <f>cenog!I$2</f>
        <v>0</v>
      </c>
      <c r="J11" s="37">
        <f>cenog!J$2</f>
        <v>0</v>
      </c>
      <c r="K11" s="37">
        <f>cenog!K$2</f>
        <v>0</v>
      </c>
      <c r="L11" s="37">
        <f>cenog!L$2</f>
        <v>0</v>
      </c>
      <c r="M11" s="37">
        <f>cenog!M$2</f>
        <v>0</v>
      </c>
      <c r="N11" s="37">
        <f>cenog!N$2</f>
        <v>0</v>
      </c>
      <c r="O11" s="37">
        <f>cenog!O$2</f>
        <v>0</v>
      </c>
      <c r="P11" s="37">
        <f>cenog!P$2</f>
        <v>0</v>
      </c>
      <c r="Q11" s="37">
        <f>cenog!Q$2</f>
        <v>0</v>
      </c>
      <c r="R11" s="37">
        <f>cenog!R$2</f>
        <v>0</v>
      </c>
    </row>
    <row r="12" spans="1:18" ht="11.25" customHeight="1" x14ac:dyDescent="0.25">
      <c r="A12" s="36" t="s">
        <v>94</v>
      </c>
      <c r="B12" s="32" t="str">
        <f ca="1">HYPERLINK("#"&amp;CELL("address",cennu!$C$2),"cennu")</f>
        <v>cennu</v>
      </c>
      <c r="C12" s="37">
        <f>cennu!C$2</f>
        <v>0</v>
      </c>
      <c r="D12" s="37">
        <f>cennu!D$2</f>
        <v>0</v>
      </c>
      <c r="E12" s="37">
        <f>cennu!E$2</f>
        <v>0</v>
      </c>
      <c r="F12" s="37">
        <f>cennu!F$2</f>
        <v>0</v>
      </c>
      <c r="G12" s="37">
        <f>cennu!G$2</f>
        <v>0</v>
      </c>
      <c r="H12" s="37">
        <f>cennu!H$2</f>
        <v>0</v>
      </c>
      <c r="I12" s="37">
        <f>cennu!I$2</f>
        <v>0</v>
      </c>
      <c r="J12" s="37">
        <f>cennu!J$2</f>
        <v>0</v>
      </c>
      <c r="K12" s="37">
        <f>cennu!K$2</f>
        <v>0</v>
      </c>
      <c r="L12" s="37">
        <f>cennu!L$2</f>
        <v>0</v>
      </c>
      <c r="M12" s="37">
        <f>cennu!M$2</f>
        <v>0</v>
      </c>
      <c r="N12" s="37">
        <f>cennu!N$2</f>
        <v>0</v>
      </c>
      <c r="O12" s="37">
        <f>cennu!O$2</f>
        <v>0</v>
      </c>
      <c r="P12" s="37">
        <f>cennu!P$2</f>
        <v>0</v>
      </c>
      <c r="Q12" s="37">
        <f>cennu!Q$2</f>
        <v>0</v>
      </c>
      <c r="R12" s="37">
        <f>cennu!R$2</f>
        <v>0</v>
      </c>
    </row>
    <row r="13" spans="1:18" ht="11.25" customHeight="1" x14ac:dyDescent="0.25">
      <c r="A13" s="36" t="s">
        <v>93</v>
      </c>
      <c r="B13" s="32" t="str">
        <f ca="1">HYPERLINK("#"&amp;CELL("address",cencm!$C$2),"cencm")</f>
        <v>cencm</v>
      </c>
      <c r="C13" s="37">
        <f>cencm!C$2</f>
        <v>0</v>
      </c>
      <c r="D13" s="37">
        <f>cencm!D$2</f>
        <v>0</v>
      </c>
      <c r="E13" s="37">
        <f>cencm!E$2</f>
        <v>0</v>
      </c>
      <c r="F13" s="37">
        <f>cencm!F$2</f>
        <v>0</v>
      </c>
      <c r="G13" s="37">
        <f>cencm!G$2</f>
        <v>0</v>
      </c>
      <c r="H13" s="37">
        <f>cencm!H$2</f>
        <v>0</v>
      </c>
      <c r="I13" s="37">
        <f>cencm!I$2</f>
        <v>0</v>
      </c>
      <c r="J13" s="37">
        <f>cencm!J$2</f>
        <v>0</v>
      </c>
      <c r="K13" s="37">
        <f>cencm!K$2</f>
        <v>0</v>
      </c>
      <c r="L13" s="37">
        <f>cencm!L$2</f>
        <v>0</v>
      </c>
      <c r="M13" s="37">
        <f>cencm!M$2</f>
        <v>0</v>
      </c>
      <c r="N13" s="37">
        <f>cencm!N$2</f>
        <v>0</v>
      </c>
      <c r="O13" s="37">
        <f>cencm!O$2</f>
        <v>0</v>
      </c>
      <c r="P13" s="37">
        <f>cencm!P$2</f>
        <v>0</v>
      </c>
      <c r="Q13" s="37">
        <f>cencm!Q$2</f>
        <v>0</v>
      </c>
      <c r="R13" s="37">
        <f>cencm!R$2</f>
        <v>0</v>
      </c>
    </row>
    <row r="14" spans="1:18" ht="11.25" customHeight="1" x14ac:dyDescent="0.25">
      <c r="A14" s="36" t="s">
        <v>92</v>
      </c>
      <c r="B14" s="32" t="str">
        <f ca="1">HYPERLINK("#"&amp;CELL("address",cenck!$C$2),"cenck")</f>
        <v>cenck</v>
      </c>
      <c r="C14" s="37">
        <f>cenck!C$2</f>
        <v>0</v>
      </c>
      <c r="D14" s="37">
        <f>cenck!D$2</f>
        <v>0</v>
      </c>
      <c r="E14" s="37">
        <f>cenck!E$2</f>
        <v>0</v>
      </c>
      <c r="F14" s="37">
        <f>cenck!F$2</f>
        <v>0</v>
      </c>
      <c r="G14" s="37">
        <f>cenck!G$2</f>
        <v>0</v>
      </c>
      <c r="H14" s="37">
        <f>cenck!H$2</f>
        <v>0</v>
      </c>
      <c r="I14" s="37">
        <f>cenck!I$2</f>
        <v>0</v>
      </c>
      <c r="J14" s="37">
        <f>cenck!J$2</f>
        <v>0</v>
      </c>
      <c r="K14" s="37">
        <f>cenck!K$2</f>
        <v>0</v>
      </c>
      <c r="L14" s="37">
        <f>cenck!L$2</f>
        <v>0</v>
      </c>
      <c r="M14" s="37">
        <f>cenck!M$2</f>
        <v>0</v>
      </c>
      <c r="N14" s="37">
        <f>cenck!N$2</f>
        <v>0</v>
      </c>
      <c r="O14" s="37">
        <f>cenck!O$2</f>
        <v>0</v>
      </c>
      <c r="P14" s="37">
        <f>cenck!P$2</f>
        <v>0</v>
      </c>
      <c r="Q14" s="37">
        <f>cenck!Q$2</f>
        <v>0</v>
      </c>
      <c r="R14" s="37">
        <f>cenck!R$2</f>
        <v>0</v>
      </c>
    </row>
    <row r="15" spans="1:18" ht="11.25" customHeight="1" x14ac:dyDescent="0.25">
      <c r="A15" s="36" t="s">
        <v>91</v>
      </c>
      <c r="B15" s="32" t="str">
        <f ca="1">HYPERLINK("#"&amp;CELL("address",cenbf!$C$2),"cenbf")</f>
        <v>cenbf</v>
      </c>
      <c r="C15" s="37">
        <f>cenbf!C$2</f>
        <v>0</v>
      </c>
      <c r="D15" s="37">
        <f>cenbf!D$2</f>
        <v>0</v>
      </c>
      <c r="E15" s="37">
        <f>cenbf!E$2</f>
        <v>0</v>
      </c>
      <c r="F15" s="37">
        <f>cenbf!F$2</f>
        <v>0</v>
      </c>
      <c r="G15" s="37">
        <f>cenbf!G$2</f>
        <v>0</v>
      </c>
      <c r="H15" s="37">
        <f>cenbf!H$2</f>
        <v>0</v>
      </c>
      <c r="I15" s="37">
        <f>cenbf!I$2</f>
        <v>0</v>
      </c>
      <c r="J15" s="37">
        <f>cenbf!J$2</f>
        <v>0</v>
      </c>
      <c r="K15" s="37">
        <f>cenbf!K$2</f>
        <v>0</v>
      </c>
      <c r="L15" s="37">
        <f>cenbf!L$2</f>
        <v>0</v>
      </c>
      <c r="M15" s="37">
        <f>cenbf!M$2</f>
        <v>0</v>
      </c>
      <c r="N15" s="37">
        <f>cenbf!N$2</f>
        <v>0</v>
      </c>
      <c r="O15" s="37">
        <f>cenbf!O$2</f>
        <v>0</v>
      </c>
      <c r="P15" s="37">
        <f>cenbf!P$2</f>
        <v>0</v>
      </c>
      <c r="Q15" s="37">
        <f>cenbf!Q$2</f>
        <v>0</v>
      </c>
      <c r="R15" s="37">
        <f>cenbf!R$2</f>
        <v>0</v>
      </c>
    </row>
    <row r="16" spans="1:18" ht="11.25" customHeight="1" x14ac:dyDescent="0.25">
      <c r="A16" s="36" t="s">
        <v>90</v>
      </c>
      <c r="B16" s="32" t="str">
        <f ca="1">HYPERLINK("#"&amp;CELL("address",cengw!$C$2),"cengw")</f>
        <v>cengw</v>
      </c>
      <c r="C16" s="37">
        <f>cengw!C$2</f>
        <v>0</v>
      </c>
      <c r="D16" s="37">
        <f>cengw!D$2</f>
        <v>0</v>
      </c>
      <c r="E16" s="37">
        <f>cengw!E$2</f>
        <v>0</v>
      </c>
      <c r="F16" s="37">
        <f>cengw!F$2</f>
        <v>0</v>
      </c>
      <c r="G16" s="37">
        <f>cengw!G$2</f>
        <v>0</v>
      </c>
      <c r="H16" s="37">
        <f>cengw!H$2</f>
        <v>0</v>
      </c>
      <c r="I16" s="37">
        <f>cengw!I$2</f>
        <v>0</v>
      </c>
      <c r="J16" s="37">
        <f>cengw!J$2</f>
        <v>0</v>
      </c>
      <c r="K16" s="37">
        <f>cengw!K$2</f>
        <v>0</v>
      </c>
      <c r="L16" s="37">
        <f>cengw!L$2</f>
        <v>0</v>
      </c>
      <c r="M16" s="37">
        <f>cengw!M$2</f>
        <v>0</v>
      </c>
      <c r="N16" s="37">
        <f>cengw!N$2</f>
        <v>0</v>
      </c>
      <c r="O16" s="37">
        <f>cengw!O$2</f>
        <v>0</v>
      </c>
      <c r="P16" s="37">
        <f>cengw!P$2</f>
        <v>0</v>
      </c>
      <c r="Q16" s="37">
        <f>cengw!Q$2</f>
        <v>0</v>
      </c>
      <c r="R16" s="37">
        <f>cengw!R$2</f>
        <v>0</v>
      </c>
    </row>
    <row r="17" spans="1:18" ht="11.25" customHeight="1" x14ac:dyDescent="0.25">
      <c r="A17" s="36" t="s">
        <v>89</v>
      </c>
      <c r="B17" s="32" t="str">
        <f ca="1">HYPERLINK("#"&amp;CELL("address",cenpf!$C$2),"cenpf")</f>
        <v>cenpf</v>
      </c>
      <c r="C17" s="37">
        <f>cenpf!C$2</f>
        <v>0</v>
      </c>
      <c r="D17" s="37">
        <f>cenpf!D$2</f>
        <v>0</v>
      </c>
      <c r="E17" s="37">
        <f>cenpf!E$2</f>
        <v>0</v>
      </c>
      <c r="F17" s="37">
        <f>cenpf!F$2</f>
        <v>0</v>
      </c>
      <c r="G17" s="37">
        <f>cenpf!G$2</f>
        <v>0</v>
      </c>
      <c r="H17" s="37">
        <f>cenpf!H$2</f>
        <v>0</v>
      </c>
      <c r="I17" s="37">
        <f>cenpf!I$2</f>
        <v>0</v>
      </c>
      <c r="J17" s="37">
        <f>cenpf!J$2</f>
        <v>0</v>
      </c>
      <c r="K17" s="37">
        <f>cenpf!K$2</f>
        <v>0</v>
      </c>
      <c r="L17" s="37">
        <f>cenpf!L$2</f>
        <v>0</v>
      </c>
      <c r="M17" s="37">
        <f>cenpf!M$2</f>
        <v>0</v>
      </c>
      <c r="N17" s="37">
        <f>cenpf!N$2</f>
        <v>0</v>
      </c>
      <c r="O17" s="37">
        <f>cenpf!O$2</f>
        <v>0</v>
      </c>
      <c r="P17" s="37">
        <f>cenpf!P$2</f>
        <v>0</v>
      </c>
      <c r="Q17" s="37">
        <f>cenpf!Q$2</f>
        <v>0</v>
      </c>
      <c r="R17" s="37">
        <f>cenpf!R$2</f>
        <v>0</v>
      </c>
    </row>
    <row r="18" spans="1:18" ht="11.25" customHeight="1" x14ac:dyDescent="0.25">
      <c r="A18" s="36" t="s">
        <v>88</v>
      </c>
      <c r="B18" s="32" t="str">
        <f ca="1">HYPERLINK("#"&amp;CELL("address",cenbr!$C$2),"cenbr")</f>
        <v>cenbr</v>
      </c>
      <c r="C18" s="37">
        <f>cenbr!C$2</f>
        <v>0</v>
      </c>
      <c r="D18" s="37">
        <f>cenbr!D$2</f>
        <v>0</v>
      </c>
      <c r="E18" s="37">
        <f>cenbr!E$2</f>
        <v>0</v>
      </c>
      <c r="F18" s="37">
        <f>cenbr!F$2</f>
        <v>0</v>
      </c>
      <c r="G18" s="37">
        <f>cenbr!G$2</f>
        <v>0</v>
      </c>
      <c r="H18" s="37">
        <f>cenbr!H$2</f>
        <v>0</v>
      </c>
      <c r="I18" s="37">
        <f>cenbr!I$2</f>
        <v>0</v>
      </c>
      <c r="J18" s="37">
        <f>cenbr!J$2</f>
        <v>0</v>
      </c>
      <c r="K18" s="37">
        <f>cenbr!K$2</f>
        <v>0</v>
      </c>
      <c r="L18" s="37">
        <f>cenbr!L$2</f>
        <v>0</v>
      </c>
      <c r="M18" s="37">
        <f>cenbr!M$2</f>
        <v>0</v>
      </c>
      <c r="N18" s="37">
        <f>cenbr!N$2</f>
        <v>0</v>
      </c>
      <c r="O18" s="37">
        <f>cenbr!O$2</f>
        <v>0</v>
      </c>
      <c r="P18" s="37">
        <f>cenbr!P$2</f>
        <v>0</v>
      </c>
      <c r="Q18" s="37">
        <f>cenbr!Q$2</f>
        <v>0</v>
      </c>
      <c r="R18" s="37">
        <f>cenbr!R$2</f>
        <v>0</v>
      </c>
    </row>
    <row r="19" spans="1:18" ht="11.25" customHeight="1" x14ac:dyDescent="0.25">
      <c r="A19" s="36" t="s">
        <v>87</v>
      </c>
      <c r="B19" s="32" t="str">
        <f ca="1">HYPERLINK("#"&amp;CELL("address",cench!$C$2),"cench")</f>
        <v>cench</v>
      </c>
      <c r="C19" s="37">
        <f>cench!C$2</f>
        <v>0</v>
      </c>
      <c r="D19" s="37">
        <f>cench!D$2</f>
        <v>0</v>
      </c>
      <c r="E19" s="37">
        <f>cench!E$2</f>
        <v>0</v>
      </c>
      <c r="F19" s="37">
        <f>cench!F$2</f>
        <v>0</v>
      </c>
      <c r="G19" s="37">
        <f>cench!G$2</f>
        <v>0</v>
      </c>
      <c r="H19" s="37">
        <f>cench!H$2</f>
        <v>0</v>
      </c>
      <c r="I19" s="37">
        <f>cench!I$2</f>
        <v>0</v>
      </c>
      <c r="J19" s="37">
        <f>cench!J$2</f>
        <v>0</v>
      </c>
      <c r="K19" s="37">
        <f>cench!K$2</f>
        <v>0</v>
      </c>
      <c r="L19" s="37">
        <f>cench!L$2</f>
        <v>0</v>
      </c>
      <c r="M19" s="37">
        <f>cench!M$2</f>
        <v>0</v>
      </c>
      <c r="N19" s="37">
        <f>cench!N$2</f>
        <v>0</v>
      </c>
      <c r="O19" s="37">
        <f>cench!O$2</f>
        <v>0</v>
      </c>
      <c r="P19" s="37">
        <f>cench!P$2</f>
        <v>0</v>
      </c>
      <c r="Q19" s="37">
        <f>cench!Q$2</f>
        <v>0</v>
      </c>
      <c r="R19" s="37">
        <f>cench!R$2</f>
        <v>0</v>
      </c>
    </row>
    <row r="20" spans="1:18" ht="11.25" customHeight="1" x14ac:dyDescent="0.25">
      <c r="A20" s="36" t="s">
        <v>86</v>
      </c>
      <c r="B20" s="32" t="str">
        <f ca="1">HYPERLINK("#"&amp;CELL("address",cencl!$C$2),"cencl")</f>
        <v>cencl</v>
      </c>
      <c r="C20" s="37">
        <f>cencl!C$2</f>
        <v>0</v>
      </c>
      <c r="D20" s="37">
        <f>cencl!D$2</f>
        <v>0</v>
      </c>
      <c r="E20" s="37">
        <f>cencl!E$2</f>
        <v>0</v>
      </c>
      <c r="F20" s="37">
        <f>cencl!F$2</f>
        <v>0</v>
      </c>
      <c r="G20" s="37">
        <f>cencl!G$2</f>
        <v>0</v>
      </c>
      <c r="H20" s="37">
        <f>cencl!H$2</f>
        <v>0</v>
      </c>
      <c r="I20" s="37">
        <f>cencl!I$2</f>
        <v>0</v>
      </c>
      <c r="J20" s="37">
        <f>cencl!J$2</f>
        <v>0</v>
      </c>
      <c r="K20" s="37">
        <f>cencl!K$2</f>
        <v>0</v>
      </c>
      <c r="L20" s="37">
        <f>cencl!L$2</f>
        <v>0</v>
      </c>
      <c r="M20" s="37">
        <f>cencl!M$2</f>
        <v>0</v>
      </c>
      <c r="N20" s="37">
        <f>cencl!N$2</f>
        <v>0</v>
      </c>
      <c r="O20" s="37">
        <f>cencl!O$2</f>
        <v>0</v>
      </c>
      <c r="P20" s="37">
        <f>cencl!P$2</f>
        <v>0</v>
      </c>
      <c r="Q20" s="37">
        <f>cencl!Q$2</f>
        <v>0</v>
      </c>
      <c r="R20" s="37">
        <f>cencl!R$2</f>
        <v>0</v>
      </c>
    </row>
    <row r="21" spans="1:18" ht="11.25" customHeight="1" x14ac:dyDescent="0.25">
      <c r="A21" s="36" t="s">
        <v>85</v>
      </c>
      <c r="B21" s="32" t="str">
        <f ca="1">HYPERLINK("#"&amp;CELL("address",cenlr!$C$2),"cenlr")</f>
        <v>cenlr</v>
      </c>
      <c r="C21" s="37">
        <f>cenlr!C$2</f>
        <v>0</v>
      </c>
      <c r="D21" s="37">
        <f>cenlr!D$2</f>
        <v>0</v>
      </c>
      <c r="E21" s="37">
        <f>cenlr!E$2</f>
        <v>0</v>
      </c>
      <c r="F21" s="37">
        <f>cenlr!F$2</f>
        <v>0</v>
      </c>
      <c r="G21" s="37">
        <f>cenlr!G$2</f>
        <v>0</v>
      </c>
      <c r="H21" s="37">
        <f>cenlr!H$2</f>
        <v>0</v>
      </c>
      <c r="I21" s="37">
        <f>cenlr!I$2</f>
        <v>0</v>
      </c>
      <c r="J21" s="37">
        <f>cenlr!J$2</f>
        <v>0</v>
      </c>
      <c r="K21" s="37">
        <f>cenlr!K$2</f>
        <v>0</v>
      </c>
      <c r="L21" s="37">
        <f>cenlr!L$2</f>
        <v>0</v>
      </c>
      <c r="M21" s="37">
        <f>cenlr!M$2</f>
        <v>0</v>
      </c>
      <c r="N21" s="37">
        <f>cenlr!N$2</f>
        <v>0</v>
      </c>
      <c r="O21" s="37">
        <f>cenlr!O$2</f>
        <v>0</v>
      </c>
      <c r="P21" s="37">
        <f>cenlr!P$2</f>
        <v>0</v>
      </c>
      <c r="Q21" s="37">
        <f>cenlr!Q$2</f>
        <v>0</v>
      </c>
      <c r="R21" s="37">
        <f>cenlr!R$2</f>
        <v>0</v>
      </c>
    </row>
    <row r="22" spans="1:18" ht="11.25" customHeight="1" x14ac:dyDescent="0.25">
      <c r="A22" s="36" t="s">
        <v>84</v>
      </c>
      <c r="B22" s="32" t="str">
        <f ca="1">HYPERLINK("#"&amp;CELL("address",cenbg!$C$2),"cenbg")</f>
        <v>cenbg</v>
      </c>
      <c r="C22" s="37">
        <f>cenbg!C$2</f>
        <v>0</v>
      </c>
      <c r="D22" s="37">
        <f>cenbg!D$2</f>
        <v>0</v>
      </c>
      <c r="E22" s="37">
        <f>cenbg!E$2</f>
        <v>0</v>
      </c>
      <c r="F22" s="37">
        <f>cenbg!F$2</f>
        <v>0</v>
      </c>
      <c r="G22" s="37">
        <f>cenbg!G$2</f>
        <v>0</v>
      </c>
      <c r="H22" s="37">
        <f>cenbg!H$2</f>
        <v>0</v>
      </c>
      <c r="I22" s="37">
        <f>cenbg!I$2</f>
        <v>0</v>
      </c>
      <c r="J22" s="37">
        <f>cenbg!J$2</f>
        <v>0</v>
      </c>
      <c r="K22" s="37">
        <f>cenbg!K$2</f>
        <v>0</v>
      </c>
      <c r="L22" s="37">
        <f>cenbg!L$2</f>
        <v>0</v>
      </c>
      <c r="M22" s="37">
        <f>cenbg!M$2</f>
        <v>0</v>
      </c>
      <c r="N22" s="37">
        <f>cenbg!N$2</f>
        <v>0</v>
      </c>
      <c r="O22" s="37">
        <f>cenbg!O$2</f>
        <v>0</v>
      </c>
      <c r="P22" s="37">
        <f>cenbg!P$2</f>
        <v>0</v>
      </c>
      <c r="Q22" s="37">
        <f>cenbg!Q$2</f>
        <v>0</v>
      </c>
      <c r="R22" s="37">
        <f>cenbg!R$2</f>
        <v>0</v>
      </c>
    </row>
    <row r="23" spans="1:18" ht="11.25" customHeight="1" x14ac:dyDescent="0.25">
      <c r="A23" s="36" t="s">
        <v>83</v>
      </c>
      <c r="B23" s="32" t="str">
        <f ca="1">HYPERLINK("#"&amp;CELL("address",cengl!$C$2),"cengl")</f>
        <v>cengl</v>
      </c>
      <c r="C23" s="37">
        <f>cengl!C$2</f>
        <v>0</v>
      </c>
      <c r="D23" s="37">
        <f>cengl!D$2</f>
        <v>0</v>
      </c>
      <c r="E23" s="37">
        <f>cengl!E$2</f>
        <v>0</v>
      </c>
      <c r="F23" s="37">
        <f>cengl!F$2</f>
        <v>0</v>
      </c>
      <c r="G23" s="37">
        <f>cengl!G$2</f>
        <v>0</v>
      </c>
      <c r="H23" s="37">
        <f>cengl!H$2</f>
        <v>0</v>
      </c>
      <c r="I23" s="37">
        <f>cengl!I$2</f>
        <v>0</v>
      </c>
      <c r="J23" s="37">
        <f>cengl!J$2</f>
        <v>0</v>
      </c>
      <c r="K23" s="37">
        <f>cengl!K$2</f>
        <v>0</v>
      </c>
      <c r="L23" s="37">
        <f>cengl!L$2</f>
        <v>0</v>
      </c>
      <c r="M23" s="37">
        <f>cengl!M$2</f>
        <v>0</v>
      </c>
      <c r="N23" s="37">
        <f>cengl!N$2</f>
        <v>0</v>
      </c>
      <c r="O23" s="37">
        <f>cengl!O$2</f>
        <v>0</v>
      </c>
      <c r="P23" s="37">
        <f>cengl!P$2</f>
        <v>0</v>
      </c>
      <c r="Q23" s="37">
        <f>cengl!Q$2</f>
        <v>0</v>
      </c>
      <c r="R23" s="37">
        <f>cengl!R$2</f>
        <v>0</v>
      </c>
    </row>
    <row r="24" spans="1:18" ht="11.25" customHeight="1" x14ac:dyDescent="0.25">
      <c r="A24" s="36" t="s">
        <v>82</v>
      </c>
      <c r="B24" s="32" t="str">
        <f ca="1">HYPERLINK("#"&amp;CELL("address",cenns!$C$2),"cenns")</f>
        <v>cenns</v>
      </c>
      <c r="C24" s="37">
        <f>cenns!C$2</f>
        <v>0</v>
      </c>
      <c r="D24" s="37">
        <f>cenns!D$2</f>
        <v>0</v>
      </c>
      <c r="E24" s="37">
        <f>cenns!E$2</f>
        <v>0</v>
      </c>
      <c r="F24" s="37">
        <f>cenns!F$2</f>
        <v>0</v>
      </c>
      <c r="G24" s="37">
        <f>cenns!G$2</f>
        <v>0</v>
      </c>
      <c r="H24" s="37">
        <f>cenns!H$2</f>
        <v>0</v>
      </c>
      <c r="I24" s="37">
        <f>cenns!I$2</f>
        <v>0</v>
      </c>
      <c r="J24" s="37">
        <f>cenns!J$2</f>
        <v>0</v>
      </c>
      <c r="K24" s="37">
        <f>cenns!K$2</f>
        <v>0</v>
      </c>
      <c r="L24" s="37">
        <f>cenns!L$2</f>
        <v>0</v>
      </c>
      <c r="M24" s="37">
        <f>cenns!M$2</f>
        <v>0</v>
      </c>
      <c r="N24" s="37">
        <f>cenns!N$2</f>
        <v>0</v>
      </c>
      <c r="O24" s="37">
        <f>cenns!O$2</f>
        <v>0</v>
      </c>
      <c r="P24" s="37">
        <f>cenns!P$2</f>
        <v>0</v>
      </c>
      <c r="Q24" s="37">
        <f>cenns!Q$2</f>
        <v>0</v>
      </c>
      <c r="R24" s="37">
        <f>cenns!R$2</f>
        <v>0</v>
      </c>
    </row>
    <row r="25" spans="1:18" ht="11.25" customHeight="1" x14ac:dyDescent="0.25">
      <c r="A25" s="34" t="s">
        <v>81</v>
      </c>
      <c r="B25" s="32" t="str">
        <f ca="1">HYPERLINK("#"&amp;CELL("address",CF!$C$2),"CF")</f>
        <v>CF</v>
      </c>
      <c r="C25" s="35">
        <f>CF!C$2</f>
        <v>919.71261766576254</v>
      </c>
      <c r="D25" s="35">
        <f>CF!D$2</f>
        <v>795.40836481814404</v>
      </c>
      <c r="E25" s="35">
        <f>CF!E$2</f>
        <v>654.81258924000008</v>
      </c>
      <c r="F25" s="35">
        <f>CF!F$2</f>
        <v>713.0184404448961</v>
      </c>
      <c r="G25" s="35">
        <f>CF!G$2</f>
        <v>864.42389388000004</v>
      </c>
      <c r="H25" s="35">
        <f>CF!H$2</f>
        <v>656.59287959358039</v>
      </c>
      <c r="I25" s="35">
        <f>CF!I$2</f>
        <v>653.27465563851592</v>
      </c>
      <c r="J25" s="35">
        <f>CF!J$2</f>
        <v>678.39563738750394</v>
      </c>
      <c r="K25" s="35">
        <f>CF!K$2</f>
        <v>995.93543238044379</v>
      </c>
      <c r="L25" s="35">
        <f>CF!L$2</f>
        <v>890.93804488455612</v>
      </c>
      <c r="M25" s="35">
        <f>CF!M$2</f>
        <v>1025.6425000000002</v>
      </c>
      <c r="N25" s="35">
        <f>CF!N$2</f>
        <v>975.86009062250105</v>
      </c>
      <c r="O25" s="35">
        <f>CF!O$2</f>
        <v>991.52573543653739</v>
      </c>
      <c r="P25" s="35">
        <f>CF!P$2</f>
        <v>1048.2002999999995</v>
      </c>
      <c r="Q25" s="35">
        <f>CF!Q$2</f>
        <v>1086.0868109211949</v>
      </c>
      <c r="R25" s="35">
        <f>CF!R$2</f>
        <v>1141.9524159019293</v>
      </c>
    </row>
    <row r="26" spans="1:18" ht="11.25" customHeight="1" x14ac:dyDescent="0.25">
      <c r="A26" s="36" t="s">
        <v>80</v>
      </c>
      <c r="B26" s="32" t="str">
        <f ca="1">HYPERLINK("#"&amp;CELL("address",CIN!$C$2),"CIN")</f>
        <v>CIN</v>
      </c>
      <c r="C26" s="37">
        <f>CIN!C$2</f>
        <v>0</v>
      </c>
      <c r="D26" s="37">
        <f>CIN!D$2</f>
        <v>0</v>
      </c>
      <c r="E26" s="37">
        <f>CIN!E$2</f>
        <v>0</v>
      </c>
      <c r="F26" s="37">
        <f>CIN!F$2</f>
        <v>0</v>
      </c>
      <c r="G26" s="37">
        <f>CIN!G$2</f>
        <v>0</v>
      </c>
      <c r="H26" s="37">
        <f>CIN!H$2</f>
        <v>0</v>
      </c>
      <c r="I26" s="37">
        <f>CIN!I$2</f>
        <v>0</v>
      </c>
      <c r="J26" s="37">
        <f>CIN!J$2</f>
        <v>0</v>
      </c>
      <c r="K26" s="37">
        <f>CIN!K$2</f>
        <v>0</v>
      </c>
      <c r="L26" s="37">
        <f>CIN!L$2</f>
        <v>94.43836175749199</v>
      </c>
      <c r="M26" s="37">
        <f>CIN!M$2</f>
        <v>30.753799999999973</v>
      </c>
      <c r="N26" s="37">
        <f>CIN!N$2</f>
        <v>15.274251899467094</v>
      </c>
      <c r="O26" s="37">
        <f>CIN!O$2</f>
        <v>27.748043162297812</v>
      </c>
      <c r="P26" s="37">
        <f>CIN!P$2</f>
        <v>24.653452043627631</v>
      </c>
      <c r="Q26" s="37">
        <f>CIN!Q$2</f>
        <v>30.90876623511241</v>
      </c>
      <c r="R26" s="37">
        <f>CIN!R$2</f>
        <v>30.949492776709974</v>
      </c>
    </row>
    <row r="27" spans="1:18" ht="11.25" customHeight="1" x14ac:dyDescent="0.25">
      <c r="A27" s="38" t="s">
        <v>79</v>
      </c>
      <c r="B27" s="32" t="str">
        <f ca="1">HYPERLINK("#"&amp;CELL("address",cisi!$C$2),"cisi")</f>
        <v>cisi</v>
      </c>
      <c r="C27" s="39">
        <f>cisi!C$2</f>
        <v>0</v>
      </c>
      <c r="D27" s="39">
        <f>cisi!D$2</f>
        <v>0</v>
      </c>
      <c r="E27" s="39">
        <f>cisi!E$2</f>
        <v>0</v>
      </c>
      <c r="F27" s="39">
        <f>cisi!F$2</f>
        <v>0</v>
      </c>
      <c r="G27" s="39">
        <f>cisi!G$2</f>
        <v>0</v>
      </c>
      <c r="H27" s="39">
        <f>cisi!H$2</f>
        <v>0</v>
      </c>
      <c r="I27" s="39">
        <f>cisi!I$2</f>
        <v>0</v>
      </c>
      <c r="J27" s="39">
        <f>cisi!J$2</f>
        <v>0</v>
      </c>
      <c r="K27" s="39">
        <f>cisi!K$2</f>
        <v>0</v>
      </c>
      <c r="L27" s="39">
        <f>cisi!L$2</f>
        <v>0</v>
      </c>
      <c r="M27" s="39">
        <f>cisi!M$2</f>
        <v>0</v>
      </c>
      <c r="N27" s="39">
        <f>cisi!N$2</f>
        <v>0</v>
      </c>
      <c r="O27" s="39">
        <f>cisi!O$2</f>
        <v>0</v>
      </c>
      <c r="P27" s="39">
        <f>cisi!P$2</f>
        <v>0</v>
      </c>
      <c r="Q27" s="39">
        <f>cisi!Q$2</f>
        <v>0</v>
      </c>
      <c r="R27" s="39">
        <f>cisi!R$2</f>
        <v>0</v>
      </c>
    </row>
    <row r="28" spans="1:18" ht="11.25" customHeight="1" x14ac:dyDescent="0.25">
      <c r="A28" s="40" t="s">
        <v>78</v>
      </c>
      <c r="B28" s="32" t="str">
        <f ca="1">HYPERLINK("#"&amp;CELL("address",cisb!$C$2),"cisb")</f>
        <v>cisb</v>
      </c>
      <c r="C28" s="41">
        <f>cisb!C$2</f>
        <v>0</v>
      </c>
      <c r="D28" s="41">
        <f>cisb!D$2</f>
        <v>0</v>
      </c>
      <c r="E28" s="41">
        <f>cisb!E$2</f>
        <v>0</v>
      </c>
      <c r="F28" s="41">
        <f>cisb!F$2</f>
        <v>0</v>
      </c>
      <c r="G28" s="41">
        <f>cisb!G$2</f>
        <v>0</v>
      </c>
      <c r="H28" s="41">
        <f>cisb!H$2</f>
        <v>0</v>
      </c>
      <c r="I28" s="41">
        <f>cisb!I$2</f>
        <v>0</v>
      </c>
      <c r="J28" s="41">
        <f>cisb!J$2</f>
        <v>0</v>
      </c>
      <c r="K28" s="41">
        <f>cisb!K$2</f>
        <v>0</v>
      </c>
      <c r="L28" s="41">
        <f>cisb!L$2</f>
        <v>0</v>
      </c>
      <c r="M28" s="41">
        <f>cisb!M$2</f>
        <v>0</v>
      </c>
      <c r="N28" s="41">
        <f>cisb!N$2</f>
        <v>0</v>
      </c>
      <c r="O28" s="41">
        <f>cisb!O$2</f>
        <v>0</v>
      </c>
      <c r="P28" s="41">
        <f>cisb!P$2</f>
        <v>0</v>
      </c>
      <c r="Q28" s="41">
        <f>cisb!Q$2</f>
        <v>0</v>
      </c>
      <c r="R28" s="41">
        <f>cisb!R$2</f>
        <v>0</v>
      </c>
    </row>
    <row r="29" spans="1:18" ht="11.25" customHeight="1" x14ac:dyDescent="0.25">
      <c r="A29" s="40" t="s">
        <v>77</v>
      </c>
      <c r="B29" s="32" t="str">
        <f ca="1">HYPERLINK("#"&amp;CELL("address",cise!$C$2),"cise")</f>
        <v>cise</v>
      </c>
      <c r="C29" s="41">
        <f>cise!C$2</f>
        <v>0</v>
      </c>
      <c r="D29" s="41">
        <f>cise!D$2</f>
        <v>0</v>
      </c>
      <c r="E29" s="41">
        <f>cise!E$2</f>
        <v>0</v>
      </c>
      <c r="F29" s="41">
        <f>cise!F$2</f>
        <v>0</v>
      </c>
      <c r="G29" s="41">
        <f>cise!G$2</f>
        <v>0</v>
      </c>
      <c r="H29" s="41">
        <f>cise!H$2</f>
        <v>0</v>
      </c>
      <c r="I29" s="41">
        <f>cise!I$2</f>
        <v>0</v>
      </c>
      <c r="J29" s="41">
        <f>cise!J$2</f>
        <v>0</v>
      </c>
      <c r="K29" s="41">
        <f>cise!K$2</f>
        <v>0</v>
      </c>
      <c r="L29" s="41">
        <f>cise!L$2</f>
        <v>0</v>
      </c>
      <c r="M29" s="41">
        <f>cise!M$2</f>
        <v>0</v>
      </c>
      <c r="N29" s="41">
        <f>cise!N$2</f>
        <v>0</v>
      </c>
      <c r="O29" s="41">
        <f>cise!O$2</f>
        <v>0</v>
      </c>
      <c r="P29" s="41">
        <f>cise!P$2</f>
        <v>0</v>
      </c>
      <c r="Q29" s="41">
        <f>cise!Q$2</f>
        <v>0</v>
      </c>
      <c r="R29" s="41">
        <f>cise!R$2</f>
        <v>0</v>
      </c>
    </row>
    <row r="30" spans="1:18" ht="11.25" customHeight="1" x14ac:dyDescent="0.25">
      <c r="A30" s="38" t="s">
        <v>76</v>
      </c>
      <c r="B30" s="32" t="str">
        <f ca="1">HYPERLINK("#"&amp;CELL("address",cnfm!$C$2),"cnfm")</f>
        <v>cnfm</v>
      </c>
      <c r="C30" s="39">
        <f>cnfm!C$2</f>
        <v>0</v>
      </c>
      <c r="D30" s="39">
        <f>cnfm!D$2</f>
        <v>0</v>
      </c>
      <c r="E30" s="39">
        <f>cnfm!E$2</f>
        <v>0</v>
      </c>
      <c r="F30" s="39">
        <f>cnfm!F$2</f>
        <v>0</v>
      </c>
      <c r="G30" s="39">
        <f>cnfm!G$2</f>
        <v>0</v>
      </c>
      <c r="H30" s="39">
        <f>cnfm!H$2</f>
        <v>0</v>
      </c>
      <c r="I30" s="39">
        <f>cnfm!I$2</f>
        <v>0</v>
      </c>
      <c r="J30" s="39">
        <f>cnfm!J$2</f>
        <v>0</v>
      </c>
      <c r="K30" s="39">
        <f>cnfm!K$2</f>
        <v>0</v>
      </c>
      <c r="L30" s="39">
        <f>cnfm!L$2</f>
        <v>0</v>
      </c>
      <c r="M30" s="39">
        <f>cnfm!M$2</f>
        <v>0</v>
      </c>
      <c r="N30" s="39">
        <f>cnfm!N$2</f>
        <v>0</v>
      </c>
      <c r="O30" s="39">
        <f>cnfm!O$2</f>
        <v>0</v>
      </c>
      <c r="P30" s="39">
        <f>cnfm!P$2</f>
        <v>0</v>
      </c>
      <c r="Q30" s="39">
        <f>cnfm!Q$2</f>
        <v>0</v>
      </c>
      <c r="R30" s="39">
        <f>cnfm!R$2</f>
        <v>0</v>
      </c>
    </row>
    <row r="31" spans="1:18" ht="11.25" customHeight="1" x14ac:dyDescent="0.25">
      <c r="A31" s="42" t="s">
        <v>75</v>
      </c>
      <c r="B31" s="32" t="str">
        <f ca="1">HYPERLINK("#"&amp;CELL("address",cnfa!$C$2),"cnfa")</f>
        <v>cnfa</v>
      </c>
      <c r="C31" s="41">
        <f>cnfa!C$2</f>
        <v>0</v>
      </c>
      <c r="D31" s="41">
        <f>cnfa!D$2</f>
        <v>0</v>
      </c>
      <c r="E31" s="41">
        <f>cnfa!E$2</f>
        <v>0</v>
      </c>
      <c r="F31" s="41">
        <f>cnfa!F$2</f>
        <v>0</v>
      </c>
      <c r="G31" s="41">
        <f>cnfa!G$2</f>
        <v>0</v>
      </c>
      <c r="H31" s="41">
        <f>cnfa!H$2</f>
        <v>0</v>
      </c>
      <c r="I31" s="41">
        <f>cnfa!I$2</f>
        <v>0</v>
      </c>
      <c r="J31" s="41">
        <f>cnfa!J$2</f>
        <v>0</v>
      </c>
      <c r="K31" s="41">
        <f>cnfa!K$2</f>
        <v>0</v>
      </c>
      <c r="L31" s="41">
        <f>cnfa!L$2</f>
        <v>0</v>
      </c>
      <c r="M31" s="41">
        <f>cnfa!M$2</f>
        <v>0</v>
      </c>
      <c r="N31" s="41">
        <f>cnfa!N$2</f>
        <v>0</v>
      </c>
      <c r="O31" s="41">
        <f>cnfa!O$2</f>
        <v>0</v>
      </c>
      <c r="P31" s="41">
        <f>cnfa!P$2</f>
        <v>0</v>
      </c>
      <c r="Q31" s="41">
        <f>cnfa!Q$2</f>
        <v>0</v>
      </c>
      <c r="R31" s="41">
        <f>cnfa!R$2</f>
        <v>0</v>
      </c>
    </row>
    <row r="32" spans="1:18" ht="11.25" customHeight="1" x14ac:dyDescent="0.25">
      <c r="A32" s="42" t="s">
        <v>74</v>
      </c>
      <c r="B32" s="32" t="str">
        <f ca="1">HYPERLINK("#"&amp;CELL("address",cnfp!$C$2),"cnfp")</f>
        <v>cnfp</v>
      </c>
      <c r="C32" s="41">
        <f>cnfp!C$2</f>
        <v>0</v>
      </c>
      <c r="D32" s="41">
        <f>cnfp!D$2</f>
        <v>0</v>
      </c>
      <c r="E32" s="41">
        <f>cnfp!E$2</f>
        <v>0</v>
      </c>
      <c r="F32" s="41">
        <f>cnfp!F$2</f>
        <v>0</v>
      </c>
      <c r="G32" s="41">
        <f>cnfp!G$2</f>
        <v>0</v>
      </c>
      <c r="H32" s="41">
        <f>cnfp!H$2</f>
        <v>0</v>
      </c>
      <c r="I32" s="41">
        <f>cnfp!I$2</f>
        <v>0</v>
      </c>
      <c r="J32" s="41">
        <f>cnfp!J$2</f>
        <v>0</v>
      </c>
      <c r="K32" s="41">
        <f>cnfp!K$2</f>
        <v>0</v>
      </c>
      <c r="L32" s="41">
        <f>cnfp!L$2</f>
        <v>0</v>
      </c>
      <c r="M32" s="41">
        <f>cnfp!M$2</f>
        <v>0</v>
      </c>
      <c r="N32" s="41">
        <f>cnfp!N$2</f>
        <v>0</v>
      </c>
      <c r="O32" s="41">
        <f>cnfp!O$2</f>
        <v>0</v>
      </c>
      <c r="P32" s="41">
        <f>cnfp!P$2</f>
        <v>0</v>
      </c>
      <c r="Q32" s="41">
        <f>cnfp!Q$2</f>
        <v>0</v>
      </c>
      <c r="R32" s="41">
        <f>cnfp!R$2</f>
        <v>0</v>
      </c>
    </row>
    <row r="33" spans="1:18" ht="11.25" customHeight="1" x14ac:dyDescent="0.25">
      <c r="A33" s="42" t="s">
        <v>73</v>
      </c>
      <c r="B33" s="32" t="str">
        <f ca="1">HYPERLINK("#"&amp;CELL("address",cnfs!$C$2),"cnfs")</f>
        <v>cnfs</v>
      </c>
      <c r="C33" s="41">
        <f>cnfs!C$2</f>
        <v>0</v>
      </c>
      <c r="D33" s="41">
        <f>cnfs!D$2</f>
        <v>0</v>
      </c>
      <c r="E33" s="41">
        <f>cnfs!E$2</f>
        <v>0</v>
      </c>
      <c r="F33" s="41">
        <f>cnfs!F$2</f>
        <v>0</v>
      </c>
      <c r="G33" s="41">
        <f>cnfs!G$2</f>
        <v>0</v>
      </c>
      <c r="H33" s="41">
        <f>cnfs!H$2</f>
        <v>0</v>
      </c>
      <c r="I33" s="41">
        <f>cnfs!I$2</f>
        <v>0</v>
      </c>
      <c r="J33" s="41">
        <f>cnfs!J$2</f>
        <v>0</v>
      </c>
      <c r="K33" s="41">
        <f>cnfs!K$2</f>
        <v>0</v>
      </c>
      <c r="L33" s="41">
        <f>cnfs!L$2</f>
        <v>0</v>
      </c>
      <c r="M33" s="41">
        <f>cnfs!M$2</f>
        <v>0</v>
      </c>
      <c r="N33" s="41">
        <f>cnfs!N$2</f>
        <v>0</v>
      </c>
      <c r="O33" s="41">
        <f>cnfs!O$2</f>
        <v>0</v>
      </c>
      <c r="P33" s="41">
        <f>cnfs!P$2</f>
        <v>0</v>
      </c>
      <c r="Q33" s="41">
        <f>cnfs!Q$2</f>
        <v>0</v>
      </c>
      <c r="R33" s="41">
        <f>cnfs!R$2</f>
        <v>0</v>
      </c>
    </row>
    <row r="34" spans="1:18" ht="11.25" customHeight="1" x14ac:dyDescent="0.25">
      <c r="A34" s="42" t="s">
        <v>72</v>
      </c>
      <c r="B34" s="32" t="str">
        <f ca="1">HYPERLINK("#"&amp;CELL("address",cnfo!$C$2),"cnfo")</f>
        <v>cnfo</v>
      </c>
      <c r="C34" s="41">
        <f>cnfo!C$2</f>
        <v>0</v>
      </c>
      <c r="D34" s="41">
        <f>cnfo!D$2</f>
        <v>0</v>
      </c>
      <c r="E34" s="41">
        <f>cnfo!E$2</f>
        <v>0</v>
      </c>
      <c r="F34" s="41">
        <f>cnfo!F$2</f>
        <v>0</v>
      </c>
      <c r="G34" s="41">
        <f>cnfo!G$2</f>
        <v>0</v>
      </c>
      <c r="H34" s="41">
        <f>cnfo!H$2</f>
        <v>0</v>
      </c>
      <c r="I34" s="41">
        <f>cnfo!I$2</f>
        <v>0</v>
      </c>
      <c r="J34" s="41">
        <f>cnfo!J$2</f>
        <v>0</v>
      </c>
      <c r="K34" s="41">
        <f>cnfo!K$2</f>
        <v>0</v>
      </c>
      <c r="L34" s="41">
        <f>cnfo!L$2</f>
        <v>0</v>
      </c>
      <c r="M34" s="41">
        <f>cnfo!M$2</f>
        <v>0</v>
      </c>
      <c r="N34" s="41">
        <f>cnfo!N$2</f>
        <v>0</v>
      </c>
      <c r="O34" s="41">
        <f>cnfo!O$2</f>
        <v>0</v>
      </c>
      <c r="P34" s="41">
        <f>cnfo!P$2</f>
        <v>0</v>
      </c>
      <c r="Q34" s="41">
        <f>cnfo!Q$2</f>
        <v>0</v>
      </c>
      <c r="R34" s="41">
        <f>cnfo!R$2</f>
        <v>0</v>
      </c>
    </row>
    <row r="35" spans="1:18" ht="11.25" customHeight="1" x14ac:dyDescent="0.25">
      <c r="A35" s="38" t="s">
        <v>71</v>
      </c>
      <c r="B35" s="32" t="str">
        <f ca="1">HYPERLINK("#"&amp;CELL("address",cchi!$C$2),"cchi")</f>
        <v>cchi</v>
      </c>
      <c r="C35" s="39">
        <f>cchi!C$2</f>
        <v>0</v>
      </c>
      <c r="D35" s="39">
        <f>cchi!D$2</f>
        <v>0</v>
      </c>
      <c r="E35" s="39">
        <f>cchi!E$2</f>
        <v>0</v>
      </c>
      <c r="F35" s="39">
        <f>cchi!F$2</f>
        <v>0</v>
      </c>
      <c r="G35" s="39">
        <f>cchi!G$2</f>
        <v>0</v>
      </c>
      <c r="H35" s="39">
        <f>cchi!H$2</f>
        <v>0</v>
      </c>
      <c r="I35" s="39">
        <f>cchi!I$2</f>
        <v>0</v>
      </c>
      <c r="J35" s="39">
        <f>cchi!J$2</f>
        <v>0</v>
      </c>
      <c r="K35" s="39">
        <f>cchi!K$2</f>
        <v>0</v>
      </c>
      <c r="L35" s="39">
        <f>cchi!L$2</f>
        <v>0</v>
      </c>
      <c r="M35" s="39">
        <f>cchi!M$2</f>
        <v>0</v>
      </c>
      <c r="N35" s="39">
        <f>cchi!N$2</f>
        <v>0</v>
      </c>
      <c r="O35" s="39">
        <f>cchi!O$2</f>
        <v>0</v>
      </c>
      <c r="P35" s="39">
        <f>cchi!P$2</f>
        <v>0</v>
      </c>
      <c r="Q35" s="39">
        <f>cchi!Q$2</f>
        <v>0</v>
      </c>
      <c r="R35" s="39">
        <f>cchi!R$2</f>
        <v>0</v>
      </c>
    </row>
    <row r="36" spans="1:18" ht="11.25" customHeight="1" x14ac:dyDescent="0.25">
      <c r="A36" s="42" t="s">
        <v>70</v>
      </c>
      <c r="B36" s="32" t="str">
        <f ca="1">HYPERLINK("#"&amp;CELL("address",cbch!$C$2),"cbch")</f>
        <v>cbch</v>
      </c>
      <c r="C36" s="41">
        <f>cbch!C$2</f>
        <v>0</v>
      </c>
      <c r="D36" s="41">
        <f>cbch!D$2</f>
        <v>0</v>
      </c>
      <c r="E36" s="41">
        <f>cbch!E$2</f>
        <v>0</v>
      </c>
      <c r="F36" s="41">
        <f>cbch!F$2</f>
        <v>0</v>
      </c>
      <c r="G36" s="41">
        <f>cbch!G$2</f>
        <v>0</v>
      </c>
      <c r="H36" s="41">
        <f>cbch!H$2</f>
        <v>0</v>
      </c>
      <c r="I36" s="41">
        <f>cbch!I$2</f>
        <v>0</v>
      </c>
      <c r="J36" s="41">
        <f>cbch!J$2</f>
        <v>0</v>
      </c>
      <c r="K36" s="41">
        <f>cbch!K$2</f>
        <v>0</v>
      </c>
      <c r="L36" s="41">
        <f>cbch!L$2</f>
        <v>0</v>
      </c>
      <c r="M36" s="41">
        <f>cbch!M$2</f>
        <v>0</v>
      </c>
      <c r="N36" s="41">
        <f>cbch!N$2</f>
        <v>0</v>
      </c>
      <c r="O36" s="41">
        <f>cbch!O$2</f>
        <v>0</v>
      </c>
      <c r="P36" s="41">
        <f>cbch!P$2</f>
        <v>0</v>
      </c>
      <c r="Q36" s="41">
        <f>cbch!Q$2</f>
        <v>0</v>
      </c>
      <c r="R36" s="41">
        <f>cbch!R$2</f>
        <v>0</v>
      </c>
    </row>
    <row r="37" spans="1:18" ht="11.25" customHeight="1" x14ac:dyDescent="0.25">
      <c r="A37" s="42" t="s">
        <v>69</v>
      </c>
      <c r="B37" s="32" t="str">
        <f ca="1">HYPERLINK("#"&amp;CELL("address",coch!$C$2),"coch")</f>
        <v>coch</v>
      </c>
      <c r="C37" s="41">
        <f>coch!C$2</f>
        <v>0</v>
      </c>
      <c r="D37" s="41">
        <f>coch!D$2</f>
        <v>0</v>
      </c>
      <c r="E37" s="41">
        <f>coch!E$2</f>
        <v>0</v>
      </c>
      <c r="F37" s="41">
        <f>coch!F$2</f>
        <v>0</v>
      </c>
      <c r="G37" s="41">
        <f>coch!G$2</f>
        <v>0</v>
      </c>
      <c r="H37" s="41">
        <f>coch!H$2</f>
        <v>0</v>
      </c>
      <c r="I37" s="41">
        <f>coch!I$2</f>
        <v>0</v>
      </c>
      <c r="J37" s="41">
        <f>coch!J$2</f>
        <v>0</v>
      </c>
      <c r="K37" s="41">
        <f>coch!K$2</f>
        <v>0</v>
      </c>
      <c r="L37" s="41">
        <f>coch!L$2</f>
        <v>0</v>
      </c>
      <c r="M37" s="41">
        <f>coch!M$2</f>
        <v>0</v>
      </c>
      <c r="N37" s="41">
        <f>coch!N$2</f>
        <v>0</v>
      </c>
      <c r="O37" s="41">
        <f>coch!O$2</f>
        <v>0</v>
      </c>
      <c r="P37" s="41">
        <f>coch!P$2</f>
        <v>0</v>
      </c>
      <c r="Q37" s="41">
        <f>coch!Q$2</f>
        <v>0</v>
      </c>
      <c r="R37" s="41">
        <f>coch!R$2</f>
        <v>0</v>
      </c>
    </row>
    <row r="38" spans="1:18" ht="11.25" customHeight="1" x14ac:dyDescent="0.25">
      <c r="A38" s="42" t="s">
        <v>68</v>
      </c>
      <c r="B38" s="32" t="str">
        <f ca="1">HYPERLINK("#"&amp;CELL("address",cpha!$C$2),"cpha")</f>
        <v>cpha</v>
      </c>
      <c r="C38" s="41">
        <f>cprp!C$2</f>
        <v>0</v>
      </c>
      <c r="D38" s="41">
        <f>cprp!D$2</f>
        <v>0</v>
      </c>
      <c r="E38" s="41">
        <f>cprp!E$2</f>
        <v>0</v>
      </c>
      <c r="F38" s="41">
        <f>cprp!F$2</f>
        <v>0</v>
      </c>
      <c r="G38" s="41">
        <f>cprp!G$2</f>
        <v>0</v>
      </c>
      <c r="H38" s="41">
        <f>cprp!H$2</f>
        <v>0</v>
      </c>
      <c r="I38" s="41">
        <f>cprp!I$2</f>
        <v>0</v>
      </c>
      <c r="J38" s="41">
        <f>cprp!J$2</f>
        <v>0</v>
      </c>
      <c r="K38" s="41">
        <f>cprp!K$2</f>
        <v>0</v>
      </c>
      <c r="L38" s="41">
        <f>cprp!L$2</f>
        <v>0</v>
      </c>
      <c r="M38" s="41">
        <f>cprp!M$2</f>
        <v>0</v>
      </c>
      <c r="N38" s="41">
        <f>cprp!N$2</f>
        <v>0</v>
      </c>
      <c r="O38" s="41">
        <f>cprp!O$2</f>
        <v>0</v>
      </c>
      <c r="P38" s="41">
        <f>cprp!P$2</f>
        <v>0</v>
      </c>
      <c r="Q38" s="41">
        <f>cprp!Q$2</f>
        <v>0</v>
      </c>
      <c r="R38" s="41">
        <f>cprp!R$2</f>
        <v>0</v>
      </c>
    </row>
    <row r="39" spans="1:18" ht="11.25" customHeight="1" x14ac:dyDescent="0.25">
      <c r="A39" s="38" t="s">
        <v>67</v>
      </c>
      <c r="B39" s="32" t="str">
        <f ca="1">HYPERLINK("#"&amp;CELL("address",cnmm!$C$2),"cnmm")</f>
        <v>cnmm</v>
      </c>
      <c r="C39" s="39">
        <f>cnmm!C$2</f>
        <v>0</v>
      </c>
      <c r="D39" s="39">
        <f>cnmm!D$2</f>
        <v>0</v>
      </c>
      <c r="E39" s="39">
        <f>cnmm!E$2</f>
        <v>0</v>
      </c>
      <c r="F39" s="39">
        <f>cnmm!F$2</f>
        <v>0</v>
      </c>
      <c r="G39" s="39">
        <f>cnmm!G$2</f>
        <v>0</v>
      </c>
      <c r="H39" s="39">
        <f>cnmm!H$2</f>
        <v>0</v>
      </c>
      <c r="I39" s="39">
        <f>cnmm!I$2</f>
        <v>0</v>
      </c>
      <c r="J39" s="39">
        <f>cnmm!J$2</f>
        <v>0</v>
      </c>
      <c r="K39" s="39">
        <f>cnmm!K$2</f>
        <v>0</v>
      </c>
      <c r="L39" s="39">
        <f>cnmm!L$2</f>
        <v>0</v>
      </c>
      <c r="M39" s="39">
        <f>cnmm!M$2</f>
        <v>0</v>
      </c>
      <c r="N39" s="39">
        <f>cnmm!N$2</f>
        <v>0</v>
      </c>
      <c r="O39" s="39">
        <f>cnmm!O$2</f>
        <v>0</v>
      </c>
      <c r="P39" s="39">
        <f>cnmm!P$2</f>
        <v>0</v>
      </c>
      <c r="Q39" s="39">
        <f>cnmm!Q$2</f>
        <v>0</v>
      </c>
      <c r="R39" s="39">
        <f>cnmm!R$2</f>
        <v>0</v>
      </c>
    </row>
    <row r="40" spans="1:18" ht="11.25" customHeight="1" x14ac:dyDescent="0.25">
      <c r="A40" s="42" t="s">
        <v>66</v>
      </c>
      <c r="B40" s="32" t="str">
        <f ca="1">HYPERLINK("#"&amp;CELL("address",ccem!$C$2),"ccem")</f>
        <v>ccem</v>
      </c>
      <c r="C40" s="41">
        <f>ccem!C$2</f>
        <v>0</v>
      </c>
      <c r="D40" s="41">
        <f>ccem!D$2</f>
        <v>0</v>
      </c>
      <c r="E40" s="41">
        <f>ccem!E$2</f>
        <v>0</v>
      </c>
      <c r="F40" s="41">
        <f>ccem!F$2</f>
        <v>0</v>
      </c>
      <c r="G40" s="41">
        <f>ccem!G$2</f>
        <v>0</v>
      </c>
      <c r="H40" s="41">
        <f>ccem!H$2</f>
        <v>0</v>
      </c>
      <c r="I40" s="41">
        <f>ccem!I$2</f>
        <v>0</v>
      </c>
      <c r="J40" s="41">
        <f>ccem!J$2</f>
        <v>0</v>
      </c>
      <c r="K40" s="41">
        <f>ccem!K$2</f>
        <v>0</v>
      </c>
      <c r="L40" s="41">
        <f>ccem!L$2</f>
        <v>0</v>
      </c>
      <c r="M40" s="41">
        <f>ccem!M$2</f>
        <v>0</v>
      </c>
      <c r="N40" s="41">
        <f>ccem!N$2</f>
        <v>0</v>
      </c>
      <c r="O40" s="41">
        <f>ccem!O$2</f>
        <v>0</v>
      </c>
      <c r="P40" s="41">
        <f>ccem!P$2</f>
        <v>0</v>
      </c>
      <c r="Q40" s="41">
        <f>ccem!Q$2</f>
        <v>0</v>
      </c>
      <c r="R40" s="41">
        <f>ccem!R$2</f>
        <v>0</v>
      </c>
    </row>
    <row r="41" spans="1:18" ht="11.25" customHeight="1" x14ac:dyDescent="0.25">
      <c r="A41" s="42" t="s">
        <v>65</v>
      </c>
      <c r="B41" s="32" t="str">
        <f ca="1">HYPERLINK("#"&amp;CELL("address",ccer!$C$2),"ccer")</f>
        <v>ccer</v>
      </c>
      <c r="C41" s="41">
        <f>ccer!C$2</f>
        <v>0</v>
      </c>
      <c r="D41" s="41">
        <f>ccer!D$2</f>
        <v>0</v>
      </c>
      <c r="E41" s="41">
        <f>ccer!E$2</f>
        <v>0</v>
      </c>
      <c r="F41" s="41">
        <f>ccer!F$2</f>
        <v>0</v>
      </c>
      <c r="G41" s="41">
        <f>ccer!G$2</f>
        <v>0</v>
      </c>
      <c r="H41" s="41">
        <f>ccer!H$2</f>
        <v>0</v>
      </c>
      <c r="I41" s="41">
        <f>ccer!I$2</f>
        <v>0</v>
      </c>
      <c r="J41" s="41">
        <f>ccer!J$2</f>
        <v>0</v>
      </c>
      <c r="K41" s="41">
        <f>ccer!K$2</f>
        <v>0</v>
      </c>
      <c r="L41" s="41">
        <f>ccer!L$2</f>
        <v>0</v>
      </c>
      <c r="M41" s="41">
        <f>ccer!M$2</f>
        <v>0</v>
      </c>
      <c r="N41" s="41">
        <f>ccer!N$2</f>
        <v>0</v>
      </c>
      <c r="O41" s="41">
        <f>ccer!O$2</f>
        <v>0</v>
      </c>
      <c r="P41" s="41">
        <f>ccer!P$2</f>
        <v>0</v>
      </c>
      <c r="Q41" s="41">
        <f>ccer!Q$2</f>
        <v>0</v>
      </c>
      <c r="R41" s="41">
        <f>ccer!R$2</f>
        <v>0</v>
      </c>
    </row>
    <row r="42" spans="1:18" ht="11.25" customHeight="1" x14ac:dyDescent="0.25">
      <c r="A42" s="42" t="s">
        <v>64</v>
      </c>
      <c r="B42" s="32" t="str">
        <f ca="1">HYPERLINK("#"&amp;CELL("address",cgla!$C$2),"cgla")</f>
        <v>cgla</v>
      </c>
      <c r="C42" s="41">
        <f>cgla!C$2</f>
        <v>0</v>
      </c>
      <c r="D42" s="41">
        <f>cgla!D$2</f>
        <v>0</v>
      </c>
      <c r="E42" s="41">
        <f>cgla!E$2</f>
        <v>0</v>
      </c>
      <c r="F42" s="41">
        <f>cgla!F$2</f>
        <v>0</v>
      </c>
      <c r="G42" s="41">
        <f>cgla!G$2</f>
        <v>0</v>
      </c>
      <c r="H42" s="41">
        <f>cgla!H$2</f>
        <v>0</v>
      </c>
      <c r="I42" s="41">
        <f>cgla!I$2</f>
        <v>0</v>
      </c>
      <c r="J42" s="41">
        <f>cgla!J$2</f>
        <v>0</v>
      </c>
      <c r="K42" s="41">
        <f>cgla!K$2</f>
        <v>0</v>
      </c>
      <c r="L42" s="41">
        <f>cgla!L$2</f>
        <v>0</v>
      </c>
      <c r="M42" s="41">
        <f>cgla!M$2</f>
        <v>0</v>
      </c>
      <c r="N42" s="41">
        <f>cgla!N$2</f>
        <v>0</v>
      </c>
      <c r="O42" s="41">
        <f>cgla!O$2</f>
        <v>0</v>
      </c>
      <c r="P42" s="41">
        <f>cgla!P$2</f>
        <v>0</v>
      </c>
      <c r="Q42" s="41">
        <f>cgla!Q$2</f>
        <v>0</v>
      </c>
      <c r="R42" s="41">
        <f>cgla!R$2</f>
        <v>0</v>
      </c>
    </row>
    <row r="43" spans="1:18" ht="11.25" customHeight="1" x14ac:dyDescent="0.25">
      <c r="A43" s="38" t="s">
        <v>63</v>
      </c>
      <c r="B43" s="32" t="str">
        <f ca="1">HYPERLINK("#"&amp;CELL("address",cppa!$C$2),"cppa")</f>
        <v>cppa</v>
      </c>
      <c r="C43" s="39">
        <f>cppa!C$2</f>
        <v>0</v>
      </c>
      <c r="D43" s="39">
        <f>cppa!D$2</f>
        <v>0</v>
      </c>
      <c r="E43" s="39">
        <f>cppa!E$2</f>
        <v>0</v>
      </c>
      <c r="F43" s="39">
        <f>cppa!F$2</f>
        <v>0</v>
      </c>
      <c r="G43" s="39">
        <f>cppa!G$2</f>
        <v>0</v>
      </c>
      <c r="H43" s="39">
        <f>cppa!H$2</f>
        <v>0</v>
      </c>
      <c r="I43" s="39">
        <f>cppa!I$2</f>
        <v>0</v>
      </c>
      <c r="J43" s="39">
        <f>cppa!J$2</f>
        <v>0</v>
      </c>
      <c r="K43" s="39">
        <f>cppa!K$2</f>
        <v>0</v>
      </c>
      <c r="L43" s="39">
        <f>cppa!L$2</f>
        <v>0</v>
      </c>
      <c r="M43" s="39">
        <f>cppa!M$2</f>
        <v>0</v>
      </c>
      <c r="N43" s="39">
        <f>cppa!N$2</f>
        <v>0</v>
      </c>
      <c r="O43" s="39">
        <f>cppa!O$2</f>
        <v>0</v>
      </c>
      <c r="P43" s="39">
        <f>cppa!P$2</f>
        <v>0</v>
      </c>
      <c r="Q43" s="39">
        <f>cppa!Q$2</f>
        <v>0</v>
      </c>
      <c r="R43" s="39">
        <f>cppa!R$2</f>
        <v>0</v>
      </c>
    </row>
    <row r="44" spans="1:18" ht="11.25" customHeight="1" x14ac:dyDescent="0.25">
      <c r="A44" s="42" t="s">
        <v>62</v>
      </c>
      <c r="B44" s="32" t="str">
        <f ca="1">HYPERLINK("#"&amp;CELL("address",cpul!$C$2),"cpul")</f>
        <v>cpul</v>
      </c>
      <c r="C44" s="41">
        <f>cpul!C$2</f>
        <v>0</v>
      </c>
      <c r="D44" s="41">
        <f>cpul!D$2</f>
        <v>0</v>
      </c>
      <c r="E44" s="41">
        <f>cpul!E$2</f>
        <v>0</v>
      </c>
      <c r="F44" s="41">
        <f>cpul!F$2</f>
        <v>0</v>
      </c>
      <c r="G44" s="41">
        <f>cpul!G$2</f>
        <v>0</v>
      </c>
      <c r="H44" s="41">
        <f>cpul!H$2</f>
        <v>0</v>
      </c>
      <c r="I44" s="41">
        <f>cpul!I$2</f>
        <v>0</v>
      </c>
      <c r="J44" s="41">
        <f>cpul!J$2</f>
        <v>0</v>
      </c>
      <c r="K44" s="41">
        <f>cpul!K$2</f>
        <v>0</v>
      </c>
      <c r="L44" s="41">
        <f>cpul!L$2</f>
        <v>0</v>
      </c>
      <c r="M44" s="41">
        <f>cpul!M$2</f>
        <v>0</v>
      </c>
      <c r="N44" s="41">
        <f>cpul!N$2</f>
        <v>0</v>
      </c>
      <c r="O44" s="41">
        <f>cpul!O$2</f>
        <v>0</v>
      </c>
      <c r="P44" s="41">
        <f>cpul!P$2</f>
        <v>0</v>
      </c>
      <c r="Q44" s="41">
        <f>cpul!Q$2</f>
        <v>0</v>
      </c>
      <c r="R44" s="41">
        <f>cpul!R$2</f>
        <v>0</v>
      </c>
    </row>
    <row r="45" spans="1:18" ht="11.25" customHeight="1" x14ac:dyDescent="0.25">
      <c r="A45" s="42" t="s">
        <v>61</v>
      </c>
      <c r="B45" s="32" t="str">
        <f ca="1">HYPERLINK("#"&amp;CELL("address",cpap!$C$2),"cpap")</f>
        <v>cpap</v>
      </c>
      <c r="C45" s="41">
        <f>cpap!C$2</f>
        <v>0</v>
      </c>
      <c r="D45" s="41">
        <f>cpap!D$2</f>
        <v>0</v>
      </c>
      <c r="E45" s="41">
        <f>cpap!E$2</f>
        <v>0</v>
      </c>
      <c r="F45" s="41">
        <f>cpap!F$2</f>
        <v>0</v>
      </c>
      <c r="G45" s="41">
        <f>cpap!G$2</f>
        <v>0</v>
      </c>
      <c r="H45" s="41">
        <f>cpap!H$2</f>
        <v>0</v>
      </c>
      <c r="I45" s="41">
        <f>cpap!I$2</f>
        <v>0</v>
      </c>
      <c r="J45" s="41">
        <f>cpap!J$2</f>
        <v>0</v>
      </c>
      <c r="K45" s="41">
        <f>cpap!K$2</f>
        <v>0</v>
      </c>
      <c r="L45" s="41">
        <f>cpap!L$2</f>
        <v>0</v>
      </c>
      <c r="M45" s="41">
        <f>cpap!M$2</f>
        <v>0</v>
      </c>
      <c r="N45" s="41">
        <f>cpap!N$2</f>
        <v>0</v>
      </c>
      <c r="O45" s="41">
        <f>cpap!O$2</f>
        <v>0</v>
      </c>
      <c r="P45" s="41">
        <f>cpap!P$2</f>
        <v>0</v>
      </c>
      <c r="Q45" s="41">
        <f>cpap!Q$2</f>
        <v>0</v>
      </c>
      <c r="R45" s="41">
        <f>cpap!R$2</f>
        <v>0</v>
      </c>
    </row>
    <row r="46" spans="1:18" ht="11.25" customHeight="1" x14ac:dyDescent="0.25">
      <c r="A46" s="42" t="s">
        <v>60</v>
      </c>
      <c r="B46" s="32" t="str">
        <f ca="1">HYPERLINK("#"&amp;CELL("address",cprp!$C$2),"cprp")</f>
        <v>cprp</v>
      </c>
      <c r="C46" s="41">
        <f>cprp!C$2</f>
        <v>0</v>
      </c>
      <c r="D46" s="41">
        <f>cprp!D$2</f>
        <v>0</v>
      </c>
      <c r="E46" s="41">
        <f>cprp!E$2</f>
        <v>0</v>
      </c>
      <c r="F46" s="41">
        <f>cprp!F$2</f>
        <v>0</v>
      </c>
      <c r="G46" s="41">
        <f>cprp!G$2</f>
        <v>0</v>
      </c>
      <c r="H46" s="41">
        <f>cprp!H$2</f>
        <v>0</v>
      </c>
      <c r="I46" s="41">
        <f>cprp!I$2</f>
        <v>0</v>
      </c>
      <c r="J46" s="41">
        <f>cprp!J$2</f>
        <v>0</v>
      </c>
      <c r="K46" s="41">
        <f>cprp!K$2</f>
        <v>0</v>
      </c>
      <c r="L46" s="41">
        <f>cprp!L$2</f>
        <v>0</v>
      </c>
      <c r="M46" s="41">
        <f>cprp!M$2</f>
        <v>0</v>
      </c>
      <c r="N46" s="41">
        <f>cprp!N$2</f>
        <v>0</v>
      </c>
      <c r="O46" s="41">
        <f>cprp!O$2</f>
        <v>0</v>
      </c>
      <c r="P46" s="41">
        <f>cprp!P$2</f>
        <v>0</v>
      </c>
      <c r="Q46" s="41">
        <f>cprp!Q$2</f>
        <v>0</v>
      </c>
      <c r="R46" s="41">
        <f>cprp!R$2</f>
        <v>0</v>
      </c>
    </row>
    <row r="47" spans="1:18" ht="11.25" customHeight="1" x14ac:dyDescent="0.25">
      <c r="A47" s="38" t="s">
        <v>59</v>
      </c>
      <c r="B47" s="32" t="str">
        <f ca="1">HYPERLINK("#"&amp;CELL("address",cfbt!$C$2),"cfbt")</f>
        <v>cfbt</v>
      </c>
      <c r="C47" s="39">
        <f>cfbt!C$2</f>
        <v>0</v>
      </c>
      <c r="D47" s="39">
        <f>cfbt!D$2</f>
        <v>0</v>
      </c>
      <c r="E47" s="39">
        <f>cfbt!E$2</f>
        <v>0</v>
      </c>
      <c r="F47" s="39">
        <f>cfbt!F$2</f>
        <v>0</v>
      </c>
      <c r="G47" s="39">
        <f>cfbt!G$2</f>
        <v>0</v>
      </c>
      <c r="H47" s="39">
        <f>cfbt!H$2</f>
        <v>0</v>
      </c>
      <c r="I47" s="39">
        <f>cfbt!I$2</f>
        <v>0</v>
      </c>
      <c r="J47" s="39">
        <f>cfbt!J$2</f>
        <v>0</v>
      </c>
      <c r="K47" s="39">
        <f>cfbt!K$2</f>
        <v>0</v>
      </c>
      <c r="L47" s="39">
        <f>cfbt!L$2</f>
        <v>0</v>
      </c>
      <c r="M47" s="39">
        <f>cfbt!M$2</f>
        <v>0</v>
      </c>
      <c r="N47" s="39">
        <f>cfbt!N$2</f>
        <v>0</v>
      </c>
      <c r="O47" s="39">
        <f>cfbt!O$2</f>
        <v>0</v>
      </c>
      <c r="P47" s="39">
        <f>cfbt!P$2</f>
        <v>0</v>
      </c>
      <c r="Q47" s="39">
        <f>cfbt!Q$2</f>
        <v>0</v>
      </c>
      <c r="R47" s="39">
        <f>cfbt!R$2</f>
        <v>0</v>
      </c>
    </row>
    <row r="48" spans="1:18" ht="11.25" customHeight="1" x14ac:dyDescent="0.25">
      <c r="A48" s="38" t="s">
        <v>58</v>
      </c>
      <c r="B48" s="32" t="str">
        <f ca="1">HYPERLINK("#"&amp;CELL("address",ctre!$C$2),"ctre")</f>
        <v>ctre</v>
      </c>
      <c r="C48" s="39">
        <f>ctre!C$2</f>
        <v>0</v>
      </c>
      <c r="D48" s="39">
        <f>ctre!D$2</f>
        <v>0</v>
      </c>
      <c r="E48" s="39">
        <f>ctre!E$2</f>
        <v>0</v>
      </c>
      <c r="F48" s="39">
        <f>ctre!F$2</f>
        <v>0</v>
      </c>
      <c r="G48" s="39">
        <f>ctre!G$2</f>
        <v>0</v>
      </c>
      <c r="H48" s="39">
        <f>ctre!H$2</f>
        <v>0</v>
      </c>
      <c r="I48" s="39">
        <f>ctre!I$2</f>
        <v>0</v>
      </c>
      <c r="J48" s="39">
        <f>ctre!J$2</f>
        <v>0</v>
      </c>
      <c r="K48" s="39">
        <f>ctre!K$2</f>
        <v>0</v>
      </c>
      <c r="L48" s="39">
        <f>ctre!L$2</f>
        <v>0</v>
      </c>
      <c r="M48" s="39">
        <f>ctre!M$2</f>
        <v>0</v>
      </c>
      <c r="N48" s="39">
        <f>ctre!N$2</f>
        <v>0</v>
      </c>
      <c r="O48" s="39">
        <f>ctre!O$2</f>
        <v>0</v>
      </c>
      <c r="P48" s="39">
        <f>ctre!P$2</f>
        <v>0</v>
      </c>
      <c r="Q48" s="39">
        <f>ctre!Q$2</f>
        <v>0</v>
      </c>
      <c r="R48" s="39">
        <f>ctre!R$2</f>
        <v>0</v>
      </c>
    </row>
    <row r="49" spans="1:18" ht="11.25" customHeight="1" x14ac:dyDescent="0.25">
      <c r="A49" s="38" t="s">
        <v>57</v>
      </c>
      <c r="B49" s="32" t="str">
        <f ca="1">HYPERLINK("#"&amp;CELL("address",cmae!$C$2),"cmae")</f>
        <v>cmae</v>
      </c>
      <c r="C49" s="39">
        <f>cmae!C$2</f>
        <v>0</v>
      </c>
      <c r="D49" s="39">
        <f>cmae!D$2</f>
        <v>0</v>
      </c>
      <c r="E49" s="39">
        <f>cmae!E$2</f>
        <v>0</v>
      </c>
      <c r="F49" s="39">
        <f>cmae!F$2</f>
        <v>0</v>
      </c>
      <c r="G49" s="39">
        <f>cmae!G$2</f>
        <v>0</v>
      </c>
      <c r="H49" s="39">
        <f>cmae!H$2</f>
        <v>0</v>
      </c>
      <c r="I49" s="39">
        <f>cmae!I$2</f>
        <v>0</v>
      </c>
      <c r="J49" s="39">
        <f>cmae!J$2</f>
        <v>0</v>
      </c>
      <c r="K49" s="39">
        <f>cmae!K$2</f>
        <v>0</v>
      </c>
      <c r="L49" s="39">
        <f>cmae!L$2</f>
        <v>0</v>
      </c>
      <c r="M49" s="39">
        <f>cmae!M$2</f>
        <v>0</v>
      </c>
      <c r="N49" s="39">
        <f>cmae!N$2</f>
        <v>0</v>
      </c>
      <c r="O49" s="39">
        <f>cmae!O$2</f>
        <v>0</v>
      </c>
      <c r="P49" s="39">
        <f>cmae!P$2</f>
        <v>0</v>
      </c>
      <c r="Q49" s="39">
        <f>cmae!Q$2</f>
        <v>0</v>
      </c>
      <c r="R49" s="39">
        <f>cmae!R$2</f>
        <v>0</v>
      </c>
    </row>
    <row r="50" spans="1:18" ht="11.25" customHeight="1" x14ac:dyDescent="0.25">
      <c r="A50" s="38" t="s">
        <v>56</v>
      </c>
      <c r="B50" s="32" t="str">
        <f ca="1">HYPERLINK("#"&amp;CELL("address",ctel!$C$2),"ctel")</f>
        <v>ctel</v>
      </c>
      <c r="C50" s="39">
        <f>ctel!C$2</f>
        <v>0</v>
      </c>
      <c r="D50" s="39">
        <f>ctel!D$2</f>
        <v>0</v>
      </c>
      <c r="E50" s="39">
        <f>ctel!E$2</f>
        <v>0</v>
      </c>
      <c r="F50" s="39">
        <f>ctel!F$2</f>
        <v>0</v>
      </c>
      <c r="G50" s="39">
        <f>ctel!G$2</f>
        <v>0</v>
      </c>
      <c r="H50" s="39">
        <f>ctel!H$2</f>
        <v>0</v>
      </c>
      <c r="I50" s="39">
        <f>ctel!I$2</f>
        <v>0</v>
      </c>
      <c r="J50" s="39">
        <f>ctel!J$2</f>
        <v>0</v>
      </c>
      <c r="K50" s="39">
        <f>ctel!K$2</f>
        <v>0</v>
      </c>
      <c r="L50" s="39">
        <f>ctel!L$2</f>
        <v>0</v>
      </c>
      <c r="M50" s="39">
        <f>ctel!M$2</f>
        <v>0</v>
      </c>
      <c r="N50" s="39">
        <f>ctel!N$2</f>
        <v>0</v>
      </c>
      <c r="O50" s="39">
        <f>ctel!O$2</f>
        <v>0</v>
      </c>
      <c r="P50" s="39">
        <f>ctel!P$2</f>
        <v>0</v>
      </c>
      <c r="Q50" s="39">
        <f>ctel!Q$2</f>
        <v>0</v>
      </c>
      <c r="R50" s="39">
        <f>ctel!R$2</f>
        <v>0</v>
      </c>
    </row>
    <row r="51" spans="1:18" ht="11.25" customHeight="1" x14ac:dyDescent="0.25">
      <c r="A51" s="38" t="s">
        <v>55</v>
      </c>
      <c r="B51" s="32" t="str">
        <f ca="1">HYPERLINK("#"&amp;CELL("address",cwwp!$C$2),"cwwp")</f>
        <v>cwwp</v>
      </c>
      <c r="C51" s="39">
        <f>cwwp!C$2</f>
        <v>0</v>
      </c>
      <c r="D51" s="39">
        <f>cwwp!D$2</f>
        <v>0</v>
      </c>
      <c r="E51" s="39">
        <f>cwwp!E$2</f>
        <v>0</v>
      </c>
      <c r="F51" s="39">
        <f>cwwp!F$2</f>
        <v>0</v>
      </c>
      <c r="G51" s="39">
        <f>cwwp!G$2</f>
        <v>0</v>
      </c>
      <c r="H51" s="39">
        <f>cwwp!H$2</f>
        <v>0</v>
      </c>
      <c r="I51" s="39">
        <f>cwwp!I$2</f>
        <v>0</v>
      </c>
      <c r="J51" s="39">
        <f>cwwp!J$2</f>
        <v>0</v>
      </c>
      <c r="K51" s="39">
        <f>cwwp!K$2</f>
        <v>0</v>
      </c>
      <c r="L51" s="39">
        <f>cwwp!L$2</f>
        <v>0</v>
      </c>
      <c r="M51" s="39">
        <f>cwwp!M$2</f>
        <v>0</v>
      </c>
      <c r="N51" s="39">
        <f>cwwp!N$2</f>
        <v>0</v>
      </c>
      <c r="O51" s="39">
        <f>cwwp!O$2</f>
        <v>0</v>
      </c>
      <c r="P51" s="39">
        <f>cwwp!P$2</f>
        <v>0</v>
      </c>
      <c r="Q51" s="39">
        <f>cwwp!Q$2</f>
        <v>0</v>
      </c>
      <c r="R51" s="39">
        <f>cwwp!R$2</f>
        <v>0</v>
      </c>
    </row>
    <row r="52" spans="1:18" ht="11.25" customHeight="1" x14ac:dyDescent="0.25">
      <c r="A52" s="38" t="s">
        <v>54</v>
      </c>
      <c r="B52" s="32" t="str">
        <f ca="1">HYPERLINK("#"&amp;CELL("address",cmiq!$C$2),"cmiq")</f>
        <v>cmiq</v>
      </c>
      <c r="C52" s="39">
        <f>cmiq!C$2</f>
        <v>0</v>
      </c>
      <c r="D52" s="39">
        <f>cmiq!D$2</f>
        <v>0</v>
      </c>
      <c r="E52" s="39">
        <f>cmiq!E$2</f>
        <v>0</v>
      </c>
      <c r="F52" s="39">
        <f>cmiq!F$2</f>
        <v>0</v>
      </c>
      <c r="G52" s="39">
        <f>cmiq!G$2</f>
        <v>0</v>
      </c>
      <c r="H52" s="39">
        <f>cmiq!H$2</f>
        <v>0</v>
      </c>
      <c r="I52" s="39">
        <f>cmiq!I$2</f>
        <v>0</v>
      </c>
      <c r="J52" s="39">
        <f>cmiq!J$2</f>
        <v>0</v>
      </c>
      <c r="K52" s="39">
        <f>cmiq!K$2</f>
        <v>0</v>
      </c>
      <c r="L52" s="39">
        <f>cmiq!L$2</f>
        <v>0</v>
      </c>
      <c r="M52" s="39">
        <f>cmiq!M$2</f>
        <v>0</v>
      </c>
      <c r="N52" s="39">
        <f>cmiq!N$2</f>
        <v>0</v>
      </c>
      <c r="O52" s="39">
        <f>cmiq!O$2</f>
        <v>0</v>
      </c>
      <c r="P52" s="39">
        <f>cmiq!P$2</f>
        <v>0</v>
      </c>
      <c r="Q52" s="39">
        <f>cmiq!Q$2</f>
        <v>0</v>
      </c>
      <c r="R52" s="39">
        <f>cmiq!R$2</f>
        <v>0</v>
      </c>
    </row>
    <row r="53" spans="1:18" ht="11.25" customHeight="1" x14ac:dyDescent="0.25">
      <c r="A53" s="38" t="s">
        <v>53</v>
      </c>
      <c r="B53" s="32" t="str">
        <f ca="1">HYPERLINK("#"&amp;CELL("address",ccon!$C$2),"ccon")</f>
        <v>ccon</v>
      </c>
      <c r="C53" s="39">
        <f>ccon!C$2</f>
        <v>0</v>
      </c>
      <c r="D53" s="39">
        <f>ccon!D$2</f>
        <v>0</v>
      </c>
      <c r="E53" s="39">
        <f>ccon!E$2</f>
        <v>0</v>
      </c>
      <c r="F53" s="39">
        <f>ccon!F$2</f>
        <v>0</v>
      </c>
      <c r="G53" s="39">
        <f>ccon!G$2</f>
        <v>0</v>
      </c>
      <c r="H53" s="39">
        <f>ccon!H$2</f>
        <v>0</v>
      </c>
      <c r="I53" s="39">
        <f>ccon!I$2</f>
        <v>0</v>
      </c>
      <c r="J53" s="39">
        <f>ccon!J$2</f>
        <v>0</v>
      </c>
      <c r="K53" s="39">
        <f>ccon!K$2</f>
        <v>0</v>
      </c>
      <c r="L53" s="39">
        <f>ccon!L$2</f>
        <v>0</v>
      </c>
      <c r="M53" s="39">
        <f>ccon!M$2</f>
        <v>0</v>
      </c>
      <c r="N53" s="39">
        <f>ccon!N$2</f>
        <v>0</v>
      </c>
      <c r="O53" s="39">
        <f>ccon!O$2</f>
        <v>0</v>
      </c>
      <c r="P53" s="39">
        <f>ccon!P$2</f>
        <v>0</v>
      </c>
      <c r="Q53" s="39">
        <f>ccon!Q$2</f>
        <v>0</v>
      </c>
      <c r="R53" s="39">
        <f>ccon!R$2</f>
        <v>0</v>
      </c>
    </row>
    <row r="54" spans="1:18" ht="11.25" customHeight="1" x14ac:dyDescent="0.25">
      <c r="A54" s="38" t="s">
        <v>52</v>
      </c>
      <c r="B54" s="32" t="str">
        <f ca="1">HYPERLINK("#"&amp;CELL("address",cnsi!$C$2),"cnsi")</f>
        <v>cnsi</v>
      </c>
      <c r="C54" s="39">
        <f>cnsi!C$2</f>
        <v>0</v>
      </c>
      <c r="D54" s="39">
        <f>cnsi!D$2</f>
        <v>0</v>
      </c>
      <c r="E54" s="39">
        <f>cnsi!E$2</f>
        <v>0</v>
      </c>
      <c r="F54" s="39">
        <f>cnsi!F$2</f>
        <v>0</v>
      </c>
      <c r="G54" s="39">
        <f>cnsi!G$2</f>
        <v>0</v>
      </c>
      <c r="H54" s="39">
        <f>cnsi!H$2</f>
        <v>0</v>
      </c>
      <c r="I54" s="39">
        <f>cnsi!I$2</f>
        <v>0</v>
      </c>
      <c r="J54" s="39">
        <f>cnsi!J$2</f>
        <v>0</v>
      </c>
      <c r="K54" s="39">
        <f>cnsi!K$2</f>
        <v>0</v>
      </c>
      <c r="L54" s="39">
        <f>cnsi!L$2</f>
        <v>94.43836175749199</v>
      </c>
      <c r="M54" s="39">
        <f>cnsi!M$2</f>
        <v>30.753799999999973</v>
      </c>
      <c r="N54" s="39">
        <f>cnsi!N$2</f>
        <v>15.274251899467094</v>
      </c>
      <c r="O54" s="39">
        <f>cnsi!O$2</f>
        <v>27.748043162297812</v>
      </c>
      <c r="P54" s="39">
        <f>cnsi!P$2</f>
        <v>24.653452043627631</v>
      </c>
      <c r="Q54" s="39">
        <f>cnsi!Q$2</f>
        <v>30.90876623511241</v>
      </c>
      <c r="R54" s="39">
        <f>cnsi!R$2</f>
        <v>30.949492776709974</v>
      </c>
    </row>
    <row r="55" spans="1:18" ht="11.25" customHeight="1" x14ac:dyDescent="0.25">
      <c r="A55" s="36" t="s">
        <v>51</v>
      </c>
      <c r="B55" s="32" t="str">
        <f ca="1">HYPERLINK("#"&amp;CELL("address",CDM!$C$2),"CDM")</f>
        <v>CDM</v>
      </c>
      <c r="C55" s="37">
        <f>CDM!C$2</f>
        <v>86.161281240790743</v>
      </c>
      <c r="D55" s="37">
        <f>CDM!D$2</f>
        <v>86.357542964903985</v>
      </c>
      <c r="E55" s="37">
        <f>CDM!E$2</f>
        <v>95.329667880000017</v>
      </c>
      <c r="F55" s="37">
        <f>CDM!F$2</f>
        <v>104.61808958338807</v>
      </c>
      <c r="G55" s="37">
        <f>CDM!G$2</f>
        <v>107.67193560000001</v>
      </c>
      <c r="H55" s="37">
        <f>CDM!H$2</f>
        <v>61.524418686115894</v>
      </c>
      <c r="I55" s="37">
        <f>CDM!I$2</f>
        <v>64.431495484307845</v>
      </c>
      <c r="J55" s="37">
        <f>CDM!J$2</f>
        <v>64.399730567651915</v>
      </c>
      <c r="K55" s="37">
        <f>CDM!K$2</f>
        <v>64.048445403515771</v>
      </c>
      <c r="L55" s="37">
        <f>CDM!L$2</f>
        <v>52.492243103316014</v>
      </c>
      <c r="M55" s="37">
        <f>CDM!M$2</f>
        <v>130.4081000000001</v>
      </c>
      <c r="N55" s="37">
        <f>CDM!N$2</f>
        <v>96.277451043359036</v>
      </c>
      <c r="O55" s="37">
        <f>CDM!O$2</f>
        <v>124.39662496234089</v>
      </c>
      <c r="P55" s="37">
        <f>CDM!P$2</f>
        <v>153.06338810965116</v>
      </c>
      <c r="Q55" s="37">
        <f>CDM!Q$2</f>
        <v>175.64809443303795</v>
      </c>
      <c r="R55" s="37">
        <f>CDM!R$2</f>
        <v>184.69124472812842</v>
      </c>
    </row>
    <row r="56" spans="1:18" ht="11.25" customHeight="1" x14ac:dyDescent="0.25">
      <c r="A56" s="38" t="s">
        <v>50</v>
      </c>
      <c r="B56" s="32" t="str">
        <f ca="1">HYPERLINK("#"&amp;CELL("address",cres!$C$2),"cres")</f>
        <v>cres</v>
      </c>
      <c r="C56" s="39">
        <f>cres!C$2</f>
        <v>31.814963041178654</v>
      </c>
      <c r="D56" s="39">
        <f>cres!D$2</f>
        <v>31.833654810943507</v>
      </c>
      <c r="E56" s="39">
        <f>cres!E$2</f>
        <v>33.84104401260003</v>
      </c>
      <c r="F56" s="39">
        <f>cres!F$2</f>
        <v>33.826982787360613</v>
      </c>
      <c r="G56" s="39">
        <f>cres!G$2</f>
        <v>33.84104401260003</v>
      </c>
      <c r="H56" s="39">
        <f>cres!H$2</f>
        <v>35.790523192126507</v>
      </c>
      <c r="I56" s="39">
        <f>cres!I$2</f>
        <v>39.806007585417646</v>
      </c>
      <c r="J56" s="39">
        <f>cres!J$2</f>
        <v>39.78637254116439</v>
      </c>
      <c r="K56" s="39">
        <f>cres!K$2</f>
        <v>41.810772748901996</v>
      </c>
      <c r="L56" s="39">
        <f>cres!L$2</f>
        <v>33.831434603845658</v>
      </c>
      <c r="M56" s="39">
        <f>cres!M$2</f>
        <v>37.733800000000116</v>
      </c>
      <c r="N56" s="39">
        <f>cres!N$2</f>
        <v>34.828750130846082</v>
      </c>
      <c r="O56" s="39">
        <f>cres!O$2</f>
        <v>37.733800000000116</v>
      </c>
      <c r="P56" s="39">
        <f>cres!P$2</f>
        <v>38.020344586644093</v>
      </c>
      <c r="Q56" s="39">
        <f>cres!Q$2</f>
        <v>35.119446148374045</v>
      </c>
      <c r="R56" s="39">
        <f>cres!R$2</f>
        <v>44.108446191938974</v>
      </c>
    </row>
    <row r="57" spans="1:18" ht="11.25" customHeight="1" x14ac:dyDescent="0.25">
      <c r="A57" s="42" t="s">
        <v>49</v>
      </c>
      <c r="B57" s="32" t="str">
        <f ca="1">HYPERLINK("#"&amp;CELL("address",cressh!$C$2),"cressh")</f>
        <v>cressh</v>
      </c>
      <c r="C57" s="41">
        <f>cressh!C$2</f>
        <v>27.916742316471467</v>
      </c>
      <c r="D57" s="41">
        <f>cressh!D$2</f>
        <v>16.035800424377403</v>
      </c>
      <c r="E57" s="41">
        <f>cressh!E$2</f>
        <v>24.103900805040016</v>
      </c>
      <c r="F57" s="41">
        <f>cressh!F$2</f>
        <v>24.626650474944249</v>
      </c>
      <c r="G57" s="41">
        <f>cressh!G$2</f>
        <v>21.065749385040014</v>
      </c>
      <c r="H57" s="41">
        <f>cressh!H$2</f>
        <v>22.241821676850606</v>
      </c>
      <c r="I57" s="41">
        <f>cressh!I$2</f>
        <v>23.848015434167063</v>
      </c>
      <c r="J57" s="41">
        <f>cressh!J$2</f>
        <v>19.068124317770007</v>
      </c>
      <c r="K57" s="41">
        <f>cressh!K$2</f>
        <v>13.71614089645904</v>
      </c>
      <c r="L57" s="41">
        <f>cressh!L$2</f>
        <v>5.2029984595392502</v>
      </c>
      <c r="M57" s="41">
        <f>cressh!M$2</f>
        <v>14.167762812353596</v>
      </c>
      <c r="N57" s="41">
        <f>cressh!N$2</f>
        <v>14.195687132338431</v>
      </c>
      <c r="O57" s="41">
        <f>cressh!O$2</f>
        <v>18.234513473864258</v>
      </c>
      <c r="P57" s="41">
        <f>cressh!P$2</f>
        <v>20.422365195710313</v>
      </c>
      <c r="Q57" s="41">
        <f>cressh!Q$2</f>
        <v>19.922521278486894</v>
      </c>
      <c r="R57" s="41">
        <f>cressh!R$2</f>
        <v>29.130064311239831</v>
      </c>
    </row>
    <row r="58" spans="1:18" ht="11.25" customHeight="1" x14ac:dyDescent="0.25">
      <c r="A58" s="42" t="s">
        <v>48</v>
      </c>
      <c r="B58" s="32" t="str">
        <f ca="1">HYPERLINK("#"&amp;CELL("address",cressc!$C$2),"cressc")</f>
        <v>cressc</v>
      </c>
      <c r="C58" s="41">
        <f>cressc!C$2</f>
        <v>0</v>
      </c>
      <c r="D58" s="41">
        <f>cressc!D$2</f>
        <v>0</v>
      </c>
      <c r="E58" s="41">
        <f>cressc!E$2</f>
        <v>0</v>
      </c>
      <c r="F58" s="41">
        <f>cressc!F$2</f>
        <v>0</v>
      </c>
      <c r="G58" s="41">
        <f>cressc!G$2</f>
        <v>0</v>
      </c>
      <c r="H58" s="41">
        <f>cressc!H$2</f>
        <v>0</v>
      </c>
      <c r="I58" s="41">
        <f>cressc!I$2</f>
        <v>0</v>
      </c>
      <c r="J58" s="41">
        <f>cressc!J$2</f>
        <v>0</v>
      </c>
      <c r="K58" s="41">
        <f>cressc!K$2</f>
        <v>0</v>
      </c>
      <c r="L58" s="41">
        <f>cressc!L$2</f>
        <v>0</v>
      </c>
      <c r="M58" s="41">
        <f>cressc!M$2</f>
        <v>0</v>
      </c>
      <c r="N58" s="41">
        <f>cressc!N$2</f>
        <v>0</v>
      </c>
      <c r="O58" s="41">
        <f>cressc!O$2</f>
        <v>0</v>
      </c>
      <c r="P58" s="41">
        <f>cressc!P$2</f>
        <v>0</v>
      </c>
      <c r="Q58" s="41">
        <f>cressc!Q$2</f>
        <v>0</v>
      </c>
      <c r="R58" s="41">
        <f>cressc!R$2</f>
        <v>0</v>
      </c>
    </row>
    <row r="59" spans="1:18" ht="11.25" customHeight="1" x14ac:dyDescent="0.25">
      <c r="A59" s="42" t="s">
        <v>47</v>
      </c>
      <c r="B59" s="32" t="str">
        <f ca="1">HYPERLINK("#"&amp;CELL("address",creswh!$C$2),"creswh")</f>
        <v>creswh</v>
      </c>
      <c r="C59" s="41">
        <f>creswh!C$2</f>
        <v>1.5011852866398769</v>
      </c>
      <c r="D59" s="41">
        <f>creswh!D$2</f>
        <v>2.7556833630839117</v>
      </c>
      <c r="E59" s="41">
        <f>creswh!E$2</f>
        <v>2.7229499549012575</v>
      </c>
      <c r="F59" s="41">
        <f>creswh!F$2</f>
        <v>2.8060802020532756</v>
      </c>
      <c r="G59" s="41">
        <f>creswh!G$2</f>
        <v>3.4044038748137591</v>
      </c>
      <c r="H59" s="41">
        <f>creswh!H$2</f>
        <v>3.563291042856763</v>
      </c>
      <c r="I59" s="41">
        <f>creswh!I$2</f>
        <v>4.03964780141232</v>
      </c>
      <c r="J59" s="41">
        <f>creswh!J$2</f>
        <v>4.3992977940303577</v>
      </c>
      <c r="K59" s="41">
        <f>creswh!K$2</f>
        <v>4.6804791551917111</v>
      </c>
      <c r="L59" s="41">
        <f>creswh!L$2</f>
        <v>3.6561769576353376</v>
      </c>
      <c r="M59" s="41">
        <f>creswh!M$2</f>
        <v>2.8074762284697865</v>
      </c>
      <c r="N59" s="41">
        <f>creswh!N$2</f>
        <v>2.169654542848853</v>
      </c>
      <c r="O59" s="41">
        <f>creswh!O$2</f>
        <v>1.5504488341422695</v>
      </c>
      <c r="P59" s="41">
        <f>creswh!P$2</f>
        <v>1.5467376531308101</v>
      </c>
      <c r="Q59" s="41">
        <f>creswh!Q$2</f>
        <v>1.5203449410907719</v>
      </c>
      <c r="R59" s="41">
        <f>creswh!R$2</f>
        <v>1.5054032481322495</v>
      </c>
    </row>
    <row r="60" spans="1:18" ht="11.25" customHeight="1" x14ac:dyDescent="0.25">
      <c r="A60" s="42" t="s">
        <v>46</v>
      </c>
      <c r="B60" s="32" t="str">
        <f ca="1">HYPERLINK("#"&amp;CELL("address",cresco!$C$2),"cresco")</f>
        <v>cresco</v>
      </c>
      <c r="C60" s="41">
        <f>cresco!C$2</f>
        <v>2.3970354380673098</v>
      </c>
      <c r="D60" s="41">
        <f>cresco!D$2</f>
        <v>13.04217102348219</v>
      </c>
      <c r="E60" s="41">
        <f>cresco!E$2</f>
        <v>7.0141932526587603</v>
      </c>
      <c r="F60" s="41">
        <f>cresco!F$2</f>
        <v>6.3942521103630927</v>
      </c>
      <c r="G60" s="41">
        <f>cresco!G$2</f>
        <v>9.3708907527462593</v>
      </c>
      <c r="H60" s="41">
        <f>cresco!H$2</f>
        <v>9.9854104724191384</v>
      </c>
      <c r="I60" s="41">
        <f>cresco!I$2</f>
        <v>11.918344349838266</v>
      </c>
      <c r="J60" s="41">
        <f>cresco!J$2</f>
        <v>16.318950429364026</v>
      </c>
      <c r="K60" s="41">
        <f>cresco!K$2</f>
        <v>23.414152697251247</v>
      </c>
      <c r="L60" s="41">
        <f>cresco!L$2</f>
        <v>24.972259186671067</v>
      </c>
      <c r="M60" s="41">
        <f>cresco!M$2</f>
        <v>20.758560959176734</v>
      </c>
      <c r="N60" s="41">
        <f>cresco!N$2</f>
        <v>18.463408455658797</v>
      </c>
      <c r="O60" s="41">
        <f>cresco!O$2</f>
        <v>17.948837691993589</v>
      </c>
      <c r="P60" s="41">
        <f>cresco!P$2</f>
        <v>16.051241737802968</v>
      </c>
      <c r="Q60" s="41">
        <f>cresco!Q$2</f>
        <v>13.676579928796384</v>
      </c>
      <c r="R60" s="41">
        <f>cresco!R$2</f>
        <v>13.472978632566894</v>
      </c>
    </row>
    <row r="61" spans="1:18" ht="11.25" customHeight="1" x14ac:dyDescent="0.25">
      <c r="A61" s="42" t="s">
        <v>45</v>
      </c>
      <c r="B61" s="32" t="str">
        <f ca="1">HYPERLINK("#"&amp;CELL("address",cresrf!$C$2),"cresrf")</f>
        <v>cresrf</v>
      </c>
      <c r="C61" s="41">
        <f>cresrf!C$2</f>
        <v>0</v>
      </c>
      <c r="D61" s="41">
        <f>cresrf!D$2</f>
        <v>0</v>
      </c>
      <c r="E61" s="41">
        <f>cresrf!E$2</f>
        <v>0</v>
      </c>
      <c r="F61" s="41">
        <f>cresrf!F$2</f>
        <v>0</v>
      </c>
      <c r="G61" s="41">
        <f>cresrf!G$2</f>
        <v>0</v>
      </c>
      <c r="H61" s="41">
        <f>cresrf!H$2</f>
        <v>0</v>
      </c>
      <c r="I61" s="41">
        <f>cresrf!I$2</f>
        <v>0</v>
      </c>
      <c r="J61" s="41">
        <f>cresrf!J$2</f>
        <v>0</v>
      </c>
      <c r="K61" s="41">
        <f>cresrf!K$2</f>
        <v>0</v>
      </c>
      <c r="L61" s="41">
        <f>cresrf!L$2</f>
        <v>0</v>
      </c>
      <c r="M61" s="41">
        <f>cresrf!M$2</f>
        <v>0</v>
      </c>
      <c r="N61" s="41">
        <f>cresrf!N$2</f>
        <v>0</v>
      </c>
      <c r="O61" s="41">
        <f>cresrf!O$2</f>
        <v>0</v>
      </c>
      <c r="P61" s="41">
        <f>cresrf!P$2</f>
        <v>0</v>
      </c>
      <c r="Q61" s="41">
        <f>cresrf!Q$2</f>
        <v>0</v>
      </c>
      <c r="R61" s="41">
        <f>cresrf!R$2</f>
        <v>0</v>
      </c>
    </row>
    <row r="62" spans="1:18" ht="11.25" customHeight="1" x14ac:dyDescent="0.25">
      <c r="A62" s="42" t="s">
        <v>44</v>
      </c>
      <c r="B62" s="32" t="str">
        <f ca="1">HYPERLINK("#"&amp;CELL("address",creswm!$C$2),"creswm")</f>
        <v>creswm</v>
      </c>
      <c r="C62" s="41">
        <f>creswm!C$2</f>
        <v>0</v>
      </c>
      <c r="D62" s="41">
        <f>creswm!D$2</f>
        <v>0</v>
      </c>
      <c r="E62" s="41">
        <f>creswm!E$2</f>
        <v>0</v>
      </c>
      <c r="F62" s="41">
        <f>creswm!F$2</f>
        <v>0</v>
      </c>
      <c r="G62" s="41">
        <f>creswm!G$2</f>
        <v>0</v>
      </c>
      <c r="H62" s="41">
        <f>creswm!H$2</f>
        <v>0</v>
      </c>
      <c r="I62" s="41">
        <f>creswm!I$2</f>
        <v>0</v>
      </c>
      <c r="J62" s="41">
        <f>creswm!J$2</f>
        <v>0</v>
      </c>
      <c r="K62" s="41">
        <f>creswm!K$2</f>
        <v>0</v>
      </c>
      <c r="L62" s="41">
        <f>creswm!L$2</f>
        <v>0</v>
      </c>
      <c r="M62" s="41">
        <f>creswm!M$2</f>
        <v>0</v>
      </c>
      <c r="N62" s="41">
        <f>creswm!N$2</f>
        <v>0</v>
      </c>
      <c r="O62" s="41">
        <f>creswm!O$2</f>
        <v>0</v>
      </c>
      <c r="P62" s="41">
        <f>creswm!P$2</f>
        <v>0</v>
      </c>
      <c r="Q62" s="41">
        <f>creswm!Q$2</f>
        <v>0</v>
      </c>
      <c r="R62" s="41">
        <f>creswm!R$2</f>
        <v>0</v>
      </c>
    </row>
    <row r="63" spans="1:18" ht="11.25" customHeight="1" x14ac:dyDescent="0.25">
      <c r="A63" s="42" t="s">
        <v>43</v>
      </c>
      <c r="B63" s="32" t="str">
        <f ca="1">HYPERLINK("#"&amp;CELL("address",cresdr!$C$2),"cresdr")</f>
        <v>cresdr</v>
      </c>
      <c r="C63" s="41">
        <f>cresdr!C$2</f>
        <v>0</v>
      </c>
      <c r="D63" s="41">
        <f>cresdr!D$2</f>
        <v>0</v>
      </c>
      <c r="E63" s="41">
        <f>cresdr!E$2</f>
        <v>0</v>
      </c>
      <c r="F63" s="41">
        <f>cresdr!F$2</f>
        <v>0</v>
      </c>
      <c r="G63" s="41">
        <f>cresdr!G$2</f>
        <v>0</v>
      </c>
      <c r="H63" s="41">
        <f>cresdr!H$2</f>
        <v>0</v>
      </c>
      <c r="I63" s="41">
        <f>cresdr!I$2</f>
        <v>0</v>
      </c>
      <c r="J63" s="41">
        <f>cresdr!J$2</f>
        <v>0</v>
      </c>
      <c r="K63" s="41">
        <f>cresdr!K$2</f>
        <v>0</v>
      </c>
      <c r="L63" s="41">
        <f>cresdr!L$2</f>
        <v>0</v>
      </c>
      <c r="M63" s="41">
        <f>cresdr!M$2</f>
        <v>0</v>
      </c>
      <c r="N63" s="41">
        <f>cresdr!N$2</f>
        <v>0</v>
      </c>
      <c r="O63" s="41">
        <f>cresdr!O$2</f>
        <v>0</v>
      </c>
      <c r="P63" s="41">
        <f>cresdr!P$2</f>
        <v>0</v>
      </c>
      <c r="Q63" s="41">
        <f>cresdr!Q$2</f>
        <v>0</v>
      </c>
      <c r="R63" s="41">
        <f>cresdr!R$2</f>
        <v>0</v>
      </c>
    </row>
    <row r="64" spans="1:18" ht="11.25" customHeight="1" x14ac:dyDescent="0.25">
      <c r="A64" s="42" t="s">
        <v>42</v>
      </c>
      <c r="B64" s="32" t="str">
        <f ca="1">HYPERLINK("#"&amp;CELL("address",cresdw!$C$2),"cresdw")</f>
        <v>cresdw</v>
      </c>
      <c r="C64" s="41">
        <f>cresdw!C$2</f>
        <v>0</v>
      </c>
      <c r="D64" s="41">
        <f>cresdw!D$2</f>
        <v>0</v>
      </c>
      <c r="E64" s="41">
        <f>cresdw!E$2</f>
        <v>0</v>
      </c>
      <c r="F64" s="41">
        <f>cresdw!F$2</f>
        <v>0</v>
      </c>
      <c r="G64" s="41">
        <f>cresdw!G$2</f>
        <v>0</v>
      </c>
      <c r="H64" s="41">
        <f>cresdw!H$2</f>
        <v>0</v>
      </c>
      <c r="I64" s="41">
        <f>cresdw!I$2</f>
        <v>0</v>
      </c>
      <c r="J64" s="41">
        <f>cresdw!J$2</f>
        <v>0</v>
      </c>
      <c r="K64" s="41">
        <f>cresdw!K$2</f>
        <v>0</v>
      </c>
      <c r="L64" s="41">
        <f>cresdw!L$2</f>
        <v>0</v>
      </c>
      <c r="M64" s="41">
        <f>cresdw!M$2</f>
        <v>0</v>
      </c>
      <c r="N64" s="41">
        <f>cresdw!N$2</f>
        <v>0</v>
      </c>
      <c r="O64" s="41">
        <f>cresdw!O$2</f>
        <v>0</v>
      </c>
      <c r="P64" s="41">
        <f>cresdw!P$2</f>
        <v>0</v>
      </c>
      <c r="Q64" s="41">
        <f>cresdw!Q$2</f>
        <v>0</v>
      </c>
      <c r="R64" s="41">
        <f>cresdw!R$2</f>
        <v>0</v>
      </c>
    </row>
    <row r="65" spans="1:18" ht="11.25" customHeight="1" x14ac:dyDescent="0.25">
      <c r="A65" s="42" t="s">
        <v>41</v>
      </c>
      <c r="B65" s="32" t="str">
        <f ca="1">HYPERLINK("#"&amp;CELL("address",crestv!$C$2),"crestv")</f>
        <v>crestv</v>
      </c>
      <c r="C65" s="41">
        <f>crestv!C$2</f>
        <v>0</v>
      </c>
      <c r="D65" s="41">
        <f>crestv!D$2</f>
        <v>0</v>
      </c>
      <c r="E65" s="41">
        <f>crestv!E$2</f>
        <v>0</v>
      </c>
      <c r="F65" s="41">
        <f>crestv!F$2</f>
        <v>0</v>
      </c>
      <c r="G65" s="41">
        <f>crestv!G$2</f>
        <v>0</v>
      </c>
      <c r="H65" s="41">
        <f>crestv!H$2</f>
        <v>0</v>
      </c>
      <c r="I65" s="41">
        <f>crestv!I$2</f>
        <v>0</v>
      </c>
      <c r="J65" s="41">
        <f>crestv!J$2</f>
        <v>0</v>
      </c>
      <c r="K65" s="41">
        <f>crestv!K$2</f>
        <v>0</v>
      </c>
      <c r="L65" s="41">
        <f>crestv!L$2</f>
        <v>0</v>
      </c>
      <c r="M65" s="41">
        <f>crestv!M$2</f>
        <v>0</v>
      </c>
      <c r="N65" s="41">
        <f>crestv!N$2</f>
        <v>0</v>
      </c>
      <c r="O65" s="41">
        <f>crestv!O$2</f>
        <v>0</v>
      </c>
      <c r="P65" s="41">
        <f>crestv!P$2</f>
        <v>0</v>
      </c>
      <c r="Q65" s="41">
        <f>crestv!Q$2</f>
        <v>0</v>
      </c>
      <c r="R65" s="41">
        <f>crestv!R$2</f>
        <v>0</v>
      </c>
    </row>
    <row r="66" spans="1:18" ht="11.25" customHeight="1" x14ac:dyDescent="0.25">
      <c r="A66" s="42" t="s">
        <v>40</v>
      </c>
      <c r="B66" s="32" t="str">
        <f ca="1">HYPERLINK("#"&amp;CELL("address",cresit!$C$2),"cresit")</f>
        <v>cresit</v>
      </c>
      <c r="C66" s="41">
        <f>cresit!C$2</f>
        <v>0</v>
      </c>
      <c r="D66" s="41">
        <f>cresit!D$2</f>
        <v>0</v>
      </c>
      <c r="E66" s="41">
        <f>cresit!E$2</f>
        <v>0</v>
      </c>
      <c r="F66" s="41">
        <f>cresit!F$2</f>
        <v>0</v>
      </c>
      <c r="G66" s="41">
        <f>cresit!G$2</f>
        <v>0</v>
      </c>
      <c r="H66" s="41">
        <f>cresit!H$2</f>
        <v>0</v>
      </c>
      <c r="I66" s="41">
        <f>cresit!I$2</f>
        <v>0</v>
      </c>
      <c r="J66" s="41">
        <f>cresit!J$2</f>
        <v>0</v>
      </c>
      <c r="K66" s="41">
        <f>cresit!K$2</f>
        <v>0</v>
      </c>
      <c r="L66" s="41">
        <f>cresit!L$2</f>
        <v>0</v>
      </c>
      <c r="M66" s="41">
        <f>cresit!M$2</f>
        <v>0</v>
      </c>
      <c r="N66" s="41">
        <f>cresit!N$2</f>
        <v>0</v>
      </c>
      <c r="O66" s="41">
        <f>cresit!O$2</f>
        <v>0</v>
      </c>
      <c r="P66" s="41">
        <f>cresit!P$2</f>
        <v>0</v>
      </c>
      <c r="Q66" s="41">
        <f>cresit!Q$2</f>
        <v>0</v>
      </c>
      <c r="R66" s="41">
        <f>cresit!R$2</f>
        <v>0</v>
      </c>
    </row>
    <row r="67" spans="1:18" ht="11.25" customHeight="1" x14ac:dyDescent="0.25">
      <c r="A67" s="42" t="s">
        <v>39</v>
      </c>
      <c r="B67" s="32" t="str">
        <f ca="1">HYPERLINK("#"&amp;CELL("address",cresli!$C$2),"cresli")</f>
        <v>cresli</v>
      </c>
      <c r="C67" s="41">
        <f>cresli!C$2</f>
        <v>0</v>
      </c>
      <c r="D67" s="41">
        <f>cresli!D$2</f>
        <v>0</v>
      </c>
      <c r="E67" s="41">
        <f>cresli!E$2</f>
        <v>0</v>
      </c>
      <c r="F67" s="41">
        <f>cresli!F$2</f>
        <v>0</v>
      </c>
      <c r="G67" s="41">
        <f>cresli!G$2</f>
        <v>0</v>
      </c>
      <c r="H67" s="41">
        <f>cresli!H$2</f>
        <v>0</v>
      </c>
      <c r="I67" s="41">
        <f>cresli!I$2</f>
        <v>0</v>
      </c>
      <c r="J67" s="41">
        <f>cresli!J$2</f>
        <v>0</v>
      </c>
      <c r="K67" s="41">
        <f>cresli!K$2</f>
        <v>0</v>
      </c>
      <c r="L67" s="41">
        <f>cresli!L$2</f>
        <v>0</v>
      </c>
      <c r="M67" s="41">
        <f>cresli!M$2</f>
        <v>0</v>
      </c>
      <c r="N67" s="41">
        <f>cresli!N$2</f>
        <v>0</v>
      </c>
      <c r="O67" s="41">
        <f>cresli!O$2</f>
        <v>0</v>
      </c>
      <c r="P67" s="41">
        <f>cresli!P$2</f>
        <v>0</v>
      </c>
      <c r="Q67" s="41">
        <f>cresli!Q$2</f>
        <v>0</v>
      </c>
      <c r="R67" s="41">
        <f>cresli!R$2</f>
        <v>0</v>
      </c>
    </row>
    <row r="68" spans="1:18" ht="11.25" customHeight="1" x14ac:dyDescent="0.25">
      <c r="A68" s="42" t="s">
        <v>38</v>
      </c>
      <c r="B68" s="32" t="str">
        <f ca="1">HYPERLINK("#"&amp;CELL("address",cresoa!$C$2),"cresoa")</f>
        <v>cresoa</v>
      </c>
      <c r="C68" s="41">
        <f>cresoa!C$2</f>
        <v>0</v>
      </c>
      <c r="D68" s="41">
        <f>cresoa!D$2</f>
        <v>0</v>
      </c>
      <c r="E68" s="41">
        <f>cresoa!E$2</f>
        <v>0</v>
      </c>
      <c r="F68" s="41">
        <f>cresoa!F$2</f>
        <v>0</v>
      </c>
      <c r="G68" s="41">
        <f>cresoa!G$2</f>
        <v>0</v>
      </c>
      <c r="H68" s="41">
        <f>cresoa!H$2</f>
        <v>0</v>
      </c>
      <c r="I68" s="41">
        <f>cresoa!I$2</f>
        <v>0</v>
      </c>
      <c r="J68" s="41">
        <f>cresoa!J$2</f>
        <v>0</v>
      </c>
      <c r="K68" s="41">
        <f>cresoa!K$2</f>
        <v>0</v>
      </c>
      <c r="L68" s="41">
        <f>cresoa!L$2</f>
        <v>0</v>
      </c>
      <c r="M68" s="41">
        <f>cresoa!M$2</f>
        <v>0</v>
      </c>
      <c r="N68" s="41">
        <f>cresoa!N$2</f>
        <v>0</v>
      </c>
      <c r="O68" s="41">
        <f>cresoa!O$2</f>
        <v>0</v>
      </c>
      <c r="P68" s="41">
        <f>cresoa!P$2</f>
        <v>0</v>
      </c>
      <c r="Q68" s="41">
        <f>cresoa!Q$2</f>
        <v>0</v>
      </c>
      <c r="R68" s="41">
        <f>cresoa!R$2</f>
        <v>0</v>
      </c>
    </row>
    <row r="69" spans="1:18" ht="11.25" customHeight="1" x14ac:dyDescent="0.25">
      <c r="A69" s="38" t="s">
        <v>37</v>
      </c>
      <c r="B69" s="32" t="str">
        <f ca="1">HYPERLINK("#"&amp;CELL("address",cser!$C$2),"cser")</f>
        <v>cser</v>
      </c>
      <c r="C69" s="39">
        <f>cser!C$2</f>
        <v>54.346318199612092</v>
      </c>
      <c r="D69" s="39">
        <f>cser!D$2</f>
        <v>54.523888153960471</v>
      </c>
      <c r="E69" s="39">
        <f>cser!E$2</f>
        <v>61.48862386739998</v>
      </c>
      <c r="F69" s="39">
        <f>cser!F$2</f>
        <v>70.791106796027464</v>
      </c>
      <c r="G69" s="39">
        <f>cser!G$2</f>
        <v>73.830891587399975</v>
      </c>
      <c r="H69" s="39">
        <f>cser!H$2</f>
        <v>25.733895493989387</v>
      </c>
      <c r="I69" s="39">
        <f>cser!I$2</f>
        <v>24.625487898890199</v>
      </c>
      <c r="J69" s="39">
        <f>cser!J$2</f>
        <v>24.613358026487521</v>
      </c>
      <c r="K69" s="39">
        <f>cser!K$2</f>
        <v>22.237672654613771</v>
      </c>
      <c r="L69" s="39">
        <f>cser!L$2</f>
        <v>18.660808499470356</v>
      </c>
      <c r="M69" s="39">
        <f>cser!M$2</f>
        <v>70.576600000000013</v>
      </c>
      <c r="N69" s="39">
        <f>cser!N$2</f>
        <v>45.725343055640096</v>
      </c>
      <c r="O69" s="39">
        <f>cser!O$2</f>
        <v>67.751433146742286</v>
      </c>
      <c r="P69" s="39">
        <f>cser!P$2</f>
        <v>92.944622252123295</v>
      </c>
      <c r="Q69" s="39">
        <f>cser!Q$2</f>
        <v>115.24282106139567</v>
      </c>
      <c r="R69" s="39">
        <f>cser!R$2</f>
        <v>118.52104297545125</v>
      </c>
    </row>
    <row r="70" spans="1:18" ht="11.25" customHeight="1" x14ac:dyDescent="0.25">
      <c r="A70" s="42" t="s">
        <v>36</v>
      </c>
      <c r="B70" s="32" t="str">
        <f ca="1">HYPERLINK("#"&amp;CELL("address",csersh!$C$2),"csersh")</f>
        <v>csersh</v>
      </c>
      <c r="C70" s="41">
        <f>csersh!C$2</f>
        <v>46.985944629958432</v>
      </c>
      <c r="D70" s="41">
        <f>csersh!D$2</f>
        <v>47.223105927612387</v>
      </c>
      <c r="E70" s="41">
        <f>csersh!E$2</f>
        <v>53.250301538073188</v>
      </c>
      <c r="F70" s="41">
        <f>csersh!F$2</f>
        <v>63.185477001638958</v>
      </c>
      <c r="G70" s="41">
        <f>csersh!G$2</f>
        <v>66.649017638349292</v>
      </c>
      <c r="H70" s="41">
        <f>csersh!H$2</f>
        <v>17.244432070957888</v>
      </c>
      <c r="I70" s="41">
        <f>csersh!I$2</f>
        <v>12.522021549189912</v>
      </c>
      <c r="J70" s="41">
        <f>csersh!J$2</f>
        <v>12.056825132660506</v>
      </c>
      <c r="K70" s="41">
        <f>csersh!K$2</f>
        <v>6.2265810444803629</v>
      </c>
      <c r="L70" s="41">
        <f>csersh!L$2</f>
        <v>4.2905785726427261</v>
      </c>
      <c r="M70" s="41">
        <f>csersh!M$2</f>
        <v>57.533539607879021</v>
      </c>
      <c r="N70" s="41">
        <f>csersh!N$2</f>
        <v>31.140422630020261</v>
      </c>
      <c r="O70" s="41">
        <f>csersh!O$2</f>
        <v>54.336642705911601</v>
      </c>
      <c r="P70" s="41">
        <f>csersh!P$2</f>
        <v>76.188170732458545</v>
      </c>
      <c r="Q70" s="41">
        <f>csersh!Q$2</f>
        <v>98.748126878835194</v>
      </c>
      <c r="R70" s="41">
        <f>csersh!R$2</f>
        <v>102.28324082858795</v>
      </c>
    </row>
    <row r="71" spans="1:18" ht="11.25" customHeight="1" x14ac:dyDescent="0.25">
      <c r="A71" s="42" t="s">
        <v>35</v>
      </c>
      <c r="B71" s="32" t="str">
        <f ca="1">HYPERLINK("#"&amp;CELL("address",csersc!$C$2),"csersc")</f>
        <v>csersc</v>
      </c>
      <c r="C71" s="41">
        <f>csersc!C$2</f>
        <v>0</v>
      </c>
      <c r="D71" s="41">
        <f>csersc!D$2</f>
        <v>0</v>
      </c>
      <c r="E71" s="41">
        <f>csersc!E$2</f>
        <v>0</v>
      </c>
      <c r="F71" s="41">
        <f>csersc!F$2</f>
        <v>0</v>
      </c>
      <c r="G71" s="41">
        <f>csersc!G$2</f>
        <v>0</v>
      </c>
      <c r="H71" s="41">
        <f>csersc!H$2</f>
        <v>0</v>
      </c>
      <c r="I71" s="41">
        <f>csersc!I$2</f>
        <v>0</v>
      </c>
      <c r="J71" s="41">
        <f>csersc!J$2</f>
        <v>0</v>
      </c>
      <c r="K71" s="41">
        <f>csersc!K$2</f>
        <v>0</v>
      </c>
      <c r="L71" s="41">
        <f>csersc!L$2</f>
        <v>0</v>
      </c>
      <c r="M71" s="41">
        <f>csersc!M$2</f>
        <v>0</v>
      </c>
      <c r="N71" s="41">
        <f>csersc!N$2</f>
        <v>0</v>
      </c>
      <c r="O71" s="41">
        <f>csersc!O$2</f>
        <v>0</v>
      </c>
      <c r="P71" s="41">
        <f>csersc!P$2</f>
        <v>0</v>
      </c>
      <c r="Q71" s="41">
        <f>csersc!Q$2</f>
        <v>0</v>
      </c>
      <c r="R71" s="41">
        <f>csersc!R$2</f>
        <v>0</v>
      </c>
    </row>
    <row r="72" spans="1:18" ht="11.25" customHeight="1" x14ac:dyDescent="0.25">
      <c r="A72" s="42" t="s">
        <v>34</v>
      </c>
      <c r="B72" s="32" t="str">
        <f ca="1">HYPERLINK("#"&amp;CELL("address",cserhw!$C$2),"cserhw")</f>
        <v>cserhw</v>
      </c>
      <c r="C72" s="41">
        <f>cserhw!C$2</f>
        <v>3.6099785634699941</v>
      </c>
      <c r="D72" s="41">
        <f>cserhw!D$2</f>
        <v>3.643837925768068</v>
      </c>
      <c r="E72" s="41">
        <f>cserhw!E$2</f>
        <v>3.6366704111748969</v>
      </c>
      <c r="F72" s="41">
        <f>cserhw!F$2</f>
        <v>3.1470321329929996</v>
      </c>
      <c r="G72" s="41">
        <f>cserhw!G$2</f>
        <v>2.9411176373552572</v>
      </c>
      <c r="H72" s="41">
        <f>cserhw!H$2</f>
        <v>3.5213066669059843</v>
      </c>
      <c r="I72" s="41">
        <f>cserhw!I$2</f>
        <v>5.9677941031716921</v>
      </c>
      <c r="J72" s="41">
        <f>cserhw!J$2</f>
        <v>6.2374186491209329</v>
      </c>
      <c r="K72" s="41">
        <f>cserhw!K$2</f>
        <v>6.1747551160954108</v>
      </c>
      <c r="L72" s="41">
        <f>cserhw!L$2</f>
        <v>3.9767729604622795</v>
      </c>
      <c r="M72" s="41">
        <f>cserhw!M$2</f>
        <v>2.5362206784578545</v>
      </c>
      <c r="N72" s="41">
        <f>cserhw!N$2</f>
        <v>2.3564191481941537</v>
      </c>
      <c r="O72" s="41">
        <f>cserhw!O$2</f>
        <v>1.7172495003251982</v>
      </c>
      <c r="P72" s="41">
        <f>cserhw!P$2</f>
        <v>1.2773001886277218</v>
      </c>
      <c r="Q72" s="41">
        <f>cserhw!Q$2</f>
        <v>1.0129928187886319</v>
      </c>
      <c r="R72" s="41">
        <f>cserhw!R$2</f>
        <v>0.74852206505299257</v>
      </c>
    </row>
    <row r="73" spans="1:18" ht="11.25" customHeight="1" x14ac:dyDescent="0.25">
      <c r="A73" s="42" t="s">
        <v>33</v>
      </c>
      <c r="B73" s="32" t="str">
        <f ca="1">HYPERLINK("#"&amp;CELL("address",cserca!$C$2),"cserca")</f>
        <v>cserca</v>
      </c>
      <c r="C73" s="41">
        <f>cserca!C$2</f>
        <v>3.7503950061836591</v>
      </c>
      <c r="D73" s="41">
        <f>cserca!D$2</f>
        <v>3.6569443005800193</v>
      </c>
      <c r="E73" s="41">
        <f>cserca!E$2</f>
        <v>4.6016519181518944</v>
      </c>
      <c r="F73" s="41">
        <f>cserca!F$2</f>
        <v>4.4585976613955109</v>
      </c>
      <c r="G73" s="41">
        <f>cserca!G$2</f>
        <v>4.2407563116954332</v>
      </c>
      <c r="H73" s="41">
        <f>cserca!H$2</f>
        <v>4.9681567561255138</v>
      </c>
      <c r="I73" s="41">
        <f>cserca!I$2</f>
        <v>6.1356722465285962</v>
      </c>
      <c r="J73" s="41">
        <f>cserca!J$2</f>
        <v>6.3191142447060784</v>
      </c>
      <c r="K73" s="41">
        <f>cserca!K$2</f>
        <v>9.8363364940379991</v>
      </c>
      <c r="L73" s="41">
        <f>cserca!L$2</f>
        <v>10.393456966365349</v>
      </c>
      <c r="M73" s="41">
        <f>cserca!M$2</f>
        <v>10.506839713663133</v>
      </c>
      <c r="N73" s="41">
        <f>cserca!N$2</f>
        <v>12.228501277425686</v>
      </c>
      <c r="O73" s="41">
        <f>cserca!O$2</f>
        <v>11.697540940505499</v>
      </c>
      <c r="P73" s="41">
        <f>cserca!P$2</f>
        <v>15.479151331037023</v>
      </c>
      <c r="Q73" s="41">
        <f>cserca!Q$2</f>
        <v>15.481701363771844</v>
      </c>
      <c r="R73" s="41">
        <f>cserca!R$2</f>
        <v>15.48928008181031</v>
      </c>
    </row>
    <row r="74" spans="1:18" ht="11.25" customHeight="1" x14ac:dyDescent="0.25">
      <c r="A74" s="42" t="s">
        <v>32</v>
      </c>
      <c r="B74" s="32" t="str">
        <f ca="1">HYPERLINK("#"&amp;CELL("address",cserve!$C$2),"cserve")</f>
        <v>cserve</v>
      </c>
      <c r="C74" s="41">
        <f>cserve!C$2</f>
        <v>0</v>
      </c>
      <c r="D74" s="41">
        <f>cserve!D$2</f>
        <v>0</v>
      </c>
      <c r="E74" s="41">
        <f>cserve!E$2</f>
        <v>0</v>
      </c>
      <c r="F74" s="41">
        <f>cserve!F$2</f>
        <v>0</v>
      </c>
      <c r="G74" s="41">
        <f>cserve!G$2</f>
        <v>0</v>
      </c>
      <c r="H74" s="41">
        <f>cserve!H$2</f>
        <v>0</v>
      </c>
      <c r="I74" s="41">
        <f>cserve!I$2</f>
        <v>0</v>
      </c>
      <c r="J74" s="41">
        <f>cserve!J$2</f>
        <v>0</v>
      </c>
      <c r="K74" s="41">
        <f>cserve!K$2</f>
        <v>0</v>
      </c>
      <c r="L74" s="41">
        <f>cserve!L$2</f>
        <v>0</v>
      </c>
      <c r="M74" s="41">
        <f>cserve!M$2</f>
        <v>0</v>
      </c>
      <c r="N74" s="41">
        <f>cserve!N$2</f>
        <v>0</v>
      </c>
      <c r="O74" s="41">
        <f>cserve!O$2</f>
        <v>0</v>
      </c>
      <c r="P74" s="41">
        <f>cserve!P$2</f>
        <v>0</v>
      </c>
      <c r="Q74" s="41">
        <f>cserve!Q$2</f>
        <v>0</v>
      </c>
      <c r="R74" s="41">
        <f>cserve!R$2</f>
        <v>0</v>
      </c>
    </row>
    <row r="75" spans="1:18" ht="11.25" customHeight="1" x14ac:dyDescent="0.25">
      <c r="A75" s="42" t="s">
        <v>31</v>
      </c>
      <c r="B75" s="32" t="str">
        <f ca="1">HYPERLINK("#"&amp;CELL("address",csersl!$C$2),"csersl")</f>
        <v>csersl</v>
      </c>
      <c r="C75" s="41">
        <f>csersl!C$2</f>
        <v>0</v>
      </c>
      <c r="D75" s="41">
        <f>csersl!D$2</f>
        <v>0</v>
      </c>
      <c r="E75" s="41">
        <f>csersl!E$2</f>
        <v>0</v>
      </c>
      <c r="F75" s="41">
        <f>csersl!F$2</f>
        <v>0</v>
      </c>
      <c r="G75" s="41">
        <f>csersl!G$2</f>
        <v>0</v>
      </c>
      <c r="H75" s="41">
        <f>csersl!H$2</f>
        <v>0</v>
      </c>
      <c r="I75" s="41">
        <f>csersl!I$2</f>
        <v>0</v>
      </c>
      <c r="J75" s="41">
        <f>csersl!J$2</f>
        <v>0</v>
      </c>
      <c r="K75" s="41">
        <f>csersl!K$2</f>
        <v>0</v>
      </c>
      <c r="L75" s="41">
        <f>csersl!L$2</f>
        <v>0</v>
      </c>
      <c r="M75" s="41">
        <f>csersl!M$2</f>
        <v>0</v>
      </c>
      <c r="N75" s="41">
        <f>csersl!N$2</f>
        <v>0</v>
      </c>
      <c r="O75" s="41">
        <f>csersl!O$2</f>
        <v>0</v>
      </c>
      <c r="P75" s="41">
        <f>csersl!P$2</f>
        <v>0</v>
      </c>
      <c r="Q75" s="41">
        <f>csersl!Q$2</f>
        <v>0</v>
      </c>
      <c r="R75" s="41">
        <f>csersl!R$2</f>
        <v>0</v>
      </c>
    </row>
    <row r="76" spans="1:18" ht="11.25" customHeight="1" x14ac:dyDescent="0.25">
      <c r="A76" s="42" t="s">
        <v>30</v>
      </c>
      <c r="B76" s="32" t="str">
        <f ca="1">HYPERLINK("#"&amp;CELL("address",cserbl!$C$2),"cserbl")</f>
        <v>cserbl</v>
      </c>
      <c r="C76" s="41">
        <f>cserbl!C$2</f>
        <v>0</v>
      </c>
      <c r="D76" s="41">
        <f>cserbl!D$2</f>
        <v>0</v>
      </c>
      <c r="E76" s="41">
        <f>cserbl!E$2</f>
        <v>0</v>
      </c>
      <c r="F76" s="41">
        <f>cserbl!F$2</f>
        <v>0</v>
      </c>
      <c r="G76" s="41">
        <f>cserbl!G$2</f>
        <v>0</v>
      </c>
      <c r="H76" s="41">
        <f>cserbl!H$2</f>
        <v>0</v>
      </c>
      <c r="I76" s="41">
        <f>cserbl!I$2</f>
        <v>0</v>
      </c>
      <c r="J76" s="41">
        <f>cserbl!J$2</f>
        <v>0</v>
      </c>
      <c r="K76" s="41">
        <f>cserbl!K$2</f>
        <v>0</v>
      </c>
      <c r="L76" s="41">
        <f>cserbl!L$2</f>
        <v>0</v>
      </c>
      <c r="M76" s="41">
        <f>cserbl!M$2</f>
        <v>0</v>
      </c>
      <c r="N76" s="41">
        <f>cserbl!N$2</f>
        <v>0</v>
      </c>
      <c r="O76" s="41">
        <f>cserbl!O$2</f>
        <v>0</v>
      </c>
      <c r="P76" s="41">
        <f>cserbl!P$2</f>
        <v>0</v>
      </c>
      <c r="Q76" s="41">
        <f>cserbl!Q$2</f>
        <v>0</v>
      </c>
      <c r="R76" s="41">
        <f>cserbl!R$2</f>
        <v>0</v>
      </c>
    </row>
    <row r="77" spans="1:18" ht="11.25" customHeight="1" x14ac:dyDescent="0.25">
      <c r="A77" s="42" t="s">
        <v>29</v>
      </c>
      <c r="B77" s="32" t="str">
        <f ca="1">HYPERLINK("#"&amp;CELL("address",csercr!$C$2),"csercr")</f>
        <v>csercr</v>
      </c>
      <c r="C77" s="41">
        <f>csercr!C$2</f>
        <v>0</v>
      </c>
      <c r="D77" s="41">
        <f>csercr!D$2</f>
        <v>0</v>
      </c>
      <c r="E77" s="41">
        <f>csercr!E$2</f>
        <v>0</v>
      </c>
      <c r="F77" s="41">
        <f>csercr!F$2</f>
        <v>0</v>
      </c>
      <c r="G77" s="41">
        <f>csercr!G$2</f>
        <v>0</v>
      </c>
      <c r="H77" s="41">
        <f>csercr!H$2</f>
        <v>0</v>
      </c>
      <c r="I77" s="41">
        <f>csercr!I$2</f>
        <v>0</v>
      </c>
      <c r="J77" s="41">
        <f>csercr!J$2</f>
        <v>0</v>
      </c>
      <c r="K77" s="41">
        <f>csercr!K$2</f>
        <v>0</v>
      </c>
      <c r="L77" s="41">
        <f>csercr!L$2</f>
        <v>0</v>
      </c>
      <c r="M77" s="41">
        <f>csercr!M$2</f>
        <v>0</v>
      </c>
      <c r="N77" s="41">
        <f>csercr!N$2</f>
        <v>0</v>
      </c>
      <c r="O77" s="41">
        <f>csercr!O$2</f>
        <v>0</v>
      </c>
      <c r="P77" s="41">
        <f>csercr!P$2</f>
        <v>0</v>
      </c>
      <c r="Q77" s="41">
        <f>csercr!Q$2</f>
        <v>0</v>
      </c>
      <c r="R77" s="41">
        <f>csercr!R$2</f>
        <v>0</v>
      </c>
    </row>
    <row r="78" spans="1:18" ht="11.25" customHeight="1" x14ac:dyDescent="0.25">
      <c r="A78" s="42" t="s">
        <v>28</v>
      </c>
      <c r="B78" s="32" t="str">
        <f ca="1">HYPERLINK("#"&amp;CELL("address",cserbt!$C$2),"cserbt")</f>
        <v>cserbt</v>
      </c>
      <c r="C78" s="41">
        <f>cserbt!C$2</f>
        <v>0</v>
      </c>
      <c r="D78" s="41">
        <f>cserbt!D$2</f>
        <v>0</v>
      </c>
      <c r="E78" s="41">
        <f>cserbt!E$2</f>
        <v>0</v>
      </c>
      <c r="F78" s="41">
        <f>cserbt!F$2</f>
        <v>0</v>
      </c>
      <c r="G78" s="41">
        <f>cserbt!G$2</f>
        <v>0</v>
      </c>
      <c r="H78" s="41">
        <f>cserbt!H$2</f>
        <v>0</v>
      </c>
      <c r="I78" s="41">
        <f>cserbt!I$2</f>
        <v>0</v>
      </c>
      <c r="J78" s="41">
        <f>cserbt!J$2</f>
        <v>0</v>
      </c>
      <c r="K78" s="41">
        <f>cserbt!K$2</f>
        <v>0</v>
      </c>
      <c r="L78" s="41">
        <f>cserbt!L$2</f>
        <v>0</v>
      </c>
      <c r="M78" s="41">
        <f>cserbt!M$2</f>
        <v>0</v>
      </c>
      <c r="N78" s="41">
        <f>cserbt!N$2</f>
        <v>0</v>
      </c>
      <c r="O78" s="41">
        <f>cserbt!O$2</f>
        <v>0</v>
      </c>
      <c r="P78" s="41">
        <f>cserbt!P$2</f>
        <v>0</v>
      </c>
      <c r="Q78" s="41">
        <f>cserbt!Q$2</f>
        <v>0</v>
      </c>
      <c r="R78" s="41">
        <f>cserbt!R$2</f>
        <v>0</v>
      </c>
    </row>
    <row r="79" spans="1:18" ht="11.25" customHeight="1" x14ac:dyDescent="0.25">
      <c r="A79" s="42" t="s">
        <v>27</v>
      </c>
      <c r="B79" s="32" t="str">
        <f ca="1">HYPERLINK("#"&amp;CELL("address",cserit!$C$2),"cserit")</f>
        <v>cserit</v>
      </c>
      <c r="C79" s="41">
        <f>cserit!C$2</f>
        <v>0</v>
      </c>
      <c r="D79" s="41">
        <f>cserit!D$2</f>
        <v>0</v>
      </c>
      <c r="E79" s="41">
        <f>cserit!E$2</f>
        <v>0</v>
      </c>
      <c r="F79" s="41">
        <f>cserit!F$2</f>
        <v>0</v>
      </c>
      <c r="G79" s="41">
        <f>cserit!G$2</f>
        <v>0</v>
      </c>
      <c r="H79" s="41">
        <f>cserit!H$2</f>
        <v>0</v>
      </c>
      <c r="I79" s="41">
        <f>cserit!I$2</f>
        <v>0</v>
      </c>
      <c r="J79" s="41">
        <f>cserit!J$2</f>
        <v>0</v>
      </c>
      <c r="K79" s="41">
        <f>cserit!K$2</f>
        <v>0</v>
      </c>
      <c r="L79" s="41">
        <f>cserit!L$2</f>
        <v>0</v>
      </c>
      <c r="M79" s="41">
        <f>cserit!M$2</f>
        <v>0</v>
      </c>
      <c r="N79" s="41">
        <f>cserit!N$2</f>
        <v>0</v>
      </c>
      <c r="O79" s="41">
        <f>cserit!O$2</f>
        <v>0</v>
      </c>
      <c r="P79" s="41">
        <f>cserit!P$2</f>
        <v>0</v>
      </c>
      <c r="Q79" s="41">
        <f>cserit!Q$2</f>
        <v>0</v>
      </c>
      <c r="R79" s="41">
        <f>cserit!R$2</f>
        <v>0</v>
      </c>
    </row>
    <row r="80" spans="1:18" ht="11.25" customHeight="1" x14ac:dyDescent="0.25">
      <c r="A80" s="38" t="s">
        <v>26</v>
      </c>
      <c r="B80" s="32" t="str">
        <f ca="1">HYPERLINK("#"&amp;CELL("address",cagr!$C$2),"cagr")</f>
        <v>cagr</v>
      </c>
      <c r="C80" s="39">
        <f>cagr!C$2</f>
        <v>0</v>
      </c>
      <c r="D80" s="39">
        <f>cagr!D$2</f>
        <v>0</v>
      </c>
      <c r="E80" s="39">
        <f>cagr!E$2</f>
        <v>0</v>
      </c>
      <c r="F80" s="39">
        <f>cagr!F$2</f>
        <v>0</v>
      </c>
      <c r="G80" s="39">
        <f>cagr!G$2</f>
        <v>0</v>
      </c>
      <c r="H80" s="39">
        <f>cagr!H$2</f>
        <v>0</v>
      </c>
      <c r="I80" s="39">
        <f>cagr!I$2</f>
        <v>0</v>
      </c>
      <c r="J80" s="39">
        <f>cagr!J$2</f>
        <v>0</v>
      </c>
      <c r="K80" s="39">
        <f>cagr!K$2</f>
        <v>0</v>
      </c>
      <c r="L80" s="39">
        <f>cagr!L$2</f>
        <v>0</v>
      </c>
      <c r="M80" s="39">
        <f>cagr!M$2</f>
        <v>22.097699999999978</v>
      </c>
      <c r="N80" s="39">
        <f>cagr!N$2</f>
        <v>15.723357856872873</v>
      </c>
      <c r="O80" s="39">
        <f>cagr!O$2</f>
        <v>18.911391815598488</v>
      </c>
      <c r="P80" s="39">
        <f>cagr!P$2</f>
        <v>22.098421270883769</v>
      </c>
      <c r="Q80" s="39">
        <f>cagr!Q$2</f>
        <v>25.285827223268232</v>
      </c>
      <c r="R80" s="39">
        <f>cagr!R$2</f>
        <v>22.061755560738177</v>
      </c>
    </row>
    <row r="81" spans="1:18" ht="11.25" customHeight="1" x14ac:dyDescent="0.25">
      <c r="A81" s="36" t="s">
        <v>25</v>
      </c>
      <c r="B81" s="32" t="str">
        <f ca="1">HYPERLINK("#"&amp;CELL("address",CTR!$C$2),"CTR")</f>
        <v>CTR</v>
      </c>
      <c r="C81" s="37">
        <f>CTR!C$2</f>
        <v>833.55133642497185</v>
      </c>
      <c r="D81" s="37">
        <f>CTR!D$2</f>
        <v>709.05082185324</v>
      </c>
      <c r="E81" s="37">
        <f>CTR!E$2</f>
        <v>559.48292136000009</v>
      </c>
      <c r="F81" s="37">
        <f>CTR!F$2</f>
        <v>608.40035086150806</v>
      </c>
      <c r="G81" s="37">
        <f>CTR!G$2</f>
        <v>756.75195828000005</v>
      </c>
      <c r="H81" s="37">
        <f>CTR!H$2</f>
        <v>595.06846090746444</v>
      </c>
      <c r="I81" s="37">
        <f>CTR!I$2</f>
        <v>588.84316015420814</v>
      </c>
      <c r="J81" s="37">
        <f>CTR!J$2</f>
        <v>613.99590681985205</v>
      </c>
      <c r="K81" s="37">
        <f>CTR!K$2</f>
        <v>931.88698697692803</v>
      </c>
      <c r="L81" s="37">
        <f>CTR!L$2</f>
        <v>744.00744002374813</v>
      </c>
      <c r="M81" s="37">
        <f>CTR!M$2</f>
        <v>864.48060000000009</v>
      </c>
      <c r="N81" s="37">
        <f>CTR!N$2</f>
        <v>864.30838767967487</v>
      </c>
      <c r="O81" s="37">
        <f>CTR!O$2</f>
        <v>839.38106731189873</v>
      </c>
      <c r="P81" s="37">
        <f>CTR!P$2</f>
        <v>870.48345984672073</v>
      </c>
      <c r="Q81" s="37">
        <f>CTR!Q$2</f>
        <v>879.5299502530446</v>
      </c>
      <c r="R81" s="37">
        <f>CTR!R$2</f>
        <v>926.31167839709099</v>
      </c>
    </row>
    <row r="82" spans="1:18" ht="11.25" customHeight="1" x14ac:dyDescent="0.25">
      <c r="A82" s="38" t="s">
        <v>24</v>
      </c>
      <c r="B82" s="32" t="str">
        <f ca="1">HYPERLINK("#"&amp;CELL("address",ctro!$C$2),"ctro")</f>
        <v>ctro</v>
      </c>
      <c r="C82" s="39">
        <f>ctro!C$2</f>
        <v>462.53026618069021</v>
      </c>
      <c r="D82" s="39">
        <f>ctro!D$2</f>
        <v>430.83113037728401</v>
      </c>
      <c r="E82" s="39">
        <f>ctro!E$2</f>
        <v>290.36127887999999</v>
      </c>
      <c r="F82" s="39">
        <f>ctro!F$2</f>
        <v>370.38393231418797</v>
      </c>
      <c r="G82" s="39">
        <f>ctro!G$2</f>
        <v>450.69101676000002</v>
      </c>
      <c r="H82" s="39">
        <f>ctro!H$2</f>
        <v>329.1830760938991</v>
      </c>
      <c r="I82" s="39">
        <f>ctro!I$2</f>
        <v>357.08993072222404</v>
      </c>
      <c r="J82" s="39">
        <f>ctro!J$2</f>
        <v>341.83249318004403</v>
      </c>
      <c r="K82" s="39">
        <f>ctro!K$2</f>
        <v>545.29732982235601</v>
      </c>
      <c r="L82" s="39">
        <f>ctro!L$2</f>
        <v>468.86517914374804</v>
      </c>
      <c r="M82" s="39">
        <f>ctro!M$2</f>
        <v>504.5061</v>
      </c>
      <c r="N82" s="39">
        <f>ctro!N$2</f>
        <v>494.9618061549042</v>
      </c>
      <c r="O82" s="39">
        <f>ctro!O$2</f>
        <v>491.96705317666397</v>
      </c>
      <c r="P82" s="39">
        <f>ctro!P$2</f>
        <v>498.14063146225925</v>
      </c>
      <c r="Q82" s="39">
        <f>ctro!Q$2</f>
        <v>507.67225234784843</v>
      </c>
      <c r="R82" s="39">
        <f>ctro!R$2</f>
        <v>529.40586522974422</v>
      </c>
    </row>
    <row r="83" spans="1:18" ht="11.25" customHeight="1" x14ac:dyDescent="0.25">
      <c r="A83" s="42" t="s">
        <v>23</v>
      </c>
      <c r="B83" s="32" t="str">
        <f ca="1">HYPERLINK("#"&amp;CELL("address",cp2w!$C$2),"cp2w")</f>
        <v>cp2w</v>
      </c>
      <c r="C83" s="41">
        <f>cp2w!C$2</f>
        <v>3.4041129779956782</v>
      </c>
      <c r="D83" s="41">
        <f>cp2w!D$2</f>
        <v>3.5066320937204662</v>
      </c>
      <c r="E83" s="41">
        <f>cp2w!E$2</f>
        <v>3.6257056917991779</v>
      </c>
      <c r="F83" s="41">
        <f>cp2w!F$2</f>
        <v>3.7044442842079279</v>
      </c>
      <c r="G83" s="41">
        <f>cp2w!G$2</f>
        <v>3.4504840509275763</v>
      </c>
      <c r="H83" s="41">
        <f>cp2w!H$2</f>
        <v>3.2228794198008694</v>
      </c>
      <c r="I83" s="41">
        <f>cp2w!I$2</f>
        <v>3.2894831462615959</v>
      </c>
      <c r="J83" s="41">
        <f>cp2w!J$2</f>
        <v>3.4089678483858581</v>
      </c>
      <c r="K83" s="41">
        <f>cp2w!K$2</f>
        <v>3.7900397704890825</v>
      </c>
      <c r="L83" s="41">
        <f>cp2w!L$2</f>
        <v>3.7366581269340919</v>
      </c>
      <c r="M83" s="41">
        <f>cp2w!M$2</f>
        <v>3.7579570169995264</v>
      </c>
      <c r="N83" s="41">
        <f>cp2w!N$2</f>
        <v>3.917466214204754</v>
      </c>
      <c r="O83" s="41">
        <f>cp2w!O$2</f>
        <v>3.9029877674434363</v>
      </c>
      <c r="P83" s="41">
        <f>cp2w!P$2</f>
        <v>4.1045271550575695</v>
      </c>
      <c r="Q83" s="41">
        <f>cp2w!Q$2</f>
        <v>4.4024953756283605</v>
      </c>
      <c r="R83" s="41">
        <f>cp2w!R$2</f>
        <v>4.4773210402207013</v>
      </c>
    </row>
    <row r="84" spans="1:18" ht="11.25" customHeight="1" x14ac:dyDescent="0.25">
      <c r="A84" s="42" t="s">
        <v>22</v>
      </c>
      <c r="B84" s="32" t="str">
        <f ca="1">HYPERLINK("#"&amp;CELL("address",ccar!$C$2),"ccar")</f>
        <v>ccar</v>
      </c>
      <c r="C84" s="41">
        <f>ccar!C$2</f>
        <v>242.6864502342857</v>
      </c>
      <c r="D84" s="41">
        <f>ccar!D$2</f>
        <v>231.09522622942308</v>
      </c>
      <c r="E84" s="41">
        <f>ccar!E$2</f>
        <v>239.10392173089417</v>
      </c>
      <c r="F84" s="41">
        <f>ccar!F$2</f>
        <v>237.27151874927026</v>
      </c>
      <c r="G84" s="41">
        <f>ccar!G$2</f>
        <v>212.51830121983699</v>
      </c>
      <c r="H84" s="41">
        <f>ccar!H$2</f>
        <v>229.35104122073943</v>
      </c>
      <c r="I84" s="41">
        <f>ccar!I$2</f>
        <v>255.74199561059919</v>
      </c>
      <c r="J84" s="41">
        <f>ccar!J$2</f>
        <v>221.70902104136616</v>
      </c>
      <c r="K84" s="41">
        <f>ccar!K$2</f>
        <v>277.12420738474771</v>
      </c>
      <c r="L84" s="41">
        <f>ccar!L$2</f>
        <v>272.70361926186501</v>
      </c>
      <c r="M84" s="41">
        <f>ccar!M$2</f>
        <v>310.55262711905414</v>
      </c>
      <c r="N84" s="41">
        <f>ccar!N$2</f>
        <v>316.70802877500296</v>
      </c>
      <c r="O84" s="41">
        <f>ccar!O$2</f>
        <v>315.95016510827435</v>
      </c>
      <c r="P84" s="41">
        <f>ccar!P$2</f>
        <v>323.21631001596154</v>
      </c>
      <c r="Q84" s="41">
        <f>ccar!Q$2</f>
        <v>321.53369740191079</v>
      </c>
      <c r="R84" s="41">
        <f>ccar!R$2</f>
        <v>336.59119195810467</v>
      </c>
    </row>
    <row r="85" spans="1:18" ht="11.25" customHeight="1" x14ac:dyDescent="0.25">
      <c r="A85" s="42" t="s">
        <v>21</v>
      </c>
      <c r="B85" s="32" t="str">
        <f ca="1">HYPERLINK("#"&amp;CELL("address",cbus!$C$2),"cbus")</f>
        <v>cbus</v>
      </c>
      <c r="C85" s="41">
        <f>cbus!C$2</f>
        <v>41.096433913678858</v>
      </c>
      <c r="D85" s="41">
        <f>cbus!D$2</f>
        <v>39.516794357395142</v>
      </c>
      <c r="E85" s="41">
        <f>cbus!E$2</f>
        <v>15.291837293355158</v>
      </c>
      <c r="F85" s="41">
        <f>cbus!F$2</f>
        <v>31.415663542394942</v>
      </c>
      <c r="G85" s="41">
        <f>cbus!G$2</f>
        <v>45.222293012745212</v>
      </c>
      <c r="H85" s="41">
        <f>cbus!H$2</f>
        <v>26.155322140545117</v>
      </c>
      <c r="I85" s="41">
        <f>cbus!I$2</f>
        <v>27.446506812148595</v>
      </c>
      <c r="J85" s="41">
        <f>cbus!J$2</f>
        <v>30.50862092542113</v>
      </c>
      <c r="K85" s="41">
        <f>cbus!K$2</f>
        <v>69.440533819301706</v>
      </c>
      <c r="L85" s="41">
        <f>cbus!L$2</f>
        <v>49.768763306213252</v>
      </c>
      <c r="M85" s="41">
        <f>cbus!M$2</f>
        <v>59.56008366219698</v>
      </c>
      <c r="N85" s="41">
        <f>cbus!N$2</f>
        <v>59.181542184617335</v>
      </c>
      <c r="O85" s="41">
        <f>cbus!O$2</f>
        <v>66.873784397205895</v>
      </c>
      <c r="P85" s="41">
        <f>cbus!P$2</f>
        <v>66.980196234819374</v>
      </c>
      <c r="Q85" s="41">
        <f>cbus!Q$2</f>
        <v>77.63950475060679</v>
      </c>
      <c r="R85" s="41">
        <f>cbus!R$2</f>
        <v>86.216391889186013</v>
      </c>
    </row>
    <row r="86" spans="1:18" ht="11.25" customHeight="1" x14ac:dyDescent="0.25">
      <c r="A86" s="42" t="s">
        <v>20</v>
      </c>
      <c r="B86" s="32" t="str">
        <f ca="1">HYPERLINK("#"&amp;CELL("address",clcv!$C$2),"clcv")</f>
        <v>clcv</v>
      </c>
      <c r="C86" s="41">
        <f>clcv!C$2</f>
        <v>49.043103487763467</v>
      </c>
      <c r="D86" s="41">
        <f>clcv!D$2</f>
        <v>46.378800474965779</v>
      </c>
      <c r="E86" s="41">
        <f>clcv!E$2</f>
        <v>19.210798565454994</v>
      </c>
      <c r="F86" s="41">
        <f>clcv!F$2</f>
        <v>37.278555640760189</v>
      </c>
      <c r="G86" s="41">
        <f>clcv!G$2</f>
        <v>50.998128783466235</v>
      </c>
      <c r="H86" s="41">
        <f>clcv!H$2</f>
        <v>30.422624153647245</v>
      </c>
      <c r="I86" s="41">
        <f>clcv!I$2</f>
        <v>32.56850963690259</v>
      </c>
      <c r="J86" s="41">
        <f>clcv!J$2</f>
        <v>38.205802044425511</v>
      </c>
      <c r="K86" s="41">
        <f>clcv!K$2</f>
        <v>85.512730435226615</v>
      </c>
      <c r="L86" s="41">
        <f>clcv!L$2</f>
        <v>64.051340282431767</v>
      </c>
      <c r="M86" s="41">
        <f>clcv!M$2</f>
        <v>64.321688082701684</v>
      </c>
      <c r="N86" s="41">
        <f>clcv!N$2</f>
        <v>59.518011584371585</v>
      </c>
      <c r="O86" s="41">
        <f>clcv!O$2</f>
        <v>56.37782885306882</v>
      </c>
      <c r="P86" s="41">
        <f>clcv!P$2</f>
        <v>55.801454378819244</v>
      </c>
      <c r="Q86" s="41">
        <f>clcv!Q$2</f>
        <v>61.842723721795174</v>
      </c>
      <c r="R86" s="41">
        <f>clcv!R$2</f>
        <v>62.724547891236597</v>
      </c>
    </row>
    <row r="87" spans="1:18" ht="11.25" customHeight="1" x14ac:dyDescent="0.25">
      <c r="A87" s="42" t="s">
        <v>19</v>
      </c>
      <c r="B87" s="32" t="str">
        <f ca="1">HYPERLINK("#"&amp;CELL("address",chdv!$C$2),"chdv")</f>
        <v>chdv</v>
      </c>
      <c r="C87" s="41">
        <f>chdv!C$2</f>
        <v>126.30016556696656</v>
      </c>
      <c r="D87" s="41">
        <f>chdv!D$2</f>
        <v>110.33367722177955</v>
      </c>
      <c r="E87" s="41">
        <f>chdv!E$2</f>
        <v>13.129015598496526</v>
      </c>
      <c r="F87" s="41">
        <f>chdv!F$2</f>
        <v>60.71375009755473</v>
      </c>
      <c r="G87" s="41">
        <f>chdv!G$2</f>
        <v>138.50180969302403</v>
      </c>
      <c r="H87" s="41">
        <f>chdv!H$2</f>
        <v>40.031209159166458</v>
      </c>
      <c r="I87" s="41">
        <f>chdv!I$2</f>
        <v>38.043435516312051</v>
      </c>
      <c r="J87" s="41">
        <f>chdv!J$2</f>
        <v>48.000081320445382</v>
      </c>
      <c r="K87" s="41">
        <f>chdv!K$2</f>
        <v>109.42981841259095</v>
      </c>
      <c r="L87" s="41">
        <f>chdv!L$2</f>
        <v>78.604798166303908</v>
      </c>
      <c r="M87" s="41">
        <f>chdv!M$2</f>
        <v>66.31374411904774</v>
      </c>
      <c r="N87" s="41">
        <f>chdv!N$2</f>
        <v>55.636757396707594</v>
      </c>
      <c r="O87" s="41">
        <f>chdv!O$2</f>
        <v>48.86228705067149</v>
      </c>
      <c r="P87" s="41">
        <f>chdv!P$2</f>
        <v>48.038143677601617</v>
      </c>
      <c r="Q87" s="41">
        <f>chdv!Q$2</f>
        <v>42.253831097907366</v>
      </c>
      <c r="R87" s="41">
        <f>chdv!R$2</f>
        <v>39.396412450996166</v>
      </c>
    </row>
    <row r="88" spans="1:18" ht="11.25" customHeight="1" x14ac:dyDescent="0.25">
      <c r="A88" s="38" t="s">
        <v>18</v>
      </c>
      <c r="B88" s="32" t="str">
        <f ca="1">HYPERLINK("#"&amp;CELL("address",ctra!$C$2),"ctra")</f>
        <v>ctra</v>
      </c>
      <c r="C88" s="39">
        <f>ctra!C$2</f>
        <v>0</v>
      </c>
      <c r="D88" s="39">
        <f>ctra!D$2</f>
        <v>0</v>
      </c>
      <c r="E88" s="39">
        <f>ctra!E$2</f>
        <v>0</v>
      </c>
      <c r="F88" s="39">
        <f>ctra!F$2</f>
        <v>0</v>
      </c>
      <c r="G88" s="39">
        <f>ctra!G$2</f>
        <v>0</v>
      </c>
      <c r="H88" s="39">
        <f>ctra!H$2</f>
        <v>0</v>
      </c>
      <c r="I88" s="39">
        <f>ctra!I$2</f>
        <v>0</v>
      </c>
      <c r="J88" s="39">
        <f>ctra!J$2</f>
        <v>0</v>
      </c>
      <c r="K88" s="39">
        <f>ctra!K$2</f>
        <v>0</v>
      </c>
      <c r="L88" s="39">
        <f>ctra!L$2</f>
        <v>0</v>
      </c>
      <c r="M88" s="39">
        <f>ctra!M$2</f>
        <v>0</v>
      </c>
      <c r="N88" s="39">
        <f>ctra!N$2</f>
        <v>0</v>
      </c>
      <c r="O88" s="39">
        <f>ctra!O$2</f>
        <v>0</v>
      </c>
      <c r="P88" s="39">
        <f>ctra!P$2</f>
        <v>0</v>
      </c>
      <c r="Q88" s="39">
        <f>ctra!Q$2</f>
        <v>0</v>
      </c>
      <c r="R88" s="39">
        <f>ctra!R$2</f>
        <v>0</v>
      </c>
    </row>
    <row r="89" spans="1:18" ht="11.25" customHeight="1" x14ac:dyDescent="0.25">
      <c r="A89" s="42" t="s">
        <v>17</v>
      </c>
      <c r="B89" s="32" t="str">
        <f ca="1">HYPERLINK("#"&amp;CELL("address",crtp!$C$2),"crtp")</f>
        <v>crtp</v>
      </c>
      <c r="C89" s="41">
        <f>crtp!C$2</f>
        <v>0</v>
      </c>
      <c r="D89" s="41">
        <f>crtp!D$2</f>
        <v>0</v>
      </c>
      <c r="E89" s="41">
        <f>crtp!E$2</f>
        <v>0</v>
      </c>
      <c r="F89" s="41">
        <f>crtp!F$2</f>
        <v>0</v>
      </c>
      <c r="G89" s="41">
        <f>crtp!G$2</f>
        <v>0</v>
      </c>
      <c r="H89" s="41">
        <f>crtp!H$2</f>
        <v>0</v>
      </c>
      <c r="I89" s="41">
        <f>crtp!I$2</f>
        <v>0</v>
      </c>
      <c r="J89" s="41">
        <f>crtp!J$2</f>
        <v>0</v>
      </c>
      <c r="K89" s="41">
        <f>crtp!K$2</f>
        <v>0</v>
      </c>
      <c r="L89" s="41">
        <f>crtp!L$2</f>
        <v>0</v>
      </c>
      <c r="M89" s="41">
        <f>crtp!M$2</f>
        <v>0</v>
      </c>
      <c r="N89" s="41">
        <f>crtp!N$2</f>
        <v>0</v>
      </c>
      <c r="O89" s="41">
        <f>crtp!O$2</f>
        <v>0</v>
      </c>
      <c r="P89" s="41">
        <f>crtp!P$2</f>
        <v>0</v>
      </c>
      <c r="Q89" s="41">
        <f>crtp!Q$2</f>
        <v>0</v>
      </c>
      <c r="R89" s="41">
        <f>crtp!R$2</f>
        <v>0</v>
      </c>
    </row>
    <row r="90" spans="1:18" ht="11.25" customHeight="1" x14ac:dyDescent="0.25">
      <c r="A90" s="42" t="s">
        <v>16</v>
      </c>
      <c r="B90" s="32" t="str">
        <f ca="1">HYPERLINK("#"&amp;CELL("address",crth!$C$2),"crth")</f>
        <v>crth</v>
      </c>
      <c r="C90" s="41">
        <f>crth!C$2</f>
        <v>0</v>
      </c>
      <c r="D90" s="41">
        <f>crth!D$2</f>
        <v>0</v>
      </c>
      <c r="E90" s="41">
        <f>crth!E$2</f>
        <v>0</v>
      </c>
      <c r="F90" s="41">
        <f>crth!F$2</f>
        <v>0</v>
      </c>
      <c r="G90" s="41">
        <f>crth!G$2</f>
        <v>0</v>
      </c>
      <c r="H90" s="41">
        <f>crth!H$2</f>
        <v>0</v>
      </c>
      <c r="I90" s="41">
        <f>crth!I$2</f>
        <v>0</v>
      </c>
      <c r="J90" s="41">
        <f>crth!J$2</f>
        <v>0</v>
      </c>
      <c r="K90" s="41">
        <f>crth!K$2</f>
        <v>0</v>
      </c>
      <c r="L90" s="41">
        <f>crth!L$2</f>
        <v>0</v>
      </c>
      <c r="M90" s="41">
        <f>crth!M$2</f>
        <v>0</v>
      </c>
      <c r="N90" s="41">
        <f>crth!N$2</f>
        <v>0</v>
      </c>
      <c r="O90" s="41">
        <f>crth!O$2</f>
        <v>0</v>
      </c>
      <c r="P90" s="41">
        <f>crth!P$2</f>
        <v>0</v>
      </c>
      <c r="Q90" s="41">
        <f>crth!Q$2</f>
        <v>0</v>
      </c>
      <c r="R90" s="41">
        <f>crth!R$2</f>
        <v>0</v>
      </c>
    </row>
    <row r="91" spans="1:18" ht="11.25" customHeight="1" x14ac:dyDescent="0.25">
      <c r="A91" s="42" t="s">
        <v>15</v>
      </c>
      <c r="B91" s="32" t="str">
        <f ca="1">HYPERLINK("#"&amp;CELL("address",crtm!$C$2),"crtm")</f>
        <v>crtm</v>
      </c>
      <c r="C91" s="41">
        <f>crtm!C$2</f>
        <v>0</v>
      </c>
      <c r="D91" s="41">
        <f>crtm!D$2</f>
        <v>0</v>
      </c>
      <c r="E91" s="41">
        <f>crtm!E$2</f>
        <v>0</v>
      </c>
      <c r="F91" s="41">
        <f>crtm!F$2</f>
        <v>0</v>
      </c>
      <c r="G91" s="41">
        <f>crtm!G$2</f>
        <v>0</v>
      </c>
      <c r="H91" s="41">
        <f>crtm!H$2</f>
        <v>0</v>
      </c>
      <c r="I91" s="41">
        <f>crtm!I$2</f>
        <v>0</v>
      </c>
      <c r="J91" s="41">
        <f>crtm!J$2</f>
        <v>0</v>
      </c>
      <c r="K91" s="41">
        <f>crtm!K$2</f>
        <v>0</v>
      </c>
      <c r="L91" s="41">
        <f>crtm!L$2</f>
        <v>0</v>
      </c>
      <c r="M91" s="41">
        <f>crtm!M$2</f>
        <v>0</v>
      </c>
      <c r="N91" s="41">
        <f>crtm!N$2</f>
        <v>0</v>
      </c>
      <c r="O91" s="41">
        <f>crtm!O$2</f>
        <v>0</v>
      </c>
      <c r="P91" s="41">
        <f>crtm!P$2</f>
        <v>0</v>
      </c>
      <c r="Q91" s="41">
        <f>crtm!Q$2</f>
        <v>0</v>
      </c>
      <c r="R91" s="41">
        <f>crtm!R$2</f>
        <v>0</v>
      </c>
    </row>
    <row r="92" spans="1:18" ht="11.25" customHeight="1" x14ac:dyDescent="0.25">
      <c r="A92" s="42" t="s">
        <v>14</v>
      </c>
      <c r="B92" s="32" t="str">
        <f ca="1">HYPERLINK("#"&amp;CELL("address",crtf!$C$2),"crtf")</f>
        <v>crtf</v>
      </c>
      <c r="C92" s="41">
        <f>crtf!C$2</f>
        <v>0</v>
      </c>
      <c r="D92" s="41">
        <f>crtf!D$2</f>
        <v>0</v>
      </c>
      <c r="E92" s="41">
        <f>crtf!E$2</f>
        <v>0</v>
      </c>
      <c r="F92" s="41">
        <f>crtf!F$2</f>
        <v>0</v>
      </c>
      <c r="G92" s="41">
        <f>crtf!G$2</f>
        <v>0</v>
      </c>
      <c r="H92" s="41">
        <f>crtf!H$2</f>
        <v>0</v>
      </c>
      <c r="I92" s="41">
        <f>crtf!I$2</f>
        <v>0</v>
      </c>
      <c r="J92" s="41">
        <f>crtf!J$2</f>
        <v>0</v>
      </c>
      <c r="K92" s="41">
        <f>crtf!K$2</f>
        <v>0</v>
      </c>
      <c r="L92" s="41">
        <f>crtf!L$2</f>
        <v>0</v>
      </c>
      <c r="M92" s="41">
        <f>crtf!M$2</f>
        <v>0</v>
      </c>
      <c r="N92" s="41">
        <f>crtf!N$2</f>
        <v>0</v>
      </c>
      <c r="O92" s="41">
        <f>crtf!O$2</f>
        <v>0</v>
      </c>
      <c r="P92" s="41">
        <f>crtf!P$2</f>
        <v>0</v>
      </c>
      <c r="Q92" s="41">
        <f>crtf!Q$2</f>
        <v>0</v>
      </c>
      <c r="R92" s="41">
        <f>crtf!R$2</f>
        <v>0</v>
      </c>
    </row>
    <row r="93" spans="1:18" ht="11.25" customHeight="1" x14ac:dyDescent="0.25">
      <c r="A93" s="38" t="s">
        <v>13</v>
      </c>
      <c r="B93" s="32" t="str">
        <f ca="1">HYPERLINK("#"&amp;CELL("address",ctav!$C$2),"ctav")</f>
        <v>ctav</v>
      </c>
      <c r="C93" s="39">
        <f>ctav!C$2</f>
        <v>371.0210702442817</v>
      </c>
      <c r="D93" s="39">
        <f>ctav!D$2</f>
        <v>278.21969147595598</v>
      </c>
      <c r="E93" s="39">
        <f>ctav!E$2</f>
        <v>269.12164248000005</v>
      </c>
      <c r="F93" s="39">
        <f>ctav!F$2</f>
        <v>238.01641854732003</v>
      </c>
      <c r="G93" s="39">
        <f>ctav!G$2</f>
        <v>306.06094152000003</v>
      </c>
      <c r="H93" s="39">
        <f>ctav!H$2</f>
        <v>265.88538481356539</v>
      </c>
      <c r="I93" s="39">
        <f>ctav!I$2</f>
        <v>231.75322943198404</v>
      </c>
      <c r="J93" s="39">
        <f>ctav!J$2</f>
        <v>272.16341363980803</v>
      </c>
      <c r="K93" s="39">
        <f>ctav!K$2</f>
        <v>386.58965715457202</v>
      </c>
      <c r="L93" s="39">
        <f>ctav!L$2</f>
        <v>275.14226088000004</v>
      </c>
      <c r="M93" s="39">
        <f>ctav!M$2</f>
        <v>306.07829999999996</v>
      </c>
      <c r="N93" s="39">
        <f>ctav!N$2</f>
        <v>318.45458937924354</v>
      </c>
      <c r="O93" s="39">
        <f>ctav!O$2</f>
        <v>302.98645569950259</v>
      </c>
      <c r="P93" s="39">
        <f>ctav!P$2</f>
        <v>318.44510000000082</v>
      </c>
      <c r="Q93" s="39">
        <f>ctav!Q$2</f>
        <v>336.99529999999976</v>
      </c>
      <c r="R93" s="39">
        <f>ctav!R$2</f>
        <v>352.46845138842542</v>
      </c>
    </row>
    <row r="94" spans="1:18" ht="11.25" customHeight="1" x14ac:dyDescent="0.25">
      <c r="A94" s="42" t="s">
        <v>12</v>
      </c>
      <c r="B94" s="32" t="str">
        <f ca="1">HYPERLINK("#"&amp;CELL("address",capd!$C$2),"capd")</f>
        <v>capd</v>
      </c>
      <c r="C94" s="41">
        <f>capd!C$2</f>
        <v>0</v>
      </c>
      <c r="D94" s="41">
        <f>capd!D$2</f>
        <v>0</v>
      </c>
      <c r="E94" s="41">
        <f>capd!E$2</f>
        <v>0</v>
      </c>
      <c r="F94" s="41">
        <f>capd!F$2</f>
        <v>0</v>
      </c>
      <c r="G94" s="41">
        <f>capd!G$2</f>
        <v>0</v>
      </c>
      <c r="H94" s="41">
        <f>capd!H$2</f>
        <v>0</v>
      </c>
      <c r="I94" s="41">
        <f>capd!I$2</f>
        <v>0</v>
      </c>
      <c r="J94" s="41">
        <f>capd!J$2</f>
        <v>0</v>
      </c>
      <c r="K94" s="41">
        <f>capd!K$2</f>
        <v>0</v>
      </c>
      <c r="L94" s="41">
        <f>capd!L$2</f>
        <v>0</v>
      </c>
      <c r="M94" s="41">
        <f>capd!M$2</f>
        <v>0</v>
      </c>
      <c r="N94" s="41">
        <f>capd!N$2</f>
        <v>0</v>
      </c>
      <c r="O94" s="41">
        <f>capd!O$2</f>
        <v>0</v>
      </c>
      <c r="P94" s="41">
        <f>capd!P$2</f>
        <v>0</v>
      </c>
      <c r="Q94" s="41">
        <f>capd!Q$2</f>
        <v>0</v>
      </c>
      <c r="R94" s="41">
        <f>capd!R$2</f>
        <v>0</v>
      </c>
    </row>
    <row r="95" spans="1:18" ht="11.25" customHeight="1" x14ac:dyDescent="0.25">
      <c r="A95" s="42" t="s">
        <v>11</v>
      </c>
      <c r="B95" s="32" t="str">
        <f ca="1">HYPERLINK("#"&amp;CELL("address",capi!$C$2),"capi")</f>
        <v>capi</v>
      </c>
      <c r="C95" s="41">
        <f>capi!C$2</f>
        <v>264.76775894510405</v>
      </c>
      <c r="D95" s="41">
        <f>capi!D$2</f>
        <v>209.51827659563179</v>
      </c>
      <c r="E95" s="41">
        <f>capi!E$2</f>
        <v>212.59832233553593</v>
      </c>
      <c r="F95" s="41">
        <f>capi!F$2</f>
        <v>187.44048686588337</v>
      </c>
      <c r="G95" s="41">
        <f>capi!G$2</f>
        <v>245.85802155568251</v>
      </c>
      <c r="H95" s="41">
        <f>capi!H$2</f>
        <v>216.67853335745806</v>
      </c>
      <c r="I95" s="41">
        <f>capi!I$2</f>
        <v>189.33185988069974</v>
      </c>
      <c r="J95" s="41">
        <f>capi!J$2</f>
        <v>227.51142864259759</v>
      </c>
      <c r="K95" s="41">
        <f>capi!K$2</f>
        <v>324.40533052447506</v>
      </c>
      <c r="L95" s="41">
        <f>capi!L$2</f>
        <v>234.34193259372793</v>
      </c>
      <c r="M95" s="41">
        <f>capi!M$2</f>
        <v>260.88519604553676</v>
      </c>
      <c r="N95" s="41">
        <f>capi!N$2</f>
        <v>275.59562540911674</v>
      </c>
      <c r="O95" s="41">
        <f>capi!O$2</f>
        <v>255.39099819599164</v>
      </c>
      <c r="P95" s="41">
        <f>capi!P$2</f>
        <v>259.67916341999796</v>
      </c>
      <c r="Q95" s="41">
        <f>capi!Q$2</f>
        <v>279.59081071391307</v>
      </c>
      <c r="R95" s="41">
        <f>capi!R$2</f>
        <v>303.48700957776441</v>
      </c>
    </row>
    <row r="96" spans="1:18" ht="11.25" customHeight="1" x14ac:dyDescent="0.25">
      <c r="A96" s="42" t="s">
        <v>10</v>
      </c>
      <c r="B96" s="32" t="str">
        <f ca="1">HYPERLINK("#"&amp;CELL("address",cape!$C$2),"cape")</f>
        <v>cape</v>
      </c>
      <c r="C96" s="41">
        <f>cape!C$2</f>
        <v>97.715577466286589</v>
      </c>
      <c r="D96" s="41">
        <f>cape!D$2</f>
        <v>62.325104293790666</v>
      </c>
      <c r="E96" s="41">
        <f>cape!E$2</f>
        <v>50.013714943811053</v>
      </c>
      <c r="F96" s="41">
        <f>cape!F$2</f>
        <v>43.261268327037108</v>
      </c>
      <c r="G96" s="41">
        <f>cape!G$2</f>
        <v>52.009404295455958</v>
      </c>
      <c r="H96" s="41">
        <f>cape!H$2</f>
        <v>42.125307333793778</v>
      </c>
      <c r="I96" s="41">
        <f>cape!I$2</f>
        <v>34.775624820693224</v>
      </c>
      <c r="J96" s="41">
        <f>cape!J$2</f>
        <v>36.8020538447837</v>
      </c>
      <c r="K96" s="41">
        <f>cape!K$2</f>
        <v>50.263236792345801</v>
      </c>
      <c r="L96" s="41">
        <f>cape!L$2</f>
        <v>32.541522255502855</v>
      </c>
      <c r="M96" s="41">
        <f>cape!M$2</f>
        <v>37.613749826979635</v>
      </c>
      <c r="N96" s="41">
        <f>cape!N$2</f>
        <v>35.681266978670877</v>
      </c>
      <c r="O96" s="41">
        <f>cape!O$2</f>
        <v>40.822041115503076</v>
      </c>
      <c r="P96" s="41">
        <f>cape!P$2</f>
        <v>52.703599738531452</v>
      </c>
      <c r="Q96" s="41">
        <f>cape!Q$2</f>
        <v>51.794358067649156</v>
      </c>
      <c r="R96" s="41">
        <f>cape!R$2</f>
        <v>43.03986892680318</v>
      </c>
    </row>
    <row r="97" spans="1:18" ht="11.25" customHeight="1" x14ac:dyDescent="0.25">
      <c r="A97" s="42" t="s">
        <v>9</v>
      </c>
      <c r="B97" s="32" t="str">
        <f ca="1">HYPERLINK("#"&amp;CELL("address",cafi!$C$2),"cafi")</f>
        <v>cafi</v>
      </c>
      <c r="C97" s="41">
        <f>cafi!C$2</f>
        <v>7.318071617618604</v>
      </c>
      <c r="D97" s="41">
        <f>cafi!D$2</f>
        <v>5.3184639586242639</v>
      </c>
      <c r="E97" s="41">
        <f>cafi!E$2</f>
        <v>5.3420981412422854</v>
      </c>
      <c r="F97" s="41">
        <f>cafi!F$2</f>
        <v>6.3046272239939833</v>
      </c>
      <c r="G97" s="41">
        <f>cafi!G$2</f>
        <v>6.7150945353065188</v>
      </c>
      <c r="H97" s="41">
        <f>cafi!H$2</f>
        <v>5.8983171145374884</v>
      </c>
      <c r="I97" s="41">
        <f>cafi!I$2</f>
        <v>6.8211003663711001</v>
      </c>
      <c r="J97" s="41">
        <f>cafi!J$2</f>
        <v>7.0706211414299664</v>
      </c>
      <c r="K97" s="41">
        <f>cafi!K$2</f>
        <v>10.709927869420362</v>
      </c>
      <c r="L97" s="41">
        <f>cafi!L$2</f>
        <v>7.2713505029601073</v>
      </c>
      <c r="M97" s="41">
        <f>cafi!M$2</f>
        <v>7.0536728792070527</v>
      </c>
      <c r="N97" s="41">
        <f>cafi!N$2</f>
        <v>6.8022796874852176</v>
      </c>
      <c r="O97" s="41">
        <f>cafi!O$2</f>
        <v>6.2276785582556728</v>
      </c>
      <c r="P97" s="41">
        <f>cafi!P$2</f>
        <v>5.3288033557652286</v>
      </c>
      <c r="Q97" s="41">
        <f>cafi!Q$2</f>
        <v>4.8705565095729346</v>
      </c>
      <c r="R97" s="41">
        <f>cafi!R$2</f>
        <v>5.19740426939393</v>
      </c>
    </row>
    <row r="98" spans="1:18" ht="11.25" customHeight="1" x14ac:dyDescent="0.25">
      <c r="A98" s="42" t="s">
        <v>8</v>
      </c>
      <c r="B98" s="32" t="str">
        <f ca="1">HYPERLINK("#"&amp;CELL("address",cafe!$C$2),"cafe")</f>
        <v>cafe</v>
      </c>
      <c r="C98" s="41">
        <f>cafe!C$2</f>
        <v>1.219662215272449</v>
      </c>
      <c r="D98" s="41">
        <f>cafe!D$2</f>
        <v>1.0578466279092902</v>
      </c>
      <c r="E98" s="41">
        <f>cafe!E$2</f>
        <v>1.1675070594107766</v>
      </c>
      <c r="F98" s="41">
        <f>cafe!F$2</f>
        <v>1.0100361304055421</v>
      </c>
      <c r="G98" s="41">
        <f>cafe!G$2</f>
        <v>1.4784211335550299</v>
      </c>
      <c r="H98" s="41">
        <f>cafe!H$2</f>
        <v>1.183227007776122</v>
      </c>
      <c r="I98" s="41">
        <f>cafe!I$2</f>
        <v>0.82464436421996645</v>
      </c>
      <c r="J98" s="41">
        <f>cafe!J$2</f>
        <v>0.77931001099675223</v>
      </c>
      <c r="K98" s="41">
        <f>cafe!K$2</f>
        <v>1.2111619683308155</v>
      </c>
      <c r="L98" s="41">
        <f>cafe!L$2</f>
        <v>0.98745552780917356</v>
      </c>
      <c r="M98" s="41">
        <f>cafe!M$2</f>
        <v>0.52568124827652785</v>
      </c>
      <c r="N98" s="41">
        <f>cafe!N$2</f>
        <v>0.37541730397073053</v>
      </c>
      <c r="O98" s="41">
        <f>cafe!O$2</f>
        <v>0.54573782975218699</v>
      </c>
      <c r="P98" s="41">
        <f>cafe!P$2</f>
        <v>0.73353348570619215</v>
      </c>
      <c r="Q98" s="41">
        <f>cafe!Q$2</f>
        <v>0.73957470886461607</v>
      </c>
      <c r="R98" s="41">
        <f>cafe!R$2</f>
        <v>0.7441686144638967</v>
      </c>
    </row>
    <row r="99" spans="1:18" ht="11.25" customHeight="1" x14ac:dyDescent="0.25">
      <c r="A99" s="38" t="s">
        <v>7</v>
      </c>
      <c r="B99" s="32" t="str">
        <f ca="1">HYPERLINK("#"&amp;CELL("address",ctdn!$C$2),"ctdn")</f>
        <v>ctdn</v>
      </c>
      <c r="C99" s="39">
        <f>ctdn!C$2</f>
        <v>0</v>
      </c>
      <c r="D99" s="39">
        <f>ctdn!D$2</f>
        <v>0</v>
      </c>
      <c r="E99" s="39">
        <f>ctdn!E$2</f>
        <v>0</v>
      </c>
      <c r="F99" s="39">
        <f>ctdn!F$2</f>
        <v>0</v>
      </c>
      <c r="G99" s="39">
        <f>ctdn!G$2</f>
        <v>0</v>
      </c>
      <c r="H99" s="39">
        <f>ctdn!H$2</f>
        <v>0</v>
      </c>
      <c r="I99" s="39">
        <f>ctdn!I$2</f>
        <v>0</v>
      </c>
      <c r="J99" s="39">
        <f>ctdn!J$2</f>
        <v>0</v>
      </c>
      <c r="K99" s="39">
        <f>ctdn!K$2</f>
        <v>0</v>
      </c>
      <c r="L99" s="39">
        <f>ctdn!L$2</f>
        <v>0</v>
      </c>
      <c r="M99" s="39">
        <f>ctdn!M$2</f>
        <v>53.896200000000135</v>
      </c>
      <c r="N99" s="39">
        <f>ctdn!N$2</f>
        <v>50.891992145527041</v>
      </c>
      <c r="O99" s="39">
        <f>ctdn!O$2</f>
        <v>44.427558435732209</v>
      </c>
      <c r="P99" s="39">
        <f>ctdn!P$2</f>
        <v>53.897728384460663</v>
      </c>
      <c r="Q99" s="39">
        <f>ctdn!Q$2</f>
        <v>34.862397905196453</v>
      </c>
      <c r="R99" s="39">
        <f>ctdn!R$2</f>
        <v>44.437361778921435</v>
      </c>
    </row>
    <row r="100" spans="1:18" ht="11.25" customHeight="1" x14ac:dyDescent="0.25">
      <c r="A100" s="42" t="s">
        <v>6</v>
      </c>
      <c r="B100" s="32" t="str">
        <f ca="1">HYPERLINK("#"&amp;CELL("address",cncs!$C$2),"cncs")</f>
        <v>cncs</v>
      </c>
      <c r="C100" s="41">
        <f>cncs!C$2</f>
        <v>0</v>
      </c>
      <c r="D100" s="41">
        <f>cncs!D$2</f>
        <v>0</v>
      </c>
      <c r="E100" s="41">
        <f>cncs!E$2</f>
        <v>0</v>
      </c>
      <c r="F100" s="41">
        <f>cncs!F$2</f>
        <v>0</v>
      </c>
      <c r="G100" s="41">
        <f>cncs!G$2</f>
        <v>0</v>
      </c>
      <c r="H100" s="41">
        <f>cncs!H$2</f>
        <v>0</v>
      </c>
      <c r="I100" s="41">
        <f>cncs!I$2</f>
        <v>0</v>
      </c>
      <c r="J100" s="41">
        <f>cncs!J$2</f>
        <v>0</v>
      </c>
      <c r="K100" s="41">
        <f>cncs!K$2</f>
        <v>0</v>
      </c>
      <c r="L100" s="41">
        <f>cncs!L$2</f>
        <v>0</v>
      </c>
      <c r="M100" s="41">
        <f>cncs!M$2</f>
        <v>53.896200000000135</v>
      </c>
      <c r="N100" s="41">
        <f>cncs!N$2</f>
        <v>50.891992145527041</v>
      </c>
      <c r="O100" s="41">
        <f>cncs!O$2</f>
        <v>44.427558435732209</v>
      </c>
      <c r="P100" s="41">
        <f>cncs!P$2</f>
        <v>53.897728384460663</v>
      </c>
      <c r="Q100" s="41">
        <f>cncs!Q$2</f>
        <v>34.862397905196453</v>
      </c>
      <c r="R100" s="41">
        <f>cncs!R$2</f>
        <v>44.437361778921435</v>
      </c>
    </row>
    <row r="101" spans="1:18" ht="11.25" customHeight="1" x14ac:dyDescent="0.25">
      <c r="A101" s="42" t="s">
        <v>5</v>
      </c>
      <c r="B101" s="32" t="str">
        <f ca="1">HYPERLINK("#"&amp;CELL("address",cniw!$C$2),"cniw")</f>
        <v>cniw</v>
      </c>
      <c r="C101" s="41">
        <f>cniw!C$2</f>
        <v>0</v>
      </c>
      <c r="D101" s="41">
        <f>cniw!D$2</f>
        <v>0</v>
      </c>
      <c r="E101" s="41">
        <f>cniw!E$2</f>
        <v>0</v>
      </c>
      <c r="F101" s="41">
        <f>cniw!F$2</f>
        <v>0</v>
      </c>
      <c r="G101" s="41">
        <f>cniw!G$2</f>
        <v>0</v>
      </c>
      <c r="H101" s="41">
        <f>cniw!H$2</f>
        <v>0</v>
      </c>
      <c r="I101" s="41">
        <f>cniw!I$2</f>
        <v>0</v>
      </c>
      <c r="J101" s="41">
        <f>cniw!J$2</f>
        <v>0</v>
      </c>
      <c r="K101" s="41">
        <f>cniw!K$2</f>
        <v>0</v>
      </c>
      <c r="L101" s="41">
        <f>cniw!L$2</f>
        <v>0</v>
      </c>
      <c r="M101" s="41">
        <f>cniw!M$2</f>
        <v>0</v>
      </c>
      <c r="N101" s="41">
        <f>cniw!N$2</f>
        <v>0</v>
      </c>
      <c r="O101" s="41">
        <f>cniw!O$2</f>
        <v>0</v>
      </c>
      <c r="P101" s="41">
        <f>cniw!P$2</f>
        <v>0</v>
      </c>
      <c r="Q101" s="41">
        <f>cniw!Q$2</f>
        <v>0</v>
      </c>
      <c r="R101" s="41">
        <f>cniw!R$2</f>
        <v>0</v>
      </c>
    </row>
    <row r="102" spans="1:18" ht="11.25" customHeight="1" x14ac:dyDescent="0.25">
      <c r="A102" s="38" t="s">
        <v>4</v>
      </c>
      <c r="B102" s="32" t="str">
        <f ca="1">HYPERLINK("#"&amp;CELL("address",ctpi!$C$2),"ctpi")</f>
        <v>ctpi</v>
      </c>
      <c r="C102" s="39">
        <f>ctpi!C$2</f>
        <v>0</v>
      </c>
      <c r="D102" s="39">
        <f>ctpi!D$2</f>
        <v>0</v>
      </c>
      <c r="E102" s="39">
        <f>ctpi!E$2</f>
        <v>0</v>
      </c>
      <c r="F102" s="39">
        <f>ctpi!F$2</f>
        <v>0</v>
      </c>
      <c r="G102" s="39">
        <f>ctpi!G$2</f>
        <v>0</v>
      </c>
      <c r="H102" s="39">
        <f>ctpi!H$2</f>
        <v>0</v>
      </c>
      <c r="I102" s="39">
        <f>ctpi!I$2</f>
        <v>0</v>
      </c>
      <c r="J102" s="39">
        <f>ctpi!J$2</f>
        <v>0</v>
      </c>
      <c r="K102" s="39">
        <f>ctpi!K$2</f>
        <v>0</v>
      </c>
      <c r="L102" s="39">
        <f>ctpi!L$2</f>
        <v>0</v>
      </c>
      <c r="M102" s="39">
        <f>ctpi!M$2</f>
        <v>0</v>
      </c>
      <c r="N102" s="39">
        <f>ctpi!N$2</f>
        <v>0</v>
      </c>
      <c r="O102" s="39">
        <f>ctpi!O$2</f>
        <v>0</v>
      </c>
      <c r="P102" s="39">
        <f>ctpi!P$2</f>
        <v>0</v>
      </c>
      <c r="Q102" s="39">
        <f>ctpi!Q$2</f>
        <v>0</v>
      </c>
      <c r="R102" s="39">
        <f>ctpi!R$2</f>
        <v>0</v>
      </c>
    </row>
    <row r="103" spans="1:18" ht="11.25" customHeight="1" x14ac:dyDescent="0.25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</row>
    <row r="104" spans="1:18" ht="11.25" customHeight="1" x14ac:dyDescent="0.25">
      <c r="A104" s="44" t="s">
        <v>3</v>
      </c>
      <c r="B104" s="32" t="str">
        <f ca="1">HYPERLINK("#"&amp;CELL("address",BUN!$C$2),"bun")</f>
        <v>bun</v>
      </c>
      <c r="C104" s="45">
        <f>BUN!C$2</f>
        <v>2097.2990999999997</v>
      </c>
      <c r="D104" s="45">
        <f>BUN!D$2</f>
        <v>2312.8695439200001</v>
      </c>
      <c r="E104" s="45">
        <f>BUN!E$2</f>
        <v>2367.69694596</v>
      </c>
      <c r="F104" s="45">
        <f>BUN!F$2</f>
        <v>2922.0702966000003</v>
      </c>
      <c r="G104" s="45">
        <f>BUN!G$2</f>
        <v>3126.3137049600005</v>
      </c>
      <c r="H104" s="45">
        <f>BUN!H$2</f>
        <v>2111.5215000000003</v>
      </c>
      <c r="I104" s="45">
        <f>BUN!I$2</f>
        <v>2411.3367997200003</v>
      </c>
      <c r="J104" s="45">
        <f>BUN!J$2</f>
        <v>2702.1213640800001</v>
      </c>
      <c r="K104" s="45">
        <f>BUN!K$2</f>
        <v>2922.7648867200005</v>
      </c>
      <c r="L104" s="45">
        <f>BUN!L$2</f>
        <v>3617.7519153600006</v>
      </c>
      <c r="M104" s="45">
        <f>BUN!M$2</f>
        <v>4660.8345000000008</v>
      </c>
      <c r="N104" s="45">
        <f>BUN!N$2</f>
        <v>4292.5266000000047</v>
      </c>
      <c r="O104" s="45">
        <f>BUN!O$2</f>
        <v>3809.4602999999906</v>
      </c>
      <c r="P104" s="45">
        <f>BUN!P$2</f>
        <v>3789.7362000000153</v>
      </c>
      <c r="Q104" s="45">
        <f>BUN!Q$2</f>
        <v>3905.2815000000146</v>
      </c>
      <c r="R104" s="45">
        <f>BUN!R$2</f>
        <v>4942.9316999999992</v>
      </c>
    </row>
    <row r="105" spans="1:18" ht="11.25" customHeight="1" x14ac:dyDescent="0.25">
      <c r="A105" s="46" t="s">
        <v>2</v>
      </c>
      <c r="B105" s="32" t="str">
        <f ca="1">HYPERLINK("#"&amp;CELL("address",buni!$C$2),"buni")</f>
        <v>buni</v>
      </c>
      <c r="C105" s="47">
        <f>buni!C$2</f>
        <v>136.8830074242961</v>
      </c>
      <c r="D105" s="47">
        <f>buni!D$2</f>
        <v>126.34394791974947</v>
      </c>
      <c r="E105" s="47">
        <f>buni!E$2</f>
        <v>127.07757109613074</v>
      </c>
      <c r="F105" s="47">
        <f>buni!F$2</f>
        <v>115.77575551025602</v>
      </c>
      <c r="G105" s="47">
        <f>buni!G$2</f>
        <v>120.09058420919382</v>
      </c>
      <c r="H105" s="47">
        <f>buni!H$2</f>
        <v>107.07751554382772</v>
      </c>
      <c r="I105" s="47">
        <f>buni!I$2</f>
        <v>107.32609677822441</v>
      </c>
      <c r="J105" s="47">
        <f>buni!J$2</f>
        <v>177.40907838442999</v>
      </c>
      <c r="K105" s="47">
        <f>buni!K$2</f>
        <v>179.30091762551848</v>
      </c>
      <c r="L105" s="47">
        <f>buni!L$2</f>
        <v>167.82078112116938</v>
      </c>
      <c r="M105" s="47">
        <f>buni!M$2</f>
        <v>169.91238712385675</v>
      </c>
      <c r="N105" s="47">
        <f>buni!N$2</f>
        <v>144.77556295289631</v>
      </c>
      <c r="O105" s="47">
        <f>buni!O$2</f>
        <v>140.67110038725079</v>
      </c>
      <c r="P105" s="47">
        <f>buni!P$2</f>
        <v>133.2976381335109</v>
      </c>
      <c r="Q105" s="47">
        <f>buni!Q$2</f>
        <v>155.4376320368213</v>
      </c>
      <c r="R105" s="47">
        <f>buni!R$2</f>
        <v>154.34744252449138</v>
      </c>
    </row>
    <row r="106" spans="1:18" ht="11.25" customHeight="1" x14ac:dyDescent="0.25">
      <c r="A106" s="46" t="s">
        <v>1</v>
      </c>
      <c r="B106" s="32" t="str">
        <f ca="1">HYPERLINK("#"&amp;CELL("address",bune!$C$2),"bune")</f>
        <v>bune</v>
      </c>
      <c r="C106" s="47">
        <f>bune!C$2</f>
        <v>1960.4160925757033</v>
      </c>
      <c r="D106" s="47">
        <f>bune!D$2</f>
        <v>2186.5255960002505</v>
      </c>
      <c r="E106" s="47">
        <f>bune!E$2</f>
        <v>2240.6193748638689</v>
      </c>
      <c r="F106" s="47">
        <f>bune!F$2</f>
        <v>2806.2945410897446</v>
      </c>
      <c r="G106" s="47">
        <f>bune!G$2</f>
        <v>3006.2231207508066</v>
      </c>
      <c r="H106" s="47">
        <f>bune!H$2</f>
        <v>2004.4439844561725</v>
      </c>
      <c r="I106" s="47">
        <f>bune!I$2</f>
        <v>2304.0107029417759</v>
      </c>
      <c r="J106" s="47">
        <f>bune!J$2</f>
        <v>2524.7122856955698</v>
      </c>
      <c r="K106" s="47">
        <f>bune!K$2</f>
        <v>2743.4639690944819</v>
      </c>
      <c r="L106" s="47">
        <f>bune!L$2</f>
        <v>3449.9311342388314</v>
      </c>
      <c r="M106" s="47">
        <f>bune!M$2</f>
        <v>4490.9221128761446</v>
      </c>
      <c r="N106" s="47">
        <f>bune!N$2</f>
        <v>4147.7510370471082</v>
      </c>
      <c r="O106" s="47">
        <f>bune!O$2</f>
        <v>3668.7891996127405</v>
      </c>
      <c r="P106" s="47">
        <f>bune!P$2</f>
        <v>3656.4385618665042</v>
      </c>
      <c r="Q106" s="47">
        <f>bune!Q$2</f>
        <v>3749.8438679631931</v>
      </c>
      <c r="R106" s="47">
        <f>bune!R$2</f>
        <v>4788.584257475507</v>
      </c>
    </row>
    <row r="107" spans="1:18" ht="11.25" customHeight="1" x14ac:dyDescent="0.25">
      <c r="A107" s="44" t="s">
        <v>0</v>
      </c>
      <c r="B107" s="32" t="str">
        <f ca="1">HYPERLINK("#"&amp;CELL("address",TOTAL!$C$64),"TOTAL row 64")</f>
        <v>TOTAL row 64</v>
      </c>
      <c r="C107" s="45">
        <f>TOTAL!C$64</f>
        <v>0</v>
      </c>
      <c r="D107" s="45">
        <f>TOTAL!D$64</f>
        <v>0</v>
      </c>
      <c r="E107" s="45">
        <f>TOTAL!E$64</f>
        <v>0</v>
      </c>
      <c r="F107" s="45">
        <f>TOTAL!F$64</f>
        <v>0</v>
      </c>
      <c r="G107" s="45">
        <f>TOTAL!G$64</f>
        <v>0</v>
      </c>
      <c r="H107" s="45">
        <f>TOTAL!H$64</f>
        <v>0</v>
      </c>
      <c r="I107" s="45">
        <f>TOTAL!I$64</f>
        <v>0</v>
      </c>
      <c r="J107" s="45">
        <f>TOTAL!J$64</f>
        <v>0</v>
      </c>
      <c r="K107" s="45">
        <f>TOTAL!K$64</f>
        <v>0</v>
      </c>
      <c r="L107" s="45">
        <f>TOTAL!L$64</f>
        <v>0</v>
      </c>
      <c r="M107" s="45">
        <f>TOTAL!M$64</f>
        <v>5.4280000000000159</v>
      </c>
      <c r="N107" s="45">
        <f>TOTAL!N$64</f>
        <v>11.184017797716251</v>
      </c>
      <c r="O107" s="45">
        <f>TOTAL!O$64</f>
        <v>17.487353265398749</v>
      </c>
      <c r="P107" s="45">
        <f>TOTAL!P$64</f>
        <v>16.103400000000033</v>
      </c>
      <c r="Q107" s="45">
        <f>TOTAL!Q$64</f>
        <v>23.384369651554909</v>
      </c>
      <c r="R107" s="45">
        <f>TOTAL!R$64</f>
        <v>22.466670614966723</v>
      </c>
    </row>
  </sheetData>
  <pageMargins left="0.39370078740157483" right="0.39370078740157483" top="0.39370078740157483" bottom="0.39370078740157483" header="0.31496062992125984" footer="0.31496062992125984"/>
  <pageSetup paperSize="9" scale="41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919.71261766576254</v>
      </c>
      <c r="D2" s="78">
        <v>795.40836481814404</v>
      </c>
      <c r="E2" s="78">
        <v>654.81258924000008</v>
      </c>
      <c r="F2" s="78">
        <v>713.0184404448961</v>
      </c>
      <c r="G2" s="78">
        <v>864.42389388000004</v>
      </c>
      <c r="H2" s="78">
        <v>656.59287959358039</v>
      </c>
      <c r="I2" s="78">
        <v>653.27465563851592</v>
      </c>
      <c r="J2" s="78">
        <v>678.39563738750394</v>
      </c>
      <c r="K2" s="78">
        <v>995.93543238044379</v>
      </c>
      <c r="L2" s="78">
        <v>890.93804488455612</v>
      </c>
      <c r="M2" s="78">
        <v>1025.6425000000002</v>
      </c>
      <c r="N2" s="78">
        <v>975.86009062250105</v>
      </c>
      <c r="O2" s="78">
        <v>991.52573543653739</v>
      </c>
      <c r="P2" s="78">
        <v>1048.2002999999995</v>
      </c>
      <c r="Q2" s="78">
        <v>1086.0868109211949</v>
      </c>
      <c r="R2" s="78">
        <v>1141.9524159019293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919.71261766576254</v>
      </c>
      <c r="D21" s="79">
        <v>795.40836481814404</v>
      </c>
      <c r="E21" s="79">
        <v>654.81258924000008</v>
      </c>
      <c r="F21" s="79">
        <v>713.0184404448961</v>
      </c>
      <c r="G21" s="79">
        <v>864.42389388000004</v>
      </c>
      <c r="H21" s="79">
        <v>656.59287959358039</v>
      </c>
      <c r="I21" s="79">
        <v>653.27465563851592</v>
      </c>
      <c r="J21" s="79">
        <v>678.39563738750394</v>
      </c>
      <c r="K21" s="79">
        <v>995.93543238044379</v>
      </c>
      <c r="L21" s="79">
        <v>890.93804488455612</v>
      </c>
      <c r="M21" s="79">
        <v>1025.6425000000002</v>
      </c>
      <c r="N21" s="79">
        <v>975.86009062250105</v>
      </c>
      <c r="O21" s="79">
        <v>991.52573543653739</v>
      </c>
      <c r="P21" s="79">
        <v>1048.2002999999995</v>
      </c>
      <c r="Q21" s="79">
        <v>1086.0868109211949</v>
      </c>
      <c r="R21" s="79">
        <v>1141.9524159019293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919.71261766576254</v>
      </c>
      <c r="D30" s="8">
        <v>795.40836481814404</v>
      </c>
      <c r="E30" s="8">
        <v>654.81258924000008</v>
      </c>
      <c r="F30" s="8">
        <v>713.0184404448961</v>
      </c>
      <c r="G30" s="8">
        <v>864.42389388000004</v>
      </c>
      <c r="H30" s="8">
        <v>656.59287959358039</v>
      </c>
      <c r="I30" s="8">
        <v>653.27465563851592</v>
      </c>
      <c r="J30" s="8">
        <v>678.39563738750394</v>
      </c>
      <c r="K30" s="8">
        <v>995.93543238044379</v>
      </c>
      <c r="L30" s="8">
        <v>890.93804488455612</v>
      </c>
      <c r="M30" s="8">
        <v>1025.6425000000002</v>
      </c>
      <c r="N30" s="8">
        <v>975.86009062250105</v>
      </c>
      <c r="O30" s="8">
        <v>991.52573543653739</v>
      </c>
      <c r="P30" s="8">
        <v>1048.2002999999995</v>
      </c>
      <c r="Q30" s="8">
        <v>1086.0868109211949</v>
      </c>
      <c r="R30" s="8">
        <v>1141.9524159019293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46.445201519968805</v>
      </c>
      <c r="D34" s="9">
        <v>46.472488775099976</v>
      </c>
      <c r="E34" s="9">
        <v>49.40298396</v>
      </c>
      <c r="F34" s="9">
        <v>49.382456623884067</v>
      </c>
      <c r="G34" s="9">
        <v>49.40298396</v>
      </c>
      <c r="H34" s="9">
        <v>52.248938966607994</v>
      </c>
      <c r="I34" s="9">
        <v>58.110959978711847</v>
      </c>
      <c r="J34" s="9">
        <v>58.082295680531914</v>
      </c>
      <c r="K34" s="9">
        <v>61.037624450951768</v>
      </c>
      <c r="L34" s="9">
        <v>58.121157600000004</v>
      </c>
      <c r="M34" s="9">
        <v>63.857200000000113</v>
      </c>
      <c r="N34" s="9">
        <v>60.956416392577765</v>
      </c>
      <c r="O34" s="9">
        <v>63.857200000000113</v>
      </c>
      <c r="P34" s="9">
        <v>63.857200000000034</v>
      </c>
      <c r="Q34" s="9">
        <v>60.954599999999985</v>
      </c>
      <c r="R34" s="9">
        <v>66.762575182906545</v>
      </c>
    </row>
    <row r="35" spans="1:18" ht="11.25" customHeight="1" x14ac:dyDescent="0.25">
      <c r="A35" s="59" t="s">
        <v>179</v>
      </c>
      <c r="B35" s="60" t="s">
        <v>178</v>
      </c>
      <c r="C35" s="9">
        <v>224.02577172547495</v>
      </c>
      <c r="D35" s="9">
        <v>211.726830789432</v>
      </c>
      <c r="E35" s="9">
        <v>233.27677296000002</v>
      </c>
      <c r="F35" s="9">
        <v>217.80843386702401</v>
      </c>
      <c r="G35" s="9">
        <v>183.69417528000002</v>
      </c>
      <c r="H35" s="9">
        <v>214.66168781830433</v>
      </c>
      <c r="I35" s="9">
        <v>236.42696687425203</v>
      </c>
      <c r="J35" s="9">
        <v>202.12827028506004</v>
      </c>
      <c r="K35" s="9">
        <v>217.936271859768</v>
      </c>
      <c r="L35" s="9">
        <v>227.11800502314</v>
      </c>
      <c r="M35" s="9">
        <v>217.53269999999986</v>
      </c>
      <c r="N35" s="9">
        <v>217.53918227995396</v>
      </c>
      <c r="O35" s="9">
        <v>214.55266142309625</v>
      </c>
      <c r="P35" s="9">
        <v>217.53270000000009</v>
      </c>
      <c r="Q35" s="9">
        <v>217.53269999999986</v>
      </c>
      <c r="R35" s="9">
        <v>226.48181438310613</v>
      </c>
    </row>
    <row r="36" spans="1:18" ht="11.25" customHeight="1" x14ac:dyDescent="0.25">
      <c r="A36" s="65" t="s">
        <v>177</v>
      </c>
      <c r="B36" s="62" t="s">
        <v>176</v>
      </c>
      <c r="C36" s="10">
        <v>220.94553287320664</v>
      </c>
      <c r="D36" s="10">
        <v>208.504694630232</v>
      </c>
      <c r="E36" s="10">
        <v>233.27677296000002</v>
      </c>
      <c r="F36" s="10">
        <v>217.80843386702401</v>
      </c>
      <c r="G36" s="10">
        <v>180.47033928000002</v>
      </c>
      <c r="H36" s="10">
        <v>211.58156172412916</v>
      </c>
      <c r="I36" s="10">
        <v>236.42696687425203</v>
      </c>
      <c r="J36" s="10">
        <v>198.90660304746004</v>
      </c>
      <c r="K36" s="10">
        <v>217.936271859768</v>
      </c>
      <c r="L36" s="10">
        <v>227.11800502314</v>
      </c>
      <c r="M36" s="10">
        <v>217.53269999999986</v>
      </c>
      <c r="N36" s="10">
        <v>217.53918227995396</v>
      </c>
      <c r="O36" s="10">
        <v>214.55266142309625</v>
      </c>
      <c r="P36" s="10">
        <v>217.53270000000009</v>
      </c>
      <c r="Q36" s="10">
        <v>217.53269999999986</v>
      </c>
      <c r="R36" s="10">
        <v>226.48181438310613</v>
      </c>
    </row>
    <row r="37" spans="1:18" ht="11.25" customHeight="1" x14ac:dyDescent="0.25">
      <c r="A37" s="61" t="s">
        <v>175</v>
      </c>
      <c r="B37" s="62" t="s">
        <v>174</v>
      </c>
      <c r="C37" s="10">
        <v>3.0802388522683142</v>
      </c>
      <c r="D37" s="10">
        <v>3.2221361592000006</v>
      </c>
      <c r="E37" s="10">
        <v>0</v>
      </c>
      <c r="F37" s="10">
        <v>0</v>
      </c>
      <c r="G37" s="10">
        <v>3.2238360000000004</v>
      </c>
      <c r="H37" s="10">
        <v>3.0801260941751827</v>
      </c>
      <c r="I37" s="10">
        <v>0</v>
      </c>
      <c r="J37" s="10">
        <v>3.2216672376000002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398.86022898798069</v>
      </c>
      <c r="D38" s="9">
        <v>305.98742420089201</v>
      </c>
      <c r="E38" s="9">
        <v>306.14844564000003</v>
      </c>
      <c r="F38" s="9">
        <v>284.35588414534806</v>
      </c>
      <c r="G38" s="9">
        <v>352.2061764</v>
      </c>
      <c r="H38" s="9">
        <v>272.08073843889809</v>
      </c>
      <c r="I38" s="9">
        <v>238.07376493758005</v>
      </c>
      <c r="J38" s="9">
        <v>275.25918128932801</v>
      </c>
      <c r="K38" s="9">
        <v>389.60047810713604</v>
      </c>
      <c r="L38" s="9">
        <v>278.14417131733205</v>
      </c>
      <c r="M38" s="9">
        <v>306.07829999999996</v>
      </c>
      <c r="N38" s="9">
        <v>318.45458937924354</v>
      </c>
      <c r="O38" s="9">
        <v>302.98645569950259</v>
      </c>
      <c r="P38" s="9">
        <v>318.44510000000082</v>
      </c>
      <c r="Q38" s="9">
        <v>336.99529999999976</v>
      </c>
      <c r="R38" s="9">
        <v>352.46845138842542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367.94083139201337</v>
      </c>
      <c r="D40" s="10">
        <v>274.99755531675601</v>
      </c>
      <c r="E40" s="10">
        <v>269.12164248000005</v>
      </c>
      <c r="F40" s="10">
        <v>238.01641854732003</v>
      </c>
      <c r="G40" s="10">
        <v>302.83710552000002</v>
      </c>
      <c r="H40" s="10">
        <v>262.80525871939022</v>
      </c>
      <c r="I40" s="10">
        <v>231.75322943198404</v>
      </c>
      <c r="J40" s="10">
        <v>268.94174640220803</v>
      </c>
      <c r="K40" s="10">
        <v>386.58965715457202</v>
      </c>
      <c r="L40" s="10">
        <v>275.14226088000004</v>
      </c>
      <c r="M40" s="10">
        <v>306.07829999999996</v>
      </c>
      <c r="N40" s="10">
        <v>318.45458937924354</v>
      </c>
      <c r="O40" s="10">
        <v>302.98645569950259</v>
      </c>
      <c r="P40" s="10">
        <v>318.44510000000082</v>
      </c>
      <c r="Q40" s="10">
        <v>336.99529999999976</v>
      </c>
      <c r="R40" s="10">
        <v>352.46845138842542</v>
      </c>
    </row>
    <row r="41" spans="1:18" ht="11.25" customHeight="1" x14ac:dyDescent="0.25">
      <c r="A41" s="61" t="s">
        <v>167</v>
      </c>
      <c r="B41" s="62" t="s">
        <v>166</v>
      </c>
      <c r="C41" s="10">
        <v>30.91939759596735</v>
      </c>
      <c r="D41" s="10">
        <v>30.989868884136005</v>
      </c>
      <c r="E41" s="10">
        <v>37.026803160000007</v>
      </c>
      <c r="F41" s="10">
        <v>46.339465598028006</v>
      </c>
      <c r="G41" s="10">
        <v>49.369070880000002</v>
      </c>
      <c r="H41" s="10">
        <v>9.2754797195078957</v>
      </c>
      <c r="I41" s="10">
        <v>6.3205355055960002</v>
      </c>
      <c r="J41" s="10">
        <v>6.3174348871200001</v>
      </c>
      <c r="K41" s="10">
        <v>3.0108209525640004</v>
      </c>
      <c r="L41" s="10">
        <v>3.0019104373320005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241.58473330748359</v>
      </c>
      <c r="D43" s="9">
        <v>222.32643574705202</v>
      </c>
      <c r="E43" s="9">
        <v>57.084505919999998</v>
      </c>
      <c r="F43" s="9">
        <v>152.57549844716399</v>
      </c>
      <c r="G43" s="9">
        <v>270.22067748000001</v>
      </c>
      <c r="H43" s="9">
        <v>117.60151436976993</v>
      </c>
      <c r="I43" s="9">
        <v>120.66296384797199</v>
      </c>
      <c r="J43" s="9">
        <v>142.92589013258402</v>
      </c>
      <c r="K43" s="9">
        <v>327.36105796258801</v>
      </c>
      <c r="L43" s="9">
        <v>327.55471094408404</v>
      </c>
      <c r="M43" s="9">
        <v>385.54230000000024</v>
      </c>
      <c r="N43" s="9">
        <v>369.6216257966305</v>
      </c>
      <c r="O43" s="9">
        <v>379.16955101861066</v>
      </c>
      <c r="P43" s="9">
        <v>417.40529999999853</v>
      </c>
      <c r="Q43" s="9">
        <v>439.67242477295719</v>
      </c>
      <c r="R43" s="9">
        <v>465.24164013271775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52.631999999999991</v>
      </c>
      <c r="N44" s="9">
        <v>9.2882767740951628</v>
      </c>
      <c r="O44" s="9">
        <v>30.95986729532785</v>
      </c>
      <c r="P44" s="9">
        <v>30.960000000000012</v>
      </c>
      <c r="Q44" s="9">
        <v>30.931786148238189</v>
      </c>
      <c r="R44" s="9">
        <v>30.997934814773522</v>
      </c>
    </row>
    <row r="45" spans="1:18" ht="11.25" customHeight="1" x14ac:dyDescent="0.25">
      <c r="A45" s="59" t="s">
        <v>159</v>
      </c>
      <c r="B45" s="60" t="s">
        <v>158</v>
      </c>
      <c r="C45" s="9">
        <v>8.7966821248545894</v>
      </c>
      <c r="D45" s="9">
        <v>8.8951853056680008</v>
      </c>
      <c r="E45" s="9">
        <v>8.8998807600000003</v>
      </c>
      <c r="F45" s="9">
        <v>8.8961673614760013</v>
      </c>
      <c r="G45" s="9">
        <v>8.8998807600000003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8.7966821248545894</v>
      </c>
      <c r="D51" s="10">
        <v>8.8951853056680008</v>
      </c>
      <c r="E51" s="10">
        <v>8.8998807600000003</v>
      </c>
      <c r="F51" s="10">
        <v>8.8961673614760013</v>
      </c>
      <c r="G51" s="10">
        <v>8.8998807600000003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5.4280000000000159</v>
      </c>
      <c r="N64" s="81">
        <v>9.4368177977162446</v>
      </c>
      <c r="O64" s="81">
        <v>14.375153265398742</v>
      </c>
      <c r="P64" s="81">
        <v>14.247000000000025</v>
      </c>
      <c r="Q64" s="81">
        <v>21.4187696515549</v>
      </c>
      <c r="R64" s="81">
        <v>20.009670614966726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3.472000000000012</v>
      </c>
      <c r="N65" s="82">
        <v>3.3602199826547339</v>
      </c>
      <c r="O65" s="82">
        <v>4.4799999999999827</v>
      </c>
      <c r="P65" s="82">
        <v>4.0320000000000213</v>
      </c>
      <c r="Q65" s="82">
        <v>5.0399999999999912</v>
      </c>
      <c r="R65" s="82">
        <v>5.3763702892763305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0.32760000000000561</v>
      </c>
      <c r="N67" s="82">
        <v>1.4742965173897613</v>
      </c>
      <c r="O67" s="82">
        <v>1.9656000000000107</v>
      </c>
      <c r="P67" s="82">
        <v>1.3650000000000004</v>
      </c>
      <c r="Q67" s="82">
        <v>1.5834000000000044</v>
      </c>
      <c r="R67" s="82">
        <v>1.3104902580111064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1.6283999999999983</v>
      </c>
      <c r="N69" s="82">
        <v>4.6023012976717483</v>
      </c>
      <c r="O69" s="82">
        <v>7.9295532653987486</v>
      </c>
      <c r="P69" s="82">
        <v>8.8500000000000032</v>
      </c>
      <c r="Q69" s="82">
        <v>14.795369651554905</v>
      </c>
      <c r="R69" s="82">
        <v>13.32281006767929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1.6283999999999983</v>
      </c>
      <c r="N71" s="83">
        <v>4.6023012976717483</v>
      </c>
      <c r="O71" s="83">
        <v>7.9295532653987486</v>
      </c>
      <c r="P71" s="83">
        <v>8.8500000000000032</v>
      </c>
      <c r="Q71" s="83">
        <v>14.795369651554905</v>
      </c>
      <c r="R71" s="83">
        <v>13.32281006767929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94.43836175749199</v>
      </c>
      <c r="M2" s="78">
        <v>30.753799999999973</v>
      </c>
      <c r="N2" s="78">
        <v>15.274251899467094</v>
      </c>
      <c r="O2" s="78">
        <v>27.748043162297812</v>
      </c>
      <c r="P2" s="78">
        <v>24.653452043627631</v>
      </c>
      <c r="Q2" s="78">
        <v>30.90876623511241</v>
      </c>
      <c r="R2" s="78">
        <v>30.949492776709974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94.43836175749199</v>
      </c>
      <c r="M21" s="79">
        <v>30.753799999999973</v>
      </c>
      <c r="N21" s="79">
        <v>15.274251899467094</v>
      </c>
      <c r="O21" s="79">
        <v>27.748043162297812</v>
      </c>
      <c r="P21" s="79">
        <v>24.653452043627631</v>
      </c>
      <c r="Q21" s="79">
        <v>30.90876623511241</v>
      </c>
      <c r="R21" s="79">
        <v>30.949492776709974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94.43836175749199</v>
      </c>
      <c r="M30" s="8">
        <v>30.753799999999973</v>
      </c>
      <c r="N30" s="8">
        <v>15.274251899467094</v>
      </c>
      <c r="O30" s="8">
        <v>27.748043162297812</v>
      </c>
      <c r="P30" s="8">
        <v>24.653452043627631</v>
      </c>
      <c r="Q30" s="8">
        <v>30.90876623511241</v>
      </c>
      <c r="R30" s="8">
        <v>30.949492776709974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8.7322019739479977</v>
      </c>
      <c r="M34" s="9">
        <v>5.8051999999999948</v>
      </c>
      <c r="N34" s="9">
        <v>5.8053729897693218</v>
      </c>
      <c r="O34" s="9">
        <v>5.8051999999999948</v>
      </c>
      <c r="P34" s="9">
        <v>5.8058596743218649</v>
      </c>
      <c r="Q34" s="9">
        <v>5.8024164340693938</v>
      </c>
      <c r="R34" s="9">
        <v>5.8048528144783038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3.0019104373320005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3.0019104373320005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82.704249346211995</v>
      </c>
      <c r="M43" s="9">
        <v>6.3725999999999843</v>
      </c>
      <c r="N43" s="9">
        <v>6.3727866516660514</v>
      </c>
      <c r="O43" s="9">
        <v>9.558896244166684</v>
      </c>
      <c r="P43" s="9">
        <v>9.5591280041331572</v>
      </c>
      <c r="Q43" s="9">
        <v>12.737570266308136</v>
      </c>
      <c r="R43" s="9">
        <v>12.746016719122315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18.575999999999993</v>
      </c>
      <c r="N44" s="9">
        <v>3.0960922580317209</v>
      </c>
      <c r="O44" s="9">
        <v>12.383946918131132</v>
      </c>
      <c r="P44" s="9">
        <v>9.2884643651726062</v>
      </c>
      <c r="Q44" s="9">
        <v>12.368779534734882</v>
      </c>
      <c r="R44" s="9">
        <v>12.398623243109355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7.0238234582255865E-2</v>
      </c>
      <c r="Q64" s="81">
        <v>7.0753906524213969E-2</v>
      </c>
      <c r="R64" s="81">
        <v>7.049101714583382E-2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7.0238234582255865E-2</v>
      </c>
      <c r="Q69" s="82">
        <v>7.0753906524213969E-2</v>
      </c>
      <c r="R69" s="82">
        <v>7.049101714583382E-2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7.0238234582255865E-2</v>
      </c>
      <c r="Q71" s="83">
        <v>7.0753906524213969E-2</v>
      </c>
      <c r="R71" s="83">
        <v>7.049101714583382E-2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5">
    <pageSetUpPr fitToPage="1"/>
  </sheetPr>
  <dimension ref="A1:V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22" ht="11.25" customHeight="1" x14ac:dyDescent="0.25">
      <c r="A1" s="77" t="s">
        <v>271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22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22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  <c r="S3" s="84"/>
      <c r="T3" s="84"/>
      <c r="U3" s="84"/>
      <c r="V3" s="84"/>
    </row>
    <row r="4" spans="1:22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22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22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22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22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22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22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22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22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22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22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22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22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9" customWidth="1"/>
    <col min="2" max="2" width="8" style="49" customWidth="1"/>
    <col min="3" max="18" width="5.7109375" style="49" customWidth="1"/>
    <col min="19" max="16384" width="9.140625" style="49"/>
  </cols>
  <sheetData>
    <row r="1" spans="1:18" ht="11.25" customHeight="1" x14ac:dyDescent="0.25">
      <c r="A1" s="48" t="s">
        <v>245</v>
      </c>
      <c r="B1" s="48"/>
      <c r="C1" s="48">
        <v>2000</v>
      </c>
      <c r="D1" s="48">
        <v>2001</v>
      </c>
      <c r="E1" s="48">
        <v>2002</v>
      </c>
      <c r="F1" s="48">
        <v>2003</v>
      </c>
      <c r="G1" s="48">
        <v>2004</v>
      </c>
      <c r="H1" s="48">
        <v>2005</v>
      </c>
      <c r="I1" s="48">
        <v>2006</v>
      </c>
      <c r="J1" s="48">
        <v>2007</v>
      </c>
      <c r="K1" s="48">
        <v>2008</v>
      </c>
      <c r="L1" s="48">
        <v>2009</v>
      </c>
      <c r="M1" s="48">
        <v>2010</v>
      </c>
      <c r="N1" s="48">
        <v>2011</v>
      </c>
      <c r="O1" s="48">
        <v>2012</v>
      </c>
      <c r="P1" s="48">
        <v>2013</v>
      </c>
      <c r="Q1" s="48">
        <v>2014</v>
      </c>
      <c r="R1" s="48">
        <v>2015</v>
      </c>
    </row>
    <row r="2" spans="1:18" ht="11.25" customHeight="1" x14ac:dyDescent="0.25">
      <c r="A2" s="50" t="s">
        <v>244</v>
      </c>
      <c r="B2" s="51" t="s">
        <v>243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</row>
    <row r="3" spans="1:18" ht="11.25" customHeight="1" x14ac:dyDescent="0.25">
      <c r="A3" s="53" t="s">
        <v>242</v>
      </c>
      <c r="B3" s="54" t="s">
        <v>241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</row>
    <row r="4" spans="1:18" ht="11.25" customHeight="1" x14ac:dyDescent="0.25">
      <c r="A4" s="56" t="s">
        <v>240</v>
      </c>
      <c r="B4" s="57" t="s">
        <v>239</v>
      </c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</row>
    <row r="5" spans="1:18" ht="11.25" customHeight="1" x14ac:dyDescent="0.25">
      <c r="A5" s="59" t="s">
        <v>238</v>
      </c>
      <c r="B5" s="60" t="s">
        <v>237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 ht="11.25" customHeight="1" x14ac:dyDescent="0.25">
      <c r="A6" s="61" t="s">
        <v>236</v>
      </c>
      <c r="B6" s="62" t="s">
        <v>235</v>
      </c>
      <c r="C6" s="6">
        <v>4.1156243999999997</v>
      </c>
      <c r="D6" s="6">
        <v>4.1156243999999997</v>
      </c>
      <c r="E6" s="6">
        <v>4.1156243999999997</v>
      </c>
      <c r="F6" s="6">
        <v>4.1156243999999997</v>
      </c>
      <c r="G6" s="6">
        <v>4.1156243999999997</v>
      </c>
      <c r="H6" s="6">
        <v>4.1156243999999997</v>
      </c>
      <c r="I6" s="6">
        <v>4.1156243999999997</v>
      </c>
      <c r="J6" s="6">
        <v>4.1156243999999997</v>
      </c>
      <c r="K6" s="6">
        <v>4.1156243999999997</v>
      </c>
      <c r="L6" s="6">
        <v>4.1156243999999997</v>
      </c>
      <c r="M6" s="6">
        <v>4.1156243999999997</v>
      </c>
      <c r="N6" s="6">
        <v>4.1156243999999997</v>
      </c>
      <c r="O6" s="6">
        <v>4.1156243999999997</v>
      </c>
      <c r="P6" s="6">
        <v>4.1156243999999997</v>
      </c>
      <c r="Q6" s="6">
        <v>4.1156243999999997</v>
      </c>
      <c r="R6" s="6">
        <v>4.1156243999999997</v>
      </c>
    </row>
    <row r="7" spans="1:18" ht="11.25" customHeight="1" x14ac:dyDescent="0.25">
      <c r="A7" s="61" t="s">
        <v>234</v>
      </c>
      <c r="B7" s="62" t="s">
        <v>233</v>
      </c>
      <c r="C7" s="6">
        <v>3.9607128</v>
      </c>
      <c r="D7" s="6">
        <v>3.9607128</v>
      </c>
      <c r="E7" s="6">
        <v>3.9607128</v>
      </c>
      <c r="F7" s="6">
        <v>3.9607128</v>
      </c>
      <c r="G7" s="6">
        <v>3.9607128</v>
      </c>
      <c r="H7" s="6">
        <v>3.9607128</v>
      </c>
      <c r="I7" s="6">
        <v>3.9607128</v>
      </c>
      <c r="J7" s="6">
        <v>3.9607128</v>
      </c>
      <c r="K7" s="6">
        <v>3.9607128</v>
      </c>
      <c r="L7" s="6">
        <v>3.9607128</v>
      </c>
      <c r="M7" s="6">
        <v>3.9607128</v>
      </c>
      <c r="N7" s="6">
        <v>3.9607128</v>
      </c>
      <c r="O7" s="6">
        <v>3.9607128</v>
      </c>
      <c r="P7" s="6">
        <v>3.9607128</v>
      </c>
      <c r="Q7" s="6">
        <v>3.9607128</v>
      </c>
      <c r="R7" s="6">
        <v>3.9607128</v>
      </c>
    </row>
    <row r="8" spans="1:18" ht="11.25" customHeight="1" x14ac:dyDescent="0.25">
      <c r="A8" s="61" t="s">
        <v>232</v>
      </c>
      <c r="B8" s="62" t="s">
        <v>231</v>
      </c>
      <c r="C8" s="6">
        <v>3.9607128</v>
      </c>
      <c r="D8" s="6">
        <v>3.9607128</v>
      </c>
      <c r="E8" s="6">
        <v>3.9607128</v>
      </c>
      <c r="F8" s="6">
        <v>3.9607128</v>
      </c>
      <c r="G8" s="6">
        <v>3.9607128</v>
      </c>
      <c r="H8" s="6">
        <v>3.9607128</v>
      </c>
      <c r="I8" s="6">
        <v>3.9607128</v>
      </c>
      <c r="J8" s="6">
        <v>3.9607128</v>
      </c>
      <c r="K8" s="6">
        <v>3.9607128</v>
      </c>
      <c r="L8" s="6">
        <v>3.9607128</v>
      </c>
      <c r="M8" s="6">
        <v>3.9607128</v>
      </c>
      <c r="N8" s="6">
        <v>3.9607128</v>
      </c>
      <c r="O8" s="6">
        <v>3.9607128</v>
      </c>
      <c r="P8" s="6">
        <v>3.9607128</v>
      </c>
      <c r="Q8" s="6">
        <v>3.9607128</v>
      </c>
      <c r="R8" s="6">
        <v>3.9607128</v>
      </c>
    </row>
    <row r="9" spans="1:18" ht="11.25" customHeight="1" x14ac:dyDescent="0.25">
      <c r="A9" s="61" t="s">
        <v>230</v>
      </c>
      <c r="B9" s="62" t="s">
        <v>229</v>
      </c>
      <c r="C9" s="6">
        <v>4.0235148000000001</v>
      </c>
      <c r="D9" s="6">
        <v>4.0235148000000001</v>
      </c>
      <c r="E9" s="6">
        <v>4.0235148000000001</v>
      </c>
      <c r="F9" s="6">
        <v>4.0235148000000001</v>
      </c>
      <c r="G9" s="6">
        <v>4.0235148000000001</v>
      </c>
      <c r="H9" s="6">
        <v>4.0235148000000001</v>
      </c>
      <c r="I9" s="6">
        <v>4.0235148000000001</v>
      </c>
      <c r="J9" s="6">
        <v>4.0235148000000001</v>
      </c>
      <c r="K9" s="6">
        <v>4.0235148000000001</v>
      </c>
      <c r="L9" s="6">
        <v>4.0235148000000001</v>
      </c>
      <c r="M9" s="6">
        <v>4.0235148000000001</v>
      </c>
      <c r="N9" s="6">
        <v>4.0235148000000001</v>
      </c>
      <c r="O9" s="6">
        <v>4.0235148000000001</v>
      </c>
      <c r="P9" s="6">
        <v>4.0235148000000001</v>
      </c>
      <c r="Q9" s="6">
        <v>4.0235148000000001</v>
      </c>
      <c r="R9" s="6">
        <v>4.0235148000000001</v>
      </c>
    </row>
    <row r="10" spans="1:18" ht="11.25" customHeight="1" x14ac:dyDescent="0.25">
      <c r="A10" s="59" t="s">
        <v>228</v>
      </c>
      <c r="B10" s="60" t="s">
        <v>227</v>
      </c>
      <c r="C10" s="7">
        <v>4.0821300000000003</v>
      </c>
      <c r="D10" s="7">
        <v>4.0821300000000003</v>
      </c>
      <c r="E10" s="7">
        <v>4.0821300000000003</v>
      </c>
      <c r="F10" s="7">
        <v>4.0821300000000003</v>
      </c>
      <c r="G10" s="7">
        <v>4.0821300000000003</v>
      </c>
      <c r="H10" s="7">
        <v>4.0821300000000003</v>
      </c>
      <c r="I10" s="7">
        <v>4.0821300000000003</v>
      </c>
      <c r="J10" s="7">
        <v>4.0821300000000003</v>
      </c>
      <c r="K10" s="7">
        <v>4.0821300000000003</v>
      </c>
      <c r="L10" s="7">
        <v>4.0821300000000003</v>
      </c>
      <c r="M10" s="7">
        <v>4.0821300000000003</v>
      </c>
      <c r="N10" s="7">
        <v>4.0821300000000003</v>
      </c>
      <c r="O10" s="7">
        <v>4.0821300000000003</v>
      </c>
      <c r="P10" s="7">
        <v>4.0821300000000003</v>
      </c>
      <c r="Q10" s="7">
        <v>4.0821300000000003</v>
      </c>
      <c r="R10" s="7">
        <v>4.0821300000000003</v>
      </c>
    </row>
    <row r="11" spans="1:18" ht="11.25" customHeight="1" x14ac:dyDescent="0.25">
      <c r="A11" s="59" t="s">
        <v>226</v>
      </c>
      <c r="B11" s="60" t="s">
        <v>225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1:18" ht="11.25" customHeight="1" x14ac:dyDescent="0.25">
      <c r="A12" s="61" t="s">
        <v>224</v>
      </c>
      <c r="B12" s="62" t="s">
        <v>223</v>
      </c>
      <c r="C12" s="6">
        <v>4.479876</v>
      </c>
      <c r="D12" s="6">
        <v>4.479876</v>
      </c>
      <c r="E12" s="6">
        <v>4.479876</v>
      </c>
      <c r="F12" s="6">
        <v>4.479876</v>
      </c>
      <c r="G12" s="6">
        <v>4.479876</v>
      </c>
      <c r="H12" s="6">
        <v>4.479876</v>
      </c>
      <c r="I12" s="6">
        <v>4.479876</v>
      </c>
      <c r="J12" s="6">
        <v>4.479876</v>
      </c>
      <c r="K12" s="6">
        <v>4.479876</v>
      </c>
      <c r="L12" s="6">
        <v>4.479876</v>
      </c>
      <c r="M12" s="6">
        <v>4.479876</v>
      </c>
      <c r="N12" s="6">
        <v>4.479876</v>
      </c>
      <c r="O12" s="6">
        <v>4.479876</v>
      </c>
      <c r="P12" s="6">
        <v>4.479876</v>
      </c>
      <c r="Q12" s="6">
        <v>4.479876</v>
      </c>
      <c r="R12" s="6">
        <v>4.479876</v>
      </c>
    </row>
    <row r="13" spans="1:18" ht="11.25" customHeight="1" x14ac:dyDescent="0.25">
      <c r="A13" s="61" t="s">
        <v>222</v>
      </c>
      <c r="B13" s="62" t="s">
        <v>221</v>
      </c>
      <c r="C13" s="6">
        <v>4.479876</v>
      </c>
      <c r="D13" s="6">
        <v>4.479876</v>
      </c>
      <c r="E13" s="6">
        <v>4.479876</v>
      </c>
      <c r="F13" s="6">
        <v>4.479876</v>
      </c>
      <c r="G13" s="6">
        <v>4.479876</v>
      </c>
      <c r="H13" s="6">
        <v>4.479876</v>
      </c>
      <c r="I13" s="6">
        <v>4.479876</v>
      </c>
      <c r="J13" s="6">
        <v>4.479876</v>
      </c>
      <c r="K13" s="6">
        <v>4.479876</v>
      </c>
      <c r="L13" s="6">
        <v>4.479876</v>
      </c>
      <c r="M13" s="6">
        <v>4.479876</v>
      </c>
      <c r="N13" s="6">
        <v>4.479876</v>
      </c>
      <c r="O13" s="6">
        <v>4.479876</v>
      </c>
      <c r="P13" s="6">
        <v>4.479876</v>
      </c>
      <c r="Q13" s="6">
        <v>4.479876</v>
      </c>
      <c r="R13" s="6">
        <v>4.479876</v>
      </c>
    </row>
    <row r="14" spans="1:18" ht="11.25" customHeight="1" x14ac:dyDescent="0.25">
      <c r="A14" s="59" t="s">
        <v>220</v>
      </c>
      <c r="B14" s="60" t="s">
        <v>219</v>
      </c>
      <c r="C14" s="7">
        <v>3.3787476000000005</v>
      </c>
      <c r="D14" s="7">
        <v>3.3787476000000005</v>
      </c>
      <c r="E14" s="7">
        <v>3.3787476000000005</v>
      </c>
      <c r="F14" s="7">
        <v>3.3787476000000005</v>
      </c>
      <c r="G14" s="7">
        <v>3.3787476000000005</v>
      </c>
      <c r="H14" s="7">
        <v>3.3787476000000005</v>
      </c>
      <c r="I14" s="7">
        <v>3.3787476000000005</v>
      </c>
      <c r="J14" s="7">
        <v>3.3787476000000005</v>
      </c>
      <c r="K14" s="7">
        <v>3.3787476000000005</v>
      </c>
      <c r="L14" s="7">
        <v>3.3787476000000005</v>
      </c>
      <c r="M14" s="7">
        <v>3.3787476000000005</v>
      </c>
      <c r="N14" s="7">
        <v>3.3787476000000005</v>
      </c>
      <c r="O14" s="7">
        <v>3.3787476000000005</v>
      </c>
      <c r="P14" s="7">
        <v>3.3787476000000005</v>
      </c>
      <c r="Q14" s="7">
        <v>3.3787476000000005</v>
      </c>
      <c r="R14" s="7">
        <v>3.3787476000000005</v>
      </c>
    </row>
    <row r="15" spans="1:18" ht="11.25" customHeight="1" x14ac:dyDescent="0.25">
      <c r="A15" s="63" t="s">
        <v>218</v>
      </c>
      <c r="B15" s="57" t="s">
        <v>217</v>
      </c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</row>
    <row r="16" spans="1:18" ht="11.25" customHeight="1" x14ac:dyDescent="0.25">
      <c r="A16" s="59" t="s">
        <v>216</v>
      </c>
      <c r="B16" s="60" t="s">
        <v>215</v>
      </c>
      <c r="C16" s="7">
        <v>4.2286679999999999</v>
      </c>
      <c r="D16" s="7">
        <v>4.2286679999999999</v>
      </c>
      <c r="E16" s="7">
        <v>4.2286679999999999</v>
      </c>
      <c r="F16" s="7">
        <v>4.2286679999999999</v>
      </c>
      <c r="G16" s="7">
        <v>4.2286679999999999</v>
      </c>
      <c r="H16" s="7">
        <v>4.2286679999999999</v>
      </c>
      <c r="I16" s="7">
        <v>4.2286679999999999</v>
      </c>
      <c r="J16" s="7">
        <v>4.2286679999999999</v>
      </c>
      <c r="K16" s="7">
        <v>4.2286679999999999</v>
      </c>
      <c r="L16" s="7">
        <v>4.2286679999999999</v>
      </c>
      <c r="M16" s="7">
        <v>4.2286679999999999</v>
      </c>
      <c r="N16" s="7">
        <v>4.2286679999999999</v>
      </c>
      <c r="O16" s="7">
        <v>4.2286679999999999</v>
      </c>
      <c r="P16" s="7">
        <v>4.2286679999999999</v>
      </c>
      <c r="Q16" s="7">
        <v>4.2286679999999999</v>
      </c>
      <c r="R16" s="7">
        <v>4.2286679999999999</v>
      </c>
    </row>
    <row r="17" spans="1:18" ht="11.25" customHeight="1" x14ac:dyDescent="0.25">
      <c r="A17" s="64" t="s">
        <v>214</v>
      </c>
      <c r="B17" s="60" t="s">
        <v>213</v>
      </c>
      <c r="C17" s="7">
        <v>4.438008</v>
      </c>
      <c r="D17" s="7">
        <v>4.438008</v>
      </c>
      <c r="E17" s="7">
        <v>4.438008</v>
      </c>
      <c r="F17" s="7">
        <v>4.438008</v>
      </c>
      <c r="G17" s="7">
        <v>4.438008</v>
      </c>
      <c r="H17" s="7">
        <v>4.438008</v>
      </c>
      <c r="I17" s="7">
        <v>4.438008</v>
      </c>
      <c r="J17" s="7">
        <v>4.438008</v>
      </c>
      <c r="K17" s="7">
        <v>4.438008</v>
      </c>
      <c r="L17" s="7">
        <v>4.438008</v>
      </c>
      <c r="M17" s="7">
        <v>4.438008</v>
      </c>
      <c r="N17" s="7">
        <v>4.438008</v>
      </c>
      <c r="O17" s="7">
        <v>4.438008</v>
      </c>
      <c r="P17" s="7">
        <v>4.438008</v>
      </c>
      <c r="Q17" s="7">
        <v>4.438008</v>
      </c>
      <c r="R17" s="7">
        <v>4.438008</v>
      </c>
    </row>
    <row r="18" spans="1:18" ht="11.25" customHeight="1" x14ac:dyDescent="0.25">
      <c r="A18" s="64" t="s">
        <v>357</v>
      </c>
      <c r="B18" s="60" t="s">
        <v>212</v>
      </c>
      <c r="C18" s="7">
        <v>4.0821300000000003</v>
      </c>
      <c r="D18" s="7">
        <v>4.0821300000000003</v>
      </c>
      <c r="E18" s="7">
        <v>4.0821300000000003</v>
      </c>
      <c r="F18" s="7">
        <v>4.0821300000000003</v>
      </c>
      <c r="G18" s="7">
        <v>4.0821300000000003</v>
      </c>
      <c r="H18" s="7">
        <v>4.0821300000000003</v>
      </c>
      <c r="I18" s="7">
        <v>4.0821300000000003</v>
      </c>
      <c r="J18" s="7">
        <v>4.0821300000000003</v>
      </c>
      <c r="K18" s="7">
        <v>4.0821300000000003</v>
      </c>
      <c r="L18" s="7">
        <v>4.0821300000000003</v>
      </c>
      <c r="M18" s="7">
        <v>4.0821300000000003</v>
      </c>
      <c r="N18" s="7">
        <v>4.0821300000000003</v>
      </c>
      <c r="O18" s="7">
        <v>4.0821300000000003</v>
      </c>
      <c r="P18" s="7">
        <v>4.0821300000000003</v>
      </c>
      <c r="Q18" s="7">
        <v>4.0821300000000003</v>
      </c>
      <c r="R18" s="7">
        <v>4.0821300000000003</v>
      </c>
    </row>
    <row r="19" spans="1:18" ht="11.25" customHeight="1" x14ac:dyDescent="0.25">
      <c r="A19" s="64" t="s">
        <v>211</v>
      </c>
      <c r="B19" s="60" t="s">
        <v>210</v>
      </c>
      <c r="C19" s="7">
        <v>4.438008</v>
      </c>
      <c r="D19" s="7">
        <v>4.438008</v>
      </c>
      <c r="E19" s="7">
        <v>4.438008</v>
      </c>
      <c r="F19" s="7">
        <v>4.438008</v>
      </c>
      <c r="G19" s="7">
        <v>4.438008</v>
      </c>
      <c r="H19" s="7">
        <v>4.438008</v>
      </c>
      <c r="I19" s="7">
        <v>4.438008</v>
      </c>
      <c r="J19" s="7">
        <v>4.438008</v>
      </c>
      <c r="K19" s="7">
        <v>4.438008</v>
      </c>
      <c r="L19" s="7">
        <v>4.438008</v>
      </c>
      <c r="M19" s="7">
        <v>4.438008</v>
      </c>
      <c r="N19" s="7">
        <v>4.438008</v>
      </c>
      <c r="O19" s="7">
        <v>4.438008</v>
      </c>
      <c r="P19" s="7">
        <v>4.438008</v>
      </c>
      <c r="Q19" s="7">
        <v>4.438008</v>
      </c>
      <c r="R19" s="7">
        <v>4.438008</v>
      </c>
    </row>
    <row r="20" spans="1:18" ht="11.25" customHeight="1" x14ac:dyDescent="0.25">
      <c r="A20" s="56" t="s">
        <v>209</v>
      </c>
      <c r="B20" s="57" t="s">
        <v>208</v>
      </c>
      <c r="C20" s="58">
        <v>4.479876</v>
      </c>
      <c r="D20" s="58">
        <v>4.479876</v>
      </c>
      <c r="E20" s="58">
        <v>4.479876</v>
      </c>
      <c r="F20" s="58">
        <v>4.479876</v>
      </c>
      <c r="G20" s="58">
        <v>4.479876</v>
      </c>
      <c r="H20" s="58">
        <v>4.479876</v>
      </c>
      <c r="I20" s="58">
        <v>4.479876</v>
      </c>
      <c r="J20" s="58">
        <v>4.479876</v>
      </c>
      <c r="K20" s="58">
        <v>4.479876</v>
      </c>
      <c r="L20" s="58">
        <v>4.479876</v>
      </c>
      <c r="M20" s="58">
        <v>4.479876</v>
      </c>
      <c r="N20" s="58">
        <v>4.479876</v>
      </c>
      <c r="O20" s="58">
        <v>4.479876</v>
      </c>
      <c r="P20" s="58">
        <v>4.479876</v>
      </c>
      <c r="Q20" s="58">
        <v>4.479876</v>
      </c>
      <c r="R20" s="58">
        <v>4.479876</v>
      </c>
    </row>
    <row r="21" spans="1:18" ht="11.25" customHeight="1" x14ac:dyDescent="0.25">
      <c r="A21" s="53" t="s">
        <v>207</v>
      </c>
      <c r="B21" s="54" t="s">
        <v>206</v>
      </c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</row>
    <row r="22" spans="1:18" ht="11.25" customHeight="1" x14ac:dyDescent="0.25">
      <c r="A22" s="56" t="s">
        <v>205</v>
      </c>
      <c r="B22" s="57" t="s">
        <v>204</v>
      </c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</row>
    <row r="23" spans="1:18" ht="11.25" customHeight="1" x14ac:dyDescent="0.25">
      <c r="A23" s="59" t="s">
        <v>203</v>
      </c>
      <c r="B23" s="60" t="s">
        <v>202</v>
      </c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</row>
    <row r="24" spans="1:18" ht="11.25" customHeight="1" x14ac:dyDescent="0.25">
      <c r="A24" s="61" t="s">
        <v>201</v>
      </c>
      <c r="B24" s="62" t="s">
        <v>200</v>
      </c>
      <c r="C24" s="6">
        <v>3.0689244000000002</v>
      </c>
      <c r="D24" s="6">
        <v>3.0689244000000002</v>
      </c>
      <c r="E24" s="6">
        <v>3.0689244000000002</v>
      </c>
      <c r="F24" s="6">
        <v>3.0689244000000002</v>
      </c>
      <c r="G24" s="6">
        <v>3.0689244000000002</v>
      </c>
      <c r="H24" s="6">
        <v>3.0689244000000002</v>
      </c>
      <c r="I24" s="6">
        <v>3.0689244000000002</v>
      </c>
      <c r="J24" s="6">
        <v>3.0689244000000002</v>
      </c>
      <c r="K24" s="6">
        <v>3.0689244000000002</v>
      </c>
      <c r="L24" s="6">
        <v>3.0689244000000002</v>
      </c>
      <c r="M24" s="6">
        <v>3.0689244000000002</v>
      </c>
      <c r="N24" s="6">
        <v>3.0689244000000002</v>
      </c>
      <c r="O24" s="6">
        <v>3.0689244000000002</v>
      </c>
      <c r="P24" s="6">
        <v>3.0689244000000002</v>
      </c>
      <c r="Q24" s="6">
        <v>3.0689244000000002</v>
      </c>
      <c r="R24" s="6">
        <v>3.0689244000000002</v>
      </c>
    </row>
    <row r="25" spans="1:18" ht="11.25" customHeight="1" x14ac:dyDescent="0.25">
      <c r="A25" s="61" t="s">
        <v>199</v>
      </c>
      <c r="B25" s="62" t="s">
        <v>198</v>
      </c>
      <c r="C25" s="6">
        <v>2.6879256000000002</v>
      </c>
      <c r="D25" s="6">
        <v>2.6879256000000002</v>
      </c>
      <c r="E25" s="6">
        <v>2.6879256000000002</v>
      </c>
      <c r="F25" s="6">
        <v>2.6879256000000002</v>
      </c>
      <c r="G25" s="6">
        <v>2.6879256000000002</v>
      </c>
      <c r="H25" s="6">
        <v>2.6879256000000002</v>
      </c>
      <c r="I25" s="6">
        <v>2.6879256000000002</v>
      </c>
      <c r="J25" s="6">
        <v>2.6879256000000002</v>
      </c>
      <c r="K25" s="6">
        <v>2.6879256000000002</v>
      </c>
      <c r="L25" s="6">
        <v>2.6879256000000002</v>
      </c>
      <c r="M25" s="6">
        <v>2.6879256000000002</v>
      </c>
      <c r="N25" s="6">
        <v>2.6879256000000002</v>
      </c>
      <c r="O25" s="6">
        <v>2.6879256000000002</v>
      </c>
      <c r="P25" s="6">
        <v>2.6879256000000002</v>
      </c>
      <c r="Q25" s="6">
        <v>2.6879256000000002</v>
      </c>
      <c r="R25" s="6">
        <v>2.6879256000000002</v>
      </c>
    </row>
    <row r="26" spans="1:18" ht="11.25" customHeight="1" x14ac:dyDescent="0.25">
      <c r="A26" s="59" t="s">
        <v>197</v>
      </c>
      <c r="B26" s="60" t="s">
        <v>196</v>
      </c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</row>
    <row r="27" spans="1:18" ht="11.25" customHeight="1" x14ac:dyDescent="0.25">
      <c r="A27" s="61" t="s">
        <v>195</v>
      </c>
      <c r="B27" s="62" t="s">
        <v>194</v>
      </c>
      <c r="C27" s="6">
        <v>3.0689244000000002</v>
      </c>
      <c r="D27" s="6">
        <v>3.0689244000000002</v>
      </c>
      <c r="E27" s="6">
        <v>3.0689244000000002</v>
      </c>
      <c r="F27" s="6">
        <v>3.0689244000000002</v>
      </c>
      <c r="G27" s="6">
        <v>3.0689244000000002</v>
      </c>
      <c r="H27" s="6">
        <v>3.0689244000000002</v>
      </c>
      <c r="I27" s="6">
        <v>3.0689244000000002</v>
      </c>
      <c r="J27" s="6">
        <v>3.0689244000000002</v>
      </c>
      <c r="K27" s="6">
        <v>3.0689244000000002</v>
      </c>
      <c r="L27" s="6">
        <v>3.0689244000000002</v>
      </c>
      <c r="M27" s="6">
        <v>3.0689244000000002</v>
      </c>
      <c r="N27" s="6">
        <v>3.0689244000000002</v>
      </c>
      <c r="O27" s="6">
        <v>3.0689244000000002</v>
      </c>
      <c r="P27" s="6">
        <v>3.0689244000000002</v>
      </c>
      <c r="Q27" s="6">
        <v>3.0689244000000002</v>
      </c>
      <c r="R27" s="6">
        <v>3.0689244000000002</v>
      </c>
    </row>
    <row r="28" spans="1:18" ht="11.25" customHeight="1" x14ac:dyDescent="0.25">
      <c r="A28" s="61" t="s">
        <v>193</v>
      </c>
      <c r="B28" s="62" t="s">
        <v>192</v>
      </c>
      <c r="C28" s="6">
        <v>3.0689244000000002</v>
      </c>
      <c r="D28" s="6">
        <v>3.0689244000000002</v>
      </c>
      <c r="E28" s="6">
        <v>3.0689244000000002</v>
      </c>
      <c r="F28" s="6">
        <v>3.0689244000000002</v>
      </c>
      <c r="G28" s="6">
        <v>3.0689244000000002</v>
      </c>
      <c r="H28" s="6">
        <v>3.0689244000000002</v>
      </c>
      <c r="I28" s="6">
        <v>3.0689244000000002</v>
      </c>
      <c r="J28" s="6">
        <v>3.0689244000000002</v>
      </c>
      <c r="K28" s="6">
        <v>3.0689244000000002</v>
      </c>
      <c r="L28" s="6">
        <v>3.0689244000000002</v>
      </c>
      <c r="M28" s="6">
        <v>3.0689244000000002</v>
      </c>
      <c r="N28" s="6">
        <v>3.0689244000000002</v>
      </c>
      <c r="O28" s="6">
        <v>3.0689244000000002</v>
      </c>
      <c r="P28" s="6">
        <v>3.0689244000000002</v>
      </c>
      <c r="Q28" s="6">
        <v>3.0689244000000002</v>
      </c>
      <c r="R28" s="6">
        <v>3.0689244000000002</v>
      </c>
    </row>
    <row r="29" spans="1:18" ht="11.25" customHeight="1" x14ac:dyDescent="0.25">
      <c r="A29" s="65" t="s">
        <v>191</v>
      </c>
      <c r="B29" s="62" t="s">
        <v>190</v>
      </c>
      <c r="C29" s="6">
        <v>3.0689244000000002</v>
      </c>
      <c r="D29" s="6">
        <v>3.0689244000000002</v>
      </c>
      <c r="E29" s="6">
        <v>3.0689244000000002</v>
      </c>
      <c r="F29" s="6">
        <v>3.0689244000000002</v>
      </c>
      <c r="G29" s="6">
        <v>3.0689244000000002</v>
      </c>
      <c r="H29" s="6">
        <v>3.0689244000000002</v>
      </c>
      <c r="I29" s="6">
        <v>3.0689244000000002</v>
      </c>
      <c r="J29" s="6">
        <v>3.0689244000000002</v>
      </c>
      <c r="K29" s="6">
        <v>3.0689244000000002</v>
      </c>
      <c r="L29" s="6">
        <v>3.0689244000000002</v>
      </c>
      <c r="M29" s="6">
        <v>3.0689244000000002</v>
      </c>
      <c r="N29" s="6">
        <v>3.0689244000000002</v>
      </c>
      <c r="O29" s="6">
        <v>3.0689244000000002</v>
      </c>
      <c r="P29" s="6">
        <v>3.0689244000000002</v>
      </c>
      <c r="Q29" s="6">
        <v>3.0689244000000002</v>
      </c>
      <c r="R29" s="6">
        <v>3.0689244000000002</v>
      </c>
    </row>
    <row r="30" spans="1:18" ht="11.25" customHeight="1" x14ac:dyDescent="0.25">
      <c r="A30" s="56" t="s">
        <v>189</v>
      </c>
      <c r="B30" s="57" t="s">
        <v>188</v>
      </c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</row>
    <row r="31" spans="1:18" ht="11.25" customHeight="1" x14ac:dyDescent="0.25">
      <c r="A31" s="59" t="s">
        <v>187</v>
      </c>
      <c r="B31" s="60" t="s">
        <v>186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</row>
    <row r="32" spans="1:18" ht="11.25" customHeight="1" x14ac:dyDescent="0.25">
      <c r="A32" s="61" t="s">
        <v>185</v>
      </c>
      <c r="B32" s="62" t="s">
        <v>184</v>
      </c>
      <c r="C32" s="6">
        <v>2.4115968000000003</v>
      </c>
      <c r="D32" s="6">
        <v>2.4115968000000003</v>
      </c>
      <c r="E32" s="6">
        <v>2.4115968000000003</v>
      </c>
      <c r="F32" s="6">
        <v>2.4115968000000003</v>
      </c>
      <c r="G32" s="6">
        <v>2.4115968000000003</v>
      </c>
      <c r="H32" s="6">
        <v>2.4115968000000003</v>
      </c>
      <c r="I32" s="6">
        <v>2.4115968000000003</v>
      </c>
      <c r="J32" s="6">
        <v>2.4115968000000003</v>
      </c>
      <c r="K32" s="6">
        <v>2.4115968000000003</v>
      </c>
      <c r="L32" s="6">
        <v>2.4115968000000003</v>
      </c>
      <c r="M32" s="6">
        <v>2.4115968000000003</v>
      </c>
      <c r="N32" s="6">
        <v>2.4115968000000003</v>
      </c>
      <c r="O32" s="6">
        <v>2.4115968000000003</v>
      </c>
      <c r="P32" s="6">
        <v>2.4115968000000003</v>
      </c>
      <c r="Q32" s="6">
        <v>2.4115968000000003</v>
      </c>
      <c r="R32" s="6">
        <v>2.4115968000000003</v>
      </c>
    </row>
    <row r="33" spans="1:18" ht="11.25" customHeight="1" x14ac:dyDescent="0.25">
      <c r="A33" s="61" t="s">
        <v>183</v>
      </c>
      <c r="B33" s="62" t="s">
        <v>182</v>
      </c>
      <c r="C33" s="6">
        <v>2.5790688000000004</v>
      </c>
      <c r="D33" s="6">
        <v>2.5790688000000004</v>
      </c>
      <c r="E33" s="6">
        <v>2.5790688000000004</v>
      </c>
      <c r="F33" s="6">
        <v>2.5790688000000004</v>
      </c>
      <c r="G33" s="6">
        <v>2.5790688000000004</v>
      </c>
      <c r="H33" s="6">
        <v>2.5790688000000004</v>
      </c>
      <c r="I33" s="6">
        <v>2.5790688000000004</v>
      </c>
      <c r="J33" s="6">
        <v>2.5790688000000004</v>
      </c>
      <c r="K33" s="6">
        <v>2.5790688000000004</v>
      </c>
      <c r="L33" s="6">
        <v>2.5790688000000004</v>
      </c>
      <c r="M33" s="6">
        <v>2.5790688000000004</v>
      </c>
      <c r="N33" s="6">
        <v>2.5790688000000004</v>
      </c>
      <c r="O33" s="6">
        <v>2.5790688000000004</v>
      </c>
      <c r="P33" s="6">
        <v>2.5790688000000004</v>
      </c>
      <c r="Q33" s="6">
        <v>2.5790688000000004</v>
      </c>
      <c r="R33" s="6">
        <v>2.5790688000000004</v>
      </c>
    </row>
    <row r="34" spans="1:18" ht="11.25" customHeight="1" x14ac:dyDescent="0.25">
      <c r="A34" s="64" t="s">
        <v>181</v>
      </c>
      <c r="B34" s="60" t="s">
        <v>180</v>
      </c>
      <c r="C34" s="7">
        <v>2.6418708000000004</v>
      </c>
      <c r="D34" s="7">
        <v>2.6418708000000004</v>
      </c>
      <c r="E34" s="7">
        <v>2.6418708000000004</v>
      </c>
      <c r="F34" s="7">
        <v>2.6418708000000004</v>
      </c>
      <c r="G34" s="7">
        <v>2.6418708000000004</v>
      </c>
      <c r="H34" s="7">
        <v>2.6418708000000004</v>
      </c>
      <c r="I34" s="7">
        <v>2.6418708000000004</v>
      </c>
      <c r="J34" s="7">
        <v>2.6418708000000004</v>
      </c>
      <c r="K34" s="7">
        <v>2.6418708000000004</v>
      </c>
      <c r="L34" s="7">
        <v>2.6418708000000004</v>
      </c>
      <c r="M34" s="7">
        <v>2.6418708000000004</v>
      </c>
      <c r="N34" s="7">
        <v>2.6418708000000004</v>
      </c>
      <c r="O34" s="7">
        <v>2.6418708000000004</v>
      </c>
      <c r="P34" s="7">
        <v>2.6418708000000004</v>
      </c>
      <c r="Q34" s="7">
        <v>2.6418708000000004</v>
      </c>
      <c r="R34" s="7">
        <v>2.6418708000000004</v>
      </c>
    </row>
    <row r="35" spans="1:18" ht="11.25" customHeight="1" x14ac:dyDescent="0.25">
      <c r="A35" s="59" t="s">
        <v>179</v>
      </c>
      <c r="B35" s="60" t="s">
        <v>178</v>
      </c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</row>
    <row r="36" spans="1:18" ht="11.25" customHeight="1" x14ac:dyDescent="0.25">
      <c r="A36" s="65" t="s">
        <v>177</v>
      </c>
      <c r="B36" s="62" t="s">
        <v>176</v>
      </c>
      <c r="C36" s="6">
        <v>2.9014524000000002</v>
      </c>
      <c r="D36" s="6">
        <v>2.9014524000000002</v>
      </c>
      <c r="E36" s="6">
        <v>2.9014524000000002</v>
      </c>
      <c r="F36" s="6">
        <v>2.9014524000000002</v>
      </c>
      <c r="G36" s="6">
        <v>2.9014524000000002</v>
      </c>
      <c r="H36" s="6">
        <v>2.9014524000000002</v>
      </c>
      <c r="I36" s="6">
        <v>2.9014524000000002</v>
      </c>
      <c r="J36" s="6">
        <v>2.9014524000000002</v>
      </c>
      <c r="K36" s="6">
        <v>2.9014524000000002</v>
      </c>
      <c r="L36" s="6">
        <v>2.9014524000000002</v>
      </c>
      <c r="M36" s="6">
        <v>2.9014524000000002</v>
      </c>
      <c r="N36" s="6">
        <v>2.9014524000000002</v>
      </c>
      <c r="O36" s="6">
        <v>2.9014524000000002</v>
      </c>
      <c r="P36" s="6">
        <v>2.9014524000000002</v>
      </c>
      <c r="Q36" s="6">
        <v>2.9014524000000002</v>
      </c>
      <c r="R36" s="6">
        <v>2.9014524000000002</v>
      </c>
    </row>
    <row r="37" spans="1:18" ht="11.25" customHeight="1" x14ac:dyDescent="0.25">
      <c r="A37" s="61" t="s">
        <v>175</v>
      </c>
      <c r="B37" s="62" t="s">
        <v>174</v>
      </c>
      <c r="C37" s="6">
        <v>2.9307600000000003</v>
      </c>
      <c r="D37" s="6">
        <v>2.9307600000000003</v>
      </c>
      <c r="E37" s="6">
        <v>2.9307600000000003</v>
      </c>
      <c r="F37" s="6">
        <v>2.9307600000000003</v>
      </c>
      <c r="G37" s="6">
        <v>2.9307600000000003</v>
      </c>
      <c r="H37" s="6">
        <v>2.9307600000000003</v>
      </c>
      <c r="I37" s="6">
        <v>2.9307600000000003</v>
      </c>
      <c r="J37" s="6">
        <v>2.9307600000000003</v>
      </c>
      <c r="K37" s="6">
        <v>2.9307600000000003</v>
      </c>
      <c r="L37" s="6">
        <v>2.9307600000000003</v>
      </c>
      <c r="M37" s="6">
        <v>2.9307600000000003</v>
      </c>
      <c r="N37" s="6">
        <v>2.9307600000000003</v>
      </c>
      <c r="O37" s="6">
        <v>2.9307600000000003</v>
      </c>
      <c r="P37" s="6">
        <v>2.9307600000000003</v>
      </c>
      <c r="Q37" s="6">
        <v>2.9307600000000003</v>
      </c>
      <c r="R37" s="6">
        <v>2.9307600000000003</v>
      </c>
    </row>
    <row r="38" spans="1:18" ht="11.25" customHeight="1" x14ac:dyDescent="0.25">
      <c r="A38" s="59" t="s">
        <v>173</v>
      </c>
      <c r="B38" s="60" t="s">
        <v>172</v>
      </c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</row>
    <row r="39" spans="1:18" ht="11.25" customHeight="1" x14ac:dyDescent="0.25">
      <c r="A39" s="61" t="s">
        <v>171</v>
      </c>
      <c r="B39" s="62" t="s">
        <v>170</v>
      </c>
      <c r="C39" s="6">
        <v>3.0103092000000005</v>
      </c>
      <c r="D39" s="6">
        <v>3.0103092000000005</v>
      </c>
      <c r="E39" s="6">
        <v>3.0103092000000005</v>
      </c>
      <c r="F39" s="6">
        <v>3.0103092000000005</v>
      </c>
      <c r="G39" s="6">
        <v>3.0103092000000005</v>
      </c>
      <c r="H39" s="6">
        <v>3.0103092000000005</v>
      </c>
      <c r="I39" s="6">
        <v>3.0103092000000005</v>
      </c>
      <c r="J39" s="6">
        <v>3.0103092000000005</v>
      </c>
      <c r="K39" s="6">
        <v>3.0103092000000005</v>
      </c>
      <c r="L39" s="6">
        <v>3.0103092000000005</v>
      </c>
      <c r="M39" s="6">
        <v>3.0103092000000005</v>
      </c>
      <c r="N39" s="6">
        <v>3.0103092000000005</v>
      </c>
      <c r="O39" s="6">
        <v>3.0103092000000005</v>
      </c>
      <c r="P39" s="6">
        <v>3.0103092000000005</v>
      </c>
      <c r="Q39" s="6">
        <v>3.0103092000000005</v>
      </c>
      <c r="R39" s="6">
        <v>3.0103092000000005</v>
      </c>
    </row>
    <row r="40" spans="1:18" ht="11.25" customHeight="1" x14ac:dyDescent="0.25">
      <c r="A40" s="61" t="s">
        <v>169</v>
      </c>
      <c r="B40" s="62" t="s">
        <v>168</v>
      </c>
      <c r="C40" s="6">
        <v>3.0103092000000005</v>
      </c>
      <c r="D40" s="6">
        <v>3.0103092000000005</v>
      </c>
      <c r="E40" s="6">
        <v>3.0103092000000005</v>
      </c>
      <c r="F40" s="6">
        <v>3.0103092000000005</v>
      </c>
      <c r="G40" s="6">
        <v>3.0103092000000005</v>
      </c>
      <c r="H40" s="6">
        <v>3.0103092000000005</v>
      </c>
      <c r="I40" s="6">
        <v>3.0103092000000005</v>
      </c>
      <c r="J40" s="6">
        <v>3.0103092000000005</v>
      </c>
      <c r="K40" s="6">
        <v>3.0103092000000005</v>
      </c>
      <c r="L40" s="6">
        <v>3.0103092000000005</v>
      </c>
      <c r="M40" s="6">
        <v>3.0103092000000005</v>
      </c>
      <c r="N40" s="6">
        <v>3.0103092000000005</v>
      </c>
      <c r="O40" s="6">
        <v>3.0103092000000005</v>
      </c>
      <c r="P40" s="6">
        <v>3.0103092000000005</v>
      </c>
      <c r="Q40" s="6">
        <v>3.0103092000000005</v>
      </c>
      <c r="R40" s="6">
        <v>3.0103092000000005</v>
      </c>
    </row>
    <row r="41" spans="1:18" ht="11.25" customHeight="1" x14ac:dyDescent="0.25">
      <c r="A41" s="61" t="s">
        <v>167</v>
      </c>
      <c r="B41" s="62" t="s">
        <v>166</v>
      </c>
      <c r="C41" s="6">
        <v>3.0103092000000005</v>
      </c>
      <c r="D41" s="6">
        <v>3.0103092000000005</v>
      </c>
      <c r="E41" s="6">
        <v>3.0103092000000005</v>
      </c>
      <c r="F41" s="6">
        <v>3.0103092000000005</v>
      </c>
      <c r="G41" s="6">
        <v>3.0103092000000005</v>
      </c>
      <c r="H41" s="6">
        <v>3.0103092000000005</v>
      </c>
      <c r="I41" s="6">
        <v>3.0103092000000005</v>
      </c>
      <c r="J41" s="6">
        <v>3.0103092000000005</v>
      </c>
      <c r="K41" s="6">
        <v>3.0103092000000005</v>
      </c>
      <c r="L41" s="6">
        <v>3.0103092000000005</v>
      </c>
      <c r="M41" s="6">
        <v>3.0103092000000005</v>
      </c>
      <c r="N41" s="6">
        <v>3.0103092000000005</v>
      </c>
      <c r="O41" s="6">
        <v>3.0103092000000005</v>
      </c>
      <c r="P41" s="6">
        <v>3.0103092000000005</v>
      </c>
      <c r="Q41" s="6">
        <v>3.0103092000000005</v>
      </c>
      <c r="R41" s="6">
        <v>3.0103092000000005</v>
      </c>
    </row>
    <row r="42" spans="1:18" ht="11.25" customHeight="1" x14ac:dyDescent="0.25">
      <c r="A42" s="64" t="s">
        <v>165</v>
      </c>
      <c r="B42" s="60" t="s">
        <v>164</v>
      </c>
      <c r="C42" s="7">
        <v>3.0689244000000002</v>
      </c>
      <c r="D42" s="7">
        <v>3.0689244000000002</v>
      </c>
      <c r="E42" s="7">
        <v>3.0689244000000002</v>
      </c>
      <c r="F42" s="7">
        <v>3.0689244000000002</v>
      </c>
      <c r="G42" s="7">
        <v>3.0689244000000002</v>
      </c>
      <c r="H42" s="7">
        <v>3.0689244000000002</v>
      </c>
      <c r="I42" s="7">
        <v>3.0689244000000002</v>
      </c>
      <c r="J42" s="7">
        <v>3.0689244000000002</v>
      </c>
      <c r="K42" s="7">
        <v>3.0689244000000002</v>
      </c>
      <c r="L42" s="7">
        <v>3.0689244000000002</v>
      </c>
      <c r="M42" s="7">
        <v>3.0689244000000002</v>
      </c>
      <c r="N42" s="7">
        <v>3.0689244000000002</v>
      </c>
      <c r="O42" s="7">
        <v>3.0689244000000002</v>
      </c>
      <c r="P42" s="7">
        <v>3.0689244000000002</v>
      </c>
      <c r="Q42" s="7">
        <v>3.0689244000000002</v>
      </c>
      <c r="R42" s="7">
        <v>3.0689244000000002</v>
      </c>
    </row>
    <row r="43" spans="1:18" ht="11.25" customHeight="1" x14ac:dyDescent="0.25">
      <c r="A43" s="59" t="s">
        <v>163</v>
      </c>
      <c r="B43" s="60" t="s">
        <v>162</v>
      </c>
      <c r="C43" s="7">
        <v>3.1024188000000001</v>
      </c>
      <c r="D43" s="7">
        <v>3.1024188000000001</v>
      </c>
      <c r="E43" s="7">
        <v>3.1024188000000001</v>
      </c>
      <c r="F43" s="7">
        <v>3.1024188000000001</v>
      </c>
      <c r="G43" s="7">
        <v>3.1024188000000001</v>
      </c>
      <c r="H43" s="7">
        <v>3.1024188000000001</v>
      </c>
      <c r="I43" s="7">
        <v>3.1024188000000001</v>
      </c>
      <c r="J43" s="7">
        <v>3.1024188000000001</v>
      </c>
      <c r="K43" s="7">
        <v>3.1024188000000001</v>
      </c>
      <c r="L43" s="7">
        <v>3.1024188000000001</v>
      </c>
      <c r="M43" s="7">
        <v>3.1024188000000001</v>
      </c>
      <c r="N43" s="7">
        <v>3.1024188000000001</v>
      </c>
      <c r="O43" s="7">
        <v>3.1024188000000001</v>
      </c>
      <c r="P43" s="7">
        <v>3.1024188000000001</v>
      </c>
      <c r="Q43" s="7">
        <v>3.1024188000000001</v>
      </c>
      <c r="R43" s="7">
        <v>3.1024188000000001</v>
      </c>
    </row>
    <row r="44" spans="1:18" ht="11.25" customHeight="1" x14ac:dyDescent="0.25">
      <c r="A44" s="59" t="s">
        <v>161</v>
      </c>
      <c r="B44" s="60" t="s">
        <v>160</v>
      </c>
      <c r="C44" s="7">
        <v>3.2405832000000006</v>
      </c>
      <c r="D44" s="7">
        <v>3.2405832000000006</v>
      </c>
      <c r="E44" s="7">
        <v>3.2405832000000006</v>
      </c>
      <c r="F44" s="7">
        <v>3.2405832000000006</v>
      </c>
      <c r="G44" s="7">
        <v>3.2405832000000006</v>
      </c>
      <c r="H44" s="7">
        <v>3.2405832000000006</v>
      </c>
      <c r="I44" s="7">
        <v>3.2405832000000006</v>
      </c>
      <c r="J44" s="7">
        <v>3.2405832000000006</v>
      </c>
      <c r="K44" s="7">
        <v>3.2405832000000006</v>
      </c>
      <c r="L44" s="7">
        <v>3.2405832000000006</v>
      </c>
      <c r="M44" s="7">
        <v>3.2405832000000006</v>
      </c>
      <c r="N44" s="7">
        <v>3.2405832000000006</v>
      </c>
      <c r="O44" s="7">
        <v>3.2405832000000006</v>
      </c>
      <c r="P44" s="7">
        <v>3.2405832000000006</v>
      </c>
      <c r="Q44" s="7">
        <v>3.2405832000000006</v>
      </c>
      <c r="R44" s="7">
        <v>3.2405832000000006</v>
      </c>
    </row>
    <row r="45" spans="1:18" ht="11.25" customHeight="1" x14ac:dyDescent="0.25">
      <c r="A45" s="59" t="s">
        <v>159</v>
      </c>
      <c r="B45" s="60" t="s">
        <v>158</v>
      </c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</row>
    <row r="46" spans="1:18" ht="11.25" customHeight="1" x14ac:dyDescent="0.25">
      <c r="A46" s="61" t="s">
        <v>157</v>
      </c>
      <c r="B46" s="62" t="s">
        <v>156</v>
      </c>
      <c r="C46" s="6">
        <v>3.0689244000000002</v>
      </c>
      <c r="D46" s="6">
        <v>3.0689244000000002</v>
      </c>
      <c r="E46" s="6">
        <v>3.0689244000000002</v>
      </c>
      <c r="F46" s="6">
        <v>3.0689244000000002</v>
      </c>
      <c r="G46" s="6">
        <v>3.0689244000000002</v>
      </c>
      <c r="H46" s="6">
        <v>3.0689244000000002</v>
      </c>
      <c r="I46" s="6">
        <v>3.0689244000000002</v>
      </c>
      <c r="J46" s="6">
        <v>3.0689244000000002</v>
      </c>
      <c r="K46" s="6">
        <v>3.0689244000000002</v>
      </c>
      <c r="L46" s="6">
        <v>3.0689244000000002</v>
      </c>
      <c r="M46" s="6">
        <v>3.0689244000000002</v>
      </c>
      <c r="N46" s="6">
        <v>3.0689244000000002</v>
      </c>
      <c r="O46" s="6">
        <v>3.0689244000000002</v>
      </c>
      <c r="P46" s="6">
        <v>3.0689244000000002</v>
      </c>
      <c r="Q46" s="6">
        <v>3.0689244000000002</v>
      </c>
      <c r="R46" s="6">
        <v>3.0689244000000002</v>
      </c>
    </row>
    <row r="47" spans="1:18" ht="11.25" customHeight="1" x14ac:dyDescent="0.25">
      <c r="A47" s="61" t="s">
        <v>155</v>
      </c>
      <c r="B47" s="62" t="s">
        <v>154</v>
      </c>
      <c r="C47" s="6">
        <v>3.0689244000000002</v>
      </c>
      <c r="D47" s="6">
        <v>3.0689244000000002</v>
      </c>
      <c r="E47" s="6">
        <v>3.0689244000000002</v>
      </c>
      <c r="F47" s="6">
        <v>3.0689244000000002</v>
      </c>
      <c r="G47" s="6">
        <v>3.0689244000000002</v>
      </c>
      <c r="H47" s="6">
        <v>3.0689244000000002</v>
      </c>
      <c r="I47" s="6">
        <v>3.0689244000000002</v>
      </c>
      <c r="J47" s="6">
        <v>3.0689244000000002</v>
      </c>
      <c r="K47" s="6">
        <v>3.0689244000000002</v>
      </c>
      <c r="L47" s="6">
        <v>3.0689244000000002</v>
      </c>
      <c r="M47" s="6">
        <v>3.0689244000000002</v>
      </c>
      <c r="N47" s="6">
        <v>3.0689244000000002</v>
      </c>
      <c r="O47" s="6">
        <v>3.0689244000000002</v>
      </c>
      <c r="P47" s="6">
        <v>3.0689244000000002</v>
      </c>
      <c r="Q47" s="6">
        <v>3.0689244000000002</v>
      </c>
      <c r="R47" s="6">
        <v>3.0689244000000002</v>
      </c>
    </row>
    <row r="48" spans="1:18" ht="11.25" customHeight="1" x14ac:dyDescent="0.25">
      <c r="A48" s="61" t="s">
        <v>153</v>
      </c>
      <c r="B48" s="62" t="s">
        <v>152</v>
      </c>
      <c r="C48" s="6">
        <v>3.3787476000000005</v>
      </c>
      <c r="D48" s="6">
        <v>3.3787476000000005</v>
      </c>
      <c r="E48" s="6">
        <v>3.3787476000000005</v>
      </c>
      <c r="F48" s="6">
        <v>3.3787476000000005</v>
      </c>
      <c r="G48" s="6">
        <v>3.3787476000000005</v>
      </c>
      <c r="H48" s="6">
        <v>3.3787476000000005</v>
      </c>
      <c r="I48" s="6">
        <v>3.3787476000000005</v>
      </c>
      <c r="J48" s="6">
        <v>3.3787476000000005</v>
      </c>
      <c r="K48" s="6">
        <v>3.3787476000000005</v>
      </c>
      <c r="L48" s="6">
        <v>3.3787476000000005</v>
      </c>
      <c r="M48" s="6">
        <v>3.3787476000000005</v>
      </c>
      <c r="N48" s="6">
        <v>3.3787476000000005</v>
      </c>
      <c r="O48" s="6">
        <v>3.3787476000000005</v>
      </c>
      <c r="P48" s="6">
        <v>3.3787476000000005</v>
      </c>
      <c r="Q48" s="6">
        <v>3.3787476000000005</v>
      </c>
      <c r="R48" s="6">
        <v>3.3787476000000005</v>
      </c>
    </row>
    <row r="49" spans="1:18" ht="11.25" customHeight="1" x14ac:dyDescent="0.25">
      <c r="A49" s="61" t="s">
        <v>151</v>
      </c>
      <c r="B49" s="62" t="s">
        <v>150</v>
      </c>
      <c r="C49" s="6">
        <v>4.0821300000000003</v>
      </c>
      <c r="D49" s="6">
        <v>4.0821300000000003</v>
      </c>
      <c r="E49" s="6">
        <v>4.0821300000000003</v>
      </c>
      <c r="F49" s="6">
        <v>4.0821300000000003</v>
      </c>
      <c r="G49" s="6">
        <v>4.0821300000000003</v>
      </c>
      <c r="H49" s="6">
        <v>4.0821300000000003</v>
      </c>
      <c r="I49" s="6">
        <v>4.0821300000000003</v>
      </c>
      <c r="J49" s="6">
        <v>4.0821300000000003</v>
      </c>
      <c r="K49" s="6">
        <v>4.0821300000000003</v>
      </c>
      <c r="L49" s="6">
        <v>4.0821300000000003</v>
      </c>
      <c r="M49" s="6">
        <v>4.0821300000000003</v>
      </c>
      <c r="N49" s="6">
        <v>4.0821300000000003</v>
      </c>
      <c r="O49" s="6">
        <v>4.0821300000000003</v>
      </c>
      <c r="P49" s="6">
        <v>4.0821300000000003</v>
      </c>
      <c r="Q49" s="6">
        <v>4.0821300000000003</v>
      </c>
      <c r="R49" s="6">
        <v>4.0821300000000003</v>
      </c>
    </row>
    <row r="50" spans="1:18" ht="11.25" customHeight="1" x14ac:dyDescent="0.25">
      <c r="A50" s="61" t="s">
        <v>149</v>
      </c>
      <c r="B50" s="62" t="s">
        <v>148</v>
      </c>
      <c r="C50" s="6">
        <v>3.0689244000000002</v>
      </c>
      <c r="D50" s="6">
        <v>3.0689244000000002</v>
      </c>
      <c r="E50" s="6">
        <v>3.0689244000000002</v>
      </c>
      <c r="F50" s="6">
        <v>3.0689244000000002</v>
      </c>
      <c r="G50" s="6">
        <v>3.0689244000000002</v>
      </c>
      <c r="H50" s="6">
        <v>3.0689244000000002</v>
      </c>
      <c r="I50" s="6">
        <v>3.0689244000000002</v>
      </c>
      <c r="J50" s="6">
        <v>3.0689244000000002</v>
      </c>
      <c r="K50" s="6">
        <v>3.0689244000000002</v>
      </c>
      <c r="L50" s="6">
        <v>3.0689244000000002</v>
      </c>
      <c r="M50" s="6">
        <v>3.0689244000000002</v>
      </c>
      <c r="N50" s="6">
        <v>3.0689244000000002</v>
      </c>
      <c r="O50" s="6">
        <v>3.0689244000000002</v>
      </c>
      <c r="P50" s="6">
        <v>3.0689244000000002</v>
      </c>
      <c r="Q50" s="6">
        <v>3.0689244000000002</v>
      </c>
      <c r="R50" s="6">
        <v>3.0689244000000002</v>
      </c>
    </row>
    <row r="51" spans="1:18" ht="11.25" customHeight="1" x14ac:dyDescent="0.25">
      <c r="A51" s="61" t="s">
        <v>147</v>
      </c>
      <c r="B51" s="62" t="s">
        <v>146</v>
      </c>
      <c r="C51" s="6">
        <v>3.0689244000000002</v>
      </c>
      <c r="D51" s="6">
        <v>3.0689244000000002</v>
      </c>
      <c r="E51" s="6">
        <v>3.0689244000000002</v>
      </c>
      <c r="F51" s="6">
        <v>3.0689244000000002</v>
      </c>
      <c r="G51" s="6">
        <v>3.0689244000000002</v>
      </c>
      <c r="H51" s="6">
        <v>3.0689244000000002</v>
      </c>
      <c r="I51" s="6">
        <v>3.0689244000000002</v>
      </c>
      <c r="J51" s="6">
        <v>3.0689244000000002</v>
      </c>
      <c r="K51" s="6">
        <v>3.0689244000000002</v>
      </c>
      <c r="L51" s="6">
        <v>3.0689244000000002</v>
      </c>
      <c r="M51" s="6">
        <v>3.0689244000000002</v>
      </c>
      <c r="N51" s="6">
        <v>3.0689244000000002</v>
      </c>
      <c r="O51" s="6">
        <v>3.0689244000000002</v>
      </c>
      <c r="P51" s="6">
        <v>3.0689244000000002</v>
      </c>
      <c r="Q51" s="6">
        <v>3.0689244000000002</v>
      </c>
      <c r="R51" s="6">
        <v>3.0689244000000002</v>
      </c>
    </row>
    <row r="52" spans="1:18" ht="11.25" customHeight="1" x14ac:dyDescent="0.25">
      <c r="A52" s="53" t="s">
        <v>145</v>
      </c>
      <c r="B52" s="54" t="s">
        <v>144</v>
      </c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</row>
    <row r="53" spans="1:18" ht="11.25" customHeight="1" x14ac:dyDescent="0.25">
      <c r="A53" s="56" t="s">
        <v>143</v>
      </c>
      <c r="B53" s="57" t="s">
        <v>142</v>
      </c>
      <c r="C53" s="58">
        <v>2.3487948000000003</v>
      </c>
      <c r="D53" s="58">
        <v>2.3487948000000003</v>
      </c>
      <c r="E53" s="58">
        <v>2.3487948000000003</v>
      </c>
      <c r="F53" s="58">
        <v>2.3487948000000003</v>
      </c>
      <c r="G53" s="58">
        <v>2.3487948000000003</v>
      </c>
      <c r="H53" s="58">
        <v>2.3487948000000003</v>
      </c>
      <c r="I53" s="58">
        <v>2.3487948000000003</v>
      </c>
      <c r="J53" s="58">
        <v>2.3487948000000003</v>
      </c>
      <c r="K53" s="58">
        <v>2.3487948000000003</v>
      </c>
      <c r="L53" s="58">
        <v>2.3487948000000003</v>
      </c>
      <c r="M53" s="58">
        <v>2.3487948000000003</v>
      </c>
      <c r="N53" s="58">
        <v>2.3487948000000003</v>
      </c>
      <c r="O53" s="58">
        <v>2.3487948000000003</v>
      </c>
      <c r="P53" s="58">
        <v>2.3487948000000003</v>
      </c>
      <c r="Q53" s="58">
        <v>2.3487948000000003</v>
      </c>
      <c r="R53" s="58">
        <v>2.3487948000000003</v>
      </c>
    </row>
    <row r="54" spans="1:18" ht="11.25" customHeight="1" x14ac:dyDescent="0.25">
      <c r="A54" s="56" t="s">
        <v>141</v>
      </c>
      <c r="B54" s="57" t="s">
        <v>140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</row>
    <row r="55" spans="1:18" ht="11.25" customHeight="1" x14ac:dyDescent="0.25">
      <c r="A55" s="59" t="s">
        <v>139</v>
      </c>
      <c r="B55" s="60" t="s">
        <v>138</v>
      </c>
      <c r="C55" s="7">
        <v>1.8589392</v>
      </c>
      <c r="D55" s="7">
        <v>1.8589392</v>
      </c>
      <c r="E55" s="7">
        <v>1.8589392</v>
      </c>
      <c r="F55" s="7">
        <v>1.8589392</v>
      </c>
      <c r="G55" s="7">
        <v>1.8589392</v>
      </c>
      <c r="H55" s="7">
        <v>1.8589392</v>
      </c>
      <c r="I55" s="7">
        <v>1.8589392</v>
      </c>
      <c r="J55" s="7">
        <v>1.8589392</v>
      </c>
      <c r="K55" s="7">
        <v>1.8589392</v>
      </c>
      <c r="L55" s="7">
        <v>1.8589392</v>
      </c>
      <c r="M55" s="7">
        <v>1.8589392</v>
      </c>
      <c r="N55" s="7">
        <v>1.8589392</v>
      </c>
      <c r="O55" s="7">
        <v>1.8589392</v>
      </c>
      <c r="P55" s="7">
        <v>1.8589392</v>
      </c>
      <c r="Q55" s="7">
        <v>1.8589392</v>
      </c>
      <c r="R55" s="7">
        <v>1.8589392</v>
      </c>
    </row>
    <row r="56" spans="1:18" ht="11.25" customHeight="1" x14ac:dyDescent="0.25">
      <c r="A56" s="59" t="s">
        <v>137</v>
      </c>
      <c r="B56" s="60" t="s">
        <v>136</v>
      </c>
      <c r="C56" s="7">
        <v>10.885680000000001</v>
      </c>
      <c r="D56" s="7">
        <v>10.885680000000001</v>
      </c>
      <c r="E56" s="7">
        <v>10.885680000000001</v>
      </c>
      <c r="F56" s="7">
        <v>10.885680000000001</v>
      </c>
      <c r="G56" s="7">
        <v>10.885680000000001</v>
      </c>
      <c r="H56" s="7">
        <v>10.885680000000001</v>
      </c>
      <c r="I56" s="7">
        <v>10.885680000000001</v>
      </c>
      <c r="J56" s="7">
        <v>10.885680000000001</v>
      </c>
      <c r="K56" s="7">
        <v>10.885680000000001</v>
      </c>
      <c r="L56" s="7">
        <v>10.885680000000001</v>
      </c>
      <c r="M56" s="7">
        <v>10.885680000000001</v>
      </c>
      <c r="N56" s="7">
        <v>10.885680000000001</v>
      </c>
      <c r="O56" s="7">
        <v>10.885680000000001</v>
      </c>
      <c r="P56" s="7">
        <v>10.885680000000001</v>
      </c>
      <c r="Q56" s="7">
        <v>10.885680000000001</v>
      </c>
      <c r="R56" s="7">
        <v>10.885680000000001</v>
      </c>
    </row>
    <row r="57" spans="1:18" ht="11.25" customHeight="1" x14ac:dyDescent="0.25">
      <c r="A57" s="64" t="s">
        <v>135</v>
      </c>
      <c r="B57" s="60" t="s">
        <v>134</v>
      </c>
      <c r="C57" s="7">
        <v>1.8589392</v>
      </c>
      <c r="D57" s="7">
        <v>1.8589392</v>
      </c>
      <c r="E57" s="7">
        <v>1.8589392</v>
      </c>
      <c r="F57" s="7">
        <v>1.8589392</v>
      </c>
      <c r="G57" s="7">
        <v>1.8589392</v>
      </c>
      <c r="H57" s="7">
        <v>1.8589392</v>
      </c>
      <c r="I57" s="7">
        <v>1.8589392</v>
      </c>
      <c r="J57" s="7">
        <v>1.8589392</v>
      </c>
      <c r="K57" s="7">
        <v>1.8589392</v>
      </c>
      <c r="L57" s="7">
        <v>1.8589392</v>
      </c>
      <c r="M57" s="7">
        <v>1.8589392</v>
      </c>
      <c r="N57" s="7">
        <v>1.8589392</v>
      </c>
      <c r="O57" s="7">
        <v>1.8589392</v>
      </c>
      <c r="P57" s="7">
        <v>1.8589392</v>
      </c>
      <c r="Q57" s="7">
        <v>1.8589392</v>
      </c>
      <c r="R57" s="7">
        <v>1.8589392</v>
      </c>
    </row>
    <row r="58" spans="1:18" ht="11.25" customHeight="1" x14ac:dyDescent="0.25">
      <c r="A58" s="64" t="s">
        <v>133</v>
      </c>
      <c r="B58" s="60" t="s">
        <v>132</v>
      </c>
      <c r="C58" s="7">
        <v>7.6199760000000003</v>
      </c>
      <c r="D58" s="7">
        <v>7.6199760000000003</v>
      </c>
      <c r="E58" s="7">
        <v>7.6199760000000003</v>
      </c>
      <c r="F58" s="7">
        <v>7.6199760000000003</v>
      </c>
      <c r="G58" s="7">
        <v>7.6199760000000003</v>
      </c>
      <c r="H58" s="7">
        <v>7.6199760000000003</v>
      </c>
      <c r="I58" s="7">
        <v>7.6199760000000003</v>
      </c>
      <c r="J58" s="7">
        <v>7.6199760000000003</v>
      </c>
      <c r="K58" s="7">
        <v>7.6199760000000003</v>
      </c>
      <c r="L58" s="7">
        <v>7.6199760000000003</v>
      </c>
      <c r="M58" s="7">
        <v>7.6199760000000003</v>
      </c>
      <c r="N58" s="7">
        <v>7.6199760000000003</v>
      </c>
      <c r="O58" s="7">
        <v>7.6199760000000003</v>
      </c>
      <c r="P58" s="7">
        <v>7.6199760000000003</v>
      </c>
      <c r="Q58" s="7">
        <v>7.6199760000000003</v>
      </c>
      <c r="R58" s="7">
        <v>7.6199760000000003</v>
      </c>
    </row>
    <row r="59" spans="1:18" s="29" customFormat="1" ht="11.25" customHeight="1" x14ac:dyDescent="0.25">
      <c r="A59" s="5" t="s">
        <v>131</v>
      </c>
      <c r="B59" s="4">
        <v>7200</v>
      </c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</row>
    <row r="60" spans="1:18" s="29" customFormat="1" ht="11.25" customHeight="1" x14ac:dyDescent="0.25">
      <c r="A60" s="66" t="s">
        <v>130</v>
      </c>
      <c r="B60" s="67">
        <v>7100</v>
      </c>
      <c r="C60" s="58">
        <v>5.9871240000000006</v>
      </c>
      <c r="D60" s="58">
        <v>5.9871240000000006</v>
      </c>
      <c r="E60" s="58">
        <v>5.9871240000000006</v>
      </c>
      <c r="F60" s="58">
        <v>5.9871240000000006</v>
      </c>
      <c r="G60" s="58">
        <v>5.9871240000000006</v>
      </c>
      <c r="H60" s="58">
        <v>5.9871240000000006</v>
      </c>
      <c r="I60" s="58">
        <v>5.9871240000000006</v>
      </c>
      <c r="J60" s="58">
        <v>5.9871240000000006</v>
      </c>
      <c r="K60" s="58">
        <v>5.9871240000000006</v>
      </c>
      <c r="L60" s="58">
        <v>5.9871240000000006</v>
      </c>
      <c r="M60" s="58">
        <v>5.9871240000000006</v>
      </c>
      <c r="N60" s="58">
        <v>5.9871240000000006</v>
      </c>
      <c r="O60" s="58">
        <v>5.9871240000000006</v>
      </c>
      <c r="P60" s="58">
        <v>5.9871240000000006</v>
      </c>
      <c r="Q60" s="58">
        <v>5.9871240000000006</v>
      </c>
      <c r="R60" s="58">
        <v>5.9871240000000006</v>
      </c>
    </row>
    <row r="61" spans="1:18" ht="11.25" customHeight="1" x14ac:dyDescent="0.25">
      <c r="A61" s="66" t="s">
        <v>128</v>
      </c>
      <c r="B61" s="67">
        <v>55432</v>
      </c>
      <c r="C61" s="58">
        <v>3.8392956000000003</v>
      </c>
      <c r="D61" s="58">
        <v>3.8392956000000003</v>
      </c>
      <c r="E61" s="58">
        <v>3.8392956000000003</v>
      </c>
      <c r="F61" s="58">
        <v>3.8392956000000003</v>
      </c>
      <c r="G61" s="58">
        <v>3.8392956000000003</v>
      </c>
      <c r="H61" s="58">
        <v>3.8392956000000003</v>
      </c>
      <c r="I61" s="58">
        <v>3.8392956000000003</v>
      </c>
      <c r="J61" s="58">
        <v>3.8392956000000003</v>
      </c>
      <c r="K61" s="58">
        <v>3.8392956000000003</v>
      </c>
      <c r="L61" s="58">
        <v>3.8392956000000003</v>
      </c>
      <c r="M61" s="58">
        <v>3.8392956000000003</v>
      </c>
      <c r="N61" s="58">
        <v>3.8392956000000003</v>
      </c>
      <c r="O61" s="58">
        <v>3.8392956000000003</v>
      </c>
      <c r="P61" s="58">
        <v>3.8392956000000003</v>
      </c>
      <c r="Q61" s="58">
        <v>3.8392956000000003</v>
      </c>
      <c r="R61" s="58">
        <v>3.8392956000000003</v>
      </c>
    </row>
    <row r="63" spans="1:18" ht="11.25" customHeight="1" x14ac:dyDescent="0.25">
      <c r="A63" s="50" t="s">
        <v>126</v>
      </c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</row>
    <row r="64" spans="1:18" s="29" customFormat="1" ht="11.25" customHeight="1" x14ac:dyDescent="0.25">
      <c r="A64" s="68" t="s">
        <v>125</v>
      </c>
      <c r="B64" s="69" t="s">
        <v>124</v>
      </c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</row>
    <row r="65" spans="1:18" s="29" customFormat="1" ht="11.25" customHeight="1" x14ac:dyDescent="0.25">
      <c r="A65" s="71" t="s">
        <v>123</v>
      </c>
      <c r="B65" s="72" t="s">
        <v>122</v>
      </c>
      <c r="C65" s="73">
        <v>4.6892160000000001</v>
      </c>
      <c r="D65" s="73">
        <v>4.6892160000000001</v>
      </c>
      <c r="E65" s="73">
        <v>4.6892160000000001</v>
      </c>
      <c r="F65" s="73">
        <v>4.6892160000000001</v>
      </c>
      <c r="G65" s="73">
        <v>4.6892160000000001</v>
      </c>
      <c r="H65" s="73">
        <v>4.6892160000000001</v>
      </c>
      <c r="I65" s="73">
        <v>4.6892160000000001</v>
      </c>
      <c r="J65" s="73">
        <v>4.6892160000000001</v>
      </c>
      <c r="K65" s="73">
        <v>4.6892160000000001</v>
      </c>
      <c r="L65" s="73">
        <v>4.6892160000000001</v>
      </c>
      <c r="M65" s="73">
        <v>4.6892160000000001</v>
      </c>
      <c r="N65" s="73">
        <v>4.6892160000000001</v>
      </c>
      <c r="O65" s="73">
        <v>4.6892160000000001</v>
      </c>
      <c r="P65" s="73">
        <v>4.6892160000000001</v>
      </c>
      <c r="Q65" s="73">
        <v>4.6892160000000001</v>
      </c>
      <c r="R65" s="73">
        <v>4.6892160000000001</v>
      </c>
    </row>
    <row r="66" spans="1:18" s="29" customFormat="1" ht="11.25" customHeight="1" x14ac:dyDescent="0.25">
      <c r="A66" s="71" t="s">
        <v>121</v>
      </c>
      <c r="B66" s="72" t="s">
        <v>120</v>
      </c>
      <c r="C66" s="73">
        <v>4.6892160000000001</v>
      </c>
      <c r="D66" s="73">
        <v>4.6892160000000001</v>
      </c>
      <c r="E66" s="73">
        <v>4.6892160000000001</v>
      </c>
      <c r="F66" s="73">
        <v>4.6892160000000001</v>
      </c>
      <c r="G66" s="73">
        <v>4.6892160000000001</v>
      </c>
      <c r="H66" s="73">
        <v>4.6892160000000001</v>
      </c>
      <c r="I66" s="73">
        <v>4.6892160000000001</v>
      </c>
      <c r="J66" s="73">
        <v>4.6892160000000001</v>
      </c>
      <c r="K66" s="73">
        <v>4.6892160000000001</v>
      </c>
      <c r="L66" s="73">
        <v>4.6892160000000001</v>
      </c>
      <c r="M66" s="73">
        <v>4.6892160000000001</v>
      </c>
      <c r="N66" s="73">
        <v>4.6892160000000001</v>
      </c>
      <c r="O66" s="73">
        <v>4.6892160000000001</v>
      </c>
      <c r="P66" s="73">
        <v>4.6892160000000001</v>
      </c>
      <c r="Q66" s="73">
        <v>4.6892160000000001</v>
      </c>
      <c r="R66" s="73">
        <v>4.6892160000000001</v>
      </c>
    </row>
    <row r="67" spans="1:18" s="29" customFormat="1" ht="11.25" customHeight="1" x14ac:dyDescent="0.25">
      <c r="A67" s="71" t="s">
        <v>119</v>
      </c>
      <c r="B67" s="72" t="s">
        <v>118</v>
      </c>
      <c r="C67" s="73">
        <v>2.2859928000000003</v>
      </c>
      <c r="D67" s="73">
        <v>2.2859928000000003</v>
      </c>
      <c r="E67" s="73">
        <v>2.2859928000000003</v>
      </c>
      <c r="F67" s="73">
        <v>2.2859928000000003</v>
      </c>
      <c r="G67" s="73">
        <v>2.2859928000000003</v>
      </c>
      <c r="H67" s="73">
        <v>2.2859928000000003</v>
      </c>
      <c r="I67" s="73">
        <v>2.2859928000000003</v>
      </c>
      <c r="J67" s="73">
        <v>2.2859928000000003</v>
      </c>
      <c r="K67" s="73">
        <v>2.2859928000000003</v>
      </c>
      <c r="L67" s="73">
        <v>2.2859928000000003</v>
      </c>
      <c r="M67" s="73">
        <v>2.2859928000000003</v>
      </c>
      <c r="N67" s="73">
        <v>2.2859928000000003</v>
      </c>
      <c r="O67" s="73">
        <v>2.2859928000000003</v>
      </c>
      <c r="P67" s="73">
        <v>2.2859928000000003</v>
      </c>
      <c r="Q67" s="73">
        <v>2.2859928000000003</v>
      </c>
      <c r="R67" s="73">
        <v>2.2859928000000003</v>
      </c>
    </row>
    <row r="68" spans="1:18" s="29" customFormat="1" ht="11.25" customHeight="1" x14ac:dyDescent="0.25">
      <c r="A68" s="71" t="s">
        <v>117</v>
      </c>
      <c r="B68" s="72" t="s">
        <v>116</v>
      </c>
      <c r="C68" s="73">
        <v>4.1867999999999999</v>
      </c>
      <c r="D68" s="73">
        <v>4.1867999999999999</v>
      </c>
      <c r="E68" s="73">
        <v>4.1867999999999999</v>
      </c>
      <c r="F68" s="73">
        <v>4.1867999999999999</v>
      </c>
      <c r="G68" s="73">
        <v>4.1867999999999999</v>
      </c>
      <c r="H68" s="73">
        <v>4.1867999999999999</v>
      </c>
      <c r="I68" s="73">
        <v>4.1867999999999999</v>
      </c>
      <c r="J68" s="73">
        <v>4.1867999999999999</v>
      </c>
      <c r="K68" s="73">
        <v>4.1867999999999999</v>
      </c>
      <c r="L68" s="73">
        <v>4.1867999999999999</v>
      </c>
      <c r="M68" s="73">
        <v>4.1867999999999999</v>
      </c>
      <c r="N68" s="73">
        <v>4.1867999999999999</v>
      </c>
      <c r="O68" s="73">
        <v>4.1867999999999999</v>
      </c>
      <c r="P68" s="73">
        <v>4.1867999999999999</v>
      </c>
      <c r="Q68" s="73">
        <v>4.1867999999999999</v>
      </c>
      <c r="R68" s="73">
        <v>4.1867999999999999</v>
      </c>
    </row>
    <row r="69" spans="1:18" s="29" customFormat="1" ht="11.25" customHeight="1" x14ac:dyDescent="0.25">
      <c r="A69" s="71" t="s">
        <v>115</v>
      </c>
      <c r="B69" s="72" t="s">
        <v>114</v>
      </c>
      <c r="C69" s="73"/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</row>
    <row r="70" spans="1:18" s="29" customFormat="1" ht="11.25" customHeight="1" x14ac:dyDescent="0.25">
      <c r="A70" s="74" t="s">
        <v>113</v>
      </c>
      <c r="B70" s="75" t="s">
        <v>112</v>
      </c>
      <c r="C70" s="76">
        <v>2.9642544000000002</v>
      </c>
      <c r="D70" s="76">
        <v>2.9642544000000002</v>
      </c>
      <c r="E70" s="76">
        <v>2.9642544000000002</v>
      </c>
      <c r="F70" s="76">
        <v>2.9642544000000002</v>
      </c>
      <c r="G70" s="76">
        <v>2.9642544000000002</v>
      </c>
      <c r="H70" s="76">
        <v>2.9642544000000002</v>
      </c>
      <c r="I70" s="76">
        <v>2.9642544000000002</v>
      </c>
      <c r="J70" s="76">
        <v>2.9642544000000002</v>
      </c>
      <c r="K70" s="76">
        <v>2.9642544000000002</v>
      </c>
      <c r="L70" s="76">
        <v>2.9642544000000002</v>
      </c>
      <c r="M70" s="76">
        <v>2.9642544000000002</v>
      </c>
      <c r="N70" s="76">
        <v>2.9642544000000002</v>
      </c>
      <c r="O70" s="76">
        <v>2.9642544000000002</v>
      </c>
      <c r="P70" s="76">
        <v>2.9642544000000002</v>
      </c>
      <c r="Q70" s="76">
        <v>2.9642544000000002</v>
      </c>
      <c r="R70" s="76">
        <v>2.9642544000000002</v>
      </c>
    </row>
    <row r="71" spans="1:18" s="29" customFormat="1" ht="11.25" customHeight="1" x14ac:dyDescent="0.25">
      <c r="A71" s="74" t="s">
        <v>111</v>
      </c>
      <c r="B71" s="75" t="s">
        <v>110</v>
      </c>
      <c r="C71" s="76">
        <v>2.9642544000000002</v>
      </c>
      <c r="D71" s="76">
        <v>2.9642544000000002</v>
      </c>
      <c r="E71" s="76">
        <v>2.9642544000000002</v>
      </c>
      <c r="F71" s="76">
        <v>2.9642544000000002</v>
      </c>
      <c r="G71" s="76">
        <v>2.9642544000000002</v>
      </c>
      <c r="H71" s="76">
        <v>2.9642544000000002</v>
      </c>
      <c r="I71" s="76">
        <v>2.9642544000000002</v>
      </c>
      <c r="J71" s="76">
        <v>2.9642544000000002</v>
      </c>
      <c r="K71" s="76">
        <v>2.9642544000000002</v>
      </c>
      <c r="L71" s="76">
        <v>2.9642544000000002</v>
      </c>
      <c r="M71" s="76">
        <v>2.9642544000000002</v>
      </c>
      <c r="N71" s="76">
        <v>2.9642544000000002</v>
      </c>
      <c r="O71" s="76">
        <v>2.9642544000000002</v>
      </c>
      <c r="P71" s="76">
        <v>2.9642544000000002</v>
      </c>
      <c r="Q71" s="76">
        <v>2.9642544000000002</v>
      </c>
      <c r="R71" s="76">
        <v>2.9642544000000002</v>
      </c>
    </row>
    <row r="72" spans="1:18" s="29" customFormat="1" ht="11.25" customHeight="1" x14ac:dyDescent="0.25">
      <c r="A72" s="74" t="s">
        <v>109</v>
      </c>
      <c r="B72" s="75" t="s">
        <v>108</v>
      </c>
      <c r="C72" s="76">
        <v>2.9642544000000002</v>
      </c>
      <c r="D72" s="76">
        <v>2.9642544000000002</v>
      </c>
      <c r="E72" s="76">
        <v>2.9642544000000002</v>
      </c>
      <c r="F72" s="76">
        <v>2.9642544000000002</v>
      </c>
      <c r="G72" s="76">
        <v>2.9642544000000002</v>
      </c>
      <c r="H72" s="76">
        <v>2.9642544000000002</v>
      </c>
      <c r="I72" s="76">
        <v>2.9642544000000002</v>
      </c>
      <c r="J72" s="76">
        <v>2.9642544000000002</v>
      </c>
      <c r="K72" s="76">
        <v>2.9642544000000002</v>
      </c>
      <c r="L72" s="76">
        <v>2.9642544000000002</v>
      </c>
      <c r="M72" s="76">
        <v>2.9642544000000002</v>
      </c>
      <c r="N72" s="76">
        <v>2.9642544000000002</v>
      </c>
      <c r="O72" s="76">
        <v>2.9642544000000002</v>
      </c>
      <c r="P72" s="76">
        <v>2.9642544000000002</v>
      </c>
      <c r="Q72" s="76">
        <v>2.9642544000000002</v>
      </c>
      <c r="R72" s="76">
        <v>2.9642544000000002</v>
      </c>
    </row>
    <row r="73" spans="1:18" s="29" customFormat="1" ht="11.25" customHeight="1" x14ac:dyDescent="0.25">
      <c r="A73" s="74" t="s">
        <v>107</v>
      </c>
      <c r="B73" s="75" t="s">
        <v>106</v>
      </c>
      <c r="C73" s="76">
        <v>3.3326927999999998</v>
      </c>
      <c r="D73" s="76">
        <v>3.3326927999999998</v>
      </c>
      <c r="E73" s="76">
        <v>3.3326927999999998</v>
      </c>
      <c r="F73" s="76">
        <v>3.3326927999999998</v>
      </c>
      <c r="G73" s="76">
        <v>3.3326927999999998</v>
      </c>
      <c r="H73" s="76">
        <v>3.3326927999999998</v>
      </c>
      <c r="I73" s="76">
        <v>3.3326927999999998</v>
      </c>
      <c r="J73" s="76">
        <v>3.3326927999999998</v>
      </c>
      <c r="K73" s="76">
        <v>3.3326927999999998</v>
      </c>
      <c r="L73" s="76">
        <v>3.3326927999999998</v>
      </c>
      <c r="M73" s="76">
        <v>3.3326927999999998</v>
      </c>
      <c r="N73" s="76">
        <v>3.3326927999999998</v>
      </c>
      <c r="O73" s="76">
        <v>3.3326927999999998</v>
      </c>
      <c r="P73" s="76">
        <v>3.3326927999999998</v>
      </c>
      <c r="Q73" s="76">
        <v>3.3326927999999998</v>
      </c>
      <c r="R73" s="76">
        <v>3.3326927999999998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247</v>
      </c>
      <c r="B1" s="77" t="s">
        <v>246</v>
      </c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2508.022417665763</v>
      </c>
      <c r="D2" s="78">
        <v>2775.1639578458403</v>
      </c>
      <c r="E2" s="78">
        <v>2594.4686877600006</v>
      </c>
      <c r="F2" s="78">
        <v>2854.6638153611402</v>
      </c>
      <c r="G2" s="78">
        <v>2911.5605912400001</v>
      </c>
      <c r="H2" s="78">
        <v>2999.862879593582</v>
      </c>
      <c r="I2" s="78">
        <v>2835.7911123185163</v>
      </c>
      <c r="J2" s="78">
        <v>3028.7994246275043</v>
      </c>
      <c r="K2" s="78">
        <v>2980.549758408732</v>
      </c>
      <c r="L2" s="78">
        <v>2755.0383132445563</v>
      </c>
      <c r="M2" s="78">
        <v>2887.6414000000018</v>
      </c>
      <c r="N2" s="78">
        <v>2883.3959906225009</v>
      </c>
      <c r="O2" s="78">
        <v>3010.517635436539</v>
      </c>
      <c r="P2" s="78">
        <v>2688.1256999999987</v>
      </c>
      <c r="Q2" s="78">
        <v>2688.499010921194</v>
      </c>
      <c r="R2" s="78">
        <v>1992.0624159019299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2508.022417665763</v>
      </c>
      <c r="D21" s="79">
        <v>2775.1639578458403</v>
      </c>
      <c r="E21" s="79">
        <v>2594.4686877600006</v>
      </c>
      <c r="F21" s="79">
        <v>2854.6638153611402</v>
      </c>
      <c r="G21" s="79">
        <v>2911.5605912400001</v>
      </c>
      <c r="H21" s="79">
        <v>2999.862879593582</v>
      </c>
      <c r="I21" s="79">
        <v>2835.7911123185163</v>
      </c>
      <c r="J21" s="79">
        <v>3028.7994246275043</v>
      </c>
      <c r="K21" s="79">
        <v>2980.549758408732</v>
      </c>
      <c r="L21" s="79">
        <v>2755.0383132445563</v>
      </c>
      <c r="M21" s="79">
        <v>2887.6414000000018</v>
      </c>
      <c r="N21" s="79">
        <v>2883.3959906225009</v>
      </c>
      <c r="O21" s="79">
        <v>3010.517635436539</v>
      </c>
      <c r="P21" s="79">
        <v>2688.1256999999987</v>
      </c>
      <c r="Q21" s="79">
        <v>2688.499010921194</v>
      </c>
      <c r="R21" s="79">
        <v>1992.0624159019299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2508.022417665763</v>
      </c>
      <c r="D30" s="8">
        <v>2775.1639578458403</v>
      </c>
      <c r="E30" s="8">
        <v>2594.4686877600006</v>
      </c>
      <c r="F30" s="8">
        <v>2854.6638153611402</v>
      </c>
      <c r="G30" s="8">
        <v>2911.5605912400001</v>
      </c>
      <c r="H30" s="8">
        <v>2999.862879593582</v>
      </c>
      <c r="I30" s="8">
        <v>2835.7911123185163</v>
      </c>
      <c r="J30" s="8">
        <v>3028.7994246275043</v>
      </c>
      <c r="K30" s="8">
        <v>2980.549758408732</v>
      </c>
      <c r="L30" s="8">
        <v>2755.0383132445563</v>
      </c>
      <c r="M30" s="8">
        <v>2887.6414000000018</v>
      </c>
      <c r="N30" s="8">
        <v>2883.3959906225009</v>
      </c>
      <c r="O30" s="8">
        <v>3010.517635436539</v>
      </c>
      <c r="P30" s="8">
        <v>2688.1256999999987</v>
      </c>
      <c r="Q30" s="8">
        <v>2688.499010921194</v>
      </c>
      <c r="R30" s="8">
        <v>1992.0624159019299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46.445201519968805</v>
      </c>
      <c r="D34" s="9">
        <v>46.472488775099976</v>
      </c>
      <c r="E34" s="9">
        <v>49.40298396</v>
      </c>
      <c r="F34" s="9">
        <v>49.382456623884067</v>
      </c>
      <c r="G34" s="9">
        <v>49.40298396</v>
      </c>
      <c r="H34" s="9">
        <v>52.248938966607994</v>
      </c>
      <c r="I34" s="9">
        <v>58.110959978711847</v>
      </c>
      <c r="J34" s="9">
        <v>58.082295680531914</v>
      </c>
      <c r="K34" s="9">
        <v>61.037624450951768</v>
      </c>
      <c r="L34" s="9">
        <v>58.121157600000004</v>
      </c>
      <c r="M34" s="9">
        <v>63.857200000000113</v>
      </c>
      <c r="N34" s="9">
        <v>60.956416392577765</v>
      </c>
      <c r="O34" s="9">
        <v>63.857200000000113</v>
      </c>
      <c r="P34" s="9">
        <v>63.857200000000034</v>
      </c>
      <c r="Q34" s="9">
        <v>60.954599999999985</v>
      </c>
      <c r="R34" s="9">
        <v>66.762575182906545</v>
      </c>
    </row>
    <row r="35" spans="1:18" ht="11.25" customHeight="1" x14ac:dyDescent="0.25">
      <c r="A35" s="59" t="s">
        <v>179</v>
      </c>
      <c r="B35" s="60" t="s">
        <v>178</v>
      </c>
      <c r="C35" s="9">
        <v>224.02577172547495</v>
      </c>
      <c r="D35" s="9">
        <v>211.726830789432</v>
      </c>
      <c r="E35" s="9">
        <v>233.27677296000002</v>
      </c>
      <c r="F35" s="9">
        <v>217.80843386702401</v>
      </c>
      <c r="G35" s="9">
        <v>183.69417528000002</v>
      </c>
      <c r="H35" s="9">
        <v>214.66168781830433</v>
      </c>
      <c r="I35" s="9">
        <v>236.42696687425203</v>
      </c>
      <c r="J35" s="9">
        <v>202.12827028506004</v>
      </c>
      <c r="K35" s="9">
        <v>217.936271859768</v>
      </c>
      <c r="L35" s="9">
        <v>227.11800502314</v>
      </c>
      <c r="M35" s="9">
        <v>217.53269999999986</v>
      </c>
      <c r="N35" s="9">
        <v>217.53918227995396</v>
      </c>
      <c r="O35" s="9">
        <v>214.55266142309625</v>
      </c>
      <c r="P35" s="9">
        <v>217.53270000000009</v>
      </c>
      <c r="Q35" s="9">
        <v>217.53269999999986</v>
      </c>
      <c r="R35" s="9">
        <v>226.48181438310613</v>
      </c>
    </row>
    <row r="36" spans="1:18" ht="11.25" customHeight="1" x14ac:dyDescent="0.25">
      <c r="A36" s="65" t="s">
        <v>177</v>
      </c>
      <c r="B36" s="62" t="s">
        <v>176</v>
      </c>
      <c r="C36" s="10">
        <v>220.94553287320664</v>
      </c>
      <c r="D36" s="10">
        <v>208.504694630232</v>
      </c>
      <c r="E36" s="10">
        <v>233.27677296000002</v>
      </c>
      <c r="F36" s="10">
        <v>217.80843386702401</v>
      </c>
      <c r="G36" s="10">
        <v>180.47033928000002</v>
      </c>
      <c r="H36" s="10">
        <v>211.58156172412916</v>
      </c>
      <c r="I36" s="10">
        <v>236.42696687425203</v>
      </c>
      <c r="J36" s="10">
        <v>198.90660304746004</v>
      </c>
      <c r="K36" s="10">
        <v>217.936271859768</v>
      </c>
      <c r="L36" s="10">
        <v>227.11800502314</v>
      </c>
      <c r="M36" s="10">
        <v>217.53269999999986</v>
      </c>
      <c r="N36" s="10">
        <v>217.53918227995396</v>
      </c>
      <c r="O36" s="10">
        <v>214.55266142309625</v>
      </c>
      <c r="P36" s="10">
        <v>217.53270000000009</v>
      </c>
      <c r="Q36" s="10">
        <v>217.53269999999986</v>
      </c>
      <c r="R36" s="10">
        <v>226.48181438310613</v>
      </c>
    </row>
    <row r="37" spans="1:18" ht="11.25" customHeight="1" x14ac:dyDescent="0.25">
      <c r="A37" s="61" t="s">
        <v>175</v>
      </c>
      <c r="B37" s="62" t="s">
        <v>174</v>
      </c>
      <c r="C37" s="10">
        <v>3.0802388522683142</v>
      </c>
      <c r="D37" s="10">
        <v>3.2221361592000006</v>
      </c>
      <c r="E37" s="10">
        <v>0</v>
      </c>
      <c r="F37" s="10">
        <v>0</v>
      </c>
      <c r="G37" s="10">
        <v>3.2238360000000004</v>
      </c>
      <c r="H37" s="10">
        <v>3.0801260941751827</v>
      </c>
      <c r="I37" s="10">
        <v>0</v>
      </c>
      <c r="J37" s="10">
        <v>3.2216672376000002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398.86022898798069</v>
      </c>
      <c r="D38" s="9">
        <v>305.98742420089201</v>
      </c>
      <c r="E38" s="9">
        <v>306.14844564000003</v>
      </c>
      <c r="F38" s="9">
        <v>284.35588414534806</v>
      </c>
      <c r="G38" s="9">
        <v>352.2061764</v>
      </c>
      <c r="H38" s="9">
        <v>272.08073843889809</v>
      </c>
      <c r="I38" s="9">
        <v>238.07376493758005</v>
      </c>
      <c r="J38" s="9">
        <v>275.25918128932801</v>
      </c>
      <c r="K38" s="9">
        <v>389.60047810713604</v>
      </c>
      <c r="L38" s="9">
        <v>278.14417131733205</v>
      </c>
      <c r="M38" s="9">
        <v>306.07829999999996</v>
      </c>
      <c r="N38" s="9">
        <v>318.45458937924354</v>
      </c>
      <c r="O38" s="9">
        <v>302.98645569950259</v>
      </c>
      <c r="P38" s="9">
        <v>318.44510000000082</v>
      </c>
      <c r="Q38" s="9">
        <v>336.99529999999976</v>
      </c>
      <c r="R38" s="9">
        <v>352.46845138842542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367.94083139201337</v>
      </c>
      <c r="D40" s="10">
        <v>274.99755531675601</v>
      </c>
      <c r="E40" s="10">
        <v>269.12164248000005</v>
      </c>
      <c r="F40" s="10">
        <v>238.01641854732003</v>
      </c>
      <c r="G40" s="10">
        <v>302.83710552000002</v>
      </c>
      <c r="H40" s="10">
        <v>262.80525871939022</v>
      </c>
      <c r="I40" s="10">
        <v>231.75322943198404</v>
      </c>
      <c r="J40" s="10">
        <v>268.94174640220803</v>
      </c>
      <c r="K40" s="10">
        <v>386.58965715457202</v>
      </c>
      <c r="L40" s="10">
        <v>275.14226088000004</v>
      </c>
      <c r="M40" s="10">
        <v>306.07829999999996</v>
      </c>
      <c r="N40" s="10">
        <v>318.45458937924354</v>
      </c>
      <c r="O40" s="10">
        <v>302.98645569950259</v>
      </c>
      <c r="P40" s="10">
        <v>318.44510000000082</v>
      </c>
      <c r="Q40" s="10">
        <v>336.99529999999976</v>
      </c>
      <c r="R40" s="10">
        <v>352.46845138842542</v>
      </c>
    </row>
    <row r="41" spans="1:18" ht="11.25" customHeight="1" x14ac:dyDescent="0.25">
      <c r="A41" s="61" t="s">
        <v>167</v>
      </c>
      <c r="B41" s="62" t="s">
        <v>166</v>
      </c>
      <c r="C41" s="10">
        <v>30.91939759596735</v>
      </c>
      <c r="D41" s="10">
        <v>30.989868884136005</v>
      </c>
      <c r="E41" s="10">
        <v>37.026803160000007</v>
      </c>
      <c r="F41" s="10">
        <v>46.339465598028006</v>
      </c>
      <c r="G41" s="10">
        <v>49.369070880000002</v>
      </c>
      <c r="H41" s="10">
        <v>9.2754797195078957</v>
      </c>
      <c r="I41" s="10">
        <v>6.3205355055960002</v>
      </c>
      <c r="J41" s="10">
        <v>6.3174348871200001</v>
      </c>
      <c r="K41" s="10">
        <v>3.0108209525640004</v>
      </c>
      <c r="L41" s="10">
        <v>3.0019104373320005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480.03853330748359</v>
      </c>
      <c r="D43" s="9">
        <v>511.51890057605993</v>
      </c>
      <c r="E43" s="9">
        <v>358.94985515999997</v>
      </c>
      <c r="F43" s="9">
        <v>597.7058632187759</v>
      </c>
      <c r="G43" s="9">
        <v>530.82385668000006</v>
      </c>
      <c r="H43" s="9">
        <v>578.50351436976928</v>
      </c>
      <c r="I43" s="9">
        <v>470.30556260797198</v>
      </c>
      <c r="J43" s="9">
        <v>521.11074185258406</v>
      </c>
      <c r="K43" s="9">
        <v>565.66553998921222</v>
      </c>
      <c r="L43" s="9">
        <v>572.33555426408407</v>
      </c>
      <c r="M43" s="9">
        <v>650.00520000000029</v>
      </c>
      <c r="N43" s="9">
        <v>602.22152579663066</v>
      </c>
      <c r="O43" s="9">
        <v>611.76945101861077</v>
      </c>
      <c r="P43" s="9">
        <v>602.21069999999861</v>
      </c>
      <c r="Q43" s="9">
        <v>611.73262477295737</v>
      </c>
      <c r="R43" s="9">
        <v>528.96764013271763</v>
      </c>
    </row>
    <row r="44" spans="1:18" ht="11.25" customHeight="1" x14ac:dyDescent="0.25">
      <c r="A44" s="59" t="s">
        <v>161</v>
      </c>
      <c r="B44" s="60" t="s">
        <v>160</v>
      </c>
      <c r="C44" s="9">
        <v>1349.8560000000004</v>
      </c>
      <c r="D44" s="9">
        <v>1690.5631281986882</v>
      </c>
      <c r="E44" s="9">
        <v>1637.7907492800002</v>
      </c>
      <c r="F44" s="9">
        <v>1696.5150101446325</v>
      </c>
      <c r="G44" s="9">
        <v>1786.5335181600001</v>
      </c>
      <c r="H44" s="9">
        <v>1882.3680000000027</v>
      </c>
      <c r="I44" s="9">
        <v>1832.8738579200003</v>
      </c>
      <c r="J44" s="9">
        <v>1972.2189355200005</v>
      </c>
      <c r="K44" s="9">
        <v>1746.3098440016643</v>
      </c>
      <c r="L44" s="9">
        <v>1619.3194250400002</v>
      </c>
      <c r="M44" s="9">
        <v>1650.1680000000017</v>
      </c>
      <c r="N44" s="9">
        <v>1684.2242767740947</v>
      </c>
      <c r="O44" s="9">
        <v>1817.3518672953292</v>
      </c>
      <c r="P44" s="9">
        <v>1486.0799999999992</v>
      </c>
      <c r="Q44" s="9">
        <v>1461.2837861482369</v>
      </c>
      <c r="R44" s="9">
        <v>817.38193481477413</v>
      </c>
    </row>
    <row r="45" spans="1:18" ht="11.25" customHeight="1" x14ac:dyDescent="0.25">
      <c r="A45" s="59" t="s">
        <v>159</v>
      </c>
      <c r="B45" s="60" t="s">
        <v>158</v>
      </c>
      <c r="C45" s="9">
        <v>8.7966821248545894</v>
      </c>
      <c r="D45" s="9">
        <v>8.8951853056680008</v>
      </c>
      <c r="E45" s="9">
        <v>8.8998807600000003</v>
      </c>
      <c r="F45" s="9">
        <v>8.8961673614760013</v>
      </c>
      <c r="G45" s="9">
        <v>8.8998807600000003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8.7966821248545894</v>
      </c>
      <c r="D51" s="10">
        <v>8.8951853056680008</v>
      </c>
      <c r="E51" s="10">
        <v>8.8998807600000003</v>
      </c>
      <c r="F51" s="10">
        <v>8.8961673614760013</v>
      </c>
      <c r="G51" s="10">
        <v>8.8998807600000003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5.4280000000000159</v>
      </c>
      <c r="N64" s="81">
        <v>11.184017797716251</v>
      </c>
      <c r="O64" s="81">
        <v>17.487353265398749</v>
      </c>
      <c r="P64" s="81">
        <v>16.103400000000033</v>
      </c>
      <c r="Q64" s="81">
        <v>23.384369651554909</v>
      </c>
      <c r="R64" s="81">
        <v>22.466670614966723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3.472000000000012</v>
      </c>
      <c r="N65" s="82">
        <v>3.3602199826547339</v>
      </c>
      <c r="O65" s="82">
        <v>4.4799999999999827</v>
      </c>
      <c r="P65" s="82">
        <v>4.0320000000000213</v>
      </c>
      <c r="Q65" s="82">
        <v>5.0399999999999912</v>
      </c>
      <c r="R65" s="82">
        <v>5.3763702892763305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0.32760000000000561</v>
      </c>
      <c r="N67" s="82">
        <v>3.2214965173897685</v>
      </c>
      <c r="O67" s="82">
        <v>5.0778000000000185</v>
      </c>
      <c r="P67" s="82">
        <v>3.2214000000000094</v>
      </c>
      <c r="Q67" s="82">
        <v>3.549000000000015</v>
      </c>
      <c r="R67" s="82">
        <v>3.7674902580111027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1.6283999999999983</v>
      </c>
      <c r="N69" s="82">
        <v>4.6023012976717483</v>
      </c>
      <c r="O69" s="82">
        <v>7.9295532653987486</v>
      </c>
      <c r="P69" s="82">
        <v>8.8500000000000032</v>
      </c>
      <c r="Q69" s="82">
        <v>14.795369651554905</v>
      </c>
      <c r="R69" s="82">
        <v>13.32281006767929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1.6283999999999983</v>
      </c>
      <c r="N71" s="83">
        <v>4.6023012976717483</v>
      </c>
      <c r="O71" s="83">
        <v>7.9295532653987486</v>
      </c>
      <c r="P71" s="83">
        <v>8.8500000000000032</v>
      </c>
      <c r="Q71" s="83">
        <v>14.795369651554905</v>
      </c>
      <c r="R71" s="83">
        <v>13.32281006767929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248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1588.3098000000005</v>
      </c>
      <c r="D2" s="78">
        <v>1979.7555930276962</v>
      </c>
      <c r="E2" s="78">
        <v>1939.6560985200003</v>
      </c>
      <c r="F2" s="78">
        <v>2141.6453749162442</v>
      </c>
      <c r="G2" s="78">
        <v>2047.1366973600002</v>
      </c>
      <c r="H2" s="78">
        <v>2343.2700000000018</v>
      </c>
      <c r="I2" s="78">
        <v>2182.5164566800004</v>
      </c>
      <c r="J2" s="78">
        <v>2350.4037872400004</v>
      </c>
      <c r="K2" s="78">
        <v>1984.6143260282884</v>
      </c>
      <c r="L2" s="78">
        <v>1864.1002683600002</v>
      </c>
      <c r="M2" s="78">
        <v>1861.9989000000016</v>
      </c>
      <c r="N2" s="78">
        <v>1907.5358999999996</v>
      </c>
      <c r="O2" s="78">
        <v>2018.9919000000016</v>
      </c>
      <c r="P2" s="78">
        <v>1639.9253999999992</v>
      </c>
      <c r="Q2" s="78">
        <v>1602.4121999999988</v>
      </c>
      <c r="R2" s="78">
        <v>850.11000000000047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1588.3098000000005</v>
      </c>
      <c r="D21" s="79">
        <v>1979.7555930276962</v>
      </c>
      <c r="E21" s="79">
        <v>1939.6560985200003</v>
      </c>
      <c r="F21" s="79">
        <v>2141.6453749162442</v>
      </c>
      <c r="G21" s="79">
        <v>2047.1366973600002</v>
      </c>
      <c r="H21" s="79">
        <v>2343.2700000000018</v>
      </c>
      <c r="I21" s="79">
        <v>2182.5164566800004</v>
      </c>
      <c r="J21" s="79">
        <v>2350.4037872400004</v>
      </c>
      <c r="K21" s="79">
        <v>1984.6143260282884</v>
      </c>
      <c r="L21" s="79">
        <v>1864.1002683600002</v>
      </c>
      <c r="M21" s="79">
        <v>1861.9989000000016</v>
      </c>
      <c r="N21" s="79">
        <v>1907.5358999999996</v>
      </c>
      <c r="O21" s="79">
        <v>2018.9919000000016</v>
      </c>
      <c r="P21" s="79">
        <v>1639.9253999999992</v>
      </c>
      <c r="Q21" s="79">
        <v>1602.4121999999988</v>
      </c>
      <c r="R21" s="79">
        <v>850.11000000000047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1588.3098000000005</v>
      </c>
      <c r="D30" s="8">
        <v>1979.7555930276962</v>
      </c>
      <c r="E30" s="8">
        <v>1939.6560985200003</v>
      </c>
      <c r="F30" s="8">
        <v>2141.6453749162442</v>
      </c>
      <c r="G30" s="8">
        <v>2047.1366973600002</v>
      </c>
      <c r="H30" s="8">
        <v>2343.2700000000018</v>
      </c>
      <c r="I30" s="8">
        <v>2182.5164566800004</v>
      </c>
      <c r="J30" s="8">
        <v>2350.4037872400004</v>
      </c>
      <c r="K30" s="8">
        <v>1984.6143260282884</v>
      </c>
      <c r="L30" s="8">
        <v>1864.1002683600002</v>
      </c>
      <c r="M30" s="8">
        <v>1861.9989000000016</v>
      </c>
      <c r="N30" s="8">
        <v>1907.5358999999996</v>
      </c>
      <c r="O30" s="8">
        <v>2018.9919000000016</v>
      </c>
      <c r="P30" s="8">
        <v>1639.9253999999992</v>
      </c>
      <c r="Q30" s="8">
        <v>1602.4121999999988</v>
      </c>
      <c r="R30" s="8">
        <v>850.11000000000047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238.45380000000003</v>
      </c>
      <c r="D43" s="9">
        <v>289.19246482900792</v>
      </c>
      <c r="E43" s="9">
        <v>301.86534924</v>
      </c>
      <c r="F43" s="9">
        <v>445.13036477161194</v>
      </c>
      <c r="G43" s="9">
        <v>260.6031792</v>
      </c>
      <c r="H43" s="9">
        <v>460.9019999999993</v>
      </c>
      <c r="I43" s="9">
        <v>349.64259876</v>
      </c>
      <c r="J43" s="9">
        <v>378.18485172000004</v>
      </c>
      <c r="K43" s="9">
        <v>238.30448202662416</v>
      </c>
      <c r="L43" s="9">
        <v>244.78084332000003</v>
      </c>
      <c r="M43" s="9">
        <v>264.46290000000005</v>
      </c>
      <c r="N43" s="9">
        <v>232.5999000000001</v>
      </c>
      <c r="O43" s="9">
        <v>232.5999000000001</v>
      </c>
      <c r="P43" s="9">
        <v>184.80540000000005</v>
      </c>
      <c r="Q43" s="9">
        <v>172.06020000000015</v>
      </c>
      <c r="R43" s="9">
        <v>63.725999999999843</v>
      </c>
    </row>
    <row r="44" spans="1:18" ht="11.25" customHeight="1" x14ac:dyDescent="0.25">
      <c r="A44" s="59" t="s">
        <v>161</v>
      </c>
      <c r="B44" s="60" t="s">
        <v>160</v>
      </c>
      <c r="C44" s="9">
        <v>1349.8560000000004</v>
      </c>
      <c r="D44" s="9">
        <v>1690.5631281986882</v>
      </c>
      <c r="E44" s="9">
        <v>1637.7907492800002</v>
      </c>
      <c r="F44" s="9">
        <v>1696.5150101446325</v>
      </c>
      <c r="G44" s="9">
        <v>1786.5335181600001</v>
      </c>
      <c r="H44" s="9">
        <v>1882.3680000000027</v>
      </c>
      <c r="I44" s="9">
        <v>1832.8738579200003</v>
      </c>
      <c r="J44" s="9">
        <v>1972.2189355200005</v>
      </c>
      <c r="K44" s="9">
        <v>1746.3098440016643</v>
      </c>
      <c r="L44" s="9">
        <v>1619.3194250400002</v>
      </c>
      <c r="M44" s="9">
        <v>1597.5360000000016</v>
      </c>
      <c r="N44" s="9">
        <v>1674.9359999999995</v>
      </c>
      <c r="O44" s="9">
        <v>1786.3920000000014</v>
      </c>
      <c r="P44" s="9">
        <v>1455.1199999999992</v>
      </c>
      <c r="Q44" s="9">
        <v>1430.3519999999987</v>
      </c>
      <c r="R44" s="9">
        <v>786.38400000000058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1.747200000000007</v>
      </c>
      <c r="O64" s="81">
        <v>3.1122000000000076</v>
      </c>
      <c r="P64" s="81">
        <v>1.8564000000000089</v>
      </c>
      <c r="Q64" s="81">
        <v>1.9656000000000107</v>
      </c>
      <c r="R64" s="81">
        <v>2.4569999999999963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1.747200000000007</v>
      </c>
      <c r="O67" s="82">
        <v>3.1122000000000076</v>
      </c>
      <c r="P67" s="82">
        <v>1.8564000000000089</v>
      </c>
      <c r="Q67" s="82">
        <v>1.9656000000000107</v>
      </c>
      <c r="R67" s="82">
        <v>2.4569999999999963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94.43836175749199</v>
      </c>
      <c r="M2" s="78">
        <v>30.753799999999973</v>
      </c>
      <c r="N2" s="78">
        <v>15.274251899467094</v>
      </c>
      <c r="O2" s="78">
        <v>27.748043162297812</v>
      </c>
      <c r="P2" s="78">
        <v>24.653452043627631</v>
      </c>
      <c r="Q2" s="78">
        <v>30.90876623511241</v>
      </c>
      <c r="R2" s="78">
        <v>30.949492776709974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94.43836175749199</v>
      </c>
      <c r="M21" s="79">
        <v>30.753799999999973</v>
      </c>
      <c r="N21" s="79">
        <v>15.274251899467094</v>
      </c>
      <c r="O21" s="79">
        <v>27.748043162297812</v>
      </c>
      <c r="P21" s="79">
        <v>24.653452043627631</v>
      </c>
      <c r="Q21" s="79">
        <v>30.90876623511241</v>
      </c>
      <c r="R21" s="79">
        <v>30.949492776709974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94.43836175749199</v>
      </c>
      <c r="M30" s="8">
        <v>30.753799999999973</v>
      </c>
      <c r="N30" s="8">
        <v>15.274251899467094</v>
      </c>
      <c r="O30" s="8">
        <v>27.748043162297812</v>
      </c>
      <c r="P30" s="8">
        <v>24.653452043627631</v>
      </c>
      <c r="Q30" s="8">
        <v>30.90876623511241</v>
      </c>
      <c r="R30" s="8">
        <v>30.949492776709974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8.7322019739479977</v>
      </c>
      <c r="M34" s="9">
        <v>5.8051999999999948</v>
      </c>
      <c r="N34" s="9">
        <v>5.8053729897693218</v>
      </c>
      <c r="O34" s="9">
        <v>5.8051999999999948</v>
      </c>
      <c r="P34" s="9">
        <v>5.8058596743218649</v>
      </c>
      <c r="Q34" s="9">
        <v>5.8024164340693938</v>
      </c>
      <c r="R34" s="9">
        <v>5.8048528144783038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3.0019104373320005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3.0019104373320005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82.704249346211995</v>
      </c>
      <c r="M43" s="9">
        <v>6.3725999999999843</v>
      </c>
      <c r="N43" s="9">
        <v>6.3727866516660514</v>
      </c>
      <c r="O43" s="9">
        <v>9.558896244166684</v>
      </c>
      <c r="P43" s="9">
        <v>9.5591280041331572</v>
      </c>
      <c r="Q43" s="9">
        <v>12.737570266308136</v>
      </c>
      <c r="R43" s="9">
        <v>12.746016719122315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18.575999999999993</v>
      </c>
      <c r="N44" s="9">
        <v>3.0960922580317209</v>
      </c>
      <c r="O44" s="9">
        <v>12.383946918131132</v>
      </c>
      <c r="P44" s="9">
        <v>9.2884643651726062</v>
      </c>
      <c r="Q44" s="9">
        <v>12.368779534734882</v>
      </c>
      <c r="R44" s="9">
        <v>12.398623243109355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7.0238234582255865E-2</v>
      </c>
      <c r="Q64" s="81">
        <v>7.0753906524213969E-2</v>
      </c>
      <c r="R64" s="81">
        <v>7.049101714583382E-2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7.0238234582255865E-2</v>
      </c>
      <c r="Q69" s="82">
        <v>7.0753906524213969E-2</v>
      </c>
      <c r="R69" s="82">
        <v>7.049101714583382E-2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7.0238234582255865E-2</v>
      </c>
      <c r="Q71" s="83">
        <v>7.0753906524213969E-2</v>
      </c>
      <c r="R71" s="83">
        <v>7.049101714583382E-2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86.161281240790743</v>
      </c>
      <c r="D2" s="78">
        <v>86.357542964903985</v>
      </c>
      <c r="E2" s="78">
        <v>95.329667880000017</v>
      </c>
      <c r="F2" s="78">
        <v>104.61808958338807</v>
      </c>
      <c r="G2" s="78">
        <v>107.67193560000001</v>
      </c>
      <c r="H2" s="78">
        <v>61.524418686115894</v>
      </c>
      <c r="I2" s="78">
        <v>64.431495484307845</v>
      </c>
      <c r="J2" s="78">
        <v>64.399730567651915</v>
      </c>
      <c r="K2" s="78">
        <v>64.048445403515771</v>
      </c>
      <c r="L2" s="78">
        <v>52.492243103316014</v>
      </c>
      <c r="M2" s="78">
        <v>130.4081000000001</v>
      </c>
      <c r="N2" s="78">
        <v>96.277451043359036</v>
      </c>
      <c r="O2" s="78">
        <v>124.39662496234089</v>
      </c>
      <c r="P2" s="78">
        <v>153.06338810965116</v>
      </c>
      <c r="Q2" s="78">
        <v>175.64809443303795</v>
      </c>
      <c r="R2" s="78">
        <v>184.69124472812842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86.161281240790743</v>
      </c>
      <c r="D21" s="79">
        <v>86.357542964903985</v>
      </c>
      <c r="E21" s="79">
        <v>95.329667880000017</v>
      </c>
      <c r="F21" s="79">
        <v>104.61808958338807</v>
      </c>
      <c r="G21" s="79">
        <v>107.67193560000001</v>
      </c>
      <c r="H21" s="79">
        <v>61.524418686115894</v>
      </c>
      <c r="I21" s="79">
        <v>64.431495484307845</v>
      </c>
      <c r="J21" s="79">
        <v>64.399730567651915</v>
      </c>
      <c r="K21" s="79">
        <v>64.048445403515771</v>
      </c>
      <c r="L21" s="79">
        <v>52.492243103316014</v>
      </c>
      <c r="M21" s="79">
        <v>130.4081000000001</v>
      </c>
      <c r="N21" s="79">
        <v>96.277451043359036</v>
      </c>
      <c r="O21" s="79">
        <v>124.39662496234089</v>
      </c>
      <c r="P21" s="79">
        <v>153.06338810965116</v>
      </c>
      <c r="Q21" s="79">
        <v>175.64809443303795</v>
      </c>
      <c r="R21" s="79">
        <v>184.69124472812842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86.161281240790743</v>
      </c>
      <c r="D30" s="8">
        <v>86.357542964903985</v>
      </c>
      <c r="E30" s="8">
        <v>95.329667880000017</v>
      </c>
      <c r="F30" s="8">
        <v>104.61808958338807</v>
      </c>
      <c r="G30" s="8">
        <v>107.67193560000001</v>
      </c>
      <c r="H30" s="8">
        <v>61.524418686115894</v>
      </c>
      <c r="I30" s="8">
        <v>64.431495484307845</v>
      </c>
      <c r="J30" s="8">
        <v>64.399730567651915</v>
      </c>
      <c r="K30" s="8">
        <v>64.048445403515771</v>
      </c>
      <c r="L30" s="8">
        <v>52.492243103316014</v>
      </c>
      <c r="M30" s="8">
        <v>130.4081000000001</v>
      </c>
      <c r="N30" s="8">
        <v>96.277451043359036</v>
      </c>
      <c r="O30" s="8">
        <v>124.39662496234089</v>
      </c>
      <c r="P30" s="8">
        <v>153.06338810965116</v>
      </c>
      <c r="Q30" s="8">
        <v>175.64809443303795</v>
      </c>
      <c r="R30" s="8">
        <v>184.69124472812842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46.445201519968805</v>
      </c>
      <c r="D34" s="9">
        <v>46.472488775099976</v>
      </c>
      <c r="E34" s="9">
        <v>49.40298396</v>
      </c>
      <c r="F34" s="9">
        <v>49.382456623884067</v>
      </c>
      <c r="G34" s="9">
        <v>49.40298396</v>
      </c>
      <c r="H34" s="9">
        <v>52.248938966607994</v>
      </c>
      <c r="I34" s="9">
        <v>58.110959978711847</v>
      </c>
      <c r="J34" s="9">
        <v>58.082295680531914</v>
      </c>
      <c r="K34" s="9">
        <v>61.037624450951768</v>
      </c>
      <c r="L34" s="9">
        <v>49.38895562605201</v>
      </c>
      <c r="M34" s="9">
        <v>58.05200000000012</v>
      </c>
      <c r="N34" s="9">
        <v>55.15104340280844</v>
      </c>
      <c r="O34" s="9">
        <v>58.05200000000012</v>
      </c>
      <c r="P34" s="9">
        <v>58.051340325678169</v>
      </c>
      <c r="Q34" s="9">
        <v>55.152183565930592</v>
      </c>
      <c r="R34" s="9">
        <v>60.957722368428243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2.9798999999999927</v>
      </c>
      <c r="N35" s="9">
        <v>2.979988798355548</v>
      </c>
      <c r="O35" s="9">
        <v>2.9798980753207576</v>
      </c>
      <c r="P35" s="9">
        <v>2.979532660356945</v>
      </c>
      <c r="Q35" s="9">
        <v>2.9798999999999927</v>
      </c>
      <c r="R35" s="9">
        <v>2.9803504122956124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2.9798999999999927</v>
      </c>
      <c r="N36" s="10">
        <v>2.979988798355548</v>
      </c>
      <c r="O36" s="10">
        <v>2.9798980753207576</v>
      </c>
      <c r="P36" s="10">
        <v>2.979532660356945</v>
      </c>
      <c r="Q36" s="10">
        <v>2.9798999999999927</v>
      </c>
      <c r="R36" s="10">
        <v>2.9803504122956124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30.91939759596735</v>
      </c>
      <c r="D38" s="9">
        <v>30.989868884136005</v>
      </c>
      <c r="E38" s="9">
        <v>37.026803160000007</v>
      </c>
      <c r="F38" s="9">
        <v>46.339465598028006</v>
      </c>
      <c r="G38" s="9">
        <v>49.369070880000002</v>
      </c>
      <c r="H38" s="9">
        <v>9.2754797195078957</v>
      </c>
      <c r="I38" s="9">
        <v>6.3205355055960002</v>
      </c>
      <c r="J38" s="9">
        <v>6.3174348871200001</v>
      </c>
      <c r="K38" s="9">
        <v>3.0108209525640004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30.91939759596735</v>
      </c>
      <c r="D41" s="10">
        <v>30.989868884136005</v>
      </c>
      <c r="E41" s="10">
        <v>37.026803160000007</v>
      </c>
      <c r="F41" s="10">
        <v>46.339465598028006</v>
      </c>
      <c r="G41" s="10">
        <v>49.369070880000002</v>
      </c>
      <c r="H41" s="10">
        <v>9.2754797195078957</v>
      </c>
      <c r="I41" s="10">
        <v>6.3205355055960002</v>
      </c>
      <c r="J41" s="10">
        <v>6.3174348871200001</v>
      </c>
      <c r="K41" s="10">
        <v>3.0108209525640004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3.1032874772640002</v>
      </c>
      <c r="M43" s="9">
        <v>44.608199999999982</v>
      </c>
      <c r="N43" s="9">
        <v>35.050326584163344</v>
      </c>
      <c r="O43" s="9">
        <v>50.980779968888882</v>
      </c>
      <c r="P43" s="9">
        <v>79.64944385396123</v>
      </c>
      <c r="Q43" s="9">
        <v>105.14067312477187</v>
      </c>
      <c r="R43" s="9">
        <v>108.35317199729508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24.768000000000004</v>
      </c>
      <c r="N44" s="9">
        <v>3.0960922580317209</v>
      </c>
      <c r="O44" s="9">
        <v>12.383946918131134</v>
      </c>
      <c r="P44" s="9">
        <v>12.383071269654803</v>
      </c>
      <c r="Q44" s="9">
        <v>12.375337742335507</v>
      </c>
      <c r="R44" s="9">
        <v>12.399999950109477</v>
      </c>
    </row>
    <row r="45" spans="1:18" ht="11.25" customHeight="1" x14ac:dyDescent="0.25">
      <c r="A45" s="59" t="s">
        <v>159</v>
      </c>
      <c r="B45" s="60" t="s">
        <v>158</v>
      </c>
      <c r="C45" s="9">
        <v>8.7966821248545894</v>
      </c>
      <c r="D45" s="9">
        <v>8.8951853056680008</v>
      </c>
      <c r="E45" s="9">
        <v>8.8998807600000003</v>
      </c>
      <c r="F45" s="9">
        <v>8.8961673614760013</v>
      </c>
      <c r="G45" s="9">
        <v>8.8998807600000003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8.7966821248545894</v>
      </c>
      <c r="D51" s="10">
        <v>8.8951853056680008</v>
      </c>
      <c r="E51" s="10">
        <v>8.8998807600000003</v>
      </c>
      <c r="F51" s="10">
        <v>8.8961673614760013</v>
      </c>
      <c r="G51" s="10">
        <v>8.8998807600000003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3.7996000000000176</v>
      </c>
      <c r="N64" s="81">
        <v>4.9053211353932928</v>
      </c>
      <c r="O64" s="81">
        <v>6.5170374168053886</v>
      </c>
      <c r="P64" s="81">
        <v>5.5374589118005568</v>
      </c>
      <c r="Q64" s="81">
        <v>6.7649828437022164</v>
      </c>
      <c r="R64" s="81">
        <v>6.7573593915504295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3.472000000000012</v>
      </c>
      <c r="N65" s="82">
        <v>3.3602199826547339</v>
      </c>
      <c r="O65" s="82">
        <v>4.4799999999999827</v>
      </c>
      <c r="P65" s="82">
        <v>4.0320000000000213</v>
      </c>
      <c r="Q65" s="82">
        <v>5.0399999999999912</v>
      </c>
      <c r="R65" s="82">
        <v>5.3763702892763305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0.32760000000000561</v>
      </c>
      <c r="N67" s="82">
        <v>1.4742965173897613</v>
      </c>
      <c r="O67" s="82">
        <v>1.9656000000000107</v>
      </c>
      <c r="P67" s="82">
        <v>1.3650000000000004</v>
      </c>
      <c r="Q67" s="82">
        <v>1.5834000000000044</v>
      </c>
      <c r="R67" s="82">
        <v>1.3104902580111064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7.0804635348797357E-2</v>
      </c>
      <c r="O69" s="82">
        <v>7.1437416805395337E-2</v>
      </c>
      <c r="P69" s="82">
        <v>0.14045891180053491</v>
      </c>
      <c r="Q69" s="82">
        <v>0.14158284370222046</v>
      </c>
      <c r="R69" s="82">
        <v>7.049884426299291E-2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7.0804635348797357E-2</v>
      </c>
      <c r="O71" s="83">
        <v>7.1437416805395337E-2</v>
      </c>
      <c r="P71" s="83">
        <v>0.14045891180053491</v>
      </c>
      <c r="Q71" s="83">
        <v>0.14158284370222046</v>
      </c>
      <c r="R71" s="83">
        <v>7.049884426299291E-2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31.814963041178654</v>
      </c>
      <c r="D2" s="78">
        <v>31.833654810943507</v>
      </c>
      <c r="E2" s="78">
        <v>33.84104401260003</v>
      </c>
      <c r="F2" s="78">
        <v>33.826982787360613</v>
      </c>
      <c r="G2" s="78">
        <v>33.84104401260003</v>
      </c>
      <c r="H2" s="78">
        <v>35.790523192126507</v>
      </c>
      <c r="I2" s="78">
        <v>39.806007585417646</v>
      </c>
      <c r="J2" s="78">
        <v>39.78637254116439</v>
      </c>
      <c r="K2" s="78">
        <v>41.810772748901996</v>
      </c>
      <c r="L2" s="78">
        <v>33.831434603845658</v>
      </c>
      <c r="M2" s="78">
        <v>37.733800000000116</v>
      </c>
      <c r="N2" s="78">
        <v>34.828750130846082</v>
      </c>
      <c r="O2" s="78">
        <v>37.733800000000116</v>
      </c>
      <c r="P2" s="78">
        <v>38.020344586644093</v>
      </c>
      <c r="Q2" s="78">
        <v>35.119446148374045</v>
      </c>
      <c r="R2" s="78">
        <v>44.108446191938974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31.814963041178654</v>
      </c>
      <c r="D21" s="79">
        <v>31.833654810943507</v>
      </c>
      <c r="E21" s="79">
        <v>33.84104401260003</v>
      </c>
      <c r="F21" s="79">
        <v>33.826982787360613</v>
      </c>
      <c r="G21" s="79">
        <v>33.84104401260003</v>
      </c>
      <c r="H21" s="79">
        <v>35.790523192126507</v>
      </c>
      <c r="I21" s="79">
        <v>39.806007585417646</v>
      </c>
      <c r="J21" s="79">
        <v>39.78637254116439</v>
      </c>
      <c r="K21" s="79">
        <v>41.810772748901996</v>
      </c>
      <c r="L21" s="79">
        <v>33.831434603845658</v>
      </c>
      <c r="M21" s="79">
        <v>37.733800000000116</v>
      </c>
      <c r="N21" s="79">
        <v>34.828750130846082</v>
      </c>
      <c r="O21" s="79">
        <v>37.733800000000116</v>
      </c>
      <c r="P21" s="79">
        <v>38.020344586644093</v>
      </c>
      <c r="Q21" s="79">
        <v>35.119446148374045</v>
      </c>
      <c r="R21" s="79">
        <v>44.108446191938974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31.814963041178654</v>
      </c>
      <c r="D30" s="8">
        <v>31.833654810943507</v>
      </c>
      <c r="E30" s="8">
        <v>33.84104401260003</v>
      </c>
      <c r="F30" s="8">
        <v>33.826982787360613</v>
      </c>
      <c r="G30" s="8">
        <v>33.84104401260003</v>
      </c>
      <c r="H30" s="8">
        <v>35.790523192126507</v>
      </c>
      <c r="I30" s="8">
        <v>39.806007585417646</v>
      </c>
      <c r="J30" s="8">
        <v>39.78637254116439</v>
      </c>
      <c r="K30" s="8">
        <v>41.810772748901996</v>
      </c>
      <c r="L30" s="8">
        <v>33.831434603845658</v>
      </c>
      <c r="M30" s="8">
        <v>37.733800000000116</v>
      </c>
      <c r="N30" s="8">
        <v>34.828750130846082</v>
      </c>
      <c r="O30" s="8">
        <v>37.733800000000116</v>
      </c>
      <c r="P30" s="8">
        <v>38.020344586644093</v>
      </c>
      <c r="Q30" s="8">
        <v>35.119446148374045</v>
      </c>
      <c r="R30" s="8">
        <v>44.108446191938974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31.814963041178654</v>
      </c>
      <c r="D34" s="9">
        <v>31.833654810943507</v>
      </c>
      <c r="E34" s="9">
        <v>33.84104401260003</v>
      </c>
      <c r="F34" s="9">
        <v>33.826982787360613</v>
      </c>
      <c r="G34" s="9">
        <v>33.84104401260003</v>
      </c>
      <c r="H34" s="9">
        <v>35.790523192126507</v>
      </c>
      <c r="I34" s="9">
        <v>39.806007585417646</v>
      </c>
      <c r="J34" s="9">
        <v>39.78637254116439</v>
      </c>
      <c r="K34" s="9">
        <v>41.810772748901996</v>
      </c>
      <c r="L34" s="9">
        <v>33.831434603845658</v>
      </c>
      <c r="M34" s="9">
        <v>37.733800000000116</v>
      </c>
      <c r="N34" s="9">
        <v>34.828750130846082</v>
      </c>
      <c r="O34" s="9">
        <v>37.733800000000116</v>
      </c>
      <c r="P34" s="9">
        <v>34.833863151556301</v>
      </c>
      <c r="Q34" s="9">
        <v>31.932885116478598</v>
      </c>
      <c r="R34" s="9">
        <v>37.733012001165243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3.1864814350877939</v>
      </c>
      <c r="Q43" s="9">
        <v>3.18656103189545</v>
      </c>
      <c r="R43" s="9">
        <v>6.3754341907737313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3.472000000000012</v>
      </c>
      <c r="N64" s="81">
        <v>3.3602199826547339</v>
      </c>
      <c r="O64" s="81">
        <v>4.4799999999999827</v>
      </c>
      <c r="P64" s="81">
        <v>4.0320000000000213</v>
      </c>
      <c r="Q64" s="81">
        <v>5.0399999999999912</v>
      </c>
      <c r="R64" s="81">
        <v>5.3763702892763305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3.472000000000012</v>
      </c>
      <c r="N65" s="82">
        <v>3.3602199826547339</v>
      </c>
      <c r="O65" s="82">
        <v>4.4799999999999827</v>
      </c>
      <c r="P65" s="82">
        <v>4.0320000000000213</v>
      </c>
      <c r="Q65" s="82">
        <v>5.0399999999999912</v>
      </c>
      <c r="R65" s="82">
        <v>5.3763702892763305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27.916742316471467</v>
      </c>
      <c r="D2" s="78">
        <v>16.035800424377403</v>
      </c>
      <c r="E2" s="78">
        <v>24.103900805040016</v>
      </c>
      <c r="F2" s="78">
        <v>24.626650474944249</v>
      </c>
      <c r="G2" s="78">
        <v>21.065749385040014</v>
      </c>
      <c r="H2" s="78">
        <v>22.241821676850606</v>
      </c>
      <c r="I2" s="78">
        <v>23.848015434167063</v>
      </c>
      <c r="J2" s="78">
        <v>19.068124317770007</v>
      </c>
      <c r="K2" s="78">
        <v>13.71614089645904</v>
      </c>
      <c r="L2" s="78">
        <v>5.2029984595392502</v>
      </c>
      <c r="M2" s="78">
        <v>14.167762812353596</v>
      </c>
      <c r="N2" s="78">
        <v>14.195687132338431</v>
      </c>
      <c r="O2" s="78">
        <v>18.234513473864258</v>
      </c>
      <c r="P2" s="78">
        <v>20.422365195710313</v>
      </c>
      <c r="Q2" s="78">
        <v>19.922521278486894</v>
      </c>
      <c r="R2" s="78">
        <v>29.130064311239831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27.916742316471467</v>
      </c>
      <c r="D21" s="79">
        <v>16.035800424377403</v>
      </c>
      <c r="E21" s="79">
        <v>24.103900805040016</v>
      </c>
      <c r="F21" s="79">
        <v>24.626650474944249</v>
      </c>
      <c r="G21" s="79">
        <v>21.065749385040014</v>
      </c>
      <c r="H21" s="79">
        <v>22.241821676850606</v>
      </c>
      <c r="I21" s="79">
        <v>23.848015434167063</v>
      </c>
      <c r="J21" s="79">
        <v>19.068124317770007</v>
      </c>
      <c r="K21" s="79">
        <v>13.71614089645904</v>
      </c>
      <c r="L21" s="79">
        <v>5.2029984595392502</v>
      </c>
      <c r="M21" s="79">
        <v>14.167762812353596</v>
      </c>
      <c r="N21" s="79">
        <v>14.195687132338431</v>
      </c>
      <c r="O21" s="79">
        <v>18.234513473864258</v>
      </c>
      <c r="P21" s="79">
        <v>20.422365195710313</v>
      </c>
      <c r="Q21" s="79">
        <v>19.922521278486894</v>
      </c>
      <c r="R21" s="79">
        <v>29.130064311239831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27.916742316471467</v>
      </c>
      <c r="D30" s="8">
        <v>16.035800424377403</v>
      </c>
      <c r="E30" s="8">
        <v>24.103900805040016</v>
      </c>
      <c r="F30" s="8">
        <v>24.626650474944249</v>
      </c>
      <c r="G30" s="8">
        <v>21.065749385040014</v>
      </c>
      <c r="H30" s="8">
        <v>22.241821676850606</v>
      </c>
      <c r="I30" s="8">
        <v>23.848015434167063</v>
      </c>
      <c r="J30" s="8">
        <v>19.068124317770007</v>
      </c>
      <c r="K30" s="8">
        <v>13.71614089645904</v>
      </c>
      <c r="L30" s="8">
        <v>5.2029984595392502</v>
      </c>
      <c r="M30" s="8">
        <v>14.167762812353596</v>
      </c>
      <c r="N30" s="8">
        <v>14.195687132338431</v>
      </c>
      <c r="O30" s="8">
        <v>18.234513473864258</v>
      </c>
      <c r="P30" s="8">
        <v>20.422365195710313</v>
      </c>
      <c r="Q30" s="8">
        <v>19.922521278486894</v>
      </c>
      <c r="R30" s="8">
        <v>29.130064311239831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27.916742316471467</v>
      </c>
      <c r="D34" s="9">
        <v>16.035800424377403</v>
      </c>
      <c r="E34" s="9">
        <v>24.103900805040016</v>
      </c>
      <c r="F34" s="9">
        <v>24.626650474944249</v>
      </c>
      <c r="G34" s="9">
        <v>21.065749385040014</v>
      </c>
      <c r="H34" s="9">
        <v>22.241821676850606</v>
      </c>
      <c r="I34" s="9">
        <v>23.848015434167063</v>
      </c>
      <c r="J34" s="9">
        <v>19.068124317770007</v>
      </c>
      <c r="K34" s="9">
        <v>13.71614089645904</v>
      </c>
      <c r="L34" s="9">
        <v>5.2029984595392502</v>
      </c>
      <c r="M34" s="9">
        <v>14.167762812353596</v>
      </c>
      <c r="N34" s="9">
        <v>14.195687132338431</v>
      </c>
      <c r="O34" s="9">
        <v>18.234513473864258</v>
      </c>
      <c r="P34" s="9">
        <v>17.235883760622521</v>
      </c>
      <c r="Q34" s="9">
        <v>16.735960246591443</v>
      </c>
      <c r="R34" s="9">
        <v>22.7546301204661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3.1864814350877939</v>
      </c>
      <c r="Q43" s="9">
        <v>3.18656103189545</v>
      </c>
      <c r="R43" s="9">
        <v>6.3754341907737313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3.472000000000012</v>
      </c>
      <c r="N64" s="81">
        <v>3.3602199826547339</v>
      </c>
      <c r="O64" s="81">
        <v>4.4799999999999827</v>
      </c>
      <c r="P64" s="81">
        <v>4.0320000000000213</v>
      </c>
      <c r="Q64" s="81">
        <v>5.0399999999999912</v>
      </c>
      <c r="R64" s="81">
        <v>5.3763702892763305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3.472000000000012</v>
      </c>
      <c r="N65" s="82">
        <v>3.3602199826547339</v>
      </c>
      <c r="O65" s="82">
        <v>4.4799999999999827</v>
      </c>
      <c r="P65" s="82">
        <v>4.0320000000000213</v>
      </c>
      <c r="Q65" s="82">
        <v>5.0399999999999912</v>
      </c>
      <c r="R65" s="82">
        <v>5.3763702892763305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249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1588.3098000000005</v>
      </c>
      <c r="D2" s="78">
        <v>1979.7555930276962</v>
      </c>
      <c r="E2" s="78">
        <v>1939.6560985200003</v>
      </c>
      <c r="F2" s="78">
        <v>2141.6453749162442</v>
      </c>
      <c r="G2" s="78">
        <v>2047.1366973600002</v>
      </c>
      <c r="H2" s="78">
        <v>2343.2700000000018</v>
      </c>
      <c r="I2" s="78">
        <v>2182.5164566800004</v>
      </c>
      <c r="J2" s="78">
        <v>2350.4037872400004</v>
      </c>
      <c r="K2" s="78">
        <v>1984.6143260282884</v>
      </c>
      <c r="L2" s="78">
        <v>1864.1002683600002</v>
      </c>
      <c r="M2" s="78">
        <v>1861.9989000000016</v>
      </c>
      <c r="N2" s="78">
        <v>1907.5358999999996</v>
      </c>
      <c r="O2" s="78">
        <v>2018.9919000000016</v>
      </c>
      <c r="P2" s="78">
        <v>1639.9253999999992</v>
      </c>
      <c r="Q2" s="78">
        <v>1602.4121999999988</v>
      </c>
      <c r="R2" s="78">
        <v>850.11000000000047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1588.3098000000005</v>
      </c>
      <c r="D21" s="79">
        <v>1979.7555930276962</v>
      </c>
      <c r="E21" s="79">
        <v>1939.6560985200003</v>
      </c>
      <c r="F21" s="79">
        <v>2141.6453749162442</v>
      </c>
      <c r="G21" s="79">
        <v>2047.1366973600002</v>
      </c>
      <c r="H21" s="79">
        <v>2343.2700000000018</v>
      </c>
      <c r="I21" s="79">
        <v>2182.5164566800004</v>
      </c>
      <c r="J21" s="79">
        <v>2350.4037872400004</v>
      </c>
      <c r="K21" s="79">
        <v>1984.6143260282884</v>
      </c>
      <c r="L21" s="79">
        <v>1864.1002683600002</v>
      </c>
      <c r="M21" s="79">
        <v>1861.9989000000016</v>
      </c>
      <c r="N21" s="79">
        <v>1907.5358999999996</v>
      </c>
      <c r="O21" s="79">
        <v>2018.9919000000016</v>
      </c>
      <c r="P21" s="79">
        <v>1639.9253999999992</v>
      </c>
      <c r="Q21" s="79">
        <v>1602.4121999999988</v>
      </c>
      <c r="R21" s="79">
        <v>850.11000000000047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1588.3098000000005</v>
      </c>
      <c r="D30" s="8">
        <v>1979.7555930276962</v>
      </c>
      <c r="E30" s="8">
        <v>1939.6560985200003</v>
      </c>
      <c r="F30" s="8">
        <v>2141.6453749162442</v>
      </c>
      <c r="G30" s="8">
        <v>2047.1366973600002</v>
      </c>
      <c r="H30" s="8">
        <v>2343.2700000000018</v>
      </c>
      <c r="I30" s="8">
        <v>2182.5164566800004</v>
      </c>
      <c r="J30" s="8">
        <v>2350.4037872400004</v>
      </c>
      <c r="K30" s="8">
        <v>1984.6143260282884</v>
      </c>
      <c r="L30" s="8">
        <v>1864.1002683600002</v>
      </c>
      <c r="M30" s="8">
        <v>1861.9989000000016</v>
      </c>
      <c r="N30" s="8">
        <v>1907.5358999999996</v>
      </c>
      <c r="O30" s="8">
        <v>2018.9919000000016</v>
      </c>
      <c r="P30" s="8">
        <v>1639.9253999999992</v>
      </c>
      <c r="Q30" s="8">
        <v>1602.4121999999988</v>
      </c>
      <c r="R30" s="8">
        <v>850.11000000000047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238.45380000000003</v>
      </c>
      <c r="D43" s="9">
        <v>289.19246482900792</v>
      </c>
      <c r="E43" s="9">
        <v>301.86534924</v>
      </c>
      <c r="F43" s="9">
        <v>445.13036477161194</v>
      </c>
      <c r="G43" s="9">
        <v>260.6031792</v>
      </c>
      <c r="H43" s="9">
        <v>460.9019999999993</v>
      </c>
      <c r="I43" s="9">
        <v>349.64259876</v>
      </c>
      <c r="J43" s="9">
        <v>378.18485172000004</v>
      </c>
      <c r="K43" s="9">
        <v>238.30448202662416</v>
      </c>
      <c r="L43" s="9">
        <v>244.78084332000003</v>
      </c>
      <c r="M43" s="9">
        <v>264.46290000000005</v>
      </c>
      <c r="N43" s="9">
        <v>232.5999000000001</v>
      </c>
      <c r="O43" s="9">
        <v>232.5999000000001</v>
      </c>
      <c r="P43" s="9">
        <v>184.80540000000005</v>
      </c>
      <c r="Q43" s="9">
        <v>172.06020000000015</v>
      </c>
      <c r="R43" s="9">
        <v>63.725999999999843</v>
      </c>
    </row>
    <row r="44" spans="1:18" ht="11.25" customHeight="1" x14ac:dyDescent="0.25">
      <c r="A44" s="59" t="s">
        <v>161</v>
      </c>
      <c r="B44" s="60" t="s">
        <v>160</v>
      </c>
      <c r="C44" s="9">
        <v>1349.8560000000004</v>
      </c>
      <c r="D44" s="9">
        <v>1690.5631281986882</v>
      </c>
      <c r="E44" s="9">
        <v>1637.7907492800002</v>
      </c>
      <c r="F44" s="9">
        <v>1696.5150101446325</v>
      </c>
      <c r="G44" s="9">
        <v>1786.5335181600001</v>
      </c>
      <c r="H44" s="9">
        <v>1882.3680000000027</v>
      </c>
      <c r="I44" s="9">
        <v>1832.8738579200003</v>
      </c>
      <c r="J44" s="9">
        <v>1972.2189355200005</v>
      </c>
      <c r="K44" s="9">
        <v>1746.3098440016643</v>
      </c>
      <c r="L44" s="9">
        <v>1619.3194250400002</v>
      </c>
      <c r="M44" s="9">
        <v>1597.5360000000016</v>
      </c>
      <c r="N44" s="9">
        <v>1674.9359999999995</v>
      </c>
      <c r="O44" s="9">
        <v>1786.3920000000014</v>
      </c>
      <c r="P44" s="9">
        <v>1455.1199999999992</v>
      </c>
      <c r="Q44" s="9">
        <v>1430.3519999999987</v>
      </c>
      <c r="R44" s="9">
        <v>786.38400000000058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1.747200000000007</v>
      </c>
      <c r="O64" s="81">
        <v>3.1122000000000076</v>
      </c>
      <c r="P64" s="81">
        <v>1.8564000000000089</v>
      </c>
      <c r="Q64" s="81">
        <v>1.9656000000000107</v>
      </c>
      <c r="R64" s="81">
        <v>2.4569999999999963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1.747200000000007</v>
      </c>
      <c r="O67" s="82">
        <v>3.1122000000000076</v>
      </c>
      <c r="P67" s="82">
        <v>1.8564000000000089</v>
      </c>
      <c r="Q67" s="82">
        <v>1.9656000000000107</v>
      </c>
      <c r="R67" s="82">
        <v>2.4569999999999963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1.5011852866398769</v>
      </c>
      <c r="D2" s="78">
        <v>2.7556833630839117</v>
      </c>
      <c r="E2" s="78">
        <v>2.7229499549012575</v>
      </c>
      <c r="F2" s="78">
        <v>2.8060802020532756</v>
      </c>
      <c r="G2" s="78">
        <v>3.4044038748137591</v>
      </c>
      <c r="H2" s="78">
        <v>3.563291042856763</v>
      </c>
      <c r="I2" s="78">
        <v>4.03964780141232</v>
      </c>
      <c r="J2" s="78">
        <v>4.3992977940303577</v>
      </c>
      <c r="K2" s="78">
        <v>4.6804791551917111</v>
      </c>
      <c r="L2" s="78">
        <v>3.6561769576353376</v>
      </c>
      <c r="M2" s="78">
        <v>2.8074762284697865</v>
      </c>
      <c r="N2" s="78">
        <v>2.169654542848853</v>
      </c>
      <c r="O2" s="78">
        <v>1.5504488341422695</v>
      </c>
      <c r="P2" s="78">
        <v>1.5467376531308101</v>
      </c>
      <c r="Q2" s="78">
        <v>1.5203449410907719</v>
      </c>
      <c r="R2" s="78">
        <v>1.5054032481322495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1.5011852866398769</v>
      </c>
      <c r="D21" s="79">
        <v>2.7556833630839117</v>
      </c>
      <c r="E21" s="79">
        <v>2.7229499549012575</v>
      </c>
      <c r="F21" s="79">
        <v>2.8060802020532756</v>
      </c>
      <c r="G21" s="79">
        <v>3.4044038748137591</v>
      </c>
      <c r="H21" s="79">
        <v>3.563291042856763</v>
      </c>
      <c r="I21" s="79">
        <v>4.03964780141232</v>
      </c>
      <c r="J21" s="79">
        <v>4.3992977940303577</v>
      </c>
      <c r="K21" s="79">
        <v>4.6804791551917111</v>
      </c>
      <c r="L21" s="79">
        <v>3.6561769576353376</v>
      </c>
      <c r="M21" s="79">
        <v>2.8074762284697865</v>
      </c>
      <c r="N21" s="79">
        <v>2.169654542848853</v>
      </c>
      <c r="O21" s="79">
        <v>1.5504488341422695</v>
      </c>
      <c r="P21" s="79">
        <v>1.5467376531308101</v>
      </c>
      <c r="Q21" s="79">
        <v>1.5203449410907719</v>
      </c>
      <c r="R21" s="79">
        <v>1.5054032481322495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1.5011852866398769</v>
      </c>
      <c r="D30" s="8">
        <v>2.7556833630839117</v>
      </c>
      <c r="E30" s="8">
        <v>2.7229499549012575</v>
      </c>
      <c r="F30" s="8">
        <v>2.8060802020532756</v>
      </c>
      <c r="G30" s="8">
        <v>3.4044038748137591</v>
      </c>
      <c r="H30" s="8">
        <v>3.563291042856763</v>
      </c>
      <c r="I30" s="8">
        <v>4.03964780141232</v>
      </c>
      <c r="J30" s="8">
        <v>4.3992977940303577</v>
      </c>
      <c r="K30" s="8">
        <v>4.6804791551917111</v>
      </c>
      <c r="L30" s="8">
        <v>3.6561769576353376</v>
      </c>
      <c r="M30" s="8">
        <v>2.8074762284697865</v>
      </c>
      <c r="N30" s="8">
        <v>2.169654542848853</v>
      </c>
      <c r="O30" s="8">
        <v>1.5504488341422695</v>
      </c>
      <c r="P30" s="8">
        <v>1.5467376531308101</v>
      </c>
      <c r="Q30" s="8">
        <v>1.5203449410907719</v>
      </c>
      <c r="R30" s="8">
        <v>1.5054032481322495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1.5011852866398769</v>
      </c>
      <c r="D34" s="9">
        <v>2.7556833630839117</v>
      </c>
      <c r="E34" s="9">
        <v>2.7229499549012575</v>
      </c>
      <c r="F34" s="9">
        <v>2.8060802020532756</v>
      </c>
      <c r="G34" s="9">
        <v>3.4044038748137591</v>
      </c>
      <c r="H34" s="9">
        <v>3.563291042856763</v>
      </c>
      <c r="I34" s="9">
        <v>4.03964780141232</v>
      </c>
      <c r="J34" s="9">
        <v>4.3992977940303577</v>
      </c>
      <c r="K34" s="9">
        <v>4.6804791551917111</v>
      </c>
      <c r="L34" s="9">
        <v>3.6561769576353376</v>
      </c>
      <c r="M34" s="9">
        <v>2.8074762284697865</v>
      </c>
      <c r="N34" s="9">
        <v>2.169654542848853</v>
      </c>
      <c r="O34" s="9">
        <v>1.5504488341422695</v>
      </c>
      <c r="P34" s="9">
        <v>1.5467376531308101</v>
      </c>
      <c r="Q34" s="9">
        <v>1.5203449410907719</v>
      </c>
      <c r="R34" s="9">
        <v>1.5054032481322495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2.3970354380673098</v>
      </c>
      <c r="D2" s="78">
        <v>13.04217102348219</v>
      </c>
      <c r="E2" s="78">
        <v>7.0141932526587603</v>
      </c>
      <c r="F2" s="78">
        <v>6.3942521103630927</v>
      </c>
      <c r="G2" s="78">
        <v>9.3708907527462593</v>
      </c>
      <c r="H2" s="78">
        <v>9.9854104724191384</v>
      </c>
      <c r="I2" s="78">
        <v>11.918344349838266</v>
      </c>
      <c r="J2" s="78">
        <v>16.318950429364026</v>
      </c>
      <c r="K2" s="78">
        <v>23.414152697251247</v>
      </c>
      <c r="L2" s="78">
        <v>24.972259186671067</v>
      </c>
      <c r="M2" s="78">
        <v>20.758560959176734</v>
      </c>
      <c r="N2" s="78">
        <v>18.463408455658797</v>
      </c>
      <c r="O2" s="78">
        <v>17.948837691993589</v>
      </c>
      <c r="P2" s="78">
        <v>16.051241737802968</v>
      </c>
      <c r="Q2" s="78">
        <v>13.676579928796384</v>
      </c>
      <c r="R2" s="78">
        <v>13.472978632566894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2.3970354380673098</v>
      </c>
      <c r="D21" s="79">
        <v>13.04217102348219</v>
      </c>
      <c r="E21" s="79">
        <v>7.0141932526587603</v>
      </c>
      <c r="F21" s="79">
        <v>6.3942521103630927</v>
      </c>
      <c r="G21" s="79">
        <v>9.3708907527462593</v>
      </c>
      <c r="H21" s="79">
        <v>9.9854104724191384</v>
      </c>
      <c r="I21" s="79">
        <v>11.918344349838266</v>
      </c>
      <c r="J21" s="79">
        <v>16.318950429364026</v>
      </c>
      <c r="K21" s="79">
        <v>23.414152697251247</v>
      </c>
      <c r="L21" s="79">
        <v>24.972259186671067</v>
      </c>
      <c r="M21" s="79">
        <v>20.758560959176734</v>
      </c>
      <c r="N21" s="79">
        <v>18.463408455658797</v>
      </c>
      <c r="O21" s="79">
        <v>17.948837691993589</v>
      </c>
      <c r="P21" s="79">
        <v>16.051241737802968</v>
      </c>
      <c r="Q21" s="79">
        <v>13.676579928796384</v>
      </c>
      <c r="R21" s="79">
        <v>13.472978632566894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2.3970354380673098</v>
      </c>
      <c r="D30" s="8">
        <v>13.04217102348219</v>
      </c>
      <c r="E30" s="8">
        <v>7.0141932526587603</v>
      </c>
      <c r="F30" s="8">
        <v>6.3942521103630927</v>
      </c>
      <c r="G30" s="8">
        <v>9.3708907527462593</v>
      </c>
      <c r="H30" s="8">
        <v>9.9854104724191384</v>
      </c>
      <c r="I30" s="8">
        <v>11.918344349838266</v>
      </c>
      <c r="J30" s="8">
        <v>16.318950429364026</v>
      </c>
      <c r="K30" s="8">
        <v>23.414152697251247</v>
      </c>
      <c r="L30" s="8">
        <v>24.972259186671067</v>
      </c>
      <c r="M30" s="8">
        <v>20.758560959176734</v>
      </c>
      <c r="N30" s="8">
        <v>18.463408455658797</v>
      </c>
      <c r="O30" s="8">
        <v>17.948837691993589</v>
      </c>
      <c r="P30" s="8">
        <v>16.051241737802968</v>
      </c>
      <c r="Q30" s="8">
        <v>13.676579928796384</v>
      </c>
      <c r="R30" s="8">
        <v>13.472978632566894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2.3970354380673098</v>
      </c>
      <c r="D34" s="9">
        <v>13.04217102348219</v>
      </c>
      <c r="E34" s="9">
        <v>7.0141932526587603</v>
      </c>
      <c r="F34" s="9">
        <v>6.3942521103630927</v>
      </c>
      <c r="G34" s="9">
        <v>9.3708907527462593</v>
      </c>
      <c r="H34" s="9">
        <v>9.9854104724191384</v>
      </c>
      <c r="I34" s="9">
        <v>11.918344349838266</v>
      </c>
      <c r="J34" s="9">
        <v>16.318950429364026</v>
      </c>
      <c r="K34" s="9">
        <v>23.414152697251247</v>
      </c>
      <c r="L34" s="9">
        <v>24.972259186671067</v>
      </c>
      <c r="M34" s="9">
        <v>20.758560959176734</v>
      </c>
      <c r="N34" s="9">
        <v>18.463408455658797</v>
      </c>
      <c r="O34" s="9">
        <v>17.948837691993589</v>
      </c>
      <c r="P34" s="9">
        <v>16.051241737802968</v>
      </c>
      <c r="Q34" s="9">
        <v>13.676579928796384</v>
      </c>
      <c r="R34" s="9">
        <v>13.472978632566894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1588.3098000000005</v>
      </c>
      <c r="D2" s="78">
        <v>1979.7555930276962</v>
      </c>
      <c r="E2" s="78">
        <v>1939.6560985200003</v>
      </c>
      <c r="F2" s="78">
        <v>2141.6453749162442</v>
      </c>
      <c r="G2" s="78">
        <v>2047.1366973600002</v>
      </c>
      <c r="H2" s="78">
        <v>2343.2700000000018</v>
      </c>
      <c r="I2" s="78">
        <v>2182.5164566800004</v>
      </c>
      <c r="J2" s="78">
        <v>2350.4037872400004</v>
      </c>
      <c r="K2" s="78">
        <v>1984.6143260282884</v>
      </c>
      <c r="L2" s="78">
        <v>1864.1002683600002</v>
      </c>
      <c r="M2" s="78">
        <v>1861.9989000000016</v>
      </c>
      <c r="N2" s="78">
        <v>1907.5358999999996</v>
      </c>
      <c r="O2" s="78">
        <v>2018.9919000000016</v>
      </c>
      <c r="P2" s="78">
        <v>1639.9253999999992</v>
      </c>
      <c r="Q2" s="78">
        <v>1602.4121999999988</v>
      </c>
      <c r="R2" s="78">
        <v>850.11000000000047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1588.3098000000005</v>
      </c>
      <c r="D21" s="79">
        <v>1979.7555930276962</v>
      </c>
      <c r="E21" s="79">
        <v>1939.6560985200003</v>
      </c>
      <c r="F21" s="79">
        <v>2141.6453749162442</v>
      </c>
      <c r="G21" s="79">
        <v>2047.1366973600002</v>
      </c>
      <c r="H21" s="79">
        <v>2343.2700000000018</v>
      </c>
      <c r="I21" s="79">
        <v>2182.5164566800004</v>
      </c>
      <c r="J21" s="79">
        <v>2350.4037872400004</v>
      </c>
      <c r="K21" s="79">
        <v>1984.6143260282884</v>
      </c>
      <c r="L21" s="79">
        <v>1864.1002683600002</v>
      </c>
      <c r="M21" s="79">
        <v>1861.9989000000016</v>
      </c>
      <c r="N21" s="79">
        <v>1907.5358999999996</v>
      </c>
      <c r="O21" s="79">
        <v>2018.9919000000016</v>
      </c>
      <c r="P21" s="79">
        <v>1639.9253999999992</v>
      </c>
      <c r="Q21" s="79">
        <v>1602.4121999999988</v>
      </c>
      <c r="R21" s="79">
        <v>850.11000000000047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1588.3098000000005</v>
      </c>
      <c r="D30" s="8">
        <v>1979.7555930276962</v>
      </c>
      <c r="E30" s="8">
        <v>1939.6560985200003</v>
      </c>
      <c r="F30" s="8">
        <v>2141.6453749162442</v>
      </c>
      <c r="G30" s="8">
        <v>2047.1366973600002</v>
      </c>
      <c r="H30" s="8">
        <v>2343.2700000000018</v>
      </c>
      <c r="I30" s="8">
        <v>2182.5164566800004</v>
      </c>
      <c r="J30" s="8">
        <v>2350.4037872400004</v>
      </c>
      <c r="K30" s="8">
        <v>1984.6143260282884</v>
      </c>
      <c r="L30" s="8">
        <v>1864.1002683600002</v>
      </c>
      <c r="M30" s="8">
        <v>1861.9989000000016</v>
      </c>
      <c r="N30" s="8">
        <v>1907.5358999999996</v>
      </c>
      <c r="O30" s="8">
        <v>2018.9919000000016</v>
      </c>
      <c r="P30" s="8">
        <v>1639.9253999999992</v>
      </c>
      <c r="Q30" s="8">
        <v>1602.4121999999988</v>
      </c>
      <c r="R30" s="8">
        <v>850.11000000000047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238.45380000000003</v>
      </c>
      <c r="D43" s="9">
        <v>289.19246482900792</v>
      </c>
      <c r="E43" s="9">
        <v>301.86534924</v>
      </c>
      <c r="F43" s="9">
        <v>445.13036477161194</v>
      </c>
      <c r="G43" s="9">
        <v>260.6031792</v>
      </c>
      <c r="H43" s="9">
        <v>460.9019999999993</v>
      </c>
      <c r="I43" s="9">
        <v>349.64259876</v>
      </c>
      <c r="J43" s="9">
        <v>378.18485172000004</v>
      </c>
      <c r="K43" s="9">
        <v>238.30448202662416</v>
      </c>
      <c r="L43" s="9">
        <v>244.78084332000003</v>
      </c>
      <c r="M43" s="9">
        <v>264.46290000000005</v>
      </c>
      <c r="N43" s="9">
        <v>232.5999000000001</v>
      </c>
      <c r="O43" s="9">
        <v>232.5999000000001</v>
      </c>
      <c r="P43" s="9">
        <v>184.80540000000005</v>
      </c>
      <c r="Q43" s="9">
        <v>172.06020000000015</v>
      </c>
      <c r="R43" s="9">
        <v>63.725999999999843</v>
      </c>
    </row>
    <row r="44" spans="1:18" ht="11.25" customHeight="1" x14ac:dyDescent="0.25">
      <c r="A44" s="59" t="s">
        <v>161</v>
      </c>
      <c r="B44" s="60" t="s">
        <v>160</v>
      </c>
      <c r="C44" s="9">
        <v>1349.8560000000004</v>
      </c>
      <c r="D44" s="9">
        <v>1690.5631281986882</v>
      </c>
      <c r="E44" s="9">
        <v>1637.7907492800002</v>
      </c>
      <c r="F44" s="9">
        <v>1696.5150101446325</v>
      </c>
      <c r="G44" s="9">
        <v>1786.5335181600001</v>
      </c>
      <c r="H44" s="9">
        <v>1882.3680000000027</v>
      </c>
      <c r="I44" s="9">
        <v>1832.8738579200003</v>
      </c>
      <c r="J44" s="9">
        <v>1972.2189355200005</v>
      </c>
      <c r="K44" s="9">
        <v>1746.3098440016643</v>
      </c>
      <c r="L44" s="9">
        <v>1619.3194250400002</v>
      </c>
      <c r="M44" s="9">
        <v>1597.5360000000016</v>
      </c>
      <c r="N44" s="9">
        <v>1674.9359999999995</v>
      </c>
      <c r="O44" s="9">
        <v>1786.3920000000014</v>
      </c>
      <c r="P44" s="9">
        <v>1455.1199999999992</v>
      </c>
      <c r="Q44" s="9">
        <v>1430.3519999999987</v>
      </c>
      <c r="R44" s="9">
        <v>786.38400000000058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54.346318199612092</v>
      </c>
      <c r="D2" s="78">
        <v>54.523888153960471</v>
      </c>
      <c r="E2" s="78">
        <v>61.48862386739998</v>
      </c>
      <c r="F2" s="78">
        <v>70.791106796027464</v>
      </c>
      <c r="G2" s="78">
        <v>73.830891587399975</v>
      </c>
      <c r="H2" s="78">
        <v>25.733895493989387</v>
      </c>
      <c r="I2" s="78">
        <v>24.625487898890199</v>
      </c>
      <c r="J2" s="78">
        <v>24.613358026487521</v>
      </c>
      <c r="K2" s="78">
        <v>22.237672654613771</v>
      </c>
      <c r="L2" s="78">
        <v>18.660808499470356</v>
      </c>
      <c r="M2" s="78">
        <v>70.576600000000013</v>
      </c>
      <c r="N2" s="78">
        <v>45.725343055640096</v>
      </c>
      <c r="O2" s="78">
        <v>67.751433146742286</v>
      </c>
      <c r="P2" s="78">
        <v>92.944622252123295</v>
      </c>
      <c r="Q2" s="78">
        <v>115.24282106139567</v>
      </c>
      <c r="R2" s="78">
        <v>118.52104297545125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54.346318199612092</v>
      </c>
      <c r="D21" s="79">
        <v>54.523888153960471</v>
      </c>
      <c r="E21" s="79">
        <v>61.48862386739998</v>
      </c>
      <c r="F21" s="79">
        <v>70.791106796027464</v>
      </c>
      <c r="G21" s="79">
        <v>73.830891587399975</v>
      </c>
      <c r="H21" s="79">
        <v>25.733895493989387</v>
      </c>
      <c r="I21" s="79">
        <v>24.625487898890199</v>
      </c>
      <c r="J21" s="79">
        <v>24.613358026487521</v>
      </c>
      <c r="K21" s="79">
        <v>22.237672654613771</v>
      </c>
      <c r="L21" s="79">
        <v>18.660808499470356</v>
      </c>
      <c r="M21" s="79">
        <v>70.576600000000013</v>
      </c>
      <c r="N21" s="79">
        <v>45.725343055640096</v>
      </c>
      <c r="O21" s="79">
        <v>67.751433146742286</v>
      </c>
      <c r="P21" s="79">
        <v>92.944622252123295</v>
      </c>
      <c r="Q21" s="79">
        <v>115.24282106139567</v>
      </c>
      <c r="R21" s="79">
        <v>118.52104297545125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54.346318199612092</v>
      </c>
      <c r="D30" s="8">
        <v>54.523888153960471</v>
      </c>
      <c r="E30" s="8">
        <v>61.48862386739998</v>
      </c>
      <c r="F30" s="8">
        <v>70.791106796027464</v>
      </c>
      <c r="G30" s="8">
        <v>73.830891587399975</v>
      </c>
      <c r="H30" s="8">
        <v>25.733895493989387</v>
      </c>
      <c r="I30" s="8">
        <v>24.625487898890199</v>
      </c>
      <c r="J30" s="8">
        <v>24.613358026487521</v>
      </c>
      <c r="K30" s="8">
        <v>22.237672654613771</v>
      </c>
      <c r="L30" s="8">
        <v>18.660808499470356</v>
      </c>
      <c r="M30" s="8">
        <v>70.576600000000013</v>
      </c>
      <c r="N30" s="8">
        <v>45.725343055640096</v>
      </c>
      <c r="O30" s="8">
        <v>67.751433146742286</v>
      </c>
      <c r="P30" s="8">
        <v>92.944622252123295</v>
      </c>
      <c r="Q30" s="8">
        <v>115.24282106139567</v>
      </c>
      <c r="R30" s="8">
        <v>118.52104297545125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14.630238478790147</v>
      </c>
      <c r="D34" s="9">
        <v>14.638833964156465</v>
      </c>
      <c r="E34" s="9">
        <v>15.561939947399974</v>
      </c>
      <c r="F34" s="9">
        <v>15.555473836523456</v>
      </c>
      <c r="G34" s="9">
        <v>15.561939947399974</v>
      </c>
      <c r="H34" s="9">
        <v>16.458415774481491</v>
      </c>
      <c r="I34" s="9">
        <v>18.304952393294201</v>
      </c>
      <c r="J34" s="9">
        <v>18.29592313936752</v>
      </c>
      <c r="K34" s="9">
        <v>19.226851702049771</v>
      </c>
      <c r="L34" s="9">
        <v>15.557521022206355</v>
      </c>
      <c r="M34" s="9">
        <v>20.318200000000004</v>
      </c>
      <c r="N34" s="9">
        <v>20.322293271962362</v>
      </c>
      <c r="O34" s="9">
        <v>20.318200000000004</v>
      </c>
      <c r="P34" s="9">
        <v>23.217477174121871</v>
      </c>
      <c r="Q34" s="9">
        <v>23.219298449451994</v>
      </c>
      <c r="R34" s="9">
        <v>23.224710367263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30.91939759596735</v>
      </c>
      <c r="D38" s="9">
        <v>30.989868884136005</v>
      </c>
      <c r="E38" s="9">
        <v>37.026803160000007</v>
      </c>
      <c r="F38" s="9">
        <v>46.339465598028006</v>
      </c>
      <c r="G38" s="9">
        <v>49.369070880000002</v>
      </c>
      <c r="H38" s="9">
        <v>9.2754797195078957</v>
      </c>
      <c r="I38" s="9">
        <v>6.3205355055960002</v>
      </c>
      <c r="J38" s="9">
        <v>6.3174348871200001</v>
      </c>
      <c r="K38" s="9">
        <v>3.0108209525640004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30.91939759596735</v>
      </c>
      <c r="D41" s="10">
        <v>30.989868884136005</v>
      </c>
      <c r="E41" s="10">
        <v>37.026803160000007</v>
      </c>
      <c r="F41" s="10">
        <v>46.339465598028006</v>
      </c>
      <c r="G41" s="10">
        <v>49.369070880000002</v>
      </c>
      <c r="H41" s="10">
        <v>9.2754797195078957</v>
      </c>
      <c r="I41" s="10">
        <v>6.3205355055960002</v>
      </c>
      <c r="J41" s="10">
        <v>6.3174348871200001</v>
      </c>
      <c r="K41" s="10">
        <v>3.0108209525640004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3.1032874772640002</v>
      </c>
      <c r="M43" s="9">
        <v>25.490400000000001</v>
      </c>
      <c r="N43" s="9">
        <v>22.306957525646016</v>
      </c>
      <c r="O43" s="9">
        <v>35.049286228611152</v>
      </c>
      <c r="P43" s="9">
        <v>57.344073808346614</v>
      </c>
      <c r="Q43" s="9">
        <v>79.648184869608173</v>
      </c>
      <c r="R43" s="9">
        <v>82.896332658078776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24.768000000000004</v>
      </c>
      <c r="N44" s="9">
        <v>3.0960922580317209</v>
      </c>
      <c r="O44" s="9">
        <v>12.383946918131134</v>
      </c>
      <c r="P44" s="9">
        <v>12.383071269654803</v>
      </c>
      <c r="Q44" s="9">
        <v>12.375337742335507</v>
      </c>
      <c r="R44" s="9">
        <v>12.399999950109477</v>
      </c>
    </row>
    <row r="45" spans="1:18" ht="11.25" customHeight="1" x14ac:dyDescent="0.25">
      <c r="A45" s="59" t="s">
        <v>159</v>
      </c>
      <c r="B45" s="60" t="s">
        <v>158</v>
      </c>
      <c r="C45" s="9">
        <v>8.7966821248545894</v>
      </c>
      <c r="D45" s="9">
        <v>8.8951853056680008</v>
      </c>
      <c r="E45" s="9">
        <v>8.8998807600000003</v>
      </c>
      <c r="F45" s="9">
        <v>8.8961673614760013</v>
      </c>
      <c r="G45" s="9">
        <v>8.8998807600000003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8.7966821248545894</v>
      </c>
      <c r="D51" s="10">
        <v>8.8951853056680008</v>
      </c>
      <c r="E51" s="10">
        <v>8.8998807600000003</v>
      </c>
      <c r="F51" s="10">
        <v>8.8961673614760013</v>
      </c>
      <c r="G51" s="10">
        <v>8.8998807600000003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0.32760000000000561</v>
      </c>
      <c r="N64" s="81">
        <v>1.4742965173897613</v>
      </c>
      <c r="O64" s="81">
        <v>1.9656000000000107</v>
      </c>
      <c r="P64" s="81">
        <v>1.4352217460028149</v>
      </c>
      <c r="Q64" s="81">
        <v>1.6541843828313423</v>
      </c>
      <c r="R64" s="81">
        <v>1.3104902580111064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0.32760000000000561</v>
      </c>
      <c r="N67" s="82">
        <v>1.4742965173897613</v>
      </c>
      <c r="O67" s="82">
        <v>1.9656000000000107</v>
      </c>
      <c r="P67" s="82">
        <v>1.3650000000000004</v>
      </c>
      <c r="Q67" s="82">
        <v>1.5834000000000044</v>
      </c>
      <c r="R67" s="82">
        <v>1.3104902580111064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7.0221746002814459E-2</v>
      </c>
      <c r="Q69" s="82">
        <v>7.0784382831337825E-2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7.0221746002814459E-2</v>
      </c>
      <c r="Q71" s="83">
        <v>7.0784382831337825E-2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46.985944629958432</v>
      </c>
      <c r="D2" s="78">
        <v>47.223105927612387</v>
      </c>
      <c r="E2" s="78">
        <v>53.250301538073188</v>
      </c>
      <c r="F2" s="78">
        <v>63.185477001638958</v>
      </c>
      <c r="G2" s="78">
        <v>66.649017638349292</v>
      </c>
      <c r="H2" s="78">
        <v>17.244432070957888</v>
      </c>
      <c r="I2" s="78">
        <v>12.522021549189912</v>
      </c>
      <c r="J2" s="78">
        <v>12.056825132660506</v>
      </c>
      <c r="K2" s="78">
        <v>6.2265810444803629</v>
      </c>
      <c r="L2" s="78">
        <v>4.2905785726427261</v>
      </c>
      <c r="M2" s="78">
        <v>57.533539607879021</v>
      </c>
      <c r="N2" s="78">
        <v>31.140422630020261</v>
      </c>
      <c r="O2" s="78">
        <v>54.336642705911601</v>
      </c>
      <c r="P2" s="78">
        <v>76.188170732458545</v>
      </c>
      <c r="Q2" s="78">
        <v>98.748126878835194</v>
      </c>
      <c r="R2" s="78">
        <v>102.28324082858795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46.985944629958432</v>
      </c>
      <c r="D21" s="79">
        <v>47.223105927612387</v>
      </c>
      <c r="E21" s="79">
        <v>53.250301538073188</v>
      </c>
      <c r="F21" s="79">
        <v>63.185477001638958</v>
      </c>
      <c r="G21" s="79">
        <v>66.649017638349292</v>
      </c>
      <c r="H21" s="79">
        <v>17.244432070957888</v>
      </c>
      <c r="I21" s="79">
        <v>12.522021549189912</v>
      </c>
      <c r="J21" s="79">
        <v>12.056825132660506</v>
      </c>
      <c r="K21" s="79">
        <v>6.2265810444803629</v>
      </c>
      <c r="L21" s="79">
        <v>4.2905785726427261</v>
      </c>
      <c r="M21" s="79">
        <v>57.533539607879021</v>
      </c>
      <c r="N21" s="79">
        <v>31.140422630020261</v>
      </c>
      <c r="O21" s="79">
        <v>54.336642705911601</v>
      </c>
      <c r="P21" s="79">
        <v>76.188170732458545</v>
      </c>
      <c r="Q21" s="79">
        <v>98.748126878835194</v>
      </c>
      <c r="R21" s="79">
        <v>102.28324082858795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46.985944629958432</v>
      </c>
      <c r="D30" s="8">
        <v>47.223105927612387</v>
      </c>
      <c r="E30" s="8">
        <v>53.250301538073188</v>
      </c>
      <c r="F30" s="8">
        <v>63.185477001638958</v>
      </c>
      <c r="G30" s="8">
        <v>66.649017638349292</v>
      </c>
      <c r="H30" s="8">
        <v>17.244432070957888</v>
      </c>
      <c r="I30" s="8">
        <v>12.522021549189912</v>
      </c>
      <c r="J30" s="8">
        <v>12.056825132660506</v>
      </c>
      <c r="K30" s="8">
        <v>6.2265810444803629</v>
      </c>
      <c r="L30" s="8">
        <v>4.2905785726427261</v>
      </c>
      <c r="M30" s="8">
        <v>57.533539607879021</v>
      </c>
      <c r="N30" s="8">
        <v>31.140422630020261</v>
      </c>
      <c r="O30" s="8">
        <v>54.336642705911601</v>
      </c>
      <c r="P30" s="8">
        <v>76.188170732458545</v>
      </c>
      <c r="Q30" s="8">
        <v>98.748126878835194</v>
      </c>
      <c r="R30" s="8">
        <v>102.28324082858795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7.2698649091364942</v>
      </c>
      <c r="D34" s="9">
        <v>7.338051737808378</v>
      </c>
      <c r="E34" s="9">
        <v>7.3236176180731816</v>
      </c>
      <c r="F34" s="9">
        <v>7.949844042134945</v>
      </c>
      <c r="G34" s="9">
        <v>8.380065998349286</v>
      </c>
      <c r="H34" s="9">
        <v>7.9689523514499934</v>
      </c>
      <c r="I34" s="9">
        <v>6.2014860435939125</v>
      </c>
      <c r="J34" s="9">
        <v>5.7393902455405073</v>
      </c>
      <c r="K34" s="9">
        <v>3.2157600919163625</v>
      </c>
      <c r="L34" s="9">
        <v>1.1872910953787263</v>
      </c>
      <c r="M34" s="9">
        <v>7.2751396078790158</v>
      </c>
      <c r="N34" s="9">
        <v>5.7373728463425238</v>
      </c>
      <c r="O34" s="9">
        <v>6.903409559169309</v>
      </c>
      <c r="P34" s="9">
        <v>6.4610256544571243</v>
      </c>
      <c r="Q34" s="9">
        <v>6.724604266891518</v>
      </c>
      <c r="R34" s="9">
        <v>6.9869082203996982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30.91939759596735</v>
      </c>
      <c r="D38" s="9">
        <v>30.989868884136005</v>
      </c>
      <c r="E38" s="9">
        <v>37.026803160000007</v>
      </c>
      <c r="F38" s="9">
        <v>46.339465598028006</v>
      </c>
      <c r="G38" s="9">
        <v>49.369070880000002</v>
      </c>
      <c r="H38" s="9">
        <v>9.2754797195078957</v>
      </c>
      <c r="I38" s="9">
        <v>6.3205355055960002</v>
      </c>
      <c r="J38" s="9">
        <v>6.3174348871200001</v>
      </c>
      <c r="K38" s="9">
        <v>3.0108209525640004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30.91939759596735</v>
      </c>
      <c r="D41" s="10">
        <v>30.989868884136005</v>
      </c>
      <c r="E41" s="10">
        <v>37.026803160000007</v>
      </c>
      <c r="F41" s="10">
        <v>46.339465598028006</v>
      </c>
      <c r="G41" s="10">
        <v>49.369070880000002</v>
      </c>
      <c r="H41" s="10">
        <v>9.2754797195078957</v>
      </c>
      <c r="I41" s="10">
        <v>6.3205355055960002</v>
      </c>
      <c r="J41" s="10">
        <v>6.3174348871200001</v>
      </c>
      <c r="K41" s="10">
        <v>3.0108209525640004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3.1032874772640002</v>
      </c>
      <c r="M43" s="9">
        <v>25.490400000000001</v>
      </c>
      <c r="N43" s="9">
        <v>22.306957525646016</v>
      </c>
      <c r="O43" s="9">
        <v>35.049286228611152</v>
      </c>
      <c r="P43" s="9">
        <v>57.344073808346614</v>
      </c>
      <c r="Q43" s="9">
        <v>79.648184869608173</v>
      </c>
      <c r="R43" s="9">
        <v>82.896332658078776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24.768000000000004</v>
      </c>
      <c r="N44" s="9">
        <v>3.0960922580317209</v>
      </c>
      <c r="O44" s="9">
        <v>12.383946918131134</v>
      </c>
      <c r="P44" s="9">
        <v>12.383071269654803</v>
      </c>
      <c r="Q44" s="9">
        <v>12.375337742335507</v>
      </c>
      <c r="R44" s="9">
        <v>12.399999950109477</v>
      </c>
    </row>
    <row r="45" spans="1:18" ht="11.25" customHeight="1" x14ac:dyDescent="0.25">
      <c r="A45" s="59" t="s">
        <v>159</v>
      </c>
      <c r="B45" s="60" t="s">
        <v>158</v>
      </c>
      <c r="C45" s="9">
        <v>8.7966821248545894</v>
      </c>
      <c r="D45" s="9">
        <v>8.8951853056680008</v>
      </c>
      <c r="E45" s="9">
        <v>8.8998807600000003</v>
      </c>
      <c r="F45" s="9">
        <v>8.8961673614760013</v>
      </c>
      <c r="G45" s="9">
        <v>8.8998807600000003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8.7966821248545894</v>
      </c>
      <c r="D51" s="10">
        <v>8.8951853056680008</v>
      </c>
      <c r="E51" s="10">
        <v>8.8998807600000003</v>
      </c>
      <c r="F51" s="10">
        <v>8.8961673614760013</v>
      </c>
      <c r="G51" s="10">
        <v>8.8998807600000003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0.32760000000000561</v>
      </c>
      <c r="N64" s="81">
        <v>1.4742965173897613</v>
      </c>
      <c r="O64" s="81">
        <v>1.9656000000000107</v>
      </c>
      <c r="P64" s="81">
        <v>1.4352217460028149</v>
      </c>
      <c r="Q64" s="81">
        <v>1.6541843828313423</v>
      </c>
      <c r="R64" s="81">
        <v>1.3104902580111064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0.32760000000000561</v>
      </c>
      <c r="N67" s="82">
        <v>1.4742965173897613</v>
      </c>
      <c r="O67" s="82">
        <v>1.9656000000000107</v>
      </c>
      <c r="P67" s="82">
        <v>1.3650000000000004</v>
      </c>
      <c r="Q67" s="82">
        <v>1.5834000000000044</v>
      </c>
      <c r="R67" s="82">
        <v>1.3104902580111064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7.0221746002814459E-2</v>
      </c>
      <c r="Q69" s="82">
        <v>7.0784382831337825E-2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7.0221746002814459E-2</v>
      </c>
      <c r="Q71" s="83">
        <v>7.0784382831337825E-2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3.6099785634699941</v>
      </c>
      <c r="D2" s="78">
        <v>3.643837925768068</v>
      </c>
      <c r="E2" s="78">
        <v>3.6366704111748969</v>
      </c>
      <c r="F2" s="78">
        <v>3.1470321329929996</v>
      </c>
      <c r="G2" s="78">
        <v>2.9411176373552572</v>
      </c>
      <c r="H2" s="78">
        <v>3.5213066669059843</v>
      </c>
      <c r="I2" s="78">
        <v>5.9677941031716921</v>
      </c>
      <c r="J2" s="78">
        <v>6.2374186491209329</v>
      </c>
      <c r="K2" s="78">
        <v>6.1747551160954108</v>
      </c>
      <c r="L2" s="78">
        <v>3.9767729604622795</v>
      </c>
      <c r="M2" s="78">
        <v>2.5362206784578545</v>
      </c>
      <c r="N2" s="78">
        <v>2.3564191481941537</v>
      </c>
      <c r="O2" s="78">
        <v>1.7172495003251982</v>
      </c>
      <c r="P2" s="78">
        <v>1.2773001886277218</v>
      </c>
      <c r="Q2" s="78">
        <v>1.0129928187886319</v>
      </c>
      <c r="R2" s="78">
        <v>0.74852206505299257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3.6099785634699941</v>
      </c>
      <c r="D21" s="79">
        <v>3.643837925768068</v>
      </c>
      <c r="E21" s="79">
        <v>3.6366704111748969</v>
      </c>
      <c r="F21" s="79">
        <v>3.1470321329929996</v>
      </c>
      <c r="G21" s="79">
        <v>2.9411176373552572</v>
      </c>
      <c r="H21" s="79">
        <v>3.5213066669059843</v>
      </c>
      <c r="I21" s="79">
        <v>5.9677941031716921</v>
      </c>
      <c r="J21" s="79">
        <v>6.2374186491209329</v>
      </c>
      <c r="K21" s="79">
        <v>6.1747551160954108</v>
      </c>
      <c r="L21" s="79">
        <v>3.9767729604622795</v>
      </c>
      <c r="M21" s="79">
        <v>2.5362206784578545</v>
      </c>
      <c r="N21" s="79">
        <v>2.3564191481941537</v>
      </c>
      <c r="O21" s="79">
        <v>1.7172495003251982</v>
      </c>
      <c r="P21" s="79">
        <v>1.2773001886277218</v>
      </c>
      <c r="Q21" s="79">
        <v>1.0129928187886319</v>
      </c>
      <c r="R21" s="79">
        <v>0.74852206505299257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3.6099785634699941</v>
      </c>
      <c r="D30" s="8">
        <v>3.643837925768068</v>
      </c>
      <c r="E30" s="8">
        <v>3.6366704111748969</v>
      </c>
      <c r="F30" s="8">
        <v>3.1470321329929996</v>
      </c>
      <c r="G30" s="8">
        <v>2.9411176373552572</v>
      </c>
      <c r="H30" s="8">
        <v>3.5213066669059843</v>
      </c>
      <c r="I30" s="8">
        <v>5.9677941031716921</v>
      </c>
      <c r="J30" s="8">
        <v>6.2374186491209329</v>
      </c>
      <c r="K30" s="8">
        <v>6.1747551160954108</v>
      </c>
      <c r="L30" s="8">
        <v>3.9767729604622795</v>
      </c>
      <c r="M30" s="8">
        <v>2.5362206784578545</v>
      </c>
      <c r="N30" s="8">
        <v>2.3564191481941537</v>
      </c>
      <c r="O30" s="8">
        <v>1.7172495003251982</v>
      </c>
      <c r="P30" s="8">
        <v>1.2773001886277218</v>
      </c>
      <c r="Q30" s="8">
        <v>1.0129928187886319</v>
      </c>
      <c r="R30" s="8">
        <v>0.74852206505299257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3.6099785634699941</v>
      </c>
      <c r="D34" s="9">
        <v>3.643837925768068</v>
      </c>
      <c r="E34" s="9">
        <v>3.6366704111748969</v>
      </c>
      <c r="F34" s="9">
        <v>3.1470321329929996</v>
      </c>
      <c r="G34" s="9">
        <v>2.9411176373552572</v>
      </c>
      <c r="H34" s="9">
        <v>3.5213066669059843</v>
      </c>
      <c r="I34" s="9">
        <v>5.9677941031716921</v>
      </c>
      <c r="J34" s="9">
        <v>6.2374186491209329</v>
      </c>
      <c r="K34" s="9">
        <v>6.1747551160954108</v>
      </c>
      <c r="L34" s="9">
        <v>3.9767729604622795</v>
      </c>
      <c r="M34" s="9">
        <v>2.5362206784578545</v>
      </c>
      <c r="N34" s="9">
        <v>2.3564191481941537</v>
      </c>
      <c r="O34" s="9">
        <v>1.7172495003251982</v>
      </c>
      <c r="P34" s="9">
        <v>1.2773001886277218</v>
      </c>
      <c r="Q34" s="9">
        <v>1.0129928187886319</v>
      </c>
      <c r="R34" s="9">
        <v>0.74852206505299257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3.7503950061836591</v>
      </c>
      <c r="D2" s="78">
        <v>3.6569443005800193</v>
      </c>
      <c r="E2" s="78">
        <v>4.6016519181518944</v>
      </c>
      <c r="F2" s="78">
        <v>4.4585976613955109</v>
      </c>
      <c r="G2" s="78">
        <v>4.2407563116954332</v>
      </c>
      <c r="H2" s="78">
        <v>4.9681567561255138</v>
      </c>
      <c r="I2" s="78">
        <v>6.1356722465285962</v>
      </c>
      <c r="J2" s="78">
        <v>6.3191142447060784</v>
      </c>
      <c r="K2" s="78">
        <v>9.8363364940379991</v>
      </c>
      <c r="L2" s="78">
        <v>10.393456966365349</v>
      </c>
      <c r="M2" s="78">
        <v>10.506839713663133</v>
      </c>
      <c r="N2" s="78">
        <v>12.228501277425686</v>
      </c>
      <c r="O2" s="78">
        <v>11.697540940505499</v>
      </c>
      <c r="P2" s="78">
        <v>15.479151331037023</v>
      </c>
      <c r="Q2" s="78">
        <v>15.481701363771844</v>
      </c>
      <c r="R2" s="78">
        <v>15.48928008181031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3.7503950061836591</v>
      </c>
      <c r="D21" s="79">
        <v>3.6569443005800193</v>
      </c>
      <c r="E21" s="79">
        <v>4.6016519181518944</v>
      </c>
      <c r="F21" s="79">
        <v>4.4585976613955109</v>
      </c>
      <c r="G21" s="79">
        <v>4.2407563116954332</v>
      </c>
      <c r="H21" s="79">
        <v>4.9681567561255138</v>
      </c>
      <c r="I21" s="79">
        <v>6.1356722465285962</v>
      </c>
      <c r="J21" s="79">
        <v>6.3191142447060784</v>
      </c>
      <c r="K21" s="79">
        <v>9.8363364940379991</v>
      </c>
      <c r="L21" s="79">
        <v>10.393456966365349</v>
      </c>
      <c r="M21" s="79">
        <v>10.506839713663133</v>
      </c>
      <c r="N21" s="79">
        <v>12.228501277425686</v>
      </c>
      <c r="O21" s="79">
        <v>11.697540940505499</v>
      </c>
      <c r="P21" s="79">
        <v>15.479151331037023</v>
      </c>
      <c r="Q21" s="79">
        <v>15.481701363771844</v>
      </c>
      <c r="R21" s="79">
        <v>15.48928008181031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3.7503950061836591</v>
      </c>
      <c r="D30" s="8">
        <v>3.6569443005800193</v>
      </c>
      <c r="E30" s="8">
        <v>4.6016519181518944</v>
      </c>
      <c r="F30" s="8">
        <v>4.4585976613955109</v>
      </c>
      <c r="G30" s="8">
        <v>4.2407563116954332</v>
      </c>
      <c r="H30" s="8">
        <v>4.9681567561255138</v>
      </c>
      <c r="I30" s="8">
        <v>6.1356722465285962</v>
      </c>
      <c r="J30" s="8">
        <v>6.3191142447060784</v>
      </c>
      <c r="K30" s="8">
        <v>9.8363364940379991</v>
      </c>
      <c r="L30" s="8">
        <v>10.393456966365349</v>
      </c>
      <c r="M30" s="8">
        <v>10.506839713663133</v>
      </c>
      <c r="N30" s="8">
        <v>12.228501277425686</v>
      </c>
      <c r="O30" s="8">
        <v>11.697540940505499</v>
      </c>
      <c r="P30" s="8">
        <v>15.479151331037023</v>
      </c>
      <c r="Q30" s="8">
        <v>15.481701363771844</v>
      </c>
      <c r="R30" s="8">
        <v>15.48928008181031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3.7503950061836591</v>
      </c>
      <c r="D34" s="9">
        <v>3.6569443005800193</v>
      </c>
      <c r="E34" s="9">
        <v>4.6016519181518944</v>
      </c>
      <c r="F34" s="9">
        <v>4.4585976613955109</v>
      </c>
      <c r="G34" s="9">
        <v>4.2407563116954332</v>
      </c>
      <c r="H34" s="9">
        <v>4.9681567561255138</v>
      </c>
      <c r="I34" s="9">
        <v>6.1356722465285962</v>
      </c>
      <c r="J34" s="9">
        <v>6.3191142447060784</v>
      </c>
      <c r="K34" s="9">
        <v>9.8363364940379991</v>
      </c>
      <c r="L34" s="9">
        <v>10.393456966365349</v>
      </c>
      <c r="M34" s="9">
        <v>10.506839713663133</v>
      </c>
      <c r="N34" s="9">
        <v>12.228501277425686</v>
      </c>
      <c r="O34" s="9">
        <v>11.697540940505499</v>
      </c>
      <c r="P34" s="9">
        <v>15.479151331037023</v>
      </c>
      <c r="Q34" s="9">
        <v>15.481701363771844</v>
      </c>
      <c r="R34" s="9">
        <v>15.48928008181031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1.747200000000007</v>
      </c>
      <c r="O64" s="81">
        <v>3.1122000000000076</v>
      </c>
      <c r="P64" s="81">
        <v>1.8564000000000089</v>
      </c>
      <c r="Q64" s="81">
        <v>1.9656000000000107</v>
      </c>
      <c r="R64" s="81">
        <v>2.4569999999999963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1.747200000000007</v>
      </c>
      <c r="O67" s="82">
        <v>3.1122000000000076</v>
      </c>
      <c r="P67" s="82">
        <v>1.8564000000000089</v>
      </c>
      <c r="Q67" s="82">
        <v>1.9656000000000107</v>
      </c>
      <c r="R67" s="82">
        <v>2.4569999999999963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22.097699999999978</v>
      </c>
      <c r="N2" s="78">
        <v>15.723357856872873</v>
      </c>
      <c r="O2" s="78">
        <v>18.911391815598488</v>
      </c>
      <c r="P2" s="78">
        <v>22.098421270883769</v>
      </c>
      <c r="Q2" s="78">
        <v>25.285827223268232</v>
      </c>
      <c r="R2" s="78">
        <v>22.061755560738177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22.097699999999978</v>
      </c>
      <c r="N21" s="79">
        <v>15.723357856872873</v>
      </c>
      <c r="O21" s="79">
        <v>18.911391815598488</v>
      </c>
      <c r="P21" s="79">
        <v>22.098421270883769</v>
      </c>
      <c r="Q21" s="79">
        <v>25.285827223268232</v>
      </c>
      <c r="R21" s="79">
        <v>22.061755560738177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22.097699999999978</v>
      </c>
      <c r="N30" s="8">
        <v>15.723357856872873</v>
      </c>
      <c r="O30" s="8">
        <v>18.911391815598488</v>
      </c>
      <c r="P30" s="8">
        <v>22.098421270883769</v>
      </c>
      <c r="Q30" s="8">
        <v>25.285827223268232</v>
      </c>
      <c r="R30" s="8">
        <v>22.061755560738177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2.9798999999999927</v>
      </c>
      <c r="N35" s="9">
        <v>2.979988798355548</v>
      </c>
      <c r="O35" s="9">
        <v>2.9798980753207576</v>
      </c>
      <c r="P35" s="9">
        <v>2.979532660356945</v>
      </c>
      <c r="Q35" s="9">
        <v>2.9798999999999927</v>
      </c>
      <c r="R35" s="9">
        <v>2.9803504122956124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2.9798999999999927</v>
      </c>
      <c r="N36" s="10">
        <v>2.979988798355548</v>
      </c>
      <c r="O36" s="10">
        <v>2.9798980753207576</v>
      </c>
      <c r="P36" s="10">
        <v>2.979532660356945</v>
      </c>
      <c r="Q36" s="10">
        <v>2.9798999999999927</v>
      </c>
      <c r="R36" s="10">
        <v>2.9803504122956124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19.117799999999985</v>
      </c>
      <c r="N43" s="9">
        <v>12.743369058517326</v>
      </c>
      <c r="O43" s="9">
        <v>15.93149374027773</v>
      </c>
      <c r="P43" s="9">
        <v>19.118888610526824</v>
      </c>
      <c r="Q43" s="9">
        <v>22.305927223268238</v>
      </c>
      <c r="R43" s="9">
        <v>19.081405148442567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7.0804635348797357E-2</v>
      </c>
      <c r="O64" s="81">
        <v>7.1437416805395337E-2</v>
      </c>
      <c r="P64" s="81">
        <v>7.0237165797720449E-2</v>
      </c>
      <c r="Q64" s="81">
        <v>7.0798460870882637E-2</v>
      </c>
      <c r="R64" s="81">
        <v>7.049884426299291E-2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7.0804635348797357E-2</v>
      </c>
      <c r="O69" s="82">
        <v>7.1437416805395337E-2</v>
      </c>
      <c r="P69" s="82">
        <v>7.0237165797720449E-2</v>
      </c>
      <c r="Q69" s="82">
        <v>7.0798460870882637E-2</v>
      </c>
      <c r="R69" s="82">
        <v>7.049884426299291E-2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7.0804635348797357E-2</v>
      </c>
      <c r="O71" s="83">
        <v>7.1437416805395337E-2</v>
      </c>
      <c r="P71" s="83">
        <v>7.0237165797720449E-2</v>
      </c>
      <c r="Q71" s="83">
        <v>7.0798460870882637E-2</v>
      </c>
      <c r="R71" s="83">
        <v>7.049884426299291E-2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833.55133642497185</v>
      </c>
      <c r="D2" s="78">
        <v>709.05082185324</v>
      </c>
      <c r="E2" s="78">
        <v>559.48292136000009</v>
      </c>
      <c r="F2" s="78">
        <v>608.40035086150806</v>
      </c>
      <c r="G2" s="78">
        <v>756.75195828000005</v>
      </c>
      <c r="H2" s="78">
        <v>595.06846090746444</v>
      </c>
      <c r="I2" s="78">
        <v>588.84316015420814</v>
      </c>
      <c r="J2" s="78">
        <v>613.99590681985205</v>
      </c>
      <c r="K2" s="78">
        <v>931.88698697692803</v>
      </c>
      <c r="L2" s="78">
        <v>744.00744002374813</v>
      </c>
      <c r="M2" s="78">
        <v>864.48060000000009</v>
      </c>
      <c r="N2" s="78">
        <v>864.30838767967487</v>
      </c>
      <c r="O2" s="78">
        <v>839.38106731189873</v>
      </c>
      <c r="P2" s="78">
        <v>870.48345984672073</v>
      </c>
      <c r="Q2" s="78">
        <v>879.5299502530446</v>
      </c>
      <c r="R2" s="78">
        <v>926.31167839709099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833.55133642497185</v>
      </c>
      <c r="D21" s="79">
        <v>709.05082185324</v>
      </c>
      <c r="E21" s="79">
        <v>559.48292136000009</v>
      </c>
      <c r="F21" s="79">
        <v>608.40035086150806</v>
      </c>
      <c r="G21" s="79">
        <v>756.75195828000005</v>
      </c>
      <c r="H21" s="79">
        <v>595.06846090746444</v>
      </c>
      <c r="I21" s="79">
        <v>588.84316015420814</v>
      </c>
      <c r="J21" s="79">
        <v>613.99590681985205</v>
      </c>
      <c r="K21" s="79">
        <v>931.88698697692803</v>
      </c>
      <c r="L21" s="79">
        <v>744.00744002374813</v>
      </c>
      <c r="M21" s="79">
        <v>864.48060000000009</v>
      </c>
      <c r="N21" s="79">
        <v>864.30838767967487</v>
      </c>
      <c r="O21" s="79">
        <v>839.38106731189873</v>
      </c>
      <c r="P21" s="79">
        <v>870.48345984672073</v>
      </c>
      <c r="Q21" s="79">
        <v>879.5299502530446</v>
      </c>
      <c r="R21" s="79">
        <v>926.31167839709099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833.55133642497185</v>
      </c>
      <c r="D30" s="8">
        <v>709.05082185324</v>
      </c>
      <c r="E30" s="8">
        <v>559.48292136000009</v>
      </c>
      <c r="F30" s="8">
        <v>608.40035086150806</v>
      </c>
      <c r="G30" s="8">
        <v>756.75195828000005</v>
      </c>
      <c r="H30" s="8">
        <v>595.06846090746444</v>
      </c>
      <c r="I30" s="8">
        <v>588.84316015420814</v>
      </c>
      <c r="J30" s="8">
        <v>613.99590681985205</v>
      </c>
      <c r="K30" s="8">
        <v>931.88698697692803</v>
      </c>
      <c r="L30" s="8">
        <v>744.00744002374813</v>
      </c>
      <c r="M30" s="8">
        <v>864.48060000000009</v>
      </c>
      <c r="N30" s="8">
        <v>864.30838767967487</v>
      </c>
      <c r="O30" s="8">
        <v>839.38106731189873</v>
      </c>
      <c r="P30" s="8">
        <v>870.48345984672073</v>
      </c>
      <c r="Q30" s="8">
        <v>879.5299502530446</v>
      </c>
      <c r="R30" s="8">
        <v>926.31167839709099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224.02577172547495</v>
      </c>
      <c r="D35" s="9">
        <v>211.726830789432</v>
      </c>
      <c r="E35" s="9">
        <v>233.27677296000002</v>
      </c>
      <c r="F35" s="9">
        <v>217.80843386702401</v>
      </c>
      <c r="G35" s="9">
        <v>183.69417528000002</v>
      </c>
      <c r="H35" s="9">
        <v>214.66168781830433</v>
      </c>
      <c r="I35" s="9">
        <v>236.42696687425203</v>
      </c>
      <c r="J35" s="9">
        <v>202.12827028506004</v>
      </c>
      <c r="K35" s="9">
        <v>217.936271859768</v>
      </c>
      <c r="L35" s="9">
        <v>227.11800502314</v>
      </c>
      <c r="M35" s="9">
        <v>214.55279999999988</v>
      </c>
      <c r="N35" s="9">
        <v>214.55919348159841</v>
      </c>
      <c r="O35" s="9">
        <v>211.57276334777549</v>
      </c>
      <c r="P35" s="9">
        <v>214.55316733964315</v>
      </c>
      <c r="Q35" s="9">
        <v>214.55279999999988</v>
      </c>
      <c r="R35" s="9">
        <v>223.50146397081051</v>
      </c>
    </row>
    <row r="36" spans="1:18" ht="11.25" customHeight="1" x14ac:dyDescent="0.25">
      <c r="A36" s="65" t="s">
        <v>177</v>
      </c>
      <c r="B36" s="62" t="s">
        <v>176</v>
      </c>
      <c r="C36" s="10">
        <v>220.94553287320664</v>
      </c>
      <c r="D36" s="10">
        <v>208.504694630232</v>
      </c>
      <c r="E36" s="10">
        <v>233.27677296000002</v>
      </c>
      <c r="F36" s="10">
        <v>217.80843386702401</v>
      </c>
      <c r="G36" s="10">
        <v>180.47033928000002</v>
      </c>
      <c r="H36" s="10">
        <v>211.58156172412916</v>
      </c>
      <c r="I36" s="10">
        <v>236.42696687425203</v>
      </c>
      <c r="J36" s="10">
        <v>198.90660304746004</v>
      </c>
      <c r="K36" s="10">
        <v>217.936271859768</v>
      </c>
      <c r="L36" s="10">
        <v>227.11800502314</v>
      </c>
      <c r="M36" s="10">
        <v>214.55279999999988</v>
      </c>
      <c r="N36" s="10">
        <v>214.55919348159841</v>
      </c>
      <c r="O36" s="10">
        <v>211.57276334777549</v>
      </c>
      <c r="P36" s="10">
        <v>214.55316733964315</v>
      </c>
      <c r="Q36" s="10">
        <v>214.55279999999988</v>
      </c>
      <c r="R36" s="10">
        <v>223.50146397081051</v>
      </c>
    </row>
    <row r="37" spans="1:18" ht="11.25" customHeight="1" x14ac:dyDescent="0.25">
      <c r="A37" s="61" t="s">
        <v>175</v>
      </c>
      <c r="B37" s="62" t="s">
        <v>174</v>
      </c>
      <c r="C37" s="10">
        <v>3.0802388522683142</v>
      </c>
      <c r="D37" s="10">
        <v>3.2221361592000006</v>
      </c>
      <c r="E37" s="10">
        <v>0</v>
      </c>
      <c r="F37" s="10">
        <v>0</v>
      </c>
      <c r="G37" s="10">
        <v>3.2238360000000004</v>
      </c>
      <c r="H37" s="10">
        <v>3.0801260941751827</v>
      </c>
      <c r="I37" s="10">
        <v>0</v>
      </c>
      <c r="J37" s="10">
        <v>3.2216672376000002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367.94083139201337</v>
      </c>
      <c r="D38" s="9">
        <v>274.99755531675601</v>
      </c>
      <c r="E38" s="9">
        <v>269.12164248000005</v>
      </c>
      <c r="F38" s="9">
        <v>238.01641854732003</v>
      </c>
      <c r="G38" s="9">
        <v>302.83710552000002</v>
      </c>
      <c r="H38" s="9">
        <v>262.80525871939022</v>
      </c>
      <c r="I38" s="9">
        <v>231.75322943198404</v>
      </c>
      <c r="J38" s="9">
        <v>268.94174640220803</v>
      </c>
      <c r="K38" s="9">
        <v>386.58965715457202</v>
      </c>
      <c r="L38" s="9">
        <v>275.14226088000004</v>
      </c>
      <c r="M38" s="9">
        <v>306.07829999999996</v>
      </c>
      <c r="N38" s="9">
        <v>318.45458937924354</v>
      </c>
      <c r="O38" s="9">
        <v>302.98645569950259</v>
      </c>
      <c r="P38" s="9">
        <v>318.44510000000082</v>
      </c>
      <c r="Q38" s="9">
        <v>336.99529999999976</v>
      </c>
      <c r="R38" s="9">
        <v>352.46845138842542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367.94083139201337</v>
      </c>
      <c r="D40" s="10">
        <v>274.99755531675601</v>
      </c>
      <c r="E40" s="10">
        <v>269.12164248000005</v>
      </c>
      <c r="F40" s="10">
        <v>238.01641854732003</v>
      </c>
      <c r="G40" s="10">
        <v>302.83710552000002</v>
      </c>
      <c r="H40" s="10">
        <v>262.80525871939022</v>
      </c>
      <c r="I40" s="10">
        <v>231.75322943198404</v>
      </c>
      <c r="J40" s="10">
        <v>268.94174640220803</v>
      </c>
      <c r="K40" s="10">
        <v>386.58965715457202</v>
      </c>
      <c r="L40" s="10">
        <v>275.14226088000004</v>
      </c>
      <c r="M40" s="10">
        <v>306.07829999999996</v>
      </c>
      <c r="N40" s="10">
        <v>318.45458937924354</v>
      </c>
      <c r="O40" s="10">
        <v>302.98645569950259</v>
      </c>
      <c r="P40" s="10">
        <v>318.44510000000082</v>
      </c>
      <c r="Q40" s="10">
        <v>336.99529999999976</v>
      </c>
      <c r="R40" s="10">
        <v>352.46845138842542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241.58473330748359</v>
      </c>
      <c r="D43" s="9">
        <v>222.32643574705202</v>
      </c>
      <c r="E43" s="9">
        <v>57.084505919999998</v>
      </c>
      <c r="F43" s="9">
        <v>152.57549844716399</v>
      </c>
      <c r="G43" s="9">
        <v>270.22067748000001</v>
      </c>
      <c r="H43" s="9">
        <v>117.60151436976993</v>
      </c>
      <c r="I43" s="9">
        <v>120.66296384797199</v>
      </c>
      <c r="J43" s="9">
        <v>142.92589013258402</v>
      </c>
      <c r="K43" s="9">
        <v>327.36105796258801</v>
      </c>
      <c r="L43" s="9">
        <v>241.74717412060804</v>
      </c>
      <c r="M43" s="9">
        <v>334.56150000000025</v>
      </c>
      <c r="N43" s="9">
        <v>328.19851256080108</v>
      </c>
      <c r="O43" s="9">
        <v>318.62987480555512</v>
      </c>
      <c r="P43" s="9">
        <v>328.19672814190415</v>
      </c>
      <c r="Q43" s="9">
        <v>321.79418138187719</v>
      </c>
      <c r="R43" s="9">
        <v>344.14245141630039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9.2879999999999967</v>
      </c>
      <c r="N44" s="9">
        <v>3.0960922580317209</v>
      </c>
      <c r="O44" s="9">
        <v>6.1919734590655837</v>
      </c>
      <c r="P44" s="9">
        <v>9.2884643651726044</v>
      </c>
      <c r="Q44" s="9">
        <v>6.1876688711677996</v>
      </c>
      <c r="R44" s="9">
        <v>6.1993116215546937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1.6283999999999983</v>
      </c>
      <c r="N64" s="81">
        <v>4.5314966623229509</v>
      </c>
      <c r="O64" s="81">
        <v>7.8581158485933535</v>
      </c>
      <c r="P64" s="81">
        <v>8.6393028536172132</v>
      </c>
      <c r="Q64" s="81">
        <v>14.583032901328471</v>
      </c>
      <c r="R64" s="81">
        <v>13.181820206270464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1.6283999999999983</v>
      </c>
      <c r="N69" s="82">
        <v>4.5314966623229509</v>
      </c>
      <c r="O69" s="82">
        <v>7.8581158485933535</v>
      </c>
      <c r="P69" s="82">
        <v>8.6393028536172132</v>
      </c>
      <c r="Q69" s="82">
        <v>14.583032901328471</v>
      </c>
      <c r="R69" s="82">
        <v>13.181820206270464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1.6283999999999983</v>
      </c>
      <c r="N71" s="83">
        <v>4.5314966623229509</v>
      </c>
      <c r="O71" s="83">
        <v>7.8581158485933535</v>
      </c>
      <c r="P71" s="83">
        <v>8.6393028536172132</v>
      </c>
      <c r="Q71" s="83">
        <v>14.583032901328471</v>
      </c>
      <c r="R71" s="83">
        <v>13.181820206270464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462.53026618069021</v>
      </c>
      <c r="D2" s="78">
        <v>430.83113037728401</v>
      </c>
      <c r="E2" s="78">
        <v>290.36127887999999</v>
      </c>
      <c r="F2" s="78">
        <v>370.38393231418797</v>
      </c>
      <c r="G2" s="78">
        <v>450.69101676000002</v>
      </c>
      <c r="H2" s="78">
        <v>329.1830760938991</v>
      </c>
      <c r="I2" s="78">
        <v>357.08993072222404</v>
      </c>
      <c r="J2" s="78">
        <v>341.83249318004403</v>
      </c>
      <c r="K2" s="78">
        <v>545.29732982235601</v>
      </c>
      <c r="L2" s="78">
        <v>468.86517914374804</v>
      </c>
      <c r="M2" s="78">
        <v>504.5061</v>
      </c>
      <c r="N2" s="78">
        <v>494.9618061549042</v>
      </c>
      <c r="O2" s="78">
        <v>491.96705317666397</v>
      </c>
      <c r="P2" s="78">
        <v>498.14063146225925</v>
      </c>
      <c r="Q2" s="78">
        <v>507.67225234784843</v>
      </c>
      <c r="R2" s="78">
        <v>529.40586522974422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462.53026618069021</v>
      </c>
      <c r="D21" s="79">
        <v>430.83113037728401</v>
      </c>
      <c r="E21" s="79">
        <v>290.36127887999999</v>
      </c>
      <c r="F21" s="79">
        <v>370.38393231418797</v>
      </c>
      <c r="G21" s="79">
        <v>450.69101676000002</v>
      </c>
      <c r="H21" s="79">
        <v>329.1830760938991</v>
      </c>
      <c r="I21" s="79">
        <v>357.08993072222404</v>
      </c>
      <c r="J21" s="79">
        <v>341.83249318004403</v>
      </c>
      <c r="K21" s="79">
        <v>545.29732982235601</v>
      </c>
      <c r="L21" s="79">
        <v>468.86517914374804</v>
      </c>
      <c r="M21" s="79">
        <v>504.5061</v>
      </c>
      <c r="N21" s="79">
        <v>494.9618061549042</v>
      </c>
      <c r="O21" s="79">
        <v>491.96705317666397</v>
      </c>
      <c r="P21" s="79">
        <v>498.14063146225925</v>
      </c>
      <c r="Q21" s="79">
        <v>507.67225234784843</v>
      </c>
      <c r="R21" s="79">
        <v>529.40586522974422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462.53026618069021</v>
      </c>
      <c r="D30" s="8">
        <v>430.83113037728401</v>
      </c>
      <c r="E30" s="8">
        <v>290.36127887999999</v>
      </c>
      <c r="F30" s="8">
        <v>370.38393231418797</v>
      </c>
      <c r="G30" s="8">
        <v>450.69101676000002</v>
      </c>
      <c r="H30" s="8">
        <v>329.1830760938991</v>
      </c>
      <c r="I30" s="8">
        <v>357.08993072222404</v>
      </c>
      <c r="J30" s="8">
        <v>341.83249318004403</v>
      </c>
      <c r="K30" s="8">
        <v>545.29732982235601</v>
      </c>
      <c r="L30" s="8">
        <v>468.86517914374804</v>
      </c>
      <c r="M30" s="8">
        <v>504.5061</v>
      </c>
      <c r="N30" s="8">
        <v>494.9618061549042</v>
      </c>
      <c r="O30" s="8">
        <v>491.96705317666397</v>
      </c>
      <c r="P30" s="8">
        <v>498.14063146225925</v>
      </c>
      <c r="Q30" s="8">
        <v>507.67225234784843</v>
      </c>
      <c r="R30" s="8">
        <v>529.40586522974422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220.94553287320664</v>
      </c>
      <c r="D35" s="9">
        <v>208.504694630232</v>
      </c>
      <c r="E35" s="9">
        <v>233.27677296000002</v>
      </c>
      <c r="F35" s="9">
        <v>217.80843386702401</v>
      </c>
      <c r="G35" s="9">
        <v>180.47033928000002</v>
      </c>
      <c r="H35" s="9">
        <v>211.58156172412916</v>
      </c>
      <c r="I35" s="9">
        <v>236.42696687425203</v>
      </c>
      <c r="J35" s="9">
        <v>198.90660304746004</v>
      </c>
      <c r="K35" s="9">
        <v>217.936271859768</v>
      </c>
      <c r="L35" s="9">
        <v>227.11800502314</v>
      </c>
      <c r="M35" s="9">
        <v>214.55279999999988</v>
      </c>
      <c r="N35" s="9">
        <v>214.55919348159841</v>
      </c>
      <c r="O35" s="9">
        <v>211.57276334777549</v>
      </c>
      <c r="P35" s="9">
        <v>214.55316733964315</v>
      </c>
      <c r="Q35" s="9">
        <v>214.55279999999988</v>
      </c>
      <c r="R35" s="9">
        <v>223.50146397081051</v>
      </c>
    </row>
    <row r="36" spans="1:18" ht="11.25" customHeight="1" x14ac:dyDescent="0.25">
      <c r="A36" s="65" t="s">
        <v>177</v>
      </c>
      <c r="B36" s="62" t="s">
        <v>176</v>
      </c>
      <c r="C36" s="10">
        <v>220.94553287320664</v>
      </c>
      <c r="D36" s="10">
        <v>208.504694630232</v>
      </c>
      <c r="E36" s="10">
        <v>233.27677296000002</v>
      </c>
      <c r="F36" s="10">
        <v>217.80843386702401</v>
      </c>
      <c r="G36" s="10">
        <v>180.47033928000002</v>
      </c>
      <c r="H36" s="10">
        <v>211.58156172412916</v>
      </c>
      <c r="I36" s="10">
        <v>236.42696687425203</v>
      </c>
      <c r="J36" s="10">
        <v>198.90660304746004</v>
      </c>
      <c r="K36" s="10">
        <v>217.936271859768</v>
      </c>
      <c r="L36" s="10">
        <v>227.11800502314</v>
      </c>
      <c r="M36" s="10">
        <v>214.55279999999988</v>
      </c>
      <c r="N36" s="10">
        <v>214.55919348159841</v>
      </c>
      <c r="O36" s="10">
        <v>211.57276334777549</v>
      </c>
      <c r="P36" s="10">
        <v>214.55316733964315</v>
      </c>
      <c r="Q36" s="10">
        <v>214.55279999999988</v>
      </c>
      <c r="R36" s="10">
        <v>223.50146397081051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241.58473330748359</v>
      </c>
      <c r="D43" s="9">
        <v>222.32643574705202</v>
      </c>
      <c r="E43" s="9">
        <v>57.084505919999998</v>
      </c>
      <c r="F43" s="9">
        <v>152.57549844716399</v>
      </c>
      <c r="G43" s="9">
        <v>270.22067748000001</v>
      </c>
      <c r="H43" s="9">
        <v>117.60151436976993</v>
      </c>
      <c r="I43" s="9">
        <v>120.66296384797199</v>
      </c>
      <c r="J43" s="9">
        <v>142.92589013258402</v>
      </c>
      <c r="K43" s="9">
        <v>327.36105796258801</v>
      </c>
      <c r="L43" s="9">
        <v>241.74717412060804</v>
      </c>
      <c r="M43" s="9">
        <v>289.95330000000013</v>
      </c>
      <c r="N43" s="9">
        <v>280.40261267330578</v>
      </c>
      <c r="O43" s="9">
        <v>280.39428982888847</v>
      </c>
      <c r="P43" s="9">
        <v>283.5874641226161</v>
      </c>
      <c r="Q43" s="9">
        <v>293.11945234784855</v>
      </c>
      <c r="R43" s="9">
        <v>305.90440125893366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1.6283999999999983</v>
      </c>
      <c r="N64" s="81">
        <v>4.5314966623229509</v>
      </c>
      <c r="O64" s="81">
        <v>7.7866784317879585</v>
      </c>
      <c r="P64" s="81">
        <v>8.5690646190349575</v>
      </c>
      <c r="Q64" s="81">
        <v>14.51224147947736</v>
      </c>
      <c r="R64" s="81">
        <v>13.181820206270464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1.6283999999999983</v>
      </c>
      <c r="N69" s="82">
        <v>4.5314966623229509</v>
      </c>
      <c r="O69" s="82">
        <v>7.7866784317879585</v>
      </c>
      <c r="P69" s="82">
        <v>8.5690646190349575</v>
      </c>
      <c r="Q69" s="82">
        <v>14.51224147947736</v>
      </c>
      <c r="R69" s="82">
        <v>13.181820206270464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1.6283999999999983</v>
      </c>
      <c r="N71" s="83">
        <v>4.5314966623229509</v>
      </c>
      <c r="O71" s="83">
        <v>7.7866784317879585</v>
      </c>
      <c r="P71" s="83">
        <v>8.5690646190349575</v>
      </c>
      <c r="Q71" s="83">
        <v>14.51224147947736</v>
      </c>
      <c r="R71" s="83">
        <v>13.181820206270464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3.4041129779956782</v>
      </c>
      <c r="D2" s="78">
        <v>3.5066320937204662</v>
      </c>
      <c r="E2" s="78">
        <v>3.6257056917991779</v>
      </c>
      <c r="F2" s="78">
        <v>3.7044442842079279</v>
      </c>
      <c r="G2" s="78">
        <v>3.4504840509275763</v>
      </c>
      <c r="H2" s="78">
        <v>3.2228794198008694</v>
      </c>
      <c r="I2" s="78">
        <v>3.2894831462615959</v>
      </c>
      <c r="J2" s="78">
        <v>3.4089678483858581</v>
      </c>
      <c r="K2" s="78">
        <v>3.7900397704890825</v>
      </c>
      <c r="L2" s="78">
        <v>3.7366581269340919</v>
      </c>
      <c r="M2" s="78">
        <v>3.7579570169995264</v>
      </c>
      <c r="N2" s="78">
        <v>3.917466214204754</v>
      </c>
      <c r="O2" s="78">
        <v>3.9029877674434363</v>
      </c>
      <c r="P2" s="78">
        <v>4.1045271550575695</v>
      </c>
      <c r="Q2" s="78">
        <v>4.4024953756283605</v>
      </c>
      <c r="R2" s="78">
        <v>4.4773210402207013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3.4041129779956782</v>
      </c>
      <c r="D21" s="79">
        <v>3.5066320937204662</v>
      </c>
      <c r="E21" s="79">
        <v>3.6257056917991779</v>
      </c>
      <c r="F21" s="79">
        <v>3.7044442842079279</v>
      </c>
      <c r="G21" s="79">
        <v>3.4504840509275763</v>
      </c>
      <c r="H21" s="79">
        <v>3.2228794198008694</v>
      </c>
      <c r="I21" s="79">
        <v>3.2894831462615959</v>
      </c>
      <c r="J21" s="79">
        <v>3.4089678483858581</v>
      </c>
      <c r="K21" s="79">
        <v>3.7900397704890825</v>
      </c>
      <c r="L21" s="79">
        <v>3.7366581269340919</v>
      </c>
      <c r="M21" s="79">
        <v>3.7579570169995264</v>
      </c>
      <c r="N21" s="79">
        <v>3.917466214204754</v>
      </c>
      <c r="O21" s="79">
        <v>3.9029877674434363</v>
      </c>
      <c r="P21" s="79">
        <v>4.1045271550575695</v>
      </c>
      <c r="Q21" s="79">
        <v>4.4024953756283605</v>
      </c>
      <c r="R21" s="79">
        <v>4.4773210402207013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3.4041129779956782</v>
      </c>
      <c r="D30" s="8">
        <v>3.5066320937204662</v>
      </c>
      <c r="E30" s="8">
        <v>3.6257056917991779</v>
      </c>
      <c r="F30" s="8">
        <v>3.7044442842079279</v>
      </c>
      <c r="G30" s="8">
        <v>3.4504840509275763</v>
      </c>
      <c r="H30" s="8">
        <v>3.2228794198008694</v>
      </c>
      <c r="I30" s="8">
        <v>3.2894831462615959</v>
      </c>
      <c r="J30" s="8">
        <v>3.4089678483858581</v>
      </c>
      <c r="K30" s="8">
        <v>3.7900397704890825</v>
      </c>
      <c r="L30" s="8">
        <v>3.7366581269340919</v>
      </c>
      <c r="M30" s="8">
        <v>3.7579570169995264</v>
      </c>
      <c r="N30" s="8">
        <v>3.917466214204754</v>
      </c>
      <c r="O30" s="8">
        <v>3.9029877674434363</v>
      </c>
      <c r="P30" s="8">
        <v>4.1045271550575695</v>
      </c>
      <c r="Q30" s="8">
        <v>4.4024953756283605</v>
      </c>
      <c r="R30" s="8">
        <v>4.4773210402207013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3.4041129779956782</v>
      </c>
      <c r="D35" s="9">
        <v>3.5066320937204662</v>
      </c>
      <c r="E35" s="9">
        <v>3.6257056917991779</v>
      </c>
      <c r="F35" s="9">
        <v>3.7044442842079279</v>
      </c>
      <c r="G35" s="9">
        <v>3.4504840509275763</v>
      </c>
      <c r="H35" s="9">
        <v>3.2228794198008694</v>
      </c>
      <c r="I35" s="9">
        <v>3.2894831462615959</v>
      </c>
      <c r="J35" s="9">
        <v>3.4089678483858581</v>
      </c>
      <c r="K35" s="9">
        <v>3.7900397704890825</v>
      </c>
      <c r="L35" s="9">
        <v>3.7366581269340919</v>
      </c>
      <c r="M35" s="9">
        <v>3.7579570169995264</v>
      </c>
      <c r="N35" s="9">
        <v>3.917466214204754</v>
      </c>
      <c r="O35" s="9">
        <v>3.9029877674434363</v>
      </c>
      <c r="P35" s="9">
        <v>4.1045271550575695</v>
      </c>
      <c r="Q35" s="9">
        <v>4.4024953756283605</v>
      </c>
      <c r="R35" s="9">
        <v>4.4773210402207013</v>
      </c>
    </row>
    <row r="36" spans="1:18" ht="11.25" customHeight="1" x14ac:dyDescent="0.25">
      <c r="A36" s="65" t="s">
        <v>177</v>
      </c>
      <c r="B36" s="62" t="s">
        <v>176</v>
      </c>
      <c r="C36" s="10">
        <v>3.4041129779956782</v>
      </c>
      <c r="D36" s="10">
        <v>3.5066320937204662</v>
      </c>
      <c r="E36" s="10">
        <v>3.6257056917991779</v>
      </c>
      <c r="F36" s="10">
        <v>3.7044442842079279</v>
      </c>
      <c r="G36" s="10">
        <v>3.4504840509275763</v>
      </c>
      <c r="H36" s="10">
        <v>3.2228794198008694</v>
      </c>
      <c r="I36" s="10">
        <v>3.2894831462615959</v>
      </c>
      <c r="J36" s="10">
        <v>3.4089678483858581</v>
      </c>
      <c r="K36" s="10">
        <v>3.7900397704890825</v>
      </c>
      <c r="L36" s="10">
        <v>3.7366581269340919</v>
      </c>
      <c r="M36" s="10">
        <v>3.7579570169995264</v>
      </c>
      <c r="N36" s="10">
        <v>3.917466214204754</v>
      </c>
      <c r="O36" s="10">
        <v>3.9029877674434363</v>
      </c>
      <c r="P36" s="10">
        <v>4.1045271550575695</v>
      </c>
      <c r="Q36" s="10">
        <v>4.4024953756283605</v>
      </c>
      <c r="R36" s="10">
        <v>4.4773210402207013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242.6864502342857</v>
      </c>
      <c r="D2" s="78">
        <v>231.09522622942308</v>
      </c>
      <c r="E2" s="78">
        <v>239.10392173089417</v>
      </c>
      <c r="F2" s="78">
        <v>237.27151874927026</v>
      </c>
      <c r="G2" s="78">
        <v>212.51830121983699</v>
      </c>
      <c r="H2" s="78">
        <v>229.35104122073943</v>
      </c>
      <c r="I2" s="78">
        <v>255.74199561059919</v>
      </c>
      <c r="J2" s="78">
        <v>221.70902104136616</v>
      </c>
      <c r="K2" s="78">
        <v>277.12420738474771</v>
      </c>
      <c r="L2" s="78">
        <v>272.70361926186501</v>
      </c>
      <c r="M2" s="78">
        <v>310.55262711905414</v>
      </c>
      <c r="N2" s="78">
        <v>316.70802877500296</v>
      </c>
      <c r="O2" s="78">
        <v>315.95016510827435</v>
      </c>
      <c r="P2" s="78">
        <v>323.21631001596154</v>
      </c>
      <c r="Q2" s="78">
        <v>321.53369740191079</v>
      </c>
      <c r="R2" s="78">
        <v>336.59119195810467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242.6864502342857</v>
      </c>
      <c r="D21" s="79">
        <v>231.09522622942308</v>
      </c>
      <c r="E21" s="79">
        <v>239.10392173089417</v>
      </c>
      <c r="F21" s="79">
        <v>237.27151874927026</v>
      </c>
      <c r="G21" s="79">
        <v>212.51830121983699</v>
      </c>
      <c r="H21" s="79">
        <v>229.35104122073943</v>
      </c>
      <c r="I21" s="79">
        <v>255.74199561059919</v>
      </c>
      <c r="J21" s="79">
        <v>221.70902104136616</v>
      </c>
      <c r="K21" s="79">
        <v>277.12420738474771</v>
      </c>
      <c r="L21" s="79">
        <v>272.70361926186501</v>
      </c>
      <c r="M21" s="79">
        <v>310.55262711905414</v>
      </c>
      <c r="N21" s="79">
        <v>316.70802877500296</v>
      </c>
      <c r="O21" s="79">
        <v>315.95016510827435</v>
      </c>
      <c r="P21" s="79">
        <v>323.21631001596154</v>
      </c>
      <c r="Q21" s="79">
        <v>321.53369740191079</v>
      </c>
      <c r="R21" s="79">
        <v>336.59119195810467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242.6864502342857</v>
      </c>
      <c r="D30" s="8">
        <v>231.09522622942308</v>
      </c>
      <c r="E30" s="8">
        <v>239.10392173089417</v>
      </c>
      <c r="F30" s="8">
        <v>237.27151874927026</v>
      </c>
      <c r="G30" s="8">
        <v>212.51830121983699</v>
      </c>
      <c r="H30" s="8">
        <v>229.35104122073943</v>
      </c>
      <c r="I30" s="8">
        <v>255.74199561059919</v>
      </c>
      <c r="J30" s="8">
        <v>221.70902104136616</v>
      </c>
      <c r="K30" s="8">
        <v>277.12420738474771</v>
      </c>
      <c r="L30" s="8">
        <v>272.70361926186501</v>
      </c>
      <c r="M30" s="8">
        <v>310.55262711905414</v>
      </c>
      <c r="N30" s="8">
        <v>316.70802877500296</v>
      </c>
      <c r="O30" s="8">
        <v>315.95016510827435</v>
      </c>
      <c r="P30" s="8">
        <v>323.21631001596154</v>
      </c>
      <c r="Q30" s="8">
        <v>321.53369740191079</v>
      </c>
      <c r="R30" s="8">
        <v>336.59119195810467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215.76068988253138</v>
      </c>
      <c r="D35" s="9">
        <v>202.88723105256284</v>
      </c>
      <c r="E35" s="9">
        <v>227.49570294298439</v>
      </c>
      <c r="F35" s="9">
        <v>212.04395308918518</v>
      </c>
      <c r="G35" s="9">
        <v>175.09443333083712</v>
      </c>
      <c r="H35" s="9">
        <v>206.41587868405017</v>
      </c>
      <c r="I35" s="9">
        <v>231.14242490149556</v>
      </c>
      <c r="J35" s="9">
        <v>193.60663751039564</v>
      </c>
      <c r="K35" s="9">
        <v>212.38687833413985</v>
      </c>
      <c r="L35" s="9">
        <v>221.65855342527047</v>
      </c>
      <c r="M35" s="9">
        <v>208.79248899822153</v>
      </c>
      <c r="N35" s="9">
        <v>208.82664220988286</v>
      </c>
      <c r="O35" s="9">
        <v>205.92312576489036</v>
      </c>
      <c r="P35" s="9">
        <v>208.71605648276881</v>
      </c>
      <c r="Q35" s="9">
        <v>207.41796855608183</v>
      </c>
      <c r="R35" s="9">
        <v>216.41030831473651</v>
      </c>
    </row>
    <row r="36" spans="1:18" ht="11.25" customHeight="1" x14ac:dyDescent="0.25">
      <c r="A36" s="65" t="s">
        <v>177</v>
      </c>
      <c r="B36" s="62" t="s">
        <v>176</v>
      </c>
      <c r="C36" s="10">
        <v>215.76068988253138</v>
      </c>
      <c r="D36" s="10">
        <v>202.88723105256284</v>
      </c>
      <c r="E36" s="10">
        <v>227.49570294298439</v>
      </c>
      <c r="F36" s="10">
        <v>212.04395308918518</v>
      </c>
      <c r="G36" s="10">
        <v>175.09443333083712</v>
      </c>
      <c r="H36" s="10">
        <v>206.41587868405017</v>
      </c>
      <c r="I36" s="10">
        <v>231.14242490149556</v>
      </c>
      <c r="J36" s="10">
        <v>193.60663751039564</v>
      </c>
      <c r="K36" s="10">
        <v>212.38687833413985</v>
      </c>
      <c r="L36" s="10">
        <v>221.65855342527047</v>
      </c>
      <c r="M36" s="10">
        <v>208.79248899822153</v>
      </c>
      <c r="N36" s="10">
        <v>208.82664220988286</v>
      </c>
      <c r="O36" s="10">
        <v>205.92312576489036</v>
      </c>
      <c r="P36" s="10">
        <v>208.71605648276881</v>
      </c>
      <c r="Q36" s="10">
        <v>207.41796855608183</v>
      </c>
      <c r="R36" s="10">
        <v>216.41030831473651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26.925760351754306</v>
      </c>
      <c r="D43" s="9">
        <v>28.207995176860241</v>
      </c>
      <c r="E43" s="9">
        <v>11.60821878790979</v>
      </c>
      <c r="F43" s="9">
        <v>25.227565660085066</v>
      </c>
      <c r="G43" s="9">
        <v>37.423867888999851</v>
      </c>
      <c r="H43" s="9">
        <v>22.935162536689248</v>
      </c>
      <c r="I43" s="9">
        <v>24.599570709103645</v>
      </c>
      <c r="J43" s="9">
        <v>28.102383530970506</v>
      </c>
      <c r="K43" s="9">
        <v>64.73732905060784</v>
      </c>
      <c r="L43" s="9">
        <v>51.045065836594567</v>
      </c>
      <c r="M43" s="9">
        <v>101.76013812083262</v>
      </c>
      <c r="N43" s="9">
        <v>107.8813865651201</v>
      </c>
      <c r="O43" s="9">
        <v>110.02703934338398</v>
      </c>
      <c r="P43" s="9">
        <v>114.50025353319273</v>
      </c>
      <c r="Q43" s="9">
        <v>114.11572884582894</v>
      </c>
      <c r="R43" s="9">
        <v>120.18088364336818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0.57149275043934189</v>
      </c>
      <c r="N64" s="81">
        <v>1.743436476878282</v>
      </c>
      <c r="O64" s="81">
        <v>3.0555015035842734</v>
      </c>
      <c r="P64" s="81">
        <v>3.4598146799520921</v>
      </c>
      <c r="Q64" s="81">
        <v>4.9809466712940029</v>
      </c>
      <c r="R64" s="81">
        <v>4.1948785684050174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0.57149275043934189</v>
      </c>
      <c r="N69" s="82">
        <v>1.743436476878282</v>
      </c>
      <c r="O69" s="82">
        <v>3.0555015035842734</v>
      </c>
      <c r="P69" s="82">
        <v>3.4598146799520921</v>
      </c>
      <c r="Q69" s="82">
        <v>4.9809466712940029</v>
      </c>
      <c r="R69" s="82">
        <v>4.1948785684050174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0.57149275043934189</v>
      </c>
      <c r="N71" s="83">
        <v>1.743436476878282</v>
      </c>
      <c r="O71" s="83">
        <v>3.0555015035842734</v>
      </c>
      <c r="P71" s="83">
        <v>3.4598146799520921</v>
      </c>
      <c r="Q71" s="83">
        <v>4.9809466712940029</v>
      </c>
      <c r="R71" s="83">
        <v>4.1948785684050174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41.096433913678858</v>
      </c>
      <c r="D2" s="78">
        <v>39.516794357395142</v>
      </c>
      <c r="E2" s="78">
        <v>15.291837293355158</v>
      </c>
      <c r="F2" s="78">
        <v>31.415663542394942</v>
      </c>
      <c r="G2" s="78">
        <v>45.222293012745212</v>
      </c>
      <c r="H2" s="78">
        <v>26.155322140545117</v>
      </c>
      <c r="I2" s="78">
        <v>27.446506812148595</v>
      </c>
      <c r="J2" s="78">
        <v>30.50862092542113</v>
      </c>
      <c r="K2" s="78">
        <v>69.440533819301706</v>
      </c>
      <c r="L2" s="78">
        <v>49.768763306213252</v>
      </c>
      <c r="M2" s="78">
        <v>59.56008366219698</v>
      </c>
      <c r="N2" s="78">
        <v>59.181542184617335</v>
      </c>
      <c r="O2" s="78">
        <v>66.873784397205895</v>
      </c>
      <c r="P2" s="78">
        <v>66.980196234819374</v>
      </c>
      <c r="Q2" s="78">
        <v>77.63950475060679</v>
      </c>
      <c r="R2" s="78">
        <v>86.216391889186013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41.096433913678858</v>
      </c>
      <c r="D21" s="79">
        <v>39.516794357395142</v>
      </c>
      <c r="E21" s="79">
        <v>15.291837293355158</v>
      </c>
      <c r="F21" s="79">
        <v>31.415663542394942</v>
      </c>
      <c r="G21" s="79">
        <v>45.222293012745212</v>
      </c>
      <c r="H21" s="79">
        <v>26.155322140545117</v>
      </c>
      <c r="I21" s="79">
        <v>27.446506812148595</v>
      </c>
      <c r="J21" s="79">
        <v>30.50862092542113</v>
      </c>
      <c r="K21" s="79">
        <v>69.440533819301706</v>
      </c>
      <c r="L21" s="79">
        <v>49.768763306213252</v>
      </c>
      <c r="M21" s="79">
        <v>59.56008366219698</v>
      </c>
      <c r="N21" s="79">
        <v>59.181542184617335</v>
      </c>
      <c r="O21" s="79">
        <v>66.873784397205895</v>
      </c>
      <c r="P21" s="79">
        <v>66.980196234819374</v>
      </c>
      <c r="Q21" s="79">
        <v>77.63950475060679</v>
      </c>
      <c r="R21" s="79">
        <v>86.216391889186013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41.096433913678858</v>
      </c>
      <c r="D30" s="8">
        <v>39.516794357395142</v>
      </c>
      <c r="E30" s="8">
        <v>15.291837293355158</v>
      </c>
      <c r="F30" s="8">
        <v>31.415663542394942</v>
      </c>
      <c r="G30" s="8">
        <v>45.222293012745212</v>
      </c>
      <c r="H30" s="8">
        <v>26.155322140545117</v>
      </c>
      <c r="I30" s="8">
        <v>27.446506812148595</v>
      </c>
      <c r="J30" s="8">
        <v>30.50862092542113</v>
      </c>
      <c r="K30" s="8">
        <v>69.440533819301706</v>
      </c>
      <c r="L30" s="8">
        <v>49.768763306213252</v>
      </c>
      <c r="M30" s="8">
        <v>59.56008366219698</v>
      </c>
      <c r="N30" s="8">
        <v>59.181542184617335</v>
      </c>
      <c r="O30" s="8">
        <v>66.873784397205895</v>
      </c>
      <c r="P30" s="8">
        <v>66.980196234819374</v>
      </c>
      <c r="Q30" s="8">
        <v>77.63950475060679</v>
      </c>
      <c r="R30" s="8">
        <v>86.216391889186013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0.12496034762199019</v>
      </c>
      <c r="N35" s="9">
        <v>0.10539181134784795</v>
      </c>
      <c r="O35" s="9">
        <v>9.9482871222424565E-2</v>
      </c>
      <c r="P35" s="9">
        <v>9.2812425461337889E-2</v>
      </c>
      <c r="Q35" s="9">
        <v>8.661192361064389E-2</v>
      </c>
      <c r="R35" s="9">
        <v>7.2515367585425552E-2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0.12496034762199019</v>
      </c>
      <c r="N36" s="10">
        <v>0.10539181134784795</v>
      </c>
      <c r="O36" s="10">
        <v>9.9482871222424565E-2</v>
      </c>
      <c r="P36" s="10">
        <v>9.2812425461337889E-2</v>
      </c>
      <c r="Q36" s="10">
        <v>8.661192361064389E-2</v>
      </c>
      <c r="R36" s="10">
        <v>7.2515367585425552E-2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41.096433913678858</v>
      </c>
      <c r="D43" s="9">
        <v>39.516794357395142</v>
      </c>
      <c r="E43" s="9">
        <v>15.291837293355158</v>
      </c>
      <c r="F43" s="9">
        <v>31.415663542394942</v>
      </c>
      <c r="G43" s="9">
        <v>45.222293012745212</v>
      </c>
      <c r="H43" s="9">
        <v>26.155322140545117</v>
      </c>
      <c r="I43" s="9">
        <v>27.446506812148595</v>
      </c>
      <c r="J43" s="9">
        <v>30.50862092542113</v>
      </c>
      <c r="K43" s="9">
        <v>69.440533819301706</v>
      </c>
      <c r="L43" s="9">
        <v>49.768763306213252</v>
      </c>
      <c r="M43" s="9">
        <v>59.435123314574987</v>
      </c>
      <c r="N43" s="9">
        <v>59.076150373269485</v>
      </c>
      <c r="O43" s="9">
        <v>66.774301525983475</v>
      </c>
      <c r="P43" s="9">
        <v>66.887383809358042</v>
      </c>
      <c r="Q43" s="9">
        <v>77.552892826996143</v>
      </c>
      <c r="R43" s="9">
        <v>86.143876521600589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0.33379221690339023</v>
      </c>
      <c r="N64" s="81">
        <v>0.95471071288218656</v>
      </c>
      <c r="O64" s="81">
        <v>1.8543530747626227</v>
      </c>
      <c r="P64" s="81">
        <v>2.0211130129953867</v>
      </c>
      <c r="Q64" s="81">
        <v>3.8396165765272738</v>
      </c>
      <c r="R64" s="81">
        <v>3.7120521558554733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0.33379221690339023</v>
      </c>
      <c r="N69" s="82">
        <v>0.95471071288218656</v>
      </c>
      <c r="O69" s="82">
        <v>1.8543530747626227</v>
      </c>
      <c r="P69" s="82">
        <v>2.0211130129953867</v>
      </c>
      <c r="Q69" s="82">
        <v>3.8396165765272738</v>
      </c>
      <c r="R69" s="82">
        <v>3.7120521558554733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0.33379221690339023</v>
      </c>
      <c r="N71" s="83">
        <v>0.95471071288218656</v>
      </c>
      <c r="O71" s="83">
        <v>1.8543530747626227</v>
      </c>
      <c r="P71" s="83">
        <v>2.0211130129953867</v>
      </c>
      <c r="Q71" s="83">
        <v>3.8396165765272738</v>
      </c>
      <c r="R71" s="83">
        <v>3.7120521558554733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49.043103487763467</v>
      </c>
      <c r="D2" s="78">
        <v>46.378800474965779</v>
      </c>
      <c r="E2" s="78">
        <v>19.210798565454994</v>
      </c>
      <c r="F2" s="78">
        <v>37.278555640760189</v>
      </c>
      <c r="G2" s="78">
        <v>50.998128783466235</v>
      </c>
      <c r="H2" s="78">
        <v>30.422624153647245</v>
      </c>
      <c r="I2" s="78">
        <v>32.56850963690259</v>
      </c>
      <c r="J2" s="78">
        <v>38.205802044425511</v>
      </c>
      <c r="K2" s="78">
        <v>85.512730435226615</v>
      </c>
      <c r="L2" s="78">
        <v>64.051340282431767</v>
      </c>
      <c r="M2" s="78">
        <v>64.321688082701684</v>
      </c>
      <c r="N2" s="78">
        <v>59.518011584371585</v>
      </c>
      <c r="O2" s="78">
        <v>56.37782885306882</v>
      </c>
      <c r="P2" s="78">
        <v>55.801454378819244</v>
      </c>
      <c r="Q2" s="78">
        <v>61.842723721795174</v>
      </c>
      <c r="R2" s="78">
        <v>62.724547891236597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49.043103487763467</v>
      </c>
      <c r="D21" s="79">
        <v>46.378800474965779</v>
      </c>
      <c r="E21" s="79">
        <v>19.210798565454994</v>
      </c>
      <c r="F21" s="79">
        <v>37.278555640760189</v>
      </c>
      <c r="G21" s="79">
        <v>50.998128783466235</v>
      </c>
      <c r="H21" s="79">
        <v>30.422624153647245</v>
      </c>
      <c r="I21" s="79">
        <v>32.56850963690259</v>
      </c>
      <c r="J21" s="79">
        <v>38.205802044425511</v>
      </c>
      <c r="K21" s="79">
        <v>85.512730435226615</v>
      </c>
      <c r="L21" s="79">
        <v>64.051340282431767</v>
      </c>
      <c r="M21" s="79">
        <v>64.321688082701684</v>
      </c>
      <c r="N21" s="79">
        <v>59.518011584371585</v>
      </c>
      <c r="O21" s="79">
        <v>56.37782885306882</v>
      </c>
      <c r="P21" s="79">
        <v>55.801454378819244</v>
      </c>
      <c r="Q21" s="79">
        <v>61.842723721795174</v>
      </c>
      <c r="R21" s="79">
        <v>62.724547891236597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49.043103487763467</v>
      </c>
      <c r="D30" s="8">
        <v>46.378800474965779</v>
      </c>
      <c r="E30" s="8">
        <v>19.210798565454994</v>
      </c>
      <c r="F30" s="8">
        <v>37.278555640760189</v>
      </c>
      <c r="G30" s="8">
        <v>50.998128783466235</v>
      </c>
      <c r="H30" s="8">
        <v>30.422624153647245</v>
      </c>
      <c r="I30" s="8">
        <v>32.56850963690259</v>
      </c>
      <c r="J30" s="8">
        <v>38.205802044425511</v>
      </c>
      <c r="K30" s="8">
        <v>85.512730435226615</v>
      </c>
      <c r="L30" s="8">
        <v>64.051340282431767</v>
      </c>
      <c r="M30" s="8">
        <v>64.321688082701684</v>
      </c>
      <c r="N30" s="8">
        <v>59.518011584371585</v>
      </c>
      <c r="O30" s="8">
        <v>56.37782885306882</v>
      </c>
      <c r="P30" s="8">
        <v>55.801454378819244</v>
      </c>
      <c r="Q30" s="8">
        <v>61.842723721795174</v>
      </c>
      <c r="R30" s="8">
        <v>62.724547891236597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1.7807300126795969</v>
      </c>
      <c r="D35" s="9">
        <v>2.1108314839487017</v>
      </c>
      <c r="E35" s="9">
        <v>2.1553643252164654</v>
      </c>
      <c r="F35" s="9">
        <v>2.0600364936309239</v>
      </c>
      <c r="G35" s="9">
        <v>1.9254218982353106</v>
      </c>
      <c r="H35" s="9">
        <v>1.9428036202781371</v>
      </c>
      <c r="I35" s="9">
        <v>1.9950588264949005</v>
      </c>
      <c r="J35" s="9">
        <v>1.8909976886785071</v>
      </c>
      <c r="K35" s="9">
        <v>1.7593537551390743</v>
      </c>
      <c r="L35" s="9">
        <v>1.7227934709354442</v>
      </c>
      <c r="M35" s="9">
        <v>1.8773936371568709</v>
      </c>
      <c r="N35" s="9">
        <v>1.709693246162957</v>
      </c>
      <c r="O35" s="9">
        <v>1.6471669442192653</v>
      </c>
      <c r="P35" s="9">
        <v>1.6397712763555214</v>
      </c>
      <c r="Q35" s="9">
        <v>2.6457241446790589</v>
      </c>
      <c r="R35" s="9">
        <v>2.5413192482678713</v>
      </c>
    </row>
    <row r="36" spans="1:18" ht="11.25" customHeight="1" x14ac:dyDescent="0.25">
      <c r="A36" s="65" t="s">
        <v>177</v>
      </c>
      <c r="B36" s="62" t="s">
        <v>176</v>
      </c>
      <c r="C36" s="10">
        <v>1.7807300126795969</v>
      </c>
      <c r="D36" s="10">
        <v>2.1108314839487017</v>
      </c>
      <c r="E36" s="10">
        <v>2.1553643252164654</v>
      </c>
      <c r="F36" s="10">
        <v>2.0600364936309239</v>
      </c>
      <c r="G36" s="10">
        <v>1.9254218982353106</v>
      </c>
      <c r="H36" s="10">
        <v>1.9428036202781371</v>
      </c>
      <c r="I36" s="10">
        <v>1.9950588264949005</v>
      </c>
      <c r="J36" s="10">
        <v>1.8909976886785071</v>
      </c>
      <c r="K36" s="10">
        <v>1.7593537551390743</v>
      </c>
      <c r="L36" s="10">
        <v>1.7227934709354442</v>
      </c>
      <c r="M36" s="10">
        <v>1.8773936371568709</v>
      </c>
      <c r="N36" s="10">
        <v>1.709693246162957</v>
      </c>
      <c r="O36" s="10">
        <v>1.6471669442192653</v>
      </c>
      <c r="P36" s="10">
        <v>1.6397712763555214</v>
      </c>
      <c r="Q36" s="10">
        <v>2.6457241446790589</v>
      </c>
      <c r="R36" s="10">
        <v>2.5413192482678713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47.262373475083869</v>
      </c>
      <c r="D43" s="9">
        <v>44.267968991017078</v>
      </c>
      <c r="E43" s="9">
        <v>17.055434240238529</v>
      </c>
      <c r="F43" s="9">
        <v>35.218519147129264</v>
      </c>
      <c r="G43" s="9">
        <v>49.072706885230922</v>
      </c>
      <c r="H43" s="9">
        <v>28.479820533369107</v>
      </c>
      <c r="I43" s="9">
        <v>30.573450810407692</v>
      </c>
      <c r="J43" s="9">
        <v>36.314804355747</v>
      </c>
      <c r="K43" s="9">
        <v>83.753376680087541</v>
      </c>
      <c r="L43" s="9">
        <v>62.328546811496324</v>
      </c>
      <c r="M43" s="9">
        <v>62.444294445544806</v>
      </c>
      <c r="N43" s="9">
        <v>57.808318338208629</v>
      </c>
      <c r="O43" s="9">
        <v>54.730661908849555</v>
      </c>
      <c r="P43" s="9">
        <v>54.161683102463719</v>
      </c>
      <c r="Q43" s="9">
        <v>59.196999577116117</v>
      </c>
      <c r="R43" s="9">
        <v>60.183228642968729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0.35069195306666628</v>
      </c>
      <c r="N64" s="81">
        <v>0.93422168611995005</v>
      </c>
      <c r="O64" s="81">
        <v>1.519895661581373</v>
      </c>
      <c r="P64" s="81">
        <v>1.6365849027093584</v>
      </c>
      <c r="Q64" s="81">
        <v>2.9308227271936418</v>
      </c>
      <c r="R64" s="81">
        <v>2.5933739303507726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0.35069195306666628</v>
      </c>
      <c r="N69" s="82">
        <v>0.93422168611995005</v>
      </c>
      <c r="O69" s="82">
        <v>1.519895661581373</v>
      </c>
      <c r="P69" s="82">
        <v>1.6365849027093584</v>
      </c>
      <c r="Q69" s="82">
        <v>2.9308227271936418</v>
      </c>
      <c r="R69" s="82">
        <v>2.5933739303507726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0.35069195306666628</v>
      </c>
      <c r="N71" s="83">
        <v>0.93422168611995005</v>
      </c>
      <c r="O71" s="83">
        <v>1.519895661581373</v>
      </c>
      <c r="P71" s="83">
        <v>1.6365849027093584</v>
      </c>
      <c r="Q71" s="83">
        <v>2.9308227271936418</v>
      </c>
      <c r="R71" s="83">
        <v>2.5933739303507726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126.30016556696656</v>
      </c>
      <c r="D2" s="78">
        <v>110.33367722177955</v>
      </c>
      <c r="E2" s="78">
        <v>13.129015598496526</v>
      </c>
      <c r="F2" s="78">
        <v>60.71375009755473</v>
      </c>
      <c r="G2" s="78">
        <v>138.50180969302403</v>
      </c>
      <c r="H2" s="78">
        <v>40.031209159166458</v>
      </c>
      <c r="I2" s="78">
        <v>38.043435516312051</v>
      </c>
      <c r="J2" s="78">
        <v>48.000081320445382</v>
      </c>
      <c r="K2" s="78">
        <v>109.42981841259095</v>
      </c>
      <c r="L2" s="78">
        <v>78.604798166303908</v>
      </c>
      <c r="M2" s="78">
        <v>66.31374411904774</v>
      </c>
      <c r="N2" s="78">
        <v>55.636757396707594</v>
      </c>
      <c r="O2" s="78">
        <v>48.86228705067149</v>
      </c>
      <c r="P2" s="78">
        <v>48.038143677601617</v>
      </c>
      <c r="Q2" s="78">
        <v>42.253831097907366</v>
      </c>
      <c r="R2" s="78">
        <v>39.396412450996166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126.30016556696656</v>
      </c>
      <c r="D21" s="79">
        <v>110.33367722177955</v>
      </c>
      <c r="E21" s="79">
        <v>13.129015598496526</v>
      </c>
      <c r="F21" s="79">
        <v>60.71375009755473</v>
      </c>
      <c r="G21" s="79">
        <v>138.50180969302403</v>
      </c>
      <c r="H21" s="79">
        <v>40.031209159166458</v>
      </c>
      <c r="I21" s="79">
        <v>38.043435516312051</v>
      </c>
      <c r="J21" s="79">
        <v>48.000081320445382</v>
      </c>
      <c r="K21" s="79">
        <v>109.42981841259095</v>
      </c>
      <c r="L21" s="79">
        <v>78.604798166303908</v>
      </c>
      <c r="M21" s="79">
        <v>66.31374411904774</v>
      </c>
      <c r="N21" s="79">
        <v>55.636757396707594</v>
      </c>
      <c r="O21" s="79">
        <v>48.86228705067149</v>
      </c>
      <c r="P21" s="79">
        <v>48.038143677601617</v>
      </c>
      <c r="Q21" s="79">
        <v>42.253831097907366</v>
      </c>
      <c r="R21" s="79">
        <v>39.396412450996166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126.30016556696656</v>
      </c>
      <c r="D30" s="8">
        <v>110.33367722177955</v>
      </c>
      <c r="E30" s="8">
        <v>13.129015598496526</v>
      </c>
      <c r="F30" s="8">
        <v>60.71375009755473</v>
      </c>
      <c r="G30" s="8">
        <v>138.50180969302403</v>
      </c>
      <c r="H30" s="8">
        <v>40.031209159166458</v>
      </c>
      <c r="I30" s="8">
        <v>38.043435516312051</v>
      </c>
      <c r="J30" s="8">
        <v>48.000081320445382</v>
      </c>
      <c r="K30" s="8">
        <v>109.42981841259095</v>
      </c>
      <c r="L30" s="8">
        <v>78.604798166303908</v>
      </c>
      <c r="M30" s="8">
        <v>66.31374411904774</v>
      </c>
      <c r="N30" s="8">
        <v>55.636757396707594</v>
      </c>
      <c r="O30" s="8">
        <v>48.86228705067149</v>
      </c>
      <c r="P30" s="8">
        <v>48.038143677601617</v>
      </c>
      <c r="Q30" s="8">
        <v>42.253831097907366</v>
      </c>
      <c r="R30" s="8">
        <v>39.396412450996166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126.30016556696656</v>
      </c>
      <c r="D43" s="9">
        <v>110.33367722177955</v>
      </c>
      <c r="E43" s="9">
        <v>13.129015598496526</v>
      </c>
      <c r="F43" s="9">
        <v>60.71375009755473</v>
      </c>
      <c r="G43" s="9">
        <v>138.50180969302403</v>
      </c>
      <c r="H43" s="9">
        <v>40.031209159166458</v>
      </c>
      <c r="I43" s="9">
        <v>38.043435516312051</v>
      </c>
      <c r="J43" s="9">
        <v>48.000081320445382</v>
      </c>
      <c r="K43" s="9">
        <v>109.42981841259095</v>
      </c>
      <c r="L43" s="9">
        <v>78.604798166303908</v>
      </c>
      <c r="M43" s="9">
        <v>66.31374411904774</v>
      </c>
      <c r="N43" s="9">
        <v>55.636757396707594</v>
      </c>
      <c r="O43" s="9">
        <v>48.86228705067149</v>
      </c>
      <c r="P43" s="9">
        <v>48.038143677601617</v>
      </c>
      <c r="Q43" s="9">
        <v>42.253831097907366</v>
      </c>
      <c r="R43" s="9">
        <v>39.396412450996166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0.37242307959060006</v>
      </c>
      <c r="N64" s="81">
        <v>0.89912778644253211</v>
      </c>
      <c r="O64" s="81">
        <v>1.3569281918596894</v>
      </c>
      <c r="P64" s="81">
        <v>1.4515520233781214</v>
      </c>
      <c r="Q64" s="81">
        <v>2.7608555044624432</v>
      </c>
      <c r="R64" s="81">
        <v>2.681515551659202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0.37242307959060006</v>
      </c>
      <c r="N69" s="82">
        <v>0.89912778644253211</v>
      </c>
      <c r="O69" s="82">
        <v>1.3569281918596894</v>
      </c>
      <c r="P69" s="82">
        <v>1.4515520233781214</v>
      </c>
      <c r="Q69" s="82">
        <v>2.7608555044624432</v>
      </c>
      <c r="R69" s="82">
        <v>2.681515551659202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0.37242307959060006</v>
      </c>
      <c r="N71" s="83">
        <v>0.89912778644253211</v>
      </c>
      <c r="O71" s="83">
        <v>1.3569281918596894</v>
      </c>
      <c r="P71" s="83">
        <v>1.4515520233781214</v>
      </c>
      <c r="Q71" s="83">
        <v>2.7608555044624432</v>
      </c>
      <c r="R71" s="83">
        <v>2.681515551659202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371.0210702442817</v>
      </c>
      <c r="D2" s="78">
        <v>278.21969147595598</v>
      </c>
      <c r="E2" s="78">
        <v>269.12164248000005</v>
      </c>
      <c r="F2" s="78">
        <v>238.01641854732003</v>
      </c>
      <c r="G2" s="78">
        <v>306.06094152000003</v>
      </c>
      <c r="H2" s="78">
        <v>265.88538481356539</v>
      </c>
      <c r="I2" s="78">
        <v>231.75322943198404</v>
      </c>
      <c r="J2" s="78">
        <v>272.16341363980803</v>
      </c>
      <c r="K2" s="78">
        <v>386.58965715457202</v>
      </c>
      <c r="L2" s="78">
        <v>275.14226088000004</v>
      </c>
      <c r="M2" s="78">
        <v>306.07829999999996</v>
      </c>
      <c r="N2" s="78">
        <v>318.45458937924354</v>
      </c>
      <c r="O2" s="78">
        <v>302.98645569950259</v>
      </c>
      <c r="P2" s="78">
        <v>318.44510000000082</v>
      </c>
      <c r="Q2" s="78">
        <v>336.99529999999976</v>
      </c>
      <c r="R2" s="78">
        <v>352.46845138842542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371.0210702442817</v>
      </c>
      <c r="D21" s="79">
        <v>278.21969147595598</v>
      </c>
      <c r="E21" s="79">
        <v>269.12164248000005</v>
      </c>
      <c r="F21" s="79">
        <v>238.01641854732003</v>
      </c>
      <c r="G21" s="79">
        <v>306.06094152000003</v>
      </c>
      <c r="H21" s="79">
        <v>265.88538481356539</v>
      </c>
      <c r="I21" s="79">
        <v>231.75322943198404</v>
      </c>
      <c r="J21" s="79">
        <v>272.16341363980803</v>
      </c>
      <c r="K21" s="79">
        <v>386.58965715457202</v>
      </c>
      <c r="L21" s="79">
        <v>275.14226088000004</v>
      </c>
      <c r="M21" s="79">
        <v>306.07829999999996</v>
      </c>
      <c r="N21" s="79">
        <v>318.45458937924354</v>
      </c>
      <c r="O21" s="79">
        <v>302.98645569950259</v>
      </c>
      <c r="P21" s="79">
        <v>318.44510000000082</v>
      </c>
      <c r="Q21" s="79">
        <v>336.99529999999976</v>
      </c>
      <c r="R21" s="79">
        <v>352.46845138842542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371.0210702442817</v>
      </c>
      <c r="D30" s="8">
        <v>278.21969147595598</v>
      </c>
      <c r="E30" s="8">
        <v>269.12164248000005</v>
      </c>
      <c r="F30" s="8">
        <v>238.01641854732003</v>
      </c>
      <c r="G30" s="8">
        <v>306.06094152000003</v>
      </c>
      <c r="H30" s="8">
        <v>265.88538481356539</v>
      </c>
      <c r="I30" s="8">
        <v>231.75322943198404</v>
      </c>
      <c r="J30" s="8">
        <v>272.16341363980803</v>
      </c>
      <c r="K30" s="8">
        <v>386.58965715457202</v>
      </c>
      <c r="L30" s="8">
        <v>275.14226088000004</v>
      </c>
      <c r="M30" s="8">
        <v>306.07829999999996</v>
      </c>
      <c r="N30" s="8">
        <v>318.45458937924354</v>
      </c>
      <c r="O30" s="8">
        <v>302.98645569950259</v>
      </c>
      <c r="P30" s="8">
        <v>318.44510000000082</v>
      </c>
      <c r="Q30" s="8">
        <v>336.99529999999976</v>
      </c>
      <c r="R30" s="8">
        <v>352.46845138842542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3.0802388522683142</v>
      </c>
      <c r="D35" s="9">
        <v>3.2221361592000006</v>
      </c>
      <c r="E35" s="9">
        <v>0</v>
      </c>
      <c r="F35" s="9">
        <v>0</v>
      </c>
      <c r="G35" s="9">
        <v>3.2238360000000004</v>
      </c>
      <c r="H35" s="9">
        <v>3.0801260941751827</v>
      </c>
      <c r="I35" s="9">
        <v>0</v>
      </c>
      <c r="J35" s="9">
        <v>3.2216672376000002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3.0802388522683142</v>
      </c>
      <c r="D37" s="10">
        <v>3.2221361592000006</v>
      </c>
      <c r="E37" s="10">
        <v>0</v>
      </c>
      <c r="F37" s="10">
        <v>0</v>
      </c>
      <c r="G37" s="10">
        <v>3.2238360000000004</v>
      </c>
      <c r="H37" s="10">
        <v>3.0801260941751827</v>
      </c>
      <c r="I37" s="10">
        <v>0</v>
      </c>
      <c r="J37" s="10">
        <v>3.2216672376000002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367.94083139201337</v>
      </c>
      <c r="D38" s="9">
        <v>274.99755531675601</v>
      </c>
      <c r="E38" s="9">
        <v>269.12164248000005</v>
      </c>
      <c r="F38" s="9">
        <v>238.01641854732003</v>
      </c>
      <c r="G38" s="9">
        <v>302.83710552000002</v>
      </c>
      <c r="H38" s="9">
        <v>262.80525871939022</v>
      </c>
      <c r="I38" s="9">
        <v>231.75322943198404</v>
      </c>
      <c r="J38" s="9">
        <v>268.94174640220803</v>
      </c>
      <c r="K38" s="9">
        <v>386.58965715457202</v>
      </c>
      <c r="L38" s="9">
        <v>275.14226088000004</v>
      </c>
      <c r="M38" s="9">
        <v>306.07829999999996</v>
      </c>
      <c r="N38" s="9">
        <v>318.45458937924354</v>
      </c>
      <c r="O38" s="9">
        <v>302.98645569950259</v>
      </c>
      <c r="P38" s="9">
        <v>318.44510000000082</v>
      </c>
      <c r="Q38" s="9">
        <v>336.99529999999976</v>
      </c>
      <c r="R38" s="9">
        <v>352.46845138842542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367.94083139201337</v>
      </c>
      <c r="D40" s="10">
        <v>274.99755531675601</v>
      </c>
      <c r="E40" s="10">
        <v>269.12164248000005</v>
      </c>
      <c r="F40" s="10">
        <v>238.01641854732003</v>
      </c>
      <c r="G40" s="10">
        <v>302.83710552000002</v>
      </c>
      <c r="H40" s="10">
        <v>262.80525871939022</v>
      </c>
      <c r="I40" s="10">
        <v>231.75322943198404</v>
      </c>
      <c r="J40" s="10">
        <v>268.94174640220803</v>
      </c>
      <c r="K40" s="10">
        <v>386.58965715457202</v>
      </c>
      <c r="L40" s="10">
        <v>275.14226088000004</v>
      </c>
      <c r="M40" s="10">
        <v>306.07829999999996</v>
      </c>
      <c r="N40" s="10">
        <v>318.45458937924354</v>
      </c>
      <c r="O40" s="10">
        <v>302.98645569950259</v>
      </c>
      <c r="P40" s="10">
        <v>318.44510000000082</v>
      </c>
      <c r="Q40" s="10">
        <v>336.99529999999976</v>
      </c>
      <c r="R40" s="10">
        <v>352.46845138842542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264.76775894510405</v>
      </c>
      <c r="D2" s="78">
        <v>209.51827659563179</v>
      </c>
      <c r="E2" s="78">
        <v>212.59832233553593</v>
      </c>
      <c r="F2" s="78">
        <v>187.44048686588337</v>
      </c>
      <c r="G2" s="78">
        <v>245.85802155568251</v>
      </c>
      <c r="H2" s="78">
        <v>216.67853335745806</v>
      </c>
      <c r="I2" s="78">
        <v>189.33185988069974</v>
      </c>
      <c r="J2" s="78">
        <v>227.51142864259759</v>
      </c>
      <c r="K2" s="78">
        <v>324.40533052447506</v>
      </c>
      <c r="L2" s="78">
        <v>234.34193259372793</v>
      </c>
      <c r="M2" s="78">
        <v>260.88519604553676</v>
      </c>
      <c r="N2" s="78">
        <v>275.59562540911674</v>
      </c>
      <c r="O2" s="78">
        <v>255.39099819599164</v>
      </c>
      <c r="P2" s="78">
        <v>259.67916341999796</v>
      </c>
      <c r="Q2" s="78">
        <v>279.59081071391307</v>
      </c>
      <c r="R2" s="78">
        <v>303.48700957776441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264.76775894510405</v>
      </c>
      <c r="D21" s="79">
        <v>209.51827659563179</v>
      </c>
      <c r="E21" s="79">
        <v>212.59832233553593</v>
      </c>
      <c r="F21" s="79">
        <v>187.44048686588337</v>
      </c>
      <c r="G21" s="79">
        <v>245.85802155568251</v>
      </c>
      <c r="H21" s="79">
        <v>216.67853335745806</v>
      </c>
      <c r="I21" s="79">
        <v>189.33185988069974</v>
      </c>
      <c r="J21" s="79">
        <v>227.51142864259759</v>
      </c>
      <c r="K21" s="79">
        <v>324.40533052447506</v>
      </c>
      <c r="L21" s="79">
        <v>234.34193259372793</v>
      </c>
      <c r="M21" s="79">
        <v>260.88519604553676</v>
      </c>
      <c r="N21" s="79">
        <v>275.59562540911674</v>
      </c>
      <c r="O21" s="79">
        <v>255.39099819599164</v>
      </c>
      <c r="P21" s="79">
        <v>259.67916341999796</v>
      </c>
      <c r="Q21" s="79">
        <v>279.59081071391307</v>
      </c>
      <c r="R21" s="79">
        <v>303.48700957776441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264.76775894510405</v>
      </c>
      <c r="D30" s="8">
        <v>209.51827659563179</v>
      </c>
      <c r="E30" s="8">
        <v>212.59832233553593</v>
      </c>
      <c r="F30" s="8">
        <v>187.44048686588337</v>
      </c>
      <c r="G30" s="8">
        <v>245.85802155568251</v>
      </c>
      <c r="H30" s="8">
        <v>216.67853335745806</v>
      </c>
      <c r="I30" s="8">
        <v>189.33185988069974</v>
      </c>
      <c r="J30" s="8">
        <v>227.51142864259759</v>
      </c>
      <c r="K30" s="8">
        <v>324.40533052447506</v>
      </c>
      <c r="L30" s="8">
        <v>234.34193259372793</v>
      </c>
      <c r="M30" s="8">
        <v>260.88519604553676</v>
      </c>
      <c r="N30" s="8">
        <v>275.59562540911674</v>
      </c>
      <c r="O30" s="8">
        <v>255.39099819599164</v>
      </c>
      <c r="P30" s="8">
        <v>259.67916341999796</v>
      </c>
      <c r="Q30" s="8">
        <v>279.59081071391307</v>
      </c>
      <c r="R30" s="8">
        <v>303.48700957776441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2.1981175823619963</v>
      </c>
      <c r="D35" s="9">
        <v>2.4264868221608058</v>
      </c>
      <c r="E35" s="9">
        <v>0</v>
      </c>
      <c r="F35" s="9">
        <v>0</v>
      </c>
      <c r="G35" s="9">
        <v>2.589699740331588</v>
      </c>
      <c r="H35" s="9">
        <v>2.5100936071002269</v>
      </c>
      <c r="I35" s="9">
        <v>0</v>
      </c>
      <c r="J35" s="9">
        <v>2.6931103855401513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2.1981175823619963</v>
      </c>
      <c r="D37" s="10">
        <v>2.4264868221608058</v>
      </c>
      <c r="E37" s="10">
        <v>0</v>
      </c>
      <c r="F37" s="10">
        <v>0</v>
      </c>
      <c r="G37" s="10">
        <v>2.589699740331588</v>
      </c>
      <c r="H37" s="10">
        <v>2.5100936071002269</v>
      </c>
      <c r="I37" s="10">
        <v>0</v>
      </c>
      <c r="J37" s="10">
        <v>2.6931103855401513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262.56964136274206</v>
      </c>
      <c r="D38" s="9">
        <v>207.09178977347099</v>
      </c>
      <c r="E38" s="9">
        <v>212.59832233553593</v>
      </c>
      <c r="F38" s="9">
        <v>187.44048686588337</v>
      </c>
      <c r="G38" s="9">
        <v>243.26832181535093</v>
      </c>
      <c r="H38" s="9">
        <v>214.16843975035783</v>
      </c>
      <c r="I38" s="9">
        <v>189.33185988069974</v>
      </c>
      <c r="J38" s="9">
        <v>224.81831825705746</v>
      </c>
      <c r="K38" s="9">
        <v>324.40533052447506</v>
      </c>
      <c r="L38" s="9">
        <v>234.34193259372793</v>
      </c>
      <c r="M38" s="9">
        <v>260.88519604553676</v>
      </c>
      <c r="N38" s="9">
        <v>275.59562540911674</v>
      </c>
      <c r="O38" s="9">
        <v>255.39099819599164</v>
      </c>
      <c r="P38" s="9">
        <v>259.67916341999796</v>
      </c>
      <c r="Q38" s="9">
        <v>279.59081071391307</v>
      </c>
      <c r="R38" s="9">
        <v>303.48700957776441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262.56964136274206</v>
      </c>
      <c r="D40" s="10">
        <v>207.09178977347099</v>
      </c>
      <c r="E40" s="10">
        <v>212.59832233553593</v>
      </c>
      <c r="F40" s="10">
        <v>187.44048686588337</v>
      </c>
      <c r="G40" s="10">
        <v>243.26832181535093</v>
      </c>
      <c r="H40" s="10">
        <v>214.16843975035783</v>
      </c>
      <c r="I40" s="10">
        <v>189.33185988069974</v>
      </c>
      <c r="J40" s="10">
        <v>224.81831825705746</v>
      </c>
      <c r="K40" s="10">
        <v>324.40533052447506</v>
      </c>
      <c r="L40" s="10">
        <v>234.34193259372793</v>
      </c>
      <c r="M40" s="10">
        <v>260.88519604553676</v>
      </c>
      <c r="N40" s="10">
        <v>275.59562540911674</v>
      </c>
      <c r="O40" s="10">
        <v>255.39099819599164</v>
      </c>
      <c r="P40" s="10">
        <v>259.67916341999796</v>
      </c>
      <c r="Q40" s="10">
        <v>279.59081071391307</v>
      </c>
      <c r="R40" s="10">
        <v>303.48700957776441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97.715577466286589</v>
      </c>
      <c r="D2" s="78">
        <v>62.325104293790666</v>
      </c>
      <c r="E2" s="78">
        <v>50.013714943811053</v>
      </c>
      <c r="F2" s="78">
        <v>43.261268327037108</v>
      </c>
      <c r="G2" s="78">
        <v>52.009404295455958</v>
      </c>
      <c r="H2" s="78">
        <v>42.125307333793778</v>
      </c>
      <c r="I2" s="78">
        <v>34.775624820693224</v>
      </c>
      <c r="J2" s="78">
        <v>36.8020538447837</v>
      </c>
      <c r="K2" s="78">
        <v>50.263236792345801</v>
      </c>
      <c r="L2" s="78">
        <v>32.541522255502855</v>
      </c>
      <c r="M2" s="78">
        <v>37.613749826979635</v>
      </c>
      <c r="N2" s="78">
        <v>35.681266978670877</v>
      </c>
      <c r="O2" s="78">
        <v>40.822041115503076</v>
      </c>
      <c r="P2" s="78">
        <v>52.703599738531452</v>
      </c>
      <c r="Q2" s="78">
        <v>51.794358067649156</v>
      </c>
      <c r="R2" s="78">
        <v>43.03986892680318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97.715577466286589</v>
      </c>
      <c r="D21" s="79">
        <v>62.325104293790666</v>
      </c>
      <c r="E21" s="79">
        <v>50.013714943811053</v>
      </c>
      <c r="F21" s="79">
        <v>43.261268327037108</v>
      </c>
      <c r="G21" s="79">
        <v>52.009404295455958</v>
      </c>
      <c r="H21" s="79">
        <v>42.125307333793778</v>
      </c>
      <c r="I21" s="79">
        <v>34.775624820693224</v>
      </c>
      <c r="J21" s="79">
        <v>36.8020538447837</v>
      </c>
      <c r="K21" s="79">
        <v>50.263236792345801</v>
      </c>
      <c r="L21" s="79">
        <v>32.541522255502855</v>
      </c>
      <c r="M21" s="79">
        <v>37.613749826979635</v>
      </c>
      <c r="N21" s="79">
        <v>35.681266978670877</v>
      </c>
      <c r="O21" s="79">
        <v>40.822041115503076</v>
      </c>
      <c r="P21" s="79">
        <v>52.703599738531452</v>
      </c>
      <c r="Q21" s="79">
        <v>51.794358067649156</v>
      </c>
      <c r="R21" s="79">
        <v>43.03986892680318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97.715577466286589</v>
      </c>
      <c r="D30" s="8">
        <v>62.325104293790666</v>
      </c>
      <c r="E30" s="8">
        <v>50.013714943811053</v>
      </c>
      <c r="F30" s="8">
        <v>43.261268327037108</v>
      </c>
      <c r="G30" s="8">
        <v>52.009404295455958</v>
      </c>
      <c r="H30" s="8">
        <v>42.125307333793778</v>
      </c>
      <c r="I30" s="8">
        <v>34.775624820693224</v>
      </c>
      <c r="J30" s="8">
        <v>36.8020538447837</v>
      </c>
      <c r="K30" s="8">
        <v>50.263236792345801</v>
      </c>
      <c r="L30" s="8">
        <v>32.541522255502855</v>
      </c>
      <c r="M30" s="8">
        <v>37.613749826979635</v>
      </c>
      <c r="N30" s="8">
        <v>35.681266978670877</v>
      </c>
      <c r="O30" s="8">
        <v>40.822041115503076</v>
      </c>
      <c r="P30" s="8">
        <v>52.703599738531452</v>
      </c>
      <c r="Q30" s="8">
        <v>51.794358067649156</v>
      </c>
      <c r="R30" s="8">
        <v>43.03986892680318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0.81124049905122364</v>
      </c>
      <c r="D35" s="9">
        <v>0.7218035901973141</v>
      </c>
      <c r="E35" s="9">
        <v>0</v>
      </c>
      <c r="F35" s="9">
        <v>0</v>
      </c>
      <c r="G35" s="9">
        <v>0.54783138636881223</v>
      </c>
      <c r="H35" s="9">
        <v>0.48799695566172957</v>
      </c>
      <c r="I35" s="9">
        <v>0</v>
      </c>
      <c r="J35" s="9">
        <v>0.43563522944727279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0.81124049905122364</v>
      </c>
      <c r="D37" s="10">
        <v>0.7218035901973141</v>
      </c>
      <c r="E37" s="10">
        <v>0</v>
      </c>
      <c r="F37" s="10">
        <v>0</v>
      </c>
      <c r="G37" s="10">
        <v>0.54783138636881223</v>
      </c>
      <c r="H37" s="10">
        <v>0.48799695566172957</v>
      </c>
      <c r="I37" s="10">
        <v>0</v>
      </c>
      <c r="J37" s="10">
        <v>0.43563522944727279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96.904336967235366</v>
      </c>
      <c r="D38" s="9">
        <v>61.603300703593355</v>
      </c>
      <c r="E38" s="9">
        <v>50.013714943811053</v>
      </c>
      <c r="F38" s="9">
        <v>43.261268327037108</v>
      </c>
      <c r="G38" s="9">
        <v>51.461572909087145</v>
      </c>
      <c r="H38" s="9">
        <v>41.637310378132049</v>
      </c>
      <c r="I38" s="9">
        <v>34.775624820693224</v>
      </c>
      <c r="J38" s="9">
        <v>36.366418615336428</v>
      </c>
      <c r="K38" s="9">
        <v>50.263236792345801</v>
      </c>
      <c r="L38" s="9">
        <v>32.541522255502855</v>
      </c>
      <c r="M38" s="9">
        <v>37.613749826979635</v>
      </c>
      <c r="N38" s="9">
        <v>35.681266978670877</v>
      </c>
      <c r="O38" s="9">
        <v>40.822041115503076</v>
      </c>
      <c r="P38" s="9">
        <v>52.703599738531452</v>
      </c>
      <c r="Q38" s="9">
        <v>51.794358067649156</v>
      </c>
      <c r="R38" s="9">
        <v>43.03986892680318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96.904336967235366</v>
      </c>
      <c r="D40" s="10">
        <v>61.603300703593355</v>
      </c>
      <c r="E40" s="10">
        <v>50.013714943811053</v>
      </c>
      <c r="F40" s="10">
        <v>43.261268327037108</v>
      </c>
      <c r="G40" s="10">
        <v>51.461572909087145</v>
      </c>
      <c r="H40" s="10">
        <v>41.637310378132049</v>
      </c>
      <c r="I40" s="10">
        <v>34.775624820693224</v>
      </c>
      <c r="J40" s="10">
        <v>36.366418615336428</v>
      </c>
      <c r="K40" s="10">
        <v>50.263236792345801</v>
      </c>
      <c r="L40" s="10">
        <v>32.541522255502855</v>
      </c>
      <c r="M40" s="10">
        <v>37.613749826979635</v>
      </c>
      <c r="N40" s="10">
        <v>35.681266978670877</v>
      </c>
      <c r="O40" s="10">
        <v>40.822041115503076</v>
      </c>
      <c r="P40" s="10">
        <v>52.703599738531452</v>
      </c>
      <c r="Q40" s="10">
        <v>51.794358067649156</v>
      </c>
      <c r="R40" s="10">
        <v>43.03986892680318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7.318071617618604</v>
      </c>
      <c r="D2" s="78">
        <v>5.3184639586242639</v>
      </c>
      <c r="E2" s="78">
        <v>5.3420981412422854</v>
      </c>
      <c r="F2" s="78">
        <v>6.3046272239939833</v>
      </c>
      <c r="G2" s="78">
        <v>6.7150945353065188</v>
      </c>
      <c r="H2" s="78">
        <v>5.8983171145374884</v>
      </c>
      <c r="I2" s="78">
        <v>6.8211003663711001</v>
      </c>
      <c r="J2" s="78">
        <v>7.0706211414299664</v>
      </c>
      <c r="K2" s="78">
        <v>10.709927869420362</v>
      </c>
      <c r="L2" s="78">
        <v>7.2713505029601073</v>
      </c>
      <c r="M2" s="78">
        <v>7.0536728792070527</v>
      </c>
      <c r="N2" s="78">
        <v>6.8022796874852176</v>
      </c>
      <c r="O2" s="78">
        <v>6.2276785582556728</v>
      </c>
      <c r="P2" s="78">
        <v>5.3288033557652286</v>
      </c>
      <c r="Q2" s="78">
        <v>4.8705565095729346</v>
      </c>
      <c r="R2" s="78">
        <v>5.19740426939393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7.318071617618604</v>
      </c>
      <c r="D21" s="79">
        <v>5.3184639586242639</v>
      </c>
      <c r="E21" s="79">
        <v>5.3420981412422854</v>
      </c>
      <c r="F21" s="79">
        <v>6.3046272239939833</v>
      </c>
      <c r="G21" s="79">
        <v>6.7150945353065188</v>
      </c>
      <c r="H21" s="79">
        <v>5.8983171145374884</v>
      </c>
      <c r="I21" s="79">
        <v>6.8211003663711001</v>
      </c>
      <c r="J21" s="79">
        <v>7.0706211414299664</v>
      </c>
      <c r="K21" s="79">
        <v>10.709927869420362</v>
      </c>
      <c r="L21" s="79">
        <v>7.2713505029601073</v>
      </c>
      <c r="M21" s="79">
        <v>7.0536728792070527</v>
      </c>
      <c r="N21" s="79">
        <v>6.8022796874852176</v>
      </c>
      <c r="O21" s="79">
        <v>6.2276785582556728</v>
      </c>
      <c r="P21" s="79">
        <v>5.3288033557652286</v>
      </c>
      <c r="Q21" s="79">
        <v>4.8705565095729346</v>
      </c>
      <c r="R21" s="79">
        <v>5.19740426939393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7.318071617618604</v>
      </c>
      <c r="D30" s="8">
        <v>5.3184639586242639</v>
      </c>
      <c r="E30" s="8">
        <v>5.3420981412422854</v>
      </c>
      <c r="F30" s="8">
        <v>6.3046272239939833</v>
      </c>
      <c r="G30" s="8">
        <v>6.7150945353065188</v>
      </c>
      <c r="H30" s="8">
        <v>5.8983171145374884</v>
      </c>
      <c r="I30" s="8">
        <v>6.8211003663711001</v>
      </c>
      <c r="J30" s="8">
        <v>7.0706211414299664</v>
      </c>
      <c r="K30" s="8">
        <v>10.709927869420362</v>
      </c>
      <c r="L30" s="8">
        <v>7.2713505029601073</v>
      </c>
      <c r="M30" s="8">
        <v>7.0536728792070527</v>
      </c>
      <c r="N30" s="8">
        <v>6.8022796874852176</v>
      </c>
      <c r="O30" s="8">
        <v>6.2276785582556728</v>
      </c>
      <c r="P30" s="8">
        <v>5.3288033557652286</v>
      </c>
      <c r="Q30" s="8">
        <v>4.8705565095729346</v>
      </c>
      <c r="R30" s="8">
        <v>5.19740426939393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6.0755063062670547E-2</v>
      </c>
      <c r="D35" s="9">
        <v>6.1594544015106827E-2</v>
      </c>
      <c r="E35" s="9">
        <v>0</v>
      </c>
      <c r="F35" s="9">
        <v>0</v>
      </c>
      <c r="G35" s="9">
        <v>7.0732199276429999E-2</v>
      </c>
      <c r="H35" s="9">
        <v>6.8328541145448021E-2</v>
      </c>
      <c r="I35" s="9">
        <v>0</v>
      </c>
      <c r="J35" s="9">
        <v>8.369673269520983E-2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6.0755063062670547E-2</v>
      </c>
      <c r="D37" s="10">
        <v>6.1594544015106827E-2</v>
      </c>
      <c r="E37" s="10">
        <v>0</v>
      </c>
      <c r="F37" s="10">
        <v>0</v>
      </c>
      <c r="G37" s="10">
        <v>7.0732199276429999E-2</v>
      </c>
      <c r="H37" s="10">
        <v>6.8328541145448021E-2</v>
      </c>
      <c r="I37" s="10">
        <v>0</v>
      </c>
      <c r="J37" s="10">
        <v>8.369673269520983E-2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7.2573165545559331</v>
      </c>
      <c r="D38" s="9">
        <v>5.2568694146091568</v>
      </c>
      <c r="E38" s="9">
        <v>5.3420981412422854</v>
      </c>
      <c r="F38" s="9">
        <v>6.3046272239939833</v>
      </c>
      <c r="G38" s="9">
        <v>6.6443623360300892</v>
      </c>
      <c r="H38" s="9">
        <v>5.8299885733920407</v>
      </c>
      <c r="I38" s="9">
        <v>6.8211003663711001</v>
      </c>
      <c r="J38" s="9">
        <v>6.9869244087347564</v>
      </c>
      <c r="K38" s="9">
        <v>10.709927869420362</v>
      </c>
      <c r="L38" s="9">
        <v>7.2713505029601073</v>
      </c>
      <c r="M38" s="9">
        <v>7.0536728792070527</v>
      </c>
      <c r="N38" s="9">
        <v>6.8022796874852176</v>
      </c>
      <c r="O38" s="9">
        <v>6.2276785582556728</v>
      </c>
      <c r="P38" s="9">
        <v>5.3288033557652286</v>
      </c>
      <c r="Q38" s="9">
        <v>4.8705565095729346</v>
      </c>
      <c r="R38" s="9">
        <v>5.19740426939393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7.2573165545559331</v>
      </c>
      <c r="D40" s="10">
        <v>5.2568694146091568</v>
      </c>
      <c r="E40" s="10">
        <v>5.3420981412422854</v>
      </c>
      <c r="F40" s="10">
        <v>6.3046272239939833</v>
      </c>
      <c r="G40" s="10">
        <v>6.6443623360300892</v>
      </c>
      <c r="H40" s="10">
        <v>5.8299885733920407</v>
      </c>
      <c r="I40" s="10">
        <v>6.8211003663711001</v>
      </c>
      <c r="J40" s="10">
        <v>6.9869244087347564</v>
      </c>
      <c r="K40" s="10">
        <v>10.709927869420362</v>
      </c>
      <c r="L40" s="10">
        <v>7.2713505029601073</v>
      </c>
      <c r="M40" s="10">
        <v>7.0536728792070527</v>
      </c>
      <c r="N40" s="10">
        <v>6.8022796874852176</v>
      </c>
      <c r="O40" s="10">
        <v>6.2276785582556728</v>
      </c>
      <c r="P40" s="10">
        <v>5.3288033557652286</v>
      </c>
      <c r="Q40" s="10">
        <v>4.8705565095729346</v>
      </c>
      <c r="R40" s="10">
        <v>5.19740426939393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1.219662215272449</v>
      </c>
      <c r="D2" s="78">
        <v>1.0578466279092902</v>
      </c>
      <c r="E2" s="78">
        <v>1.1675070594107766</v>
      </c>
      <c r="F2" s="78">
        <v>1.0100361304055421</v>
      </c>
      <c r="G2" s="78">
        <v>1.4784211335550299</v>
      </c>
      <c r="H2" s="78">
        <v>1.183227007776122</v>
      </c>
      <c r="I2" s="78">
        <v>0.82464436421996645</v>
      </c>
      <c r="J2" s="78">
        <v>0.77931001099675223</v>
      </c>
      <c r="K2" s="78">
        <v>1.2111619683308155</v>
      </c>
      <c r="L2" s="78">
        <v>0.98745552780917356</v>
      </c>
      <c r="M2" s="78">
        <v>0.52568124827652785</v>
      </c>
      <c r="N2" s="78">
        <v>0.37541730397073053</v>
      </c>
      <c r="O2" s="78">
        <v>0.54573782975218699</v>
      </c>
      <c r="P2" s="78">
        <v>0.73353348570619215</v>
      </c>
      <c r="Q2" s="78">
        <v>0.73957470886461607</v>
      </c>
      <c r="R2" s="78">
        <v>0.7441686144638967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1.219662215272449</v>
      </c>
      <c r="D21" s="79">
        <v>1.0578466279092902</v>
      </c>
      <c r="E21" s="79">
        <v>1.1675070594107766</v>
      </c>
      <c r="F21" s="79">
        <v>1.0100361304055421</v>
      </c>
      <c r="G21" s="79">
        <v>1.4784211335550299</v>
      </c>
      <c r="H21" s="79">
        <v>1.183227007776122</v>
      </c>
      <c r="I21" s="79">
        <v>0.82464436421996645</v>
      </c>
      <c r="J21" s="79">
        <v>0.77931001099675223</v>
      </c>
      <c r="K21" s="79">
        <v>1.2111619683308155</v>
      </c>
      <c r="L21" s="79">
        <v>0.98745552780917356</v>
      </c>
      <c r="M21" s="79">
        <v>0.52568124827652785</v>
      </c>
      <c r="N21" s="79">
        <v>0.37541730397073053</v>
      </c>
      <c r="O21" s="79">
        <v>0.54573782975218699</v>
      </c>
      <c r="P21" s="79">
        <v>0.73353348570619215</v>
      </c>
      <c r="Q21" s="79">
        <v>0.73957470886461607</v>
      </c>
      <c r="R21" s="79">
        <v>0.7441686144638967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1.219662215272449</v>
      </c>
      <c r="D30" s="8">
        <v>1.0578466279092902</v>
      </c>
      <c r="E30" s="8">
        <v>1.1675070594107766</v>
      </c>
      <c r="F30" s="8">
        <v>1.0100361304055421</v>
      </c>
      <c r="G30" s="8">
        <v>1.4784211335550299</v>
      </c>
      <c r="H30" s="8">
        <v>1.183227007776122</v>
      </c>
      <c r="I30" s="8">
        <v>0.82464436421996645</v>
      </c>
      <c r="J30" s="8">
        <v>0.77931001099675223</v>
      </c>
      <c r="K30" s="8">
        <v>1.2111619683308155</v>
      </c>
      <c r="L30" s="8">
        <v>0.98745552780917356</v>
      </c>
      <c r="M30" s="8">
        <v>0.52568124827652785</v>
      </c>
      <c r="N30" s="8">
        <v>0.37541730397073053</v>
      </c>
      <c r="O30" s="8">
        <v>0.54573782975218699</v>
      </c>
      <c r="P30" s="8">
        <v>0.73353348570619215</v>
      </c>
      <c r="Q30" s="8">
        <v>0.73957470886461607</v>
      </c>
      <c r="R30" s="8">
        <v>0.7441686144638967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1.012570779242352E-2</v>
      </c>
      <c r="D35" s="9">
        <v>1.2251202826773604E-2</v>
      </c>
      <c r="E35" s="9">
        <v>0</v>
      </c>
      <c r="F35" s="9">
        <v>0</v>
      </c>
      <c r="G35" s="9">
        <v>1.5572674023170188E-2</v>
      </c>
      <c r="H35" s="9">
        <v>1.3706990267778395E-2</v>
      </c>
      <c r="I35" s="9">
        <v>0</v>
      </c>
      <c r="J35" s="9">
        <v>9.2248899173665716E-3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1.012570779242352E-2</v>
      </c>
      <c r="D37" s="10">
        <v>1.2251202826773604E-2</v>
      </c>
      <c r="E37" s="10">
        <v>0</v>
      </c>
      <c r="F37" s="10">
        <v>0</v>
      </c>
      <c r="G37" s="10">
        <v>1.5572674023170188E-2</v>
      </c>
      <c r="H37" s="10">
        <v>1.3706990267778395E-2</v>
      </c>
      <c r="I37" s="10">
        <v>0</v>
      </c>
      <c r="J37" s="10">
        <v>9.2248899173665716E-3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1.2095365074800255</v>
      </c>
      <c r="D38" s="9">
        <v>1.0455954250825166</v>
      </c>
      <c r="E38" s="9">
        <v>1.1675070594107766</v>
      </c>
      <c r="F38" s="9">
        <v>1.0100361304055421</v>
      </c>
      <c r="G38" s="9">
        <v>1.4628484595318598</v>
      </c>
      <c r="H38" s="9">
        <v>1.1695200175083436</v>
      </c>
      <c r="I38" s="9">
        <v>0.82464436421996645</v>
      </c>
      <c r="J38" s="9">
        <v>0.77008512107938565</v>
      </c>
      <c r="K38" s="9">
        <v>1.2111619683308155</v>
      </c>
      <c r="L38" s="9">
        <v>0.98745552780917356</v>
      </c>
      <c r="M38" s="9">
        <v>0.52568124827652785</v>
      </c>
      <c r="N38" s="9">
        <v>0.37541730397073053</v>
      </c>
      <c r="O38" s="9">
        <v>0.54573782975218699</v>
      </c>
      <c r="P38" s="9">
        <v>0.73353348570619215</v>
      </c>
      <c r="Q38" s="9">
        <v>0.73957470886461607</v>
      </c>
      <c r="R38" s="9">
        <v>0.7441686144638967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1.2095365074800255</v>
      </c>
      <c r="D40" s="10">
        <v>1.0455954250825166</v>
      </c>
      <c r="E40" s="10">
        <v>1.1675070594107766</v>
      </c>
      <c r="F40" s="10">
        <v>1.0100361304055421</v>
      </c>
      <c r="G40" s="10">
        <v>1.4628484595318598</v>
      </c>
      <c r="H40" s="10">
        <v>1.1695200175083436</v>
      </c>
      <c r="I40" s="10">
        <v>0.82464436421996645</v>
      </c>
      <c r="J40" s="10">
        <v>0.77008512107938565</v>
      </c>
      <c r="K40" s="10">
        <v>1.2111619683308155</v>
      </c>
      <c r="L40" s="10">
        <v>0.98745552780917356</v>
      </c>
      <c r="M40" s="10">
        <v>0.52568124827652785</v>
      </c>
      <c r="N40" s="10">
        <v>0.37541730397073053</v>
      </c>
      <c r="O40" s="10">
        <v>0.54573782975218699</v>
      </c>
      <c r="P40" s="10">
        <v>0.73353348570619215</v>
      </c>
      <c r="Q40" s="10">
        <v>0.73957470886461607</v>
      </c>
      <c r="R40" s="10">
        <v>0.7441686144638967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C5321FBE674642966488C89890B7BB" ma:contentTypeVersion="9" ma:contentTypeDescription="Create a new document." ma:contentTypeScope="" ma:versionID="1f9bee30adae98e1887a09ed9f4d34b3">
  <xsd:schema xmlns:xsd="http://www.w3.org/2001/XMLSchema" xmlns:xs="http://www.w3.org/2001/XMLSchema" xmlns:p="http://schemas.microsoft.com/office/2006/metadata/properties" xmlns:ns2="19e23ae6-1de5-4c02-adb1-8b803d4bd321" xmlns:ns3="bf8fd00c-6770-4c7e-9c53-09fa03beed1b" xmlns:ns4="392db15d-bcbb-4a6b-a0aa-070f7b74d70a" targetNamespace="http://schemas.microsoft.com/office/2006/metadata/properties" ma:root="true" ma:fieldsID="b6bb9d34897ccd4207df3e9f3c38b2d0" ns2:_="" ns3:_="" ns4:_="">
    <xsd:import namespace="19e23ae6-1de5-4c02-adb1-8b803d4bd321"/>
    <xsd:import namespace="bf8fd00c-6770-4c7e-9c53-09fa03beed1b"/>
    <xsd:import namespace="392db15d-bcbb-4a6b-a0aa-070f7b74d70a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4:MediaServiceGenerationTime" minOccurs="0"/>
                <xsd:element ref="ns4:MediaServiceEventHashCode" minOccurs="0"/>
                <xsd:element ref="ns4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e23ae6-1de5-4c02-adb1-8b803d4bd32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8fd00c-6770-4c7e-9c53-09fa03beed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MediaService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2db15d-bcbb-4a6b-a0aa-070f7b74d70a" elementFormDefault="qualified">
    <xsd:import namespace="http://schemas.microsoft.com/office/2006/documentManagement/types"/>
    <xsd:import namespace="http://schemas.microsoft.com/office/infopath/2007/PartnerControls"/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_Flow_SignoffStatus" ma:index="21" nillable="true" ma:displayName="Sign-off status" ma:internalName="Sign_x002d_off_x0020_status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392db15d-bcbb-4a6b-a0aa-070f7b74d70a" xsi:nil="true"/>
  </documentManagement>
</p:properties>
</file>

<file path=customXml/itemProps1.xml><?xml version="1.0" encoding="utf-8"?>
<ds:datastoreItem xmlns:ds="http://schemas.openxmlformats.org/officeDocument/2006/customXml" ds:itemID="{0A37F6E9-FF8E-433B-89BC-A6A879038529}"/>
</file>

<file path=customXml/itemProps2.xml><?xml version="1.0" encoding="utf-8"?>
<ds:datastoreItem xmlns:ds="http://schemas.openxmlformats.org/officeDocument/2006/customXml" ds:itemID="{CA2C11F2-9E55-40B1-945E-812355F0D0DE}"/>
</file>

<file path=customXml/itemProps3.xml><?xml version="1.0" encoding="utf-8"?>
<ds:datastoreItem xmlns:ds="http://schemas.openxmlformats.org/officeDocument/2006/customXml" ds:itemID="{53EC218F-FCCC-49F5-9375-EE2BA930C09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106</vt:i4>
      </vt:variant>
    </vt:vector>
  </HeadingPairs>
  <TitlesOfParts>
    <vt:vector size="106" baseType="lpstr">
      <vt:lpstr>cover</vt:lpstr>
      <vt:lpstr>index</vt:lpstr>
      <vt:lpstr>factors</vt:lpstr>
      <vt:lpstr>TOTAL</vt:lpstr>
      <vt:lpstr>TITOT</vt:lpstr>
      <vt:lpstr>tipgt</vt:lpstr>
      <vt:lpstr>tipgtele</vt:lpstr>
      <vt:lpstr>tipgtchp</vt:lpstr>
      <vt:lpstr>tidh</vt:lpstr>
      <vt:lpstr>CEN</vt:lpstr>
      <vt:lpstr>cenrf</vt:lpstr>
      <vt:lpstr>cenog</vt:lpstr>
      <vt:lpstr>cennu</vt:lpstr>
      <vt:lpstr>cencm</vt:lpstr>
      <vt:lpstr>cenck</vt:lpstr>
      <vt:lpstr>cenbf</vt:lpstr>
      <vt:lpstr>cengw</vt:lpstr>
      <vt:lpstr>cenpf</vt:lpstr>
      <vt:lpstr>cenbr</vt:lpstr>
      <vt:lpstr>cench</vt:lpstr>
      <vt:lpstr>cencl</vt:lpstr>
      <vt:lpstr>cenlr</vt:lpstr>
      <vt:lpstr>cenbg</vt:lpstr>
      <vt:lpstr>cengl</vt:lpstr>
      <vt:lpstr>cenns</vt:lpstr>
      <vt:lpstr>CF</vt:lpstr>
      <vt:lpstr>CIN</vt:lpstr>
      <vt:lpstr>cisi</vt:lpstr>
      <vt:lpstr>cisb</vt:lpstr>
      <vt:lpstr>cise</vt:lpstr>
      <vt:lpstr>cnfm</vt:lpstr>
      <vt:lpstr>cnfa</vt:lpstr>
      <vt:lpstr>cnfp</vt:lpstr>
      <vt:lpstr>cnfs</vt:lpstr>
      <vt:lpstr>cnfo</vt:lpstr>
      <vt:lpstr>cchi</vt:lpstr>
      <vt:lpstr>cbch</vt:lpstr>
      <vt:lpstr>coch</vt:lpstr>
      <vt:lpstr>cpha</vt:lpstr>
      <vt:lpstr>cnmm</vt:lpstr>
      <vt:lpstr>ccem</vt:lpstr>
      <vt:lpstr>ccer</vt:lpstr>
      <vt:lpstr>cgla</vt:lpstr>
      <vt:lpstr>cppa</vt:lpstr>
      <vt:lpstr>cpul</vt:lpstr>
      <vt:lpstr>cpap</vt:lpstr>
      <vt:lpstr>cprp</vt:lpstr>
      <vt:lpstr>cfbt</vt:lpstr>
      <vt:lpstr>ctre</vt:lpstr>
      <vt:lpstr>cmae</vt:lpstr>
      <vt:lpstr>ctel</vt:lpstr>
      <vt:lpstr>cwwp</vt:lpstr>
      <vt:lpstr>cmiq</vt:lpstr>
      <vt:lpstr>ccon</vt:lpstr>
      <vt:lpstr>cnsi</vt:lpstr>
      <vt:lpstr>CDM</vt:lpstr>
      <vt:lpstr>cres</vt:lpstr>
      <vt:lpstr>cressh</vt:lpstr>
      <vt:lpstr>cressc</vt:lpstr>
      <vt:lpstr>creswh</vt:lpstr>
      <vt:lpstr>cresco</vt:lpstr>
      <vt:lpstr>cresrf</vt:lpstr>
      <vt:lpstr>creswm</vt:lpstr>
      <vt:lpstr>cresdr</vt:lpstr>
      <vt:lpstr>cresdw</vt:lpstr>
      <vt:lpstr>crestv</vt:lpstr>
      <vt:lpstr>cresit</vt:lpstr>
      <vt:lpstr>cresli</vt:lpstr>
      <vt:lpstr>cresoa</vt:lpstr>
      <vt:lpstr>cser</vt:lpstr>
      <vt:lpstr>csersh</vt:lpstr>
      <vt:lpstr>csersc</vt:lpstr>
      <vt:lpstr>cserhw</vt:lpstr>
      <vt:lpstr>cserca</vt:lpstr>
      <vt:lpstr>cserve</vt:lpstr>
      <vt:lpstr>csersl</vt:lpstr>
      <vt:lpstr>cserbl</vt:lpstr>
      <vt:lpstr>csercr</vt:lpstr>
      <vt:lpstr>cserbt</vt:lpstr>
      <vt:lpstr>cserit</vt:lpstr>
      <vt:lpstr>cagr</vt:lpstr>
      <vt:lpstr>CTR</vt:lpstr>
      <vt:lpstr>ctro</vt:lpstr>
      <vt:lpstr>cp2w</vt:lpstr>
      <vt:lpstr>ccar</vt:lpstr>
      <vt:lpstr>cbus</vt:lpstr>
      <vt:lpstr>clcv</vt:lpstr>
      <vt:lpstr>chdv</vt:lpstr>
      <vt:lpstr>ctra</vt:lpstr>
      <vt:lpstr>crtp</vt:lpstr>
      <vt:lpstr>crth</vt:lpstr>
      <vt:lpstr>crtm</vt:lpstr>
      <vt:lpstr>crtf</vt:lpstr>
      <vt:lpstr>ctav</vt:lpstr>
      <vt:lpstr>capd</vt:lpstr>
      <vt:lpstr>capi</vt:lpstr>
      <vt:lpstr>cape</vt:lpstr>
      <vt:lpstr>cafi</vt:lpstr>
      <vt:lpstr>cafe</vt:lpstr>
      <vt:lpstr>ctdn</vt:lpstr>
      <vt:lpstr>cncs</vt:lpstr>
      <vt:lpstr>cniw</vt:lpstr>
      <vt:lpstr>ctpi</vt:lpstr>
      <vt:lpstr>BUN</vt:lpstr>
      <vt:lpstr>buni</vt:lpstr>
      <vt:lpstr>bune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2018-07-19T13:53:52Z</dcterms:created>
  <dcterms:modified xsi:type="dcterms:W3CDTF">2018-07-19T13:53:54Z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0x01010081C5321FBE674642966488C89890B7BB</vt:lpwstr>
  </property>
</Properties>
</file>