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valentia/ULB/MA1/Formula student/Github2.0/Aero/"/>
    </mc:Choice>
  </mc:AlternateContent>
  <xr:revisionPtr revIDLastSave="0" documentId="13_ncr:1_{81D7EDD4-B958-5944-BF93-22E05F4EA64A}" xr6:coauthVersionLast="47" xr6:coauthVersionMax="47" xr10:uidLastSave="{00000000-0000-0000-0000-000000000000}"/>
  <bookViews>
    <workbookView xWindow="0" yWindow="760" windowWidth="30240" windowHeight="17680" xr2:uid="{72CD3AEE-6873-D14B-A109-DC4015D2E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H18" i="1"/>
  <c r="G18" i="1"/>
  <c r="C4" i="1"/>
  <c r="I4" i="1" s="1"/>
  <c r="J4" i="1" s="1"/>
  <c r="D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C5" i="1" l="1"/>
  <c r="M5" i="1" s="1"/>
  <c r="K4" i="1"/>
  <c r="M4" i="1"/>
  <c r="I5" i="1"/>
  <c r="J5" i="1" s="1"/>
  <c r="L4" i="1"/>
  <c r="L5" i="1"/>
  <c r="C6" i="1"/>
  <c r="I6" i="1" s="1"/>
  <c r="J6" i="1" s="1"/>
  <c r="K5" i="1"/>
  <c r="M6" i="1" l="1"/>
  <c r="L6" i="1"/>
  <c r="K6" i="1"/>
  <c r="C7" i="1"/>
  <c r="I7" i="1" s="1"/>
  <c r="J7" i="1" s="1"/>
  <c r="K7" i="1" l="1"/>
  <c r="M7" i="1"/>
  <c r="C8" i="1"/>
  <c r="I8" i="1" s="1"/>
  <c r="J8" i="1" s="1"/>
  <c r="L7" i="1"/>
  <c r="L8" i="1" l="1"/>
  <c r="K8" i="1"/>
  <c r="M8" i="1"/>
  <c r="C9" i="1"/>
  <c r="I9" i="1" s="1"/>
  <c r="J9" i="1" s="1"/>
  <c r="C10" i="1" l="1"/>
  <c r="I10" i="1" s="1"/>
  <c r="J10" i="1" s="1"/>
  <c r="L9" i="1"/>
  <c r="M9" i="1"/>
  <c r="K9" i="1"/>
  <c r="C11" i="1" l="1"/>
  <c r="I11" i="1" s="1"/>
  <c r="J11" i="1" s="1"/>
  <c r="L10" i="1"/>
  <c r="M10" i="1"/>
  <c r="K10" i="1"/>
  <c r="M11" i="1" l="1"/>
  <c r="C12" i="1"/>
  <c r="I12" i="1" s="1"/>
  <c r="J12" i="1" s="1"/>
  <c r="L11" i="1"/>
  <c r="K11" i="1"/>
  <c r="C13" i="1" l="1"/>
  <c r="I13" i="1" s="1"/>
  <c r="J13" i="1" s="1"/>
  <c r="K12" i="1"/>
  <c r="M12" i="1"/>
  <c r="L12" i="1"/>
  <c r="C14" i="1" l="1"/>
  <c r="I14" i="1" s="1"/>
  <c r="J14" i="1" s="1"/>
  <c r="M13" i="1"/>
  <c r="L13" i="1"/>
  <c r="K13" i="1"/>
  <c r="C15" i="1" l="1"/>
  <c r="I15" i="1" s="1"/>
  <c r="J15" i="1" s="1"/>
  <c r="K14" i="1"/>
  <c r="M14" i="1"/>
  <c r="L14" i="1"/>
  <c r="L15" i="1" l="1"/>
  <c r="K15" i="1"/>
  <c r="M15" i="1"/>
</calcChain>
</file>

<file path=xl/sharedStrings.xml><?xml version="1.0" encoding="utf-8"?>
<sst xmlns="http://schemas.openxmlformats.org/spreadsheetml/2006/main" count="24" uniqueCount="22">
  <si>
    <t>Run</t>
  </si>
  <si>
    <t>Cm</t>
  </si>
  <si>
    <t>Cd</t>
  </si>
  <si>
    <t>Cl</t>
  </si>
  <si>
    <t>Cl(f)</t>
  </si>
  <si>
    <t xml:space="preserve">Cl(r) </t>
  </si>
  <si>
    <t>U_inf [m/s]</t>
  </si>
  <si>
    <t xml:space="preserve">Aref </t>
  </si>
  <si>
    <t>lref</t>
  </si>
  <si>
    <t>rho_inf</t>
  </si>
  <si>
    <t>Fz(r)  [N]</t>
  </si>
  <si>
    <t>Fz(f) [N]</t>
  </si>
  <si>
    <t>Fx [N]</t>
  </si>
  <si>
    <t>U_inf [m/s]2</t>
  </si>
  <si>
    <t>m^2</t>
  </si>
  <si>
    <t>m</t>
  </si>
  <si>
    <t>kg/(m^3)</t>
  </si>
  <si>
    <t>Normalized aerodynamic coefficients obtained without considering the wheels in the geometry</t>
  </si>
  <si>
    <t>U_inf [km/h]</t>
  </si>
  <si>
    <t xml:space="preserve">        </t>
  </si>
  <si>
    <t xml:space="preserve"> 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</si>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</sst>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Aerodynamic</a:t>
            </a:r>
            <a:r>
              <a:rPr lang="en-GB" baseline="0"/>
              <a:t>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Fz(f)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Sheet1!$I$4:$I$16</c:f>
              <c:numCache>
                <c:formatCode>0.0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Sheet1!$K$4:$K$16</c:f>
              <c:numCache>
                <c:formatCode>0.00</c:formatCode>
                <c:ptCount val="13"/>
                <c:pt idx="0">
                  <c:v>-0.68951562500000008</c:v>
                </c:pt>
                <c:pt idx="1">
                  <c:v>-1.9026406250000001</c:v>
                </c:pt>
                <c:pt idx="2">
                  <c:v>-4.6131328125</c:v>
                </c:pt>
                <c:pt idx="3">
                  <c:v>-9.10975</c:v>
                </c:pt>
                <c:pt idx="4">
                  <c:v>-11.2171875</c:v>
                </c:pt>
                <c:pt idx="5">
                  <c:v>-22.068843749999999</c:v>
                </c:pt>
                <c:pt idx="6">
                  <c:v>-26.09403125</c:v>
                </c:pt>
                <c:pt idx="7">
                  <c:v>-36.016750000000002</c:v>
                </c:pt>
                <c:pt idx="8">
                  <c:v>-48.4323046875</c:v>
                </c:pt>
                <c:pt idx="9">
                  <c:v>-53.7421875</c:v>
                </c:pt>
                <c:pt idx="10">
                  <c:v>-67.549667968750001</c:v>
                </c:pt>
                <c:pt idx="11">
                  <c:v>-91.045124999999999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0-EB4D-8ADD-599EF064041F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Fz(r) 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Sheet1!$I$4:$I$16</c:f>
              <c:numCache>
                <c:formatCode>0.0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Sheet1!$L$4:$L$16</c:f>
              <c:numCache>
                <c:formatCode>0.00</c:formatCode>
                <c:ptCount val="13"/>
                <c:pt idx="0">
                  <c:v>-7.0363281249999998</c:v>
                </c:pt>
                <c:pt idx="1">
                  <c:v>-25.612031250000001</c:v>
                </c:pt>
                <c:pt idx="2">
                  <c:v>-56.116054687499997</c:v>
                </c:pt>
                <c:pt idx="3">
                  <c:v>-98.050624999999997</c:v>
                </c:pt>
                <c:pt idx="4">
                  <c:v>-158.2607421875</c:v>
                </c:pt>
                <c:pt idx="5">
                  <c:v>-215.48953125</c:v>
                </c:pt>
                <c:pt idx="6">
                  <c:v>-308.0894140625</c:v>
                </c:pt>
                <c:pt idx="7">
                  <c:v>-398.88</c:v>
                </c:pt>
                <c:pt idx="8">
                  <c:v>-490.25566406249999</c:v>
                </c:pt>
                <c:pt idx="9">
                  <c:v>-624.3046875</c:v>
                </c:pt>
                <c:pt idx="10">
                  <c:v>-749.60917968749993</c:v>
                </c:pt>
                <c:pt idx="11">
                  <c:v>-883.14750000000004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0-EB4D-8ADD-599EF064041F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Fx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Sheet1!$I$4:$I$16</c:f>
              <c:numCache>
                <c:formatCode>0.0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Sheet1!$M$4:$M$16</c:f>
              <c:numCache>
                <c:formatCode>0.00</c:formatCode>
                <c:ptCount val="13"/>
                <c:pt idx="0">
                  <c:v>5.0558593749999998</c:v>
                </c:pt>
                <c:pt idx="1">
                  <c:v>18.631406250000001</c:v>
                </c:pt>
                <c:pt idx="2">
                  <c:v>40.809726562499996</c:v>
                </c:pt>
                <c:pt idx="3">
                  <c:v>71.971249999999998</c:v>
                </c:pt>
                <c:pt idx="4">
                  <c:v>118.3701171875</c:v>
                </c:pt>
                <c:pt idx="5">
                  <c:v>160.5909375</c:v>
                </c:pt>
                <c:pt idx="6">
                  <c:v>224.98273437499998</c:v>
                </c:pt>
                <c:pt idx="7">
                  <c:v>289.6925</c:v>
                </c:pt>
                <c:pt idx="8">
                  <c:v>364.55378906249996</c:v>
                </c:pt>
                <c:pt idx="9">
                  <c:v>460.53515625000006</c:v>
                </c:pt>
                <c:pt idx="10">
                  <c:v>545.32242187500003</c:v>
                </c:pt>
                <c:pt idx="11">
                  <c:v>635.88374999999996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0-EB4D-8ADD-599EF064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44207"/>
        <c:axId val="849250959"/>
      </c:scatterChart>
      <c:valAx>
        <c:axId val="84924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U_inf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250959"/>
        <c:crosses val="autoZero"/>
        <c:crossBetween val="midCat"/>
      </c:valAx>
      <c:valAx>
        <c:axId val="8492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[N]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24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782237</xdr:colOff>
      <xdr:row>21</xdr:row>
      <xdr:rowOff>23770</xdr:rowOff>
    </xdr:from>
    <xdr:to>
      <xdr:col>12</xdr:col>
      <xdr:colOff>625928</xdr:colOff>
      <xdr:row>34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DC5FF-3BF8-2F4D-07BD-85BE6A4B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CB526-52DC-8F4C-8F87-DFE97401B789}" name="Table2" displayName="Table2" ref="B3:M15" totalsRowShown="0">
  <autoFilter ref="B3:M15" xr:uid="{8D6CB526-52DC-8F4C-8F87-DFE97401B789}"/>
  <tableColumns count="12">
    <tableColumn id="1" xr3:uid="{A148976A-D719-7442-B3C1-F3471ED4FD78}" name="Run" dataDxfId="11">
      <calculatedColumnFormula>B3+1</calculatedColumnFormula>
    </tableColumn>
    <tableColumn id="2" xr3:uid="{DE3945F9-9217-3F49-B334-6989CCC41E20}" name="U_inf [m/s]" dataDxfId="10">
      <calculatedColumnFormula>2.5</calculatedColumnFormula>
    </tableColumn>
    <tableColumn id="3" xr3:uid="{60B52B16-BB8D-C34D-928E-512C115F45DC}" name="Cm" dataDxfId="9"/>
    <tableColumn id="4" xr3:uid="{D088FB0B-B1F1-A14A-AEB4-5C900D3B9D20}" name="Cd" dataDxfId="8"/>
    <tableColumn id="5" xr3:uid="{AB8939B4-3BA1-734F-9DC5-A4689D7D934A}" name="Cl" dataDxfId="7"/>
    <tableColumn id="6" xr3:uid="{2E64F88D-F11E-6144-8044-48CE8983E43C}" name="Cl(f)" dataDxfId="6"/>
    <tableColumn id="7" xr3:uid="{352995C1-80D8-8B42-848E-1F24996C4F28}" name="Cl(r) " dataDxfId="5"/>
    <tableColumn id="13" xr3:uid="{DBD9379A-3617-E843-992B-5B4A4FC25E37}" name="U_inf [m/s]2" dataDxfId="4">
      <calculatedColumnFormula>Table2[[#This Row],[U_inf '[m/s']]]</calculatedColumnFormula>
    </tableColumn>
    <tableColumn id="15" xr3:uid="{C0A6AA7F-934F-DF46-817C-BC28C5783A0D}" name="U_inf [km/h]" dataDxfId="3">
      <calculatedColumnFormula>Table2[[#This Row],[U_inf '[m/s']2]]*3.6</calculatedColumnFormula>
    </tableColumn>
    <tableColumn id="10" xr3:uid="{6678AE7F-BDD0-B748-B7D1-9533ED74FB05}" name="Fz(f) [N]" dataDxfId="2">
      <calculatedColumnFormula>0.5*$C$20*(Table2[[#This Row],[U_inf '[m/s']]]^2)*$C$18*Table2[[#This Row],[Cl(f)]]</calculatedColumnFormula>
    </tableColumn>
    <tableColumn id="11" xr3:uid="{F58C6A02-5088-F742-9168-8CC96812DE14}" name="Fz(r)  [N]" dataDxfId="1">
      <calculatedColumnFormula>0.5*$C$20*(Table2[[#This Row],[U_inf '[m/s']]]^2)*$C$18*Table2[[#This Row],[Cl(r) ]]</calculatedColumnFormula>
    </tableColumn>
    <tableColumn id="12" xr3:uid="{BBAF3D65-D13A-1E41-BAD3-6B5FC01BDA8E}" name="Fx [N]" dataDxfId="0">
      <calculatedColumnFormula>0.5*$C$20*(Table2[[#This Row],[U_inf '[m/s']]]^2)*$C$18*Table2[[#This Row],[Cd]]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4FE9-228C-0741-A96B-1A134E6AF4AD}">
  <dimension ref="B2:M24"/>
  <sheetViews>
    <sheetView tabSelected="1" topLeftCell="B1" zoomScale="120" zoomScaleNormal="120" workbookViewId="0">
      <selection activeCell="E17" sqref="E17"/>
    </sheetView>
  </sheetViews>
  <sheetFormatPr baseColWidth="10" defaultRowHeight="16" x14ac:dyDescent="0.2"/>
  <cols>
    <col min="3" max="3" width="12" customWidth="1"/>
    <col min="6" max="6" width="12.33203125" bestFit="1" customWidth="1"/>
    <col min="9" max="9" width="13.83203125" bestFit="1" customWidth="1"/>
    <col min="10" max="10" width="14.83203125" bestFit="1" customWidth="1"/>
  </cols>
  <sheetData>
    <row r="2" spans="2:13" ht="22" x14ac:dyDescent="0.2">
      <c r="B2" s="5"/>
      <c r="C2" s="6" t="s">
        <v>17</v>
      </c>
      <c r="D2" s="5"/>
      <c r="E2" s="5"/>
      <c r="F2" s="5"/>
      <c r="G2" s="5"/>
      <c r="H2" s="5"/>
      <c r="I2" s="5"/>
      <c r="J2" s="5"/>
      <c r="K2" s="5"/>
      <c r="L2" s="5"/>
    </row>
    <row r="3" spans="2:13" x14ac:dyDescent="0.2">
      <c r="B3" t="s">
        <v>0</v>
      </c>
      <c r="C3" t="s">
        <v>6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13</v>
      </c>
      <c r="J3" t="s">
        <v>18</v>
      </c>
      <c r="K3" t="s">
        <v>11</v>
      </c>
      <c r="L3" t="s">
        <v>10</v>
      </c>
      <c r="M3" t="s">
        <v>12</v>
      </c>
    </row>
    <row r="4" spans="2:13" x14ac:dyDescent="0.2">
      <c r="B4" s="3">
        <f>1</f>
        <v>1</v>
      </c>
      <c r="C4" s="2">
        <f t="shared" ref="C4" si="0">2.5</f>
        <v>2.5</v>
      </c>
      <c r="D4" s="1">
        <f>0.812394</f>
        <v>0.81239399999999995</v>
      </c>
      <c r="E4" s="1">
        <v>1.2943</v>
      </c>
      <c r="F4" s="1">
        <v>-1.9778199999999999</v>
      </c>
      <c r="G4" s="1">
        <v>-0.17651600000000001</v>
      </c>
      <c r="H4" s="1">
        <v>-1.8012999999999999</v>
      </c>
      <c r="I4" s="2">
        <f>Table2[[#This Row],[U_inf '[m/s']]]</f>
        <v>2.5</v>
      </c>
      <c r="J4" s="2">
        <f>Table2[[#This Row],[U_inf '[m/s']2]]*3.6</f>
        <v>9</v>
      </c>
      <c r="K4" s="4">
        <f>0.5*$C$20*(Table2[[#This Row],[U_inf '[m/s']]]^2)*$C$18*Table2[[#This Row],[Cl(f)]]</f>
        <v>-0.68951562500000008</v>
      </c>
      <c r="L4" s="4">
        <f>0.5*$C$20*(Table2[[#This Row],[U_inf '[m/s']]]^2)*$C$18*Table2[[#This Row],[Cl(r) ]]</f>
        <v>-7.0363281249999998</v>
      </c>
      <c r="M4" s="4">
        <f>0.5*$C$20*(Table2[[#This Row],[U_inf '[m/s']]]^2)*$C$18*Table2[[#This Row],[Cd]]</f>
        <v>5.0558593749999998</v>
      </c>
    </row>
    <row r="5" spans="2:13" x14ac:dyDescent="0.2">
      <c r="B5" s="3">
        <f>B4+1</f>
        <v>2</v>
      </c>
      <c r="C5" s="2">
        <f>2.5+C4</f>
        <v>5</v>
      </c>
      <c r="D5" s="1">
        <v>-0.75870300000000002</v>
      </c>
      <c r="E5" s="1">
        <v>1.19241</v>
      </c>
      <c r="F5" s="1">
        <v>-1.7609399999999999</v>
      </c>
      <c r="G5" s="1">
        <v>-0.121769</v>
      </c>
      <c r="H5" s="1">
        <v>-1.63917</v>
      </c>
      <c r="I5" s="2">
        <f>Table2[[#This Row],[U_inf '[m/s']]]</f>
        <v>5</v>
      </c>
      <c r="J5" s="2">
        <f>Table2[[#This Row],[U_inf '[m/s']2]]*3.6</f>
        <v>18</v>
      </c>
      <c r="K5" s="4">
        <f>0.5*$C$20*(Table2[[#This Row],[U_inf '[m/s']]]^2)*$C$18*Table2[[#This Row],[Cl(f)]]</f>
        <v>-1.9026406250000001</v>
      </c>
      <c r="L5" s="4">
        <f>0.5*$C$20*(Table2[[#This Row],[U_inf '[m/s']]]^2)*$C$18*Table2[[#This Row],[Cl(r) ]]</f>
        <v>-25.612031250000001</v>
      </c>
      <c r="M5" s="4">
        <f>0.5*$C$20*(Table2[[#This Row],[U_inf '[m/s']]]^2)*$C$18*Table2[[#This Row],[Cd]]</f>
        <v>18.631406250000001</v>
      </c>
    </row>
    <row r="6" spans="2:13" x14ac:dyDescent="0.2">
      <c r="B6" s="3">
        <f t="shared" ref="B6:B15" si="1">B5+1</f>
        <v>3</v>
      </c>
      <c r="C6" s="2">
        <f t="shared" ref="C6:C15" si="2">2.5+C5</f>
        <v>7.5</v>
      </c>
      <c r="D6" s="1">
        <v>0.732487</v>
      </c>
      <c r="E6" s="1">
        <v>1.1608099999999999</v>
      </c>
      <c r="F6" s="1">
        <v>-1.7274099999999999</v>
      </c>
      <c r="G6" s="1">
        <v>-0.131218</v>
      </c>
      <c r="H6" s="1">
        <v>-1.59619</v>
      </c>
      <c r="I6" s="2">
        <f>Table2[[#This Row],[U_inf '[m/s']]]</f>
        <v>7.5</v>
      </c>
      <c r="J6" s="2">
        <f>Table2[[#This Row],[U_inf '[m/s']2]]*3.6</f>
        <v>27</v>
      </c>
      <c r="K6" s="4">
        <f>0.5*$C$20*(Table2[[#This Row],[U_inf '[m/s']]]^2)*$C$18*Table2[[#This Row],[Cl(f)]]</f>
        <v>-4.6131328125</v>
      </c>
      <c r="L6" s="4">
        <f>0.5*$C$20*(Table2[[#This Row],[U_inf '[m/s']]]^2)*$C$18*Table2[[#This Row],[Cl(r) ]]</f>
        <v>-56.116054687499997</v>
      </c>
      <c r="M6" s="4">
        <f>0.5*$C$20*(Table2[[#This Row],[U_inf '[m/s']]]^2)*$C$18*Table2[[#This Row],[Cd]]</f>
        <v>40.809726562499996</v>
      </c>
    </row>
    <row r="7" spans="2:13" x14ac:dyDescent="0.2">
      <c r="B7" s="3">
        <f t="shared" si="1"/>
        <v>4</v>
      </c>
      <c r="C7" s="2">
        <f t="shared" si="2"/>
        <v>10</v>
      </c>
      <c r="D7" s="1">
        <v>0.71152899999999997</v>
      </c>
      <c r="E7" s="1">
        <v>1.15154</v>
      </c>
      <c r="F7" s="1">
        <v>-1.7145699999999999</v>
      </c>
      <c r="G7" s="1">
        <v>-0.145756</v>
      </c>
      <c r="H7" s="1">
        <v>-1.56881</v>
      </c>
      <c r="I7" s="2">
        <f>Table2[[#This Row],[U_inf '[m/s']]]</f>
        <v>10</v>
      </c>
      <c r="J7" s="2">
        <f>Table2[[#This Row],[U_inf '[m/s']2]]*3.6</f>
        <v>36</v>
      </c>
      <c r="K7" s="4">
        <f>0.5*$C$20*(Table2[[#This Row],[U_inf '[m/s']]]^2)*$C$18*Table2[[#This Row],[Cl(f)]]</f>
        <v>-9.10975</v>
      </c>
      <c r="L7" s="4">
        <f>0.5*$C$20*(Table2[[#This Row],[U_inf '[m/s']]]^2)*$C$18*Table2[[#This Row],[Cl(r) ]]</f>
        <v>-98.050624999999997</v>
      </c>
      <c r="M7" s="4">
        <f>0.5*$C$20*(Table2[[#This Row],[U_inf '[m/s']]]^2)*$C$18*Table2[[#This Row],[Cd]]</f>
        <v>71.971249999999998</v>
      </c>
    </row>
    <row r="8" spans="2:13" x14ac:dyDescent="0.2">
      <c r="B8" s="3">
        <f t="shared" si="1"/>
        <v>5</v>
      </c>
      <c r="C8" s="2">
        <f t="shared" si="2"/>
        <v>12.5</v>
      </c>
      <c r="D8" s="1">
        <v>0.752861</v>
      </c>
      <c r="E8" s="1">
        <v>1.21211</v>
      </c>
      <c r="F8" s="1">
        <v>-1.7354499999999999</v>
      </c>
      <c r="G8" s="1">
        <v>-0.11486399999999999</v>
      </c>
      <c r="H8" s="1">
        <v>-1.62059</v>
      </c>
      <c r="I8" s="2">
        <f>Table2[[#This Row],[U_inf '[m/s']]]</f>
        <v>12.5</v>
      </c>
      <c r="J8" s="2">
        <f>Table2[[#This Row],[U_inf '[m/s']2]]*3.6</f>
        <v>45</v>
      </c>
      <c r="K8" s="4">
        <f>0.5*$C$20*(Table2[[#This Row],[U_inf '[m/s']]]^2)*$C$18*Table2[[#This Row],[Cl(f)]]</f>
        <v>-11.2171875</v>
      </c>
      <c r="L8" s="4">
        <f>0.5*$C$20*(Table2[[#This Row],[U_inf '[m/s']]]^2)*$C$18*Table2[[#This Row],[Cl(r) ]]</f>
        <v>-158.2607421875</v>
      </c>
      <c r="M8" s="4">
        <f>0.5*$C$20*(Table2[[#This Row],[U_inf '[m/s']]]^2)*$C$18*Table2[[#This Row],[Cd]]</f>
        <v>118.3701171875</v>
      </c>
    </row>
    <row r="9" spans="2:13" x14ac:dyDescent="0.2">
      <c r="B9" s="3">
        <f t="shared" si="1"/>
        <v>6</v>
      </c>
      <c r="C9" s="2">
        <f t="shared" si="2"/>
        <v>15</v>
      </c>
      <c r="D9" s="1">
        <v>0.68771899999999997</v>
      </c>
      <c r="E9" s="1">
        <v>1.14198</v>
      </c>
      <c r="F9" s="1">
        <v>-1.6893100000000001</v>
      </c>
      <c r="G9" s="1">
        <v>-0.15693399999999999</v>
      </c>
      <c r="H9" s="1">
        <v>-1.53237</v>
      </c>
      <c r="I9" s="2">
        <f>Table2[[#This Row],[U_inf '[m/s']]]</f>
        <v>15</v>
      </c>
      <c r="J9" s="2">
        <f>Table2[[#This Row],[U_inf '[m/s']2]]*3.6</f>
        <v>54</v>
      </c>
      <c r="K9" s="4">
        <f>0.5*$C$20*(Table2[[#This Row],[U_inf '[m/s']]]^2)*$C$18*Table2[[#This Row],[Cl(f)]]</f>
        <v>-22.068843749999999</v>
      </c>
      <c r="L9" s="4">
        <f>0.5*$C$20*(Table2[[#This Row],[U_inf '[m/s']]]^2)*$C$18*Table2[[#This Row],[Cl(r) ]]</f>
        <v>-215.48953125</v>
      </c>
      <c r="M9" s="4">
        <f>0.5*$C$20*(Table2[[#This Row],[U_inf '[m/s']]]^2)*$C$18*Table2[[#This Row],[Cd]]</f>
        <v>160.5909375</v>
      </c>
    </row>
    <row r="10" spans="2:13" x14ac:dyDescent="0.2">
      <c r="B10" s="3">
        <f t="shared" si="1"/>
        <v>7</v>
      </c>
      <c r="C10" s="2">
        <f t="shared" si="2"/>
        <v>17.5</v>
      </c>
      <c r="D10" s="1">
        <v>0.73664300000000005</v>
      </c>
      <c r="E10" s="1">
        <v>1.1754199999999999</v>
      </c>
      <c r="F10" s="1">
        <v>-1.74594</v>
      </c>
      <c r="G10" s="1">
        <v>-0.136328</v>
      </c>
      <c r="H10" s="1">
        <v>-1.60961</v>
      </c>
      <c r="I10" s="2">
        <f>Table2[[#This Row],[U_inf '[m/s']]]</f>
        <v>17.5</v>
      </c>
      <c r="J10" s="2">
        <f>Table2[[#This Row],[U_inf '[m/s']2]]*3.6</f>
        <v>63</v>
      </c>
      <c r="K10" s="4">
        <f>0.5*$C$20*(Table2[[#This Row],[U_inf '[m/s']]]^2)*$C$18*Table2[[#This Row],[Cl(f)]]</f>
        <v>-26.09403125</v>
      </c>
      <c r="L10" s="4">
        <f>0.5*$C$20*(Table2[[#This Row],[U_inf '[m/s']]]^2)*$C$18*Table2[[#This Row],[Cl(r) ]]</f>
        <v>-308.0894140625</v>
      </c>
      <c r="M10" s="4">
        <f>0.5*$C$20*(Table2[[#This Row],[U_inf '[m/s']]]^2)*$C$18*Table2[[#This Row],[Cd]]</f>
        <v>224.98273437499998</v>
      </c>
    </row>
    <row r="11" spans="2:13" x14ac:dyDescent="0.2">
      <c r="B11" s="3">
        <f t="shared" si="1"/>
        <v>8</v>
      </c>
      <c r="C11" s="2">
        <f t="shared" si="2"/>
        <v>20</v>
      </c>
      <c r="D11" s="1">
        <v>0.72572700000000001</v>
      </c>
      <c r="E11" s="1">
        <v>1.1587700000000001</v>
      </c>
      <c r="F11" s="1">
        <v>-1.73959</v>
      </c>
      <c r="G11" s="1">
        <v>-0.144067</v>
      </c>
      <c r="H11" s="1">
        <v>-1.59552</v>
      </c>
      <c r="I11" s="2">
        <f>Table2[[#This Row],[U_inf '[m/s']]]</f>
        <v>20</v>
      </c>
      <c r="J11" s="2">
        <f>Table2[[#This Row],[U_inf '[m/s']2]]*3.6</f>
        <v>72</v>
      </c>
      <c r="K11" s="4">
        <f>0.5*$C$20*(Table2[[#This Row],[U_inf '[m/s']]]^2)*$C$18*Table2[[#This Row],[Cl(f)]]</f>
        <v>-36.016750000000002</v>
      </c>
      <c r="L11" s="4">
        <f>0.5*$C$20*(Table2[[#This Row],[U_inf '[m/s']]]^2)*$C$18*Table2[[#This Row],[Cl(r) ]]</f>
        <v>-398.88</v>
      </c>
      <c r="M11" s="4">
        <f>0.5*$C$20*(Table2[[#This Row],[U_inf '[m/s']]]^2)*$C$18*Table2[[#This Row],[Cd]]</f>
        <v>289.6925</v>
      </c>
    </row>
    <row r="12" spans="2:13" x14ac:dyDescent="0.2">
      <c r="B12" s="3">
        <f t="shared" si="1"/>
        <v>9</v>
      </c>
      <c r="C12" s="2">
        <f t="shared" si="2"/>
        <v>22.5</v>
      </c>
      <c r="D12" s="1">
        <v>0.69818899999999995</v>
      </c>
      <c r="E12" s="1">
        <v>1.1521699999999999</v>
      </c>
      <c r="F12" s="1">
        <v>-1.70252</v>
      </c>
      <c r="G12" s="1">
        <v>-0.15307000000000001</v>
      </c>
      <c r="H12" s="1">
        <v>-1.54945</v>
      </c>
      <c r="I12" s="2">
        <f>Table2[[#This Row],[U_inf '[m/s']]]</f>
        <v>22.5</v>
      </c>
      <c r="J12" s="2">
        <f>Table2[[#This Row],[U_inf '[m/s']2]]*3.6</f>
        <v>81</v>
      </c>
      <c r="K12" s="4">
        <f>0.5*$C$20*(Table2[[#This Row],[U_inf '[m/s']]]^2)*$C$18*Table2[[#This Row],[Cl(f)]]</f>
        <v>-48.4323046875</v>
      </c>
      <c r="L12" s="4">
        <f>0.5*$C$20*(Table2[[#This Row],[U_inf '[m/s']]]^2)*$C$18*Table2[[#This Row],[Cl(r) ]]</f>
        <v>-490.25566406249999</v>
      </c>
      <c r="M12" s="4">
        <f>0.5*$C$20*(Table2[[#This Row],[U_inf '[m/s']]]^2)*$C$18*Table2[[#This Row],[Cd]]</f>
        <v>364.55378906249996</v>
      </c>
    </row>
    <row r="13" spans="2:13" x14ac:dyDescent="0.2">
      <c r="B13" s="3">
        <f t="shared" si="1"/>
        <v>10</v>
      </c>
      <c r="C13" s="2">
        <f t="shared" si="2"/>
        <v>25</v>
      </c>
      <c r="D13" s="1">
        <v>0.73031900000000005</v>
      </c>
      <c r="E13" s="1">
        <v>1.1789700000000001</v>
      </c>
      <c r="F13" s="1">
        <v>-1.7358</v>
      </c>
      <c r="G13" s="1">
        <v>-0.13758000000000001</v>
      </c>
      <c r="H13" s="1">
        <v>-1.59822</v>
      </c>
      <c r="I13" s="2">
        <f>Table2[[#This Row],[U_inf '[m/s']]]</f>
        <v>25</v>
      </c>
      <c r="J13" s="2">
        <f>Table2[[#This Row],[U_inf '[m/s']2]]*3.6</f>
        <v>90</v>
      </c>
      <c r="K13" s="4">
        <f>0.5*$C$20*(Table2[[#This Row],[U_inf '[m/s']]]^2)*$C$18*Table2[[#This Row],[Cl(f)]]</f>
        <v>-53.7421875</v>
      </c>
      <c r="L13" s="4">
        <f>0.5*$C$20*(Table2[[#This Row],[U_inf '[m/s']]]^2)*$C$18*Table2[[#This Row],[Cl(r) ]]</f>
        <v>-624.3046875</v>
      </c>
      <c r="M13" s="4">
        <f>0.5*$C$20*(Table2[[#This Row],[U_inf '[m/s']]]^2)*$C$18*Table2[[#This Row],[Cd]]</f>
        <v>460.53515625000006</v>
      </c>
    </row>
    <row r="14" spans="2:13" x14ac:dyDescent="0.2">
      <c r="B14" s="3">
        <f t="shared" si="1"/>
        <v>11</v>
      </c>
      <c r="C14" s="2">
        <f t="shared" si="2"/>
        <v>27.5</v>
      </c>
      <c r="D14" s="1">
        <v>0.72151500000000002</v>
      </c>
      <c r="E14" s="1">
        <v>1.15374</v>
      </c>
      <c r="F14" s="1">
        <v>-1.7288600000000001</v>
      </c>
      <c r="G14" s="1">
        <v>-0.14291499999999999</v>
      </c>
      <c r="H14" s="1">
        <v>-1.58595</v>
      </c>
      <c r="I14" s="2">
        <f>Table2[[#This Row],[U_inf '[m/s']]]</f>
        <v>27.5</v>
      </c>
      <c r="J14" s="2">
        <f>Table2[[#This Row],[U_inf '[m/s']2]]*3.6</f>
        <v>99</v>
      </c>
      <c r="K14" s="4">
        <f>0.5*$C$20*(Table2[[#This Row],[U_inf '[m/s']]]^2)*$C$18*Table2[[#This Row],[Cl(f)]]</f>
        <v>-67.549667968750001</v>
      </c>
      <c r="L14" s="4">
        <f>0.5*$C$20*(Table2[[#This Row],[U_inf '[m/s']]]^2)*$C$18*Table2[[#This Row],[Cl(r) ]]</f>
        <v>-749.60917968749993</v>
      </c>
      <c r="M14" s="4">
        <f>0.5*$C$20*(Table2[[#This Row],[U_inf '[m/s']]]^2)*$C$18*Table2[[#This Row],[Cd]]</f>
        <v>545.32242187500003</v>
      </c>
    </row>
    <row r="15" spans="2:13" x14ac:dyDescent="0.2">
      <c r="B15" s="3">
        <f t="shared" si="1"/>
        <v>12</v>
      </c>
      <c r="C15" s="2">
        <f t="shared" si="2"/>
        <v>30</v>
      </c>
      <c r="D15" s="1">
        <v>0.70408899999999996</v>
      </c>
      <c r="E15" s="1">
        <v>1.13046</v>
      </c>
      <c r="F15" s="1">
        <v>-1.7318899999999999</v>
      </c>
      <c r="G15" s="1">
        <v>-0.161858</v>
      </c>
      <c r="H15" s="1">
        <v>-1.5700400000000001</v>
      </c>
      <c r="I15" s="2">
        <f>Table2[[#This Row],[U_inf '[m/s']]]</f>
        <v>30</v>
      </c>
      <c r="J15" s="2">
        <f>Table2[[#This Row],[U_inf '[m/s']2]]*3.6</f>
        <v>108</v>
      </c>
      <c r="K15" s="4">
        <f>0.5*$C$20*(Table2[[#This Row],[U_inf '[m/s']]]^2)*$C$18*Table2[[#This Row],[Cl(f)]]</f>
        <v>-91.045124999999999</v>
      </c>
      <c r="L15" s="4">
        <f>0.5*$C$20*(Table2[[#This Row],[U_inf '[m/s']]]^2)*$C$18*Table2[[#This Row],[Cl(r) ]]</f>
        <v>-883.14750000000004</v>
      </c>
      <c r="M15" s="4">
        <f>0.5*$C$20*(Table2[[#This Row],[U_inf '[m/s']]]^2)*$C$18*Table2[[#This Row],[Cd]]</f>
        <v>635.88374999999996</v>
      </c>
    </row>
    <row r="17" spans="2:8" x14ac:dyDescent="0.2">
      <c r="B17" s="10"/>
      <c r="C17" s="10"/>
      <c r="D17" s="10" t="s">
        <v>20</v>
      </c>
      <c r="E17" t="s">
        <v>21</v>
      </c>
      <c r="G17" t="s">
        <v>21</v>
      </c>
      <c r="H17" t="s">
        <v>21</v>
      </c>
    </row>
    <row r="18" spans="2:8" x14ac:dyDescent="0.2">
      <c r="B18" s="13" t="s">
        <v>7</v>
      </c>
      <c r="C18" s="11">
        <v>1</v>
      </c>
      <c r="D18" s="12" t="s">
        <v>14</v>
      </c>
      <c r="E18">
        <f>AVERAGE(Table2[Cd])</f>
        <v>1.1752233333333333</v>
      </c>
      <c r="G18">
        <f>AVERAGE(Table2[Cl(f)])</f>
        <v>-0.14357291666666666</v>
      </c>
      <c r="H18">
        <f>AVERAGE(Table2[Cl(r) ])</f>
        <v>-1.6056016666666668</v>
      </c>
    </row>
    <row r="19" spans="2:8" x14ac:dyDescent="0.2">
      <c r="B19" s="13" t="s">
        <v>8</v>
      </c>
      <c r="C19" s="11">
        <v>1.43</v>
      </c>
      <c r="D19" s="12" t="s">
        <v>15</v>
      </c>
    </row>
    <row r="20" spans="2:8" x14ac:dyDescent="0.2">
      <c r="B20" s="7" t="s">
        <v>9</v>
      </c>
      <c r="C20" s="8">
        <v>1.25</v>
      </c>
      <c r="D20" s="9" t="s">
        <v>16</v>
      </c>
    </row>
    <row r="24" spans="2:8" x14ac:dyDescent="0.2">
      <c r="C24" t="s">
        <v>19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VALENTIA Francesco</dc:creator>
  <cp:lastModifiedBy>VALENTIA Francesco</cp:lastModifiedBy>
  <dcterms:created xsi:type="dcterms:W3CDTF">2025-02-04T15:55:39Z</dcterms:created>
  <dcterms:modified xsi:type="dcterms:W3CDTF">2025-02-27T17:20:47Z</dcterms:modified>
</cp:coreProperties>
</file>