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OneDrive\Documents\IO-Sphere\Week 10\"/>
    </mc:Choice>
  </mc:AlternateContent>
  <xr:revisionPtr revIDLastSave="0" documentId="13_ncr:1_{AE3E5659-CB19-4CBA-9D58-0F81EF5DF38E}" xr6:coauthVersionLast="47" xr6:coauthVersionMax="47" xr10:uidLastSave="{00000000-0000-0000-0000-000000000000}"/>
  <bookViews>
    <workbookView xWindow="-120" yWindow="-120" windowWidth="20730" windowHeight="11160" activeTab="2" xr2:uid="{E2A7A7B8-71EF-427D-BB4A-3F71A02C7CFD}"/>
  </bookViews>
  <sheets>
    <sheet name="Sheet1" sheetId="2" r:id="rId1"/>
    <sheet name="Sheet2" sheetId="3" r:id="rId2"/>
    <sheet name="Reduced discount" sheetId="4" r:id="rId3"/>
    <sheet name="Prism_plus_impact_pre_and_post_" sheetId="1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L17" i="4"/>
  <c r="M13" i="4"/>
  <c r="M14" i="4"/>
  <c r="M15" i="4"/>
  <c r="M16" i="4"/>
  <c r="L13" i="4"/>
  <c r="L14" i="4"/>
  <c r="L15" i="4"/>
  <c r="L16" i="4"/>
  <c r="F13" i="4"/>
  <c r="G13" i="4" s="1"/>
  <c r="D16" i="4"/>
  <c r="D15" i="4"/>
  <c r="D13" i="4"/>
  <c r="D14" i="4"/>
  <c r="E17" i="4"/>
  <c r="C17" i="4"/>
  <c r="G14" i="4"/>
  <c r="F15" i="4"/>
  <c r="G15" i="4" s="1"/>
  <c r="F16" i="4"/>
  <c r="G16" i="4" s="1"/>
  <c r="I13" i="4"/>
  <c r="J13" i="4" s="1"/>
  <c r="I14" i="4"/>
  <c r="J14" i="4" s="1"/>
  <c r="I15" i="4"/>
  <c r="J15" i="4" s="1"/>
  <c r="I16" i="4"/>
  <c r="J16" i="4" s="1"/>
  <c r="K13" i="4" l="1"/>
  <c r="F17" i="4"/>
  <c r="K15" i="4"/>
  <c r="J17" i="4"/>
  <c r="K16" i="4"/>
  <c r="K14" i="4"/>
  <c r="M17" i="4" l="1"/>
  <c r="K17" i="4"/>
  <c r="C23" i="3"/>
  <c r="C20" i="3"/>
  <c r="C21" i="3"/>
  <c r="C22" i="3"/>
  <c r="C24" i="3"/>
  <c r="C19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B26" i="3" s="1"/>
  <c r="C26" i="3" s="1"/>
  <c r="F12" i="3"/>
  <c r="G12" i="3" s="1"/>
  <c r="F4" i="3"/>
  <c r="G4" i="3" s="1"/>
  <c r="E25" i="2"/>
  <c r="F25" i="2" s="1"/>
  <c r="E24" i="2"/>
  <c r="F24" i="2" s="1"/>
  <c r="E23" i="2"/>
  <c r="F23" i="2" s="1"/>
  <c r="E22" i="2"/>
  <c r="F22" i="2" s="1"/>
  <c r="E15" i="2"/>
  <c r="F15" i="2" s="1"/>
  <c r="E16" i="2"/>
  <c r="F16" i="2" s="1"/>
  <c r="E13" i="2"/>
  <c r="F13" i="2" s="1"/>
  <c r="E14" i="2"/>
  <c r="F14" i="2" s="1"/>
  <c r="G11" i="3" l="1"/>
  <c r="B25" i="3"/>
  <c r="C25" i="3" s="1"/>
  <c r="E25" i="3" s="1"/>
  <c r="E26" i="2"/>
  <c r="F26" i="2" s="1"/>
  <c r="E17" i="2"/>
  <c r="F17" i="2" s="1"/>
</calcChain>
</file>

<file path=xl/sharedStrings.xml><?xml version="1.0" encoding="utf-8"?>
<sst xmlns="http://schemas.openxmlformats.org/spreadsheetml/2006/main" count="133" uniqueCount="61">
  <si>
    <t>plus_or_pseudo_status</t>
  </si>
  <si>
    <t>user_count</t>
  </si>
  <si>
    <t>AOF_2022</t>
  </si>
  <si>
    <t>ABV_2022</t>
  </si>
  <si>
    <t>total_revenue_2022</t>
  </si>
  <si>
    <t>total_profit_2022</t>
  </si>
  <si>
    <t>average_profit_margin_percent_2022</t>
  </si>
  <si>
    <t>AOF_pre_2022</t>
  </si>
  <si>
    <t>ABV_pre_2022</t>
  </si>
  <si>
    <t>total_revenue_pre_2022</t>
  </si>
  <si>
    <t>total_profit_pre_2022</t>
  </si>
  <si>
    <t>average_profit_margin_percent_pre_2022</t>
  </si>
  <si>
    <t>Actual Bronze</t>
  </si>
  <si>
    <t>Actual Gold</t>
  </si>
  <si>
    <t>Actual Platinum</t>
  </si>
  <si>
    <t>Actual Silver</t>
  </si>
  <si>
    <t>Row Labels</t>
  </si>
  <si>
    <t>Grand Total</t>
  </si>
  <si>
    <t>Sum of AOF_2022</t>
  </si>
  <si>
    <t>Sum of ABV_2022</t>
  </si>
  <si>
    <t>Sum of total_revenue_2022</t>
  </si>
  <si>
    <t>Total revenue w/o discount</t>
  </si>
  <si>
    <t>Profit lost</t>
  </si>
  <si>
    <t>True Bronze</t>
  </si>
  <si>
    <t>True Gold</t>
  </si>
  <si>
    <t>True Platinum</t>
  </si>
  <si>
    <t>True Silver</t>
  </si>
  <si>
    <t>Control Bronze</t>
  </si>
  <si>
    <t>Control Gold</t>
  </si>
  <si>
    <t>Control Platinum</t>
  </si>
  <si>
    <t>Control Silver</t>
  </si>
  <si>
    <t>Sum of total_profit_2022</t>
  </si>
  <si>
    <t>Total profit w/o discount</t>
  </si>
  <si>
    <t>Total Profit lost to discounts</t>
  </si>
  <si>
    <t>Sum of user_count</t>
  </si>
  <si>
    <t>Estimated total transactions</t>
  </si>
  <si>
    <t>Assume new AOF = 0.95 and ABV = 70.00 for New Control Gold</t>
  </si>
  <si>
    <t>Assume new AOV = 2.0 and ABV = 50 for New Test Gold</t>
  </si>
  <si>
    <t>Prism+ groups</t>
  </si>
  <si>
    <t>New True Gold</t>
  </si>
  <si>
    <t>New Control Gold</t>
  </si>
  <si>
    <t>Estimated revenue based on ABV</t>
  </si>
  <si>
    <t>New estimated revenue based on ABV</t>
  </si>
  <si>
    <t>Original estimated revenue based on ABV</t>
  </si>
  <si>
    <t>Sum of average_profit_margin_percent_2022</t>
  </si>
  <si>
    <t>Sum of average_profit_margin_percent_pre_2022</t>
  </si>
  <si>
    <t>Tier</t>
  </si>
  <si>
    <t>New discount</t>
  </si>
  <si>
    <t>Current revenue</t>
  </si>
  <si>
    <t>Current transactions</t>
  </si>
  <si>
    <t>New transactions</t>
  </si>
  <si>
    <t>Revenue difference</t>
  </si>
  <si>
    <t>Expected transaction drop-off percentage</t>
  </si>
  <si>
    <t>Above column is to correct ABV-based revenue to better match real revenue</t>
  </si>
  <si>
    <t>Revenue based on transaction count and ABV</t>
  </si>
  <si>
    <t>New Revenue based on transaction count and  ABV</t>
  </si>
  <si>
    <t>Current revenue without discounts</t>
  </si>
  <si>
    <t>New actual revenue without discounts</t>
  </si>
  <si>
    <t>Assume ABV is the same with new discounts (VERY UNLIKELY)</t>
  </si>
  <si>
    <t>Revenue difference ratio between non-discount and ABV-calculated revenue</t>
  </si>
  <si>
    <t>New actual revenue with new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</si>
</sst>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6" fillId="0" borderId="0" xfId="0" applyFont="1"/>
    <xf numFmtId="1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lost due to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Profit lost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Sheet1!$A$13:$A$17</c15:sqref>
                  </c15:fullRef>
                </c:ext>
              </c:extLst>
              <c:f>Sheet1!$A$13:$A$16</c:f>
              <c:strCache>
                <c:ptCount val="4"/>
                <c:pt idx="0">
                  <c:v>True Gold</c:v>
                </c:pt>
                <c:pt idx="1">
                  <c:v>True Bronze</c:v>
                </c:pt>
                <c:pt idx="2">
                  <c:v>True Silver</c:v>
                </c:pt>
                <c:pt idx="3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Sheet1!$F$13:$F$17</c15:sqref>
                  </c15:fullRef>
                </c:ext>
              </c:extLst>
              <c:f>Sheet1!$F$13:$F$16</c:f>
              <c:numCache>
                <c:formatCode>0.00</c:formatCode>
                <c:ptCount val="4"/>
                <c:pt idx="0">
                  <c:v>10014.659512499988</c:v>
                </c:pt>
                <c:pt idx="1">
                  <c:v>11206.809012499958</c:v>
                </c:pt>
                <c:pt idx="2">
                  <c:v>12302.229999999894</c:v>
                </c:pt>
                <c:pt idx="3">
                  <c:v>27305.583600000013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D-452A-800B-CF23F92D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424480"/>
        <c:axId val="626424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Sum of AOF_2022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Sheet1!$A$13:$A$17</c15:sqref>
                        </c15:fullRef>
                        <c15:formulaRef>
                          <c15:sqref>Sheet1!$A$13:$A$16</c15:sqref>
                        </c15:formulaRef>
                      </c:ext>
                    </c:extLst>
                    <c:strCache>
                      <c:ptCount val="4"/>
                      <c:pt idx="0">
                        <c:v>True Gold</c:v>
                      </c:pt>
                      <c:pt idx="1">
                        <c:v>True Bronze</c:v>
                      </c:pt>
                      <c:pt idx="2">
                        <c:v>True Silver</c:v>
                      </c:pt>
                      <c:pt idx="3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Sheet1!$B$13:$B$17</c15:sqref>
                        </c15:fullRef>
                        <c15:formulaRef>
                          <c15:sqref>Sheet1!$B$13:$B$16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1.30091533180777</c:v>
                      </c:pt>
                      <c:pt idx="1">
                        <c:v>0.55517287057888398</c:v>
                      </c:pt>
                      <c:pt idx="2">
                        <c:v>0.97572605114867705</c:v>
                      </c:pt>
                      <c:pt idx="3">
                        <c:v>2.6640316205533598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2D-452A-800B-CF23F92DD1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Sum of ABV_2022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Sheet1!$A$13:$A$17</c15:sqref>
                        </c15:fullRef>
                        <c15:formulaRef>
                          <c15:sqref>Sheet1!$A$13:$A$16</c15:sqref>
                        </c15:formulaRef>
                      </c:ext>
                    </c:extLst>
                    <c:strCache>
                      <c:ptCount val="4"/>
                      <c:pt idx="0">
                        <c:v>True Gold</c:v>
                      </c:pt>
                      <c:pt idx="1">
                        <c:v>True Bronze</c:v>
                      </c:pt>
                      <c:pt idx="2">
                        <c:v>True Silver</c:v>
                      </c:pt>
                      <c:pt idx="3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Sheet1!$C$13:$C$17</c15:sqref>
                        </c15:fullRef>
                        <c15:formulaRef>
                          <c15:sqref>Sheet1!$C$13:$C$16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51.086219728951598</c:v>
                      </c:pt>
                      <c:pt idx="1">
                        <c:v>52.1998173383774</c:v>
                      </c:pt>
                      <c:pt idx="2">
                        <c:v>52.473494144305199</c:v>
                      </c:pt>
                      <c:pt idx="3">
                        <c:v>49.303538183298997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2D-452A-800B-CF23F92DD1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Sum of total_revenue_2022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Sheet1!$A$13:$A$17</c15:sqref>
                        </c15:fullRef>
                        <c15:formulaRef>
                          <c15:sqref>Sheet1!$A$13:$A$16</c15:sqref>
                        </c15:formulaRef>
                      </c:ext>
                    </c:extLst>
                    <c:strCache>
                      <c:ptCount val="4"/>
                      <c:pt idx="0">
                        <c:v>True Gold</c:v>
                      </c:pt>
                      <c:pt idx="1">
                        <c:v>True Bronze</c:v>
                      </c:pt>
                      <c:pt idx="2">
                        <c:v>True Silver</c:v>
                      </c:pt>
                      <c:pt idx="3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Sheet1!$D$13:$D$17</c15:sqref>
                        </c15:fullRef>
                        <c15:formulaRef>
                          <c15:sqref>Sheet1!$D$13:$D$16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66764.396749999898</c:v>
                      </c:pt>
                      <c:pt idx="1">
                        <c:v>224136.18024999899</c:v>
                      </c:pt>
                      <c:pt idx="2">
                        <c:v>123022.299999999</c:v>
                      </c:pt>
                      <c:pt idx="3">
                        <c:v>136527.91800000001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2D-452A-800B-CF23F92DD1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Total revenue w/o discount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Sheet1!$A$13:$A$17</c15:sqref>
                        </c15:fullRef>
                        <c15:formulaRef>
                          <c15:sqref>Sheet1!$A$13:$A$16</c15:sqref>
                        </c15:formulaRef>
                      </c:ext>
                    </c:extLst>
                    <c:strCache>
                      <c:ptCount val="4"/>
                      <c:pt idx="0">
                        <c:v>True Gold</c:v>
                      </c:pt>
                      <c:pt idx="1">
                        <c:v>True Bronze</c:v>
                      </c:pt>
                      <c:pt idx="2">
                        <c:v>True Silver</c:v>
                      </c:pt>
                      <c:pt idx="3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Sheet1!$E$13:$E$17</c15:sqref>
                        </c15:fullRef>
                        <c15:formulaRef>
                          <c15:sqref>Sheet1!$E$13:$E$16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76779.056262499886</c:v>
                      </c:pt>
                      <c:pt idx="1">
                        <c:v>235342.98926249894</c:v>
                      </c:pt>
                      <c:pt idx="2">
                        <c:v>135324.52999999889</c:v>
                      </c:pt>
                      <c:pt idx="3">
                        <c:v>163833.50160000002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2D-452A-800B-CF23F92DD1BA}"/>
                  </c:ext>
                </c:extLst>
              </c15:ser>
            </c15:filteredBarSeries>
          </c:ext>
        </c:extLst>
      </c:barChart>
      <c:catAx>
        <c:axId val="6264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24840"/>
        <c:crosses val="autoZero"/>
        <c:auto val="1"/>
        <c:lblAlgn val="ctr"/>
        <c:lblOffset val="100"/>
        <c:noMultiLvlLbl val="0"/>
      </c:catAx>
      <c:valAx>
        <c:axId val="6264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Sheet1!$F$21</c:f>
              <c:strCache>
                <c:ptCount val="1"/>
                <c:pt idx="0">
                  <c:v>Total Profit lost to discounts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Sheet1!$A$22:$A$26</c15:sqref>
                  </c15:fullRef>
                </c:ext>
              </c:extLst>
              <c:f>Sheet1!$A$22:$A$25</c:f>
              <c:strCache>
                <c:ptCount val="4"/>
                <c:pt idx="0">
                  <c:v>Actual Bronze</c:v>
                </c:pt>
                <c:pt idx="1">
                  <c:v>Actual Silver</c:v>
                </c:pt>
                <c:pt idx="2">
                  <c:v>Actual Gold</c:v>
                </c:pt>
                <c:pt idx="3">
                  <c:v>Actual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Sheet1!$F$22:$F$26</c15:sqref>
                  </c15:fullRef>
                </c:ext>
              </c:extLst>
              <c:f>Sheet1!$F$22:$F$25</c:f>
              <c:numCache>
                <c:formatCode>0.00</c:formatCode>
                <c:ptCount val="4"/>
                <c:pt idx="0">
                  <c:v>7484.7440124999848</c:v>
                </c:pt>
                <c:pt idx="1">
                  <c:v>8173.4899999999907</c:v>
                </c:pt>
                <c:pt idx="2">
                  <c:v>6550.5595124999963</c:v>
                </c:pt>
                <c:pt idx="3">
                  <c:v>17295.083599999984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7-4289-B105-E163C93D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54832"/>
        <c:axId val="502855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Sum of AOF_2022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Sheet1!$A$22:$A$26</c15:sqref>
                        </c15:fullRef>
                        <c15:formulaRef>
                          <c15:sqref>Sheet1!$A$22:$A$25</c15:sqref>
                        </c15:formulaRef>
                      </c:ext>
                    </c:extLst>
                    <c:strCache>
                      <c:ptCount val="4"/>
                      <c:pt idx="0">
                        <c:v>Actual Bronze</c:v>
                      </c:pt>
                      <c:pt idx="1">
                        <c:v>Actual Silver</c:v>
                      </c:pt>
                      <c:pt idx="2">
                        <c:v>Actual Gold</c:v>
                      </c:pt>
                      <c:pt idx="3">
                        <c:v>Actual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Sheet1!$B$22:$B$26</c15:sqref>
                        </c15:fullRef>
                        <c15:formulaRef>
                          <c15:sqref>Sheet1!$B$22:$B$25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0.55517287057888398</c:v>
                      </c:pt>
                      <c:pt idx="1">
                        <c:v>0.97572605114867705</c:v>
                      </c:pt>
                      <c:pt idx="2">
                        <c:v>1.30091533180777</c:v>
                      </c:pt>
                      <c:pt idx="3">
                        <c:v>2.6640316205533598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17-4289-B105-E163C93DD0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Sheet1!$C$21</c15:sqref>
                        </c15:formulaRef>
                      </c:ext>
                    </c:extLst>
                    <c:strCache>
                      <c:ptCount val="1"/>
                      <c:pt idx="0">
                        <c:v>Sum of ABV_2022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Sheet1!$A$22:$A$26</c15:sqref>
                        </c15:fullRef>
                        <c15:formulaRef>
                          <c15:sqref>Sheet1!$A$22:$A$25</c15:sqref>
                        </c15:formulaRef>
                      </c:ext>
                    </c:extLst>
                    <c:strCache>
                      <c:ptCount val="4"/>
                      <c:pt idx="0">
                        <c:v>Actual Bronze</c:v>
                      </c:pt>
                      <c:pt idx="1">
                        <c:v>Actual Silver</c:v>
                      </c:pt>
                      <c:pt idx="2">
                        <c:v>Actual Gold</c:v>
                      </c:pt>
                      <c:pt idx="3">
                        <c:v>Actual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Sheet1!$C$22:$C$26</c15:sqref>
                        </c15:fullRef>
                        <c15:formulaRef>
                          <c15:sqref>Sheet1!$C$22:$C$25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52.1998173383774</c:v>
                      </c:pt>
                      <c:pt idx="1">
                        <c:v>52.473494144305199</c:v>
                      </c:pt>
                      <c:pt idx="2">
                        <c:v>51.086219728951598</c:v>
                      </c:pt>
                      <c:pt idx="3">
                        <c:v>49.303538183298997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17-4289-B105-E163C93DD05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Sheet1!$D$21</c15:sqref>
                        </c15:formulaRef>
                      </c:ext>
                    </c:extLst>
                    <c:strCache>
                      <c:ptCount val="1"/>
                      <c:pt idx="0">
                        <c:v>Sum of total_profit_2022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Sheet1!$A$22:$A$26</c15:sqref>
                        </c15:fullRef>
                        <c15:formulaRef>
                          <c15:sqref>Sheet1!$A$22:$A$25</c15:sqref>
                        </c15:formulaRef>
                      </c:ext>
                    </c:extLst>
                    <c:strCache>
                      <c:ptCount val="4"/>
                      <c:pt idx="0">
                        <c:v>Actual Bronze</c:v>
                      </c:pt>
                      <c:pt idx="1">
                        <c:v>Actual Silver</c:v>
                      </c:pt>
                      <c:pt idx="2">
                        <c:v>Actual Gold</c:v>
                      </c:pt>
                      <c:pt idx="3">
                        <c:v>Actual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Sheet1!$D$22:$D$26</c15:sqref>
                        </c15:fullRef>
                        <c15:formulaRef>
                          <c15:sqref>Sheet1!$D$22:$D$25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149694.88024999999</c:v>
                      </c:pt>
                      <c:pt idx="1">
                        <c:v>81734.899999999907</c:v>
                      </c:pt>
                      <c:pt idx="2">
                        <c:v>43670.39675</c:v>
                      </c:pt>
                      <c:pt idx="3">
                        <c:v>86475.417999999903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17-4289-B105-E163C93DD05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Sheet1!$E$21</c15:sqref>
                        </c15:formulaRef>
                      </c:ext>
                    </c:extLst>
                    <c:strCache>
                      <c:ptCount val="1"/>
                      <c:pt idx="0">
                        <c:v>Total profit w/o discount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Sheet1!$A$22:$A$26</c15:sqref>
                        </c15:fullRef>
                        <c15:formulaRef>
                          <c15:sqref>Sheet1!$A$22:$A$25</c15:sqref>
                        </c15:formulaRef>
                      </c:ext>
                    </c:extLst>
                    <c:strCache>
                      <c:ptCount val="4"/>
                      <c:pt idx="0">
                        <c:v>Actual Bronze</c:v>
                      </c:pt>
                      <c:pt idx="1">
                        <c:v>Actual Silver</c:v>
                      </c:pt>
                      <c:pt idx="2">
                        <c:v>Actual Gold</c:v>
                      </c:pt>
                      <c:pt idx="3">
                        <c:v>Actual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Sheet1!$E$22:$E$26</c15:sqref>
                        </c15:fullRef>
                        <c15:formulaRef>
                          <c15:sqref>Sheet1!$E$22:$E$25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157179.62426249997</c:v>
                      </c:pt>
                      <c:pt idx="1">
                        <c:v>89908.389999999898</c:v>
                      </c:pt>
                      <c:pt idx="2">
                        <c:v>50220.956262499996</c:v>
                      </c:pt>
                      <c:pt idx="3">
                        <c:v>103770.50159999989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17-4289-B105-E163C93DD052}"/>
                  </c:ext>
                </c:extLst>
              </c15:ser>
            </c15:filteredBarSeries>
          </c:ext>
        </c:extLst>
      </c:barChart>
      <c:catAx>
        <c:axId val="502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5912"/>
        <c:crosses val="autoZero"/>
        <c:auto val="1"/>
        <c:lblAlgn val="ctr"/>
        <c:lblOffset val="100"/>
        <c:noMultiLvlLbl val="0"/>
      </c:catAx>
      <c:valAx>
        <c:axId val="5028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[Prism_plus_impact_pre_and_post_2022.xlsx]Sheet1!PivotTable1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profits per Prism+ 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f>Sheet1!$B$2:$B$10</c:f>
              <c:numCache>
                <c:formatCode>0</c:formatCode>
                <c:ptCount val="8"/>
                <c:pt idx="0">
                  <c:v>110432.47</c:v>
                </c:pt>
                <c:pt idx="1">
                  <c:v>149694.88024999999</c:v>
                </c:pt>
                <c:pt idx="2">
                  <c:v>60867.839999999997</c:v>
                </c:pt>
                <c:pt idx="3">
                  <c:v>81734.899999999907</c:v>
                </c:pt>
                <c:pt idx="4">
                  <c:v>28712.3499999999</c:v>
                </c:pt>
                <c:pt idx="5">
                  <c:v>43670.39675</c:v>
                </c:pt>
                <c:pt idx="6">
                  <c:v>66014.649999999994</c:v>
                </c:pt>
                <c:pt idx="7">
                  <c:v>86475.417999999903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BF9-A2C3-8482F027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14904"/>
        <c:axId val="499810944"/>
      </c:barChart>
      <c:catAx>
        <c:axId val="4998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0944"/>
        <c:crosses val="autoZero"/>
        <c:auto val="1"/>
        <c:lblAlgn val="ctr"/>
        <c:lblOffset val="100"/>
        <c:noMultiLvlLbl val="0"/>
      </c:catAx>
      <c:valAx>
        <c:axId val="499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[Prism_plus_impact_pre_and_post_2022.xlsx]Sheet1!PivotTable7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population within</a:t>
            </a:r>
            <a:r>
              <a:rPr lang="en-US" baseline="0"/>
              <a:t>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Sheet1!$A$30:$A$38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f>Sheet1!$B$30:$B$38</c:f>
              <c:numCache>
                <c:formatCode>General</c:formatCode>
                <c:ptCount val="8"/>
                <c:pt idx="0">
                  <c:v>8027</c:v>
                </c:pt>
                <c:pt idx="1">
                  <c:v>7549</c:v>
                </c:pt>
                <c:pt idx="2">
                  <c:v>2203</c:v>
                </c:pt>
                <c:pt idx="3">
                  <c:v>2307</c:v>
                </c:pt>
                <c:pt idx="4">
                  <c:v>802</c:v>
                </c:pt>
                <c:pt idx="5">
                  <c:v>874</c:v>
                </c:pt>
                <c:pt idx="6">
                  <c:v>823</c:v>
                </c:pt>
                <c:pt idx="7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C-4701-AB2A-1860C1BF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97624"/>
        <c:axId val="695597984"/>
      </c:barChart>
      <c:catAx>
        <c:axId val="69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97984"/>
        <c:crosses val="autoZero"/>
        <c:auto val="1"/>
        <c:lblAlgn val="ctr"/>
        <c:lblOffset val="100"/>
        <c:noMultiLvlLbl val="0"/>
      </c:catAx>
      <c:valAx>
        <c:axId val="6955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9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[Prism_plus_impact_pre_and_post_2022.xlsx]Sheet1!PivotTable9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margins of groups before and during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Sum of average_profit_margin_percent_pre_2022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Sheet1!$A$44:$A$52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f>Sheet1!$B$44:$B$52</c:f>
              <c:numCache>
                <c:formatCode>0.00</c:formatCode>
                <c:ptCount val="8"/>
                <c:pt idx="0">
                  <c:v>52.76</c:v>
                </c:pt>
                <c:pt idx="1">
                  <c:v>53.2</c:v>
                </c:pt>
                <c:pt idx="2">
                  <c:v>55</c:v>
                </c:pt>
                <c:pt idx="3">
                  <c:v>55.11</c:v>
                </c:pt>
                <c:pt idx="4">
                  <c:v>55.69</c:v>
                </c:pt>
                <c:pt idx="5">
                  <c:v>56.56</c:v>
                </c:pt>
                <c:pt idx="6">
                  <c:v>58.68</c:v>
                </c:pt>
                <c:pt idx="7">
                  <c:v>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497A-B0B5-67444DD190CC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Sum of average_profit_margin_percent_2022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Sheet1!$A$44:$A$52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f>Sheet1!$C$44:$C$52</c:f>
              <c:numCache>
                <c:formatCode>0.00</c:formatCode>
                <c:ptCount val="8"/>
                <c:pt idx="0">
                  <c:v>60.69</c:v>
                </c:pt>
                <c:pt idx="1">
                  <c:v>49.61</c:v>
                </c:pt>
                <c:pt idx="2">
                  <c:v>63.06</c:v>
                </c:pt>
                <c:pt idx="3">
                  <c:v>50.57</c:v>
                </c:pt>
                <c:pt idx="4">
                  <c:v>61.2</c:v>
                </c:pt>
                <c:pt idx="5">
                  <c:v>46.76</c:v>
                </c:pt>
                <c:pt idx="6">
                  <c:v>62.96</c:v>
                </c:pt>
                <c:pt idx="7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9-497A-B0B5-67444DD1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42576"/>
        <c:axId val="575543296"/>
      </c:barChart>
      <c:catAx>
        <c:axId val="5755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96"/>
        <c:crosses val="autoZero"/>
        <c:auto val="1"/>
        <c:lblAlgn val="ctr"/>
        <c:lblOffset val="100"/>
        <c:noMultiLvlLbl val="0"/>
      </c:catAx>
      <c:valAx>
        <c:axId val="575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ABV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Prism_plus_impact_pre_and_post_!$D$1</c:f>
              <c:strCache>
                <c:ptCount val="1"/>
                <c:pt idx="0">
                  <c:v>ABV_2022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Prism_plus_impact_pre_and_post_!$A$2:$A$10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Prism_plus_impact_pre_and_post_!$D$2:$D$10</c15:sqref>
                  </c15:fullRef>
                </c:ext>
              </c:extLst>
              <c:f>Prism_plus_impact_pre_and_post_!$D$2:$D$9</c:f>
              <c:numCache>
                <c:formatCode>0.00</c:formatCode>
                <c:ptCount val="8"/>
                <c:pt idx="0">
                  <c:v>60.750379097367102</c:v>
                </c:pt>
                <c:pt idx="1">
                  <c:v>52.1998173383774</c:v>
                </c:pt>
                <c:pt idx="2">
                  <c:v>64.891566785346598</c:v>
                </c:pt>
                <c:pt idx="3">
                  <c:v>52.473494144305199</c:v>
                </c:pt>
                <c:pt idx="4">
                  <c:v>60.375976388029898</c:v>
                </c:pt>
                <c:pt idx="5">
                  <c:v>51.086219728951598</c:v>
                </c:pt>
                <c:pt idx="6">
                  <c:v>77.273769961337905</c:v>
                </c:pt>
                <c:pt idx="7">
                  <c:v>49.303538183298997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9-4123-AB8C-E1A4A0BE77A7}"/>
            </c:ext>
          </c:extLst>
        </c:ser>
        <c:ser>
          <c:idx val="7"/>
          <c:order val="7"/>
          <c:tx>
            <c:strRef>
              <c:f>Prism_plus_impact_pre_and_post_!$I$1</c:f>
              <c:strCache>
                <c:ptCount val="1"/>
                <c:pt idx="0">
                  <c:v>ABV_pre_2022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Prism_plus_impact_pre_and_post_!$A$2:$A$10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Prism_plus_impact_pre_and_post_!$I$2:$I$10</c15:sqref>
                  </c15:fullRef>
                </c:ext>
              </c:extLst>
              <c:f>Prism_plus_impact_pre_and_post_!$I$2:$I$9</c:f>
              <c:numCache>
                <c:formatCode>0.00</c:formatCode>
                <c:ptCount val="8"/>
                <c:pt idx="0">
                  <c:v>31.945626012208699</c:v>
                </c:pt>
                <c:pt idx="1">
                  <c:v>31.156196300715902</c:v>
                </c:pt>
                <c:pt idx="2">
                  <c:v>34.652090331366303</c:v>
                </c:pt>
                <c:pt idx="3">
                  <c:v>33.759075278138901</c:v>
                </c:pt>
                <c:pt idx="4">
                  <c:v>34.676961762261001</c:v>
                </c:pt>
                <c:pt idx="5">
                  <c:v>33.987607742181503</c:v>
                </c:pt>
                <c:pt idx="6">
                  <c:v>37.611601344255</c:v>
                </c:pt>
                <c:pt idx="7">
                  <c:v>39.444841196874499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9-4123-AB8C-E1A4A0BE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1808"/>
        <c:axId val="495558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Prism_plus_impact_pre_and_post_!$B$1</c15:sqref>
                        </c15:formulaRef>
                      </c:ext>
                    </c:extLst>
                    <c:strCache>
                      <c:ptCount val="1"/>
                      <c:pt idx="0">
                        <c:v>user_count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Prism_plus_impact_pre_and_post_!$B$2:$B$10</c15:sqref>
                        </c15:fullRef>
                        <c15:formulaRef>
                          <c15:sqref>Prism_plus_impact_pre_and_post_!$B$2:$B$9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8027</c:v>
                      </c:pt>
                      <c:pt idx="1">
                        <c:v>7549</c:v>
                      </c:pt>
                      <c:pt idx="2">
                        <c:v>2203</c:v>
                      </c:pt>
                      <c:pt idx="3">
                        <c:v>2307</c:v>
                      </c:pt>
                      <c:pt idx="4">
                        <c:v>802</c:v>
                      </c:pt>
                      <c:pt idx="5">
                        <c:v>874</c:v>
                      </c:pt>
                      <c:pt idx="6">
                        <c:v>823</c:v>
                      </c:pt>
                      <c:pt idx="7">
                        <c:v>1012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F9-4123-AB8C-E1A4A0BE77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Prism_plus_impact_pre_and_post_!$C$1</c15:sqref>
                        </c15:formulaRef>
                      </c:ext>
                    </c:extLst>
                    <c:strCache>
                      <c:ptCount val="1"/>
                      <c:pt idx="0">
                        <c:v>AOF_2022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Prism_plus_impact_pre_and_post_!$C$2:$C$10</c15:sqref>
                        </c15:fullRef>
                        <c15:formulaRef>
                          <c15:sqref>Prism_plus_impact_pre_and_post_!$C$2:$C$9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0.31979568954777599</c:v>
                      </c:pt>
                      <c:pt idx="1">
                        <c:v>0.55517287057888398</c:v>
                      </c:pt>
                      <c:pt idx="2">
                        <c:v>0.57739446209713996</c:v>
                      </c:pt>
                      <c:pt idx="3">
                        <c:v>0.97572605114867705</c:v>
                      </c:pt>
                      <c:pt idx="4">
                        <c:v>0.80049875311720597</c:v>
                      </c:pt>
                      <c:pt idx="5">
                        <c:v>1.30091533180777</c:v>
                      </c:pt>
                      <c:pt idx="6">
                        <c:v>1.3584447144592899</c:v>
                      </c:pt>
                      <c:pt idx="7">
                        <c:v>2.6640316205533598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F9-4123-AB8C-E1A4A0BE77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Prism_plus_impact_pre_and_post_!$E$1</c15:sqref>
                        </c15:formulaRef>
                      </c:ext>
                    </c:extLst>
                    <c:strCache>
                      <c:ptCount val="1"/>
                      <c:pt idx="0">
                        <c:v>total_revenue_2022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Prism_plus_impact_pre_and_post_!$E$2:$E$10</c15:sqref>
                        </c15:fullRef>
                        <c15:formulaRef>
                          <c15:sqref>Prism_plus_impact_pre_and_post_!$E$2:$E$9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156917.67000000001</c:v>
                      </c:pt>
                      <c:pt idx="1">
                        <c:v>224136.18024999899</c:v>
                      </c:pt>
                      <c:pt idx="2">
                        <c:v>82869.14</c:v>
                      </c:pt>
                      <c:pt idx="3">
                        <c:v>123022.299999999</c:v>
                      </c:pt>
                      <c:pt idx="4">
                        <c:v>40357.449999999997</c:v>
                      </c:pt>
                      <c:pt idx="5">
                        <c:v>66764.396749999898</c:v>
                      </c:pt>
                      <c:pt idx="6">
                        <c:v>89586.25</c:v>
                      </c:pt>
                      <c:pt idx="7">
                        <c:v>136527.91800000001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F9-4123-AB8C-E1A4A0BE77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Prism_plus_impact_pre_and_post_!$F$1</c15:sqref>
                        </c15:formulaRef>
                      </c:ext>
                    </c:extLst>
                    <c:strCache>
                      <c:ptCount val="1"/>
                      <c:pt idx="0">
                        <c:v>total_profit_2022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Prism_plus_impact_pre_and_post_!$F$2:$F$10</c15:sqref>
                        </c15:fullRef>
                        <c15:formulaRef>
                          <c15:sqref>Prism_plus_impact_pre_and_post_!$F$2:$F$9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110432.47</c:v>
                      </c:pt>
                      <c:pt idx="1">
                        <c:v>149694.88024999999</c:v>
                      </c:pt>
                      <c:pt idx="2">
                        <c:v>60867.839999999997</c:v>
                      </c:pt>
                      <c:pt idx="3">
                        <c:v>81734.899999999907</c:v>
                      </c:pt>
                      <c:pt idx="4">
                        <c:v>28712.3499999999</c:v>
                      </c:pt>
                      <c:pt idx="5">
                        <c:v>43670.39675</c:v>
                      </c:pt>
                      <c:pt idx="6">
                        <c:v>66014.649999999994</c:v>
                      </c:pt>
                      <c:pt idx="7">
                        <c:v>86475.417999999903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F9-4123-AB8C-E1A4A0BE77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Prism_plus_impact_pre_and_post_!$G$1</c15:sqref>
                        </c15:formulaRef>
                      </c:ext>
                    </c:extLst>
                    <c:strCache>
                      <c:ptCount val="1"/>
                      <c:pt idx="0">
                        <c:v>average_profit_margin_percent_2022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Prism_plus_impact_pre_and_post_!$G$2:$G$10</c15:sqref>
                        </c15:fullRef>
                        <c15:formulaRef>
                          <c15:sqref>Prism_plus_impact_pre_and_post_!$G$2:$G$9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60.69</c:v>
                      </c:pt>
                      <c:pt idx="1">
                        <c:v>49.61</c:v>
                      </c:pt>
                      <c:pt idx="2">
                        <c:v>63.06</c:v>
                      </c:pt>
                      <c:pt idx="3">
                        <c:v>50.57</c:v>
                      </c:pt>
                      <c:pt idx="4">
                        <c:v>61.2</c:v>
                      </c:pt>
                      <c:pt idx="5">
                        <c:v>46.76</c:v>
                      </c:pt>
                      <c:pt idx="6">
                        <c:v>62.96</c:v>
                      </c:pt>
                      <c:pt idx="7">
                        <c:v>47.84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F9-4123-AB8C-E1A4A0BE77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Prism_plus_impact_pre_and_post_!$H$1</c15:sqref>
                        </c15:formulaRef>
                      </c:ext>
                    </c:extLst>
                    <c:strCache>
                      <c:ptCount val="1"/>
                      <c:pt idx="0">
                        <c:v>AOF_pre_2022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Prism_plus_impact_pre_and_post_!$H$2:$H$10</c15:sqref>
                        </c15:fullRef>
                        <c15:formulaRef>
                          <c15:sqref>Prism_plus_impact_pre_and_post_!$H$2:$H$9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0.99973506424692005</c:v>
                      </c:pt>
                      <c:pt idx="2">
                        <c:v>2</c:v>
                      </c:pt>
                      <c:pt idx="3">
                        <c:v>2.00216731686172</c:v>
                      </c:pt>
                      <c:pt idx="4">
                        <c:v>3</c:v>
                      </c:pt>
                      <c:pt idx="5">
                        <c:v>3.0011441647597201</c:v>
                      </c:pt>
                      <c:pt idx="6">
                        <c:v>5.6938031591737497</c:v>
                      </c:pt>
                      <c:pt idx="7">
                        <c:v>6.3745059288537496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F9-4123-AB8C-E1A4A0BE77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Prism_plus_impact_pre_and_post_!$J$1</c15:sqref>
                        </c15:formulaRef>
                      </c:ext>
                    </c:extLst>
                    <c:strCache>
                      <c:ptCount val="1"/>
                      <c:pt idx="0">
                        <c:v>total_revenue_pre_2022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Prism_plus_impact_pre_and_post_!$J$2:$J$10</c15:sqref>
                        </c15:fullRef>
                        <c15:formulaRef>
                          <c15:sqref>Prism_plus_impact_pre_and_post_!$J$2:$J$9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256427.53999999899</c:v>
                      </c:pt>
                      <c:pt idx="1">
                        <c:v>235080.495</c:v>
                      </c:pt>
                      <c:pt idx="2">
                        <c:v>152677.10999999999</c:v>
                      </c:pt>
                      <c:pt idx="3">
                        <c:v>155983.815</c:v>
                      </c:pt>
                      <c:pt idx="4">
                        <c:v>83432.769999999902</c:v>
                      </c:pt>
                      <c:pt idx="5">
                        <c:v>89120.57</c:v>
                      </c:pt>
                      <c:pt idx="6">
                        <c:v>182879.85</c:v>
                      </c:pt>
                      <c:pt idx="7">
                        <c:v>282061.27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F9-4123-AB8C-E1A4A0BE77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Prism_plus_impact_pre_and_post_!$K$1</c15:sqref>
                        </c15:formulaRef>
                      </c:ext>
                    </c:extLst>
                    <c:strCache>
                      <c:ptCount val="1"/>
                      <c:pt idx="0">
                        <c:v>total_profit_pre_2022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Prism_plus_impact_pre_and_post_!$K$2:$K$10</c15:sqref>
                        </c15:fullRef>
                        <c15:formulaRef>
                          <c15:sqref>Prism_plus_impact_pre_and_post_!$K$2:$K$9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150504.83999999901</c:v>
                      </c:pt>
                      <c:pt idx="1">
                        <c:v>138521.89499999999</c:v>
                      </c:pt>
                      <c:pt idx="2">
                        <c:v>94771.81</c:v>
                      </c:pt>
                      <c:pt idx="3">
                        <c:v>95577.914999999906</c:v>
                      </c:pt>
                      <c:pt idx="4">
                        <c:v>51076.869999999901</c:v>
                      </c:pt>
                      <c:pt idx="5">
                        <c:v>55409.17</c:v>
                      </c:pt>
                      <c:pt idx="6">
                        <c:v>115698.45</c:v>
                      </c:pt>
                      <c:pt idx="7">
                        <c:v>192416.27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F9-4123-AB8C-E1A4A0BE77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Prism_plus_impact_pre_and_post_!$L$1</c15:sqref>
                        </c15:formulaRef>
                      </c:ext>
                    </c:extLst>
                    <c:strCache>
                      <c:ptCount val="1"/>
                      <c:pt idx="0">
                        <c:v>average_profit_margin_percent_pre_2022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Prism_plus_impact_pre_and_post_!$L$2:$L$10</c15:sqref>
                        </c15:fullRef>
                        <c15:formulaRef>
                          <c15:sqref>Prism_plus_impact_pre_and_post_!$L$2:$L$9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52.76</c:v>
                      </c:pt>
                      <c:pt idx="1">
                        <c:v>53.2</c:v>
                      </c:pt>
                      <c:pt idx="2">
                        <c:v>55</c:v>
                      </c:pt>
                      <c:pt idx="3">
                        <c:v>55.11</c:v>
                      </c:pt>
                      <c:pt idx="4">
                        <c:v>55.69</c:v>
                      </c:pt>
                      <c:pt idx="5">
                        <c:v>56.56</c:v>
                      </c:pt>
                      <c:pt idx="6">
                        <c:v>58.68</c:v>
                      </c:pt>
                      <c:pt idx="7">
                        <c:v>59.89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F9-4123-AB8C-E1A4A0BE77A7}"/>
                  </c:ext>
                </c:extLst>
              </c15:ser>
            </c15:filteredBarSeries>
          </c:ext>
        </c:extLst>
      </c:barChart>
      <c:catAx>
        <c:axId val="4955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8568"/>
        <c:crosses val="autoZero"/>
        <c:auto val="1"/>
        <c:lblAlgn val="ctr"/>
        <c:lblOffset val="100"/>
        <c:noMultiLvlLbl val="0"/>
      </c:catAx>
      <c:valAx>
        <c:axId val="4955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Prism_plus_impact_pre_and_post_!$C$1</c:f>
              <c:strCache>
                <c:ptCount val="1"/>
                <c:pt idx="0">
                  <c:v>AOF_2022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Prism_plus_impact_pre_and_post_!$A$2:$A$10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Prism_plus_impact_pre_and_post_!$C$2:$C$10</c15:sqref>
                  </c15:fullRef>
                </c:ext>
              </c:extLst>
              <c:f>Prism_plus_impact_pre_and_post_!$C$2:$C$9</c:f>
              <c:numCache>
                <c:formatCode>0.00</c:formatCode>
                <c:ptCount val="8"/>
                <c:pt idx="0">
                  <c:v>0.31979568954777599</c:v>
                </c:pt>
                <c:pt idx="1">
                  <c:v>0.55517287057888398</c:v>
                </c:pt>
                <c:pt idx="2">
                  <c:v>0.57739446209713996</c:v>
                </c:pt>
                <c:pt idx="3">
                  <c:v>0.97572605114867705</c:v>
                </c:pt>
                <c:pt idx="4">
                  <c:v>0.80049875311720597</c:v>
                </c:pt>
                <c:pt idx="5">
                  <c:v>1.30091533180777</c:v>
                </c:pt>
                <c:pt idx="6">
                  <c:v>1.3584447144592899</c:v>
                </c:pt>
                <c:pt idx="7">
                  <c:v>2.6640316205533598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E-4C0A-89CD-134DFF88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56992"/>
        <c:axId val="502857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Prism_plus_impact_pre_and_post_!$B$1</c15:sqref>
                        </c15:formulaRef>
                      </c:ext>
                    </c:extLst>
                    <c:strCache>
                      <c:ptCount val="1"/>
                      <c:pt idx="0">
                        <c:v>user_count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Prism_plus_impact_pre_and_post_!$B$2:$B$10</c15:sqref>
                        </c15:fullRef>
                        <c15:formulaRef>
                          <c15:sqref>Prism_plus_impact_pre_and_post_!$B$2:$B$9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8027</c:v>
                      </c:pt>
                      <c:pt idx="1">
                        <c:v>7549</c:v>
                      </c:pt>
                      <c:pt idx="2">
                        <c:v>2203</c:v>
                      </c:pt>
                      <c:pt idx="3">
                        <c:v>2307</c:v>
                      </c:pt>
                      <c:pt idx="4">
                        <c:v>802</c:v>
                      </c:pt>
                      <c:pt idx="5">
                        <c:v>874</c:v>
                      </c:pt>
                      <c:pt idx="6">
                        <c:v>823</c:v>
                      </c:pt>
                      <c:pt idx="7">
                        <c:v>1012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5E-4C0A-89CD-134DFF883B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Prism_plus_impact_pre_and_post_!$D$1</c15:sqref>
                        </c15:formulaRef>
                      </c:ext>
                    </c:extLst>
                    <c:strCache>
                      <c:ptCount val="1"/>
                      <c:pt idx="0">
                        <c:v>ABV_2022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Prism_plus_impact_pre_and_post_!$D$2:$D$10</c15:sqref>
                        </c15:fullRef>
                        <c15:formulaRef>
                          <c15:sqref>Prism_plus_impact_pre_and_post_!$D$2:$D$9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60.750379097367102</c:v>
                      </c:pt>
                      <c:pt idx="1">
                        <c:v>52.1998173383774</c:v>
                      </c:pt>
                      <c:pt idx="2">
                        <c:v>64.891566785346598</c:v>
                      </c:pt>
                      <c:pt idx="3">
                        <c:v>52.473494144305199</c:v>
                      </c:pt>
                      <c:pt idx="4">
                        <c:v>60.375976388029898</c:v>
                      </c:pt>
                      <c:pt idx="5">
                        <c:v>51.086219728951598</c:v>
                      </c:pt>
                      <c:pt idx="6">
                        <c:v>77.273769961337905</c:v>
                      </c:pt>
                      <c:pt idx="7">
                        <c:v>49.303538183298997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5E-4C0A-89CD-134DFF883B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Prism_plus_impact_pre_and_post_!$E$1</c15:sqref>
                        </c15:formulaRef>
                      </c:ext>
                    </c:extLst>
                    <c:strCache>
                      <c:ptCount val="1"/>
                      <c:pt idx="0">
                        <c:v>total_revenue_2022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Prism_plus_impact_pre_and_post_!$E$2:$E$10</c15:sqref>
                        </c15:fullRef>
                        <c15:formulaRef>
                          <c15:sqref>Prism_plus_impact_pre_and_post_!$E$2:$E$9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156917.67000000001</c:v>
                      </c:pt>
                      <c:pt idx="1">
                        <c:v>224136.18024999899</c:v>
                      </c:pt>
                      <c:pt idx="2">
                        <c:v>82869.14</c:v>
                      </c:pt>
                      <c:pt idx="3">
                        <c:v>123022.299999999</c:v>
                      </c:pt>
                      <c:pt idx="4">
                        <c:v>40357.449999999997</c:v>
                      </c:pt>
                      <c:pt idx="5">
                        <c:v>66764.396749999898</c:v>
                      </c:pt>
                      <c:pt idx="6">
                        <c:v>89586.25</c:v>
                      </c:pt>
                      <c:pt idx="7">
                        <c:v>136527.91800000001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5E-4C0A-89CD-134DFF883B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Prism_plus_impact_pre_and_post_!$F$1</c15:sqref>
                        </c15:formulaRef>
                      </c:ext>
                    </c:extLst>
                    <c:strCache>
                      <c:ptCount val="1"/>
                      <c:pt idx="0">
                        <c:v>total_profit_2022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Prism_plus_impact_pre_and_post_!$F$2:$F$10</c15:sqref>
                        </c15:fullRef>
                        <c15:formulaRef>
                          <c15:sqref>Prism_plus_impact_pre_and_post_!$F$2:$F$9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110432.47</c:v>
                      </c:pt>
                      <c:pt idx="1">
                        <c:v>149694.88024999999</c:v>
                      </c:pt>
                      <c:pt idx="2">
                        <c:v>60867.839999999997</c:v>
                      </c:pt>
                      <c:pt idx="3">
                        <c:v>81734.899999999907</c:v>
                      </c:pt>
                      <c:pt idx="4">
                        <c:v>28712.3499999999</c:v>
                      </c:pt>
                      <c:pt idx="5">
                        <c:v>43670.39675</c:v>
                      </c:pt>
                      <c:pt idx="6">
                        <c:v>66014.649999999994</c:v>
                      </c:pt>
                      <c:pt idx="7">
                        <c:v>86475.417999999903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5E-4C0A-89CD-134DFF883B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Prism_plus_impact_pre_and_post_!$G$1</c15:sqref>
                        </c15:formulaRef>
                      </c:ext>
                    </c:extLst>
                    <c:strCache>
                      <c:ptCount val="1"/>
                      <c:pt idx="0">
                        <c:v>average_profit_margin_percent_2022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Prism_plus_impact_pre_and_post_!$G$2:$G$10</c15:sqref>
                        </c15:fullRef>
                        <c15:formulaRef>
                          <c15:sqref>Prism_plus_impact_pre_and_post_!$G$2:$G$9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60.69</c:v>
                      </c:pt>
                      <c:pt idx="1">
                        <c:v>49.61</c:v>
                      </c:pt>
                      <c:pt idx="2">
                        <c:v>63.06</c:v>
                      </c:pt>
                      <c:pt idx="3">
                        <c:v>50.57</c:v>
                      </c:pt>
                      <c:pt idx="4">
                        <c:v>61.2</c:v>
                      </c:pt>
                      <c:pt idx="5">
                        <c:v>46.76</c:v>
                      </c:pt>
                      <c:pt idx="6">
                        <c:v>62.96</c:v>
                      </c:pt>
                      <c:pt idx="7">
                        <c:v>47.84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5E-4C0A-89CD-134DFF883B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Prism_plus_impact_pre_and_post_!$H$1</c15:sqref>
                        </c15:formulaRef>
                      </c:ext>
                    </c:extLst>
                    <c:strCache>
                      <c:ptCount val="1"/>
                      <c:pt idx="0">
                        <c:v>AOF_pre_2022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Prism_plus_impact_pre_and_post_!$H$2:$H$10</c15:sqref>
                        </c15:fullRef>
                        <c15:formulaRef>
                          <c15:sqref>Prism_plus_impact_pre_and_post_!$H$2:$H$9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0.99973506424692005</c:v>
                      </c:pt>
                      <c:pt idx="2">
                        <c:v>2</c:v>
                      </c:pt>
                      <c:pt idx="3">
                        <c:v>2.00216731686172</c:v>
                      </c:pt>
                      <c:pt idx="4">
                        <c:v>3</c:v>
                      </c:pt>
                      <c:pt idx="5">
                        <c:v>3.0011441647597201</c:v>
                      </c:pt>
                      <c:pt idx="6">
                        <c:v>5.6938031591737497</c:v>
                      </c:pt>
                      <c:pt idx="7">
                        <c:v>6.3745059288537496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5E-4C0A-89CD-134DFF883B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Prism_plus_impact_pre_and_post_!$I$1</c15:sqref>
                        </c15:formulaRef>
                      </c:ext>
                    </c:extLst>
                    <c:strCache>
                      <c:ptCount val="1"/>
                      <c:pt idx="0">
                        <c:v>ABV_pre_2022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Prism_plus_impact_pre_and_post_!$I$2:$I$10</c15:sqref>
                        </c15:fullRef>
                        <c15:formulaRef>
                          <c15:sqref>Prism_plus_impact_pre_and_post_!$I$2:$I$9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31.945626012208699</c:v>
                      </c:pt>
                      <c:pt idx="1">
                        <c:v>31.156196300715902</c:v>
                      </c:pt>
                      <c:pt idx="2">
                        <c:v>34.652090331366303</c:v>
                      </c:pt>
                      <c:pt idx="3">
                        <c:v>33.759075278138901</c:v>
                      </c:pt>
                      <c:pt idx="4">
                        <c:v>34.676961762261001</c:v>
                      </c:pt>
                      <c:pt idx="5">
                        <c:v>33.987607742181503</c:v>
                      </c:pt>
                      <c:pt idx="6">
                        <c:v>37.611601344255</c:v>
                      </c:pt>
                      <c:pt idx="7">
                        <c:v>39.444841196874499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5E-4C0A-89CD-134DFF883B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Prism_plus_impact_pre_and_post_!$J$1</c15:sqref>
                        </c15:formulaRef>
                      </c:ext>
                    </c:extLst>
                    <c:strCache>
                      <c:ptCount val="1"/>
                      <c:pt idx="0">
                        <c:v>total_revenue_pre_2022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Prism_plus_impact_pre_and_post_!$J$2:$J$10</c15:sqref>
                        </c15:fullRef>
                        <c15:formulaRef>
                          <c15:sqref>Prism_plus_impact_pre_and_post_!$J$2:$J$9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256427.53999999899</c:v>
                      </c:pt>
                      <c:pt idx="1">
                        <c:v>235080.495</c:v>
                      </c:pt>
                      <c:pt idx="2">
                        <c:v>152677.10999999999</c:v>
                      </c:pt>
                      <c:pt idx="3">
                        <c:v>155983.815</c:v>
                      </c:pt>
                      <c:pt idx="4">
                        <c:v>83432.769999999902</c:v>
                      </c:pt>
                      <c:pt idx="5">
                        <c:v>89120.57</c:v>
                      </c:pt>
                      <c:pt idx="6">
                        <c:v>182879.85</c:v>
                      </c:pt>
                      <c:pt idx="7">
                        <c:v>282061.27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5E-4C0A-89CD-134DFF883B4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Prism_plus_impact_pre_and_post_!$K$1</c15:sqref>
                        </c15:formulaRef>
                      </c:ext>
                    </c:extLst>
                    <c:strCache>
                      <c:ptCount val="1"/>
                      <c:pt idx="0">
                        <c:v>total_profit_pre_2022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Prism_plus_impact_pre_and_post_!$K$2:$K$10</c15:sqref>
                        </c15:fullRef>
                        <c15:formulaRef>
                          <c15:sqref>Prism_plus_impact_pre_and_post_!$K$2:$K$9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150504.83999999901</c:v>
                      </c:pt>
                      <c:pt idx="1">
                        <c:v>138521.89499999999</c:v>
                      </c:pt>
                      <c:pt idx="2">
                        <c:v>94771.81</c:v>
                      </c:pt>
                      <c:pt idx="3">
                        <c:v>95577.914999999906</c:v>
                      </c:pt>
                      <c:pt idx="4">
                        <c:v>51076.869999999901</c:v>
                      </c:pt>
                      <c:pt idx="5">
                        <c:v>55409.17</c:v>
                      </c:pt>
                      <c:pt idx="6">
                        <c:v>115698.45</c:v>
                      </c:pt>
                      <c:pt idx="7">
                        <c:v>192416.27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5E-4C0A-89CD-134DFF883B4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Prism_plus_impact_pre_and_post_!$L$1</c15:sqref>
                        </c15:formulaRef>
                      </c:ext>
                    </c:extLst>
                    <c:strCache>
                      <c:ptCount val="1"/>
                      <c:pt idx="0">
                        <c:v>average_profit_margin_percent_pre_2022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Prism_plus_impact_pre_and_post_!$L$2:$L$10</c15:sqref>
                        </c15:fullRef>
                        <c15:formulaRef>
                          <c15:sqref>Prism_plus_impact_pre_and_post_!$L$2:$L$9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52.76</c:v>
                      </c:pt>
                      <c:pt idx="1">
                        <c:v>53.2</c:v>
                      </c:pt>
                      <c:pt idx="2">
                        <c:v>55</c:v>
                      </c:pt>
                      <c:pt idx="3">
                        <c:v>55.11</c:v>
                      </c:pt>
                      <c:pt idx="4">
                        <c:v>55.69</c:v>
                      </c:pt>
                      <c:pt idx="5">
                        <c:v>56.56</c:v>
                      </c:pt>
                      <c:pt idx="6">
                        <c:v>58.68</c:v>
                      </c:pt>
                      <c:pt idx="7">
                        <c:v>59.89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5E-4C0A-89CD-134DFF883B45}"/>
                  </c:ext>
                </c:extLst>
              </c15:ser>
            </c15:filteredBarSeries>
          </c:ext>
        </c:extLst>
      </c:barChart>
      <c:catAx>
        <c:axId val="5028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7352"/>
        <c:crosses val="autoZero"/>
        <c:auto val="1"/>
        <c:lblAlgn val="ctr"/>
        <c:lblOffset val="100"/>
        <c:noMultiLvlLbl val="0"/>
      </c:catAx>
      <c:valAx>
        <c:axId val="5028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margins between</a:t>
            </a:r>
            <a:r>
              <a:rPr lang="en-GB" baseline="0"/>
              <a:t> members and non-members before and during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0"/>
          <c:tx>
            <c:strRef>
              <c:f>Prism_plus_impact_pre_and_post_!$L$1</c:f>
              <c:strCache>
                <c:ptCount val="1"/>
                <c:pt idx="0">
                  <c:v>average_profit_margin_percent_pre_2022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Prism_plus_impact_pre_and_post_!$A$2:$A$9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Prism_plus_impact_pre_and_post_!$L$2:$L$10</c15:sqref>
                  </c15:fullRef>
                </c:ext>
              </c:extLst>
              <c:f>Prism_plus_impact_pre_and_post_!$L$2:$L$9</c:f>
              <c:numCache>
                <c:formatCode>0.00</c:formatCode>
                <c:ptCount val="8"/>
                <c:pt idx="0">
                  <c:v>52.76</c:v>
                </c:pt>
                <c:pt idx="1">
                  <c:v>53.2</c:v>
                </c:pt>
                <c:pt idx="2">
                  <c:v>55</c:v>
                </c:pt>
                <c:pt idx="3">
                  <c:v>55.11</c:v>
                </c:pt>
                <c:pt idx="4">
                  <c:v>55.69</c:v>
                </c:pt>
                <c:pt idx="5">
                  <c:v>56.56</c:v>
                </c:pt>
                <c:pt idx="6">
                  <c:v>58.68</c:v>
                </c:pt>
                <c:pt idx="7">
                  <c:v>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C4-4EE2-9F0D-133EAC7B4194}"/>
            </c:ext>
          </c:extLst>
        </c:ser>
        <c:ser>
          <c:idx val="6"/>
          <c:order val="11"/>
          <c:tx>
            <c:strRef>
              <c:f>Prism_plus_impact_pre_and_post_!$G$1</c:f>
              <c:strCache>
                <c:ptCount val="1"/>
                <c:pt idx="0">
                  <c:v>average_profit_margin_percent_2022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Prism_plus_impact_pre_and_post_!$A$2:$A$9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Prism_plus_impact_pre_and_post_!$G$2:$G$10</c15:sqref>
                  </c15:fullRef>
                </c:ext>
              </c:extLst>
              <c:f>Prism_plus_impact_pre_and_post_!$G$2:$G$9</c:f>
              <c:numCache>
                <c:formatCode>0.00</c:formatCode>
                <c:ptCount val="8"/>
                <c:pt idx="0">
                  <c:v>60.69</c:v>
                </c:pt>
                <c:pt idx="1">
                  <c:v>49.61</c:v>
                </c:pt>
                <c:pt idx="2">
                  <c:v>63.06</c:v>
                </c:pt>
                <c:pt idx="3">
                  <c:v>50.57</c:v>
                </c:pt>
                <c:pt idx="4">
                  <c:v>61.2</c:v>
                </c:pt>
                <c:pt idx="5">
                  <c:v>46.76</c:v>
                </c:pt>
                <c:pt idx="6">
                  <c:v>62.96</c:v>
                </c:pt>
                <c:pt idx="7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C4-4EE2-9F0D-133EAC7B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57128"/>
        <c:axId val="49555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Prism_plus_impact_pre_and_post_!$A$1</c15:sqref>
                        </c15:formulaRef>
                      </c:ext>
                    </c:extLst>
                    <c:strCache>
                      <c:ptCount val="1"/>
                      <c:pt idx="0">
                        <c:v>plus_or_pseudo_status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C4-4EE2-9F0D-133EAC7B41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Prism_plus_impact_pre_and_post_!$B$1</c15:sqref>
                        </c15:formulaRef>
                      </c:ext>
                    </c:extLst>
                    <c:strCache>
                      <c:ptCount val="1"/>
                      <c:pt idx="0">
                        <c:v>user_count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Prism_plus_impact_pre_and_post_!$B$2:$B$10</c15:sqref>
                        </c15:fullRef>
                        <c15:formulaRef>
                          <c15:sqref>Prism_plus_impact_pre_and_post_!$B$2:$B$9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8027</c:v>
                      </c:pt>
                      <c:pt idx="1">
                        <c:v>7549</c:v>
                      </c:pt>
                      <c:pt idx="2">
                        <c:v>2203</c:v>
                      </c:pt>
                      <c:pt idx="3">
                        <c:v>2307</c:v>
                      </c:pt>
                      <c:pt idx="4">
                        <c:v>802</c:v>
                      </c:pt>
                      <c:pt idx="5">
                        <c:v>874</c:v>
                      </c:pt>
                      <c:pt idx="6">
                        <c:v>823</c:v>
                      </c:pt>
                      <c:pt idx="7">
                        <c:v>1012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C4-4EE2-9F0D-133EAC7B41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Prism_plus_impact_pre_and_post_!$C$1</c15:sqref>
                        </c15:formulaRef>
                      </c:ext>
                    </c:extLst>
                    <c:strCache>
                      <c:ptCount val="1"/>
                      <c:pt idx="0">
                        <c:v>AOF_2022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Prism_plus_impact_pre_and_post_!$C$2:$C$10</c15:sqref>
                        </c15:fullRef>
                        <c15:formulaRef>
                          <c15:sqref>Prism_plus_impact_pre_and_post_!$C$2:$C$9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0.31979568954777599</c:v>
                      </c:pt>
                      <c:pt idx="1">
                        <c:v>0.55517287057888398</c:v>
                      </c:pt>
                      <c:pt idx="2">
                        <c:v>0.57739446209713996</c:v>
                      </c:pt>
                      <c:pt idx="3">
                        <c:v>0.97572605114867705</c:v>
                      </c:pt>
                      <c:pt idx="4">
                        <c:v>0.80049875311720597</c:v>
                      </c:pt>
                      <c:pt idx="5">
                        <c:v>1.30091533180777</c:v>
                      </c:pt>
                      <c:pt idx="6">
                        <c:v>1.3584447144592899</c:v>
                      </c:pt>
                      <c:pt idx="7">
                        <c:v>2.6640316205533598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C4-4EE2-9F0D-133EAC7B41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Prism_plus_impact_pre_and_post_!$D$1</c15:sqref>
                        </c15:formulaRef>
                      </c:ext>
                    </c:extLst>
                    <c:strCache>
                      <c:ptCount val="1"/>
                      <c:pt idx="0">
                        <c:v>ABV_2022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Prism_plus_impact_pre_and_post_!$D$2:$D$10</c15:sqref>
                        </c15:fullRef>
                        <c15:formulaRef>
                          <c15:sqref>Prism_plus_impact_pre_and_post_!$D$2:$D$9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60.750379097367102</c:v>
                      </c:pt>
                      <c:pt idx="1">
                        <c:v>52.1998173383774</c:v>
                      </c:pt>
                      <c:pt idx="2">
                        <c:v>64.891566785346598</c:v>
                      </c:pt>
                      <c:pt idx="3">
                        <c:v>52.473494144305199</c:v>
                      </c:pt>
                      <c:pt idx="4">
                        <c:v>60.375976388029898</c:v>
                      </c:pt>
                      <c:pt idx="5">
                        <c:v>51.086219728951598</c:v>
                      </c:pt>
                      <c:pt idx="6">
                        <c:v>77.273769961337905</c:v>
                      </c:pt>
                      <c:pt idx="7">
                        <c:v>49.303538183298997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C4-4EE2-9F0D-133EAC7B41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Prism_plus_impact_pre_and_post_!$E$1</c15:sqref>
                        </c15:formulaRef>
                      </c:ext>
                    </c:extLst>
                    <c:strCache>
                      <c:ptCount val="1"/>
                      <c:pt idx="0">
                        <c:v>total_revenue_2022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Prism_plus_impact_pre_and_post_!$E$2:$E$10</c15:sqref>
                        </c15:fullRef>
                        <c15:formulaRef>
                          <c15:sqref>Prism_plus_impact_pre_and_post_!$E$2:$E$9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156917.67000000001</c:v>
                      </c:pt>
                      <c:pt idx="1">
                        <c:v>224136.18024999899</c:v>
                      </c:pt>
                      <c:pt idx="2">
                        <c:v>82869.14</c:v>
                      </c:pt>
                      <c:pt idx="3">
                        <c:v>123022.299999999</c:v>
                      </c:pt>
                      <c:pt idx="4">
                        <c:v>40357.449999999997</c:v>
                      </c:pt>
                      <c:pt idx="5">
                        <c:v>66764.396749999898</c:v>
                      </c:pt>
                      <c:pt idx="6">
                        <c:v>89586.25</c:v>
                      </c:pt>
                      <c:pt idx="7">
                        <c:v>136527.91800000001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C4-4EE2-9F0D-133EAC7B419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Prism_plus_impact_pre_and_post_!$F$1</c15:sqref>
                        </c15:formulaRef>
                      </c:ext>
                    </c:extLst>
                    <c:strCache>
                      <c:ptCount val="1"/>
                      <c:pt idx="0">
                        <c:v>total_profit_2022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Prism_plus_impact_pre_and_post_!$F$2:$F$10</c15:sqref>
                        </c15:fullRef>
                        <c15:formulaRef>
                          <c15:sqref>Prism_plus_impact_pre_and_post_!$F$2:$F$9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110432.47</c:v>
                      </c:pt>
                      <c:pt idx="1">
                        <c:v>149694.88024999999</c:v>
                      </c:pt>
                      <c:pt idx="2">
                        <c:v>60867.839999999997</c:v>
                      </c:pt>
                      <c:pt idx="3">
                        <c:v>81734.899999999907</c:v>
                      </c:pt>
                      <c:pt idx="4">
                        <c:v>28712.3499999999</c:v>
                      </c:pt>
                      <c:pt idx="5">
                        <c:v>43670.39675</c:v>
                      </c:pt>
                      <c:pt idx="6">
                        <c:v>66014.649999999994</c:v>
                      </c:pt>
                      <c:pt idx="7">
                        <c:v>86475.417999999903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4-4EE2-9F0D-133EAC7B4194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Prism_plus_impact_pre_and_post_!$H$1</c15:sqref>
                        </c15:formulaRef>
                      </c:ext>
                    </c:extLst>
                    <c:strCache>
                      <c:ptCount val="1"/>
                      <c:pt idx="0">
                        <c:v>AOF_pre_2022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Prism_plus_impact_pre_and_post_!$H$2:$H$10</c15:sqref>
                        </c15:fullRef>
                        <c15:formulaRef>
                          <c15:sqref>Prism_plus_impact_pre_and_post_!$H$2:$H$9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0.99973506424692005</c:v>
                      </c:pt>
                      <c:pt idx="2">
                        <c:v>2</c:v>
                      </c:pt>
                      <c:pt idx="3">
                        <c:v>2.00216731686172</c:v>
                      </c:pt>
                      <c:pt idx="4">
                        <c:v>3</c:v>
                      </c:pt>
                      <c:pt idx="5">
                        <c:v>3.0011441647597201</c:v>
                      </c:pt>
                      <c:pt idx="6">
                        <c:v>5.6938031591737497</c:v>
                      </c:pt>
                      <c:pt idx="7">
                        <c:v>6.3745059288537496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4-4EE2-9F0D-133EAC7B4194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Prism_plus_impact_pre_and_post_!$I$1</c15:sqref>
                        </c15:formulaRef>
                      </c:ext>
                    </c:extLst>
                    <c:strCache>
                      <c:ptCount val="1"/>
                      <c:pt idx="0">
                        <c:v>ABV_pre_2022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Prism_plus_impact_pre_and_post_!$I$2:$I$10</c15:sqref>
                        </c15:fullRef>
                        <c15:formulaRef>
                          <c15:sqref>Prism_plus_impact_pre_and_post_!$I$2:$I$9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31.945626012208699</c:v>
                      </c:pt>
                      <c:pt idx="1">
                        <c:v>31.156196300715902</c:v>
                      </c:pt>
                      <c:pt idx="2">
                        <c:v>34.652090331366303</c:v>
                      </c:pt>
                      <c:pt idx="3">
                        <c:v>33.759075278138901</c:v>
                      </c:pt>
                      <c:pt idx="4">
                        <c:v>34.676961762261001</c:v>
                      </c:pt>
                      <c:pt idx="5">
                        <c:v>33.987607742181503</c:v>
                      </c:pt>
                      <c:pt idx="6">
                        <c:v>37.611601344255</c:v>
                      </c:pt>
                      <c:pt idx="7">
                        <c:v>39.444841196874499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4-4EE2-9F0D-133EAC7B4194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Prism_plus_impact_pre_and_post_!$J$1</c15:sqref>
                        </c15:formulaRef>
                      </c:ext>
                    </c:extLst>
                    <c:strCache>
                      <c:ptCount val="1"/>
                      <c:pt idx="0">
                        <c:v>total_revenue_pre_2022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Prism_plus_impact_pre_and_post_!$J$2:$J$10</c15:sqref>
                        </c15:fullRef>
                        <c15:formulaRef>
                          <c15:sqref>Prism_plus_impact_pre_and_post_!$J$2:$J$9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256427.53999999899</c:v>
                      </c:pt>
                      <c:pt idx="1">
                        <c:v>235080.495</c:v>
                      </c:pt>
                      <c:pt idx="2">
                        <c:v>152677.10999999999</c:v>
                      </c:pt>
                      <c:pt idx="3">
                        <c:v>155983.815</c:v>
                      </c:pt>
                      <c:pt idx="4">
                        <c:v>83432.769999999902</c:v>
                      </c:pt>
                      <c:pt idx="5">
                        <c:v>89120.57</c:v>
                      </c:pt>
                      <c:pt idx="6">
                        <c:v>182879.85</c:v>
                      </c:pt>
                      <c:pt idx="7">
                        <c:v>282061.27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4-4EE2-9F0D-133EAC7B4194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Prism_plus_impact_pre_and_post_!$K$1</c15:sqref>
                        </c15:formulaRef>
                      </c:ext>
                    </c:extLst>
                    <c:strCache>
                      <c:ptCount val="1"/>
                      <c:pt idx="0">
                        <c:v>total_profit_pre_2022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Prism_plus_impact_pre_and_post_!$A$2:$A$9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Prism_plus_impact_pre_and_post_!$K$2:$K$10</c15:sqref>
                        </c15:fullRef>
                        <c15:formulaRef>
                          <c15:sqref>Prism_plus_impact_pre_and_post_!$K$2:$K$9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150504.83999999901</c:v>
                      </c:pt>
                      <c:pt idx="1">
                        <c:v>138521.89499999999</c:v>
                      </c:pt>
                      <c:pt idx="2">
                        <c:v>94771.81</c:v>
                      </c:pt>
                      <c:pt idx="3">
                        <c:v>95577.914999999906</c:v>
                      </c:pt>
                      <c:pt idx="4">
                        <c:v>51076.869999999901</c:v>
                      </c:pt>
                      <c:pt idx="5">
                        <c:v>55409.17</c:v>
                      </c:pt>
                      <c:pt idx="6">
                        <c:v>115698.45</c:v>
                      </c:pt>
                      <c:pt idx="7">
                        <c:v>192416.27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4-4EE2-9F0D-133EAC7B4194}"/>
                  </c:ext>
                </c:extLst>
              </c15:ser>
            </c15:filteredBarSeries>
          </c:ext>
        </c:extLst>
      </c:barChart>
      <c:catAx>
        <c:axId val="4955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8208"/>
        <c:crosses val="autoZero"/>
        <c:auto val="1"/>
        <c:lblAlgn val="ctr"/>
        <c:lblOffset val="100"/>
        <c:noMultiLvlLbl val="0"/>
      </c:catAx>
      <c:valAx>
        <c:axId val="495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margins between customer groups before and during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6"/>
          <c:tx>
            <c:strRef>
              <c:f>Prism_plus_impact_pre_and_post_!$L$1</c:f>
              <c:strCache>
                <c:ptCount val="1"/>
                <c:pt idx="0">
                  <c:v>average_profit_margin_percent_pre_2022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Prism_plus_impact_pre_and_post_!$A$2:$A$10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Prism_plus_impact_pre_and_post_!$L$2:$L$10</c15:sqref>
                  </c15:fullRef>
                </c:ext>
              </c:extLst>
              <c:f>Prism_plus_impact_pre_and_post_!$L$2:$L$9</c:f>
              <c:numCache>
                <c:formatCode>0.00</c:formatCode>
                <c:ptCount val="8"/>
                <c:pt idx="0">
                  <c:v>52.76</c:v>
                </c:pt>
                <c:pt idx="1">
                  <c:v>53.2</c:v>
                </c:pt>
                <c:pt idx="2">
                  <c:v>55</c:v>
                </c:pt>
                <c:pt idx="3">
                  <c:v>55.11</c:v>
                </c:pt>
                <c:pt idx="4">
                  <c:v>55.69</c:v>
                </c:pt>
                <c:pt idx="5">
                  <c:v>56.56</c:v>
                </c:pt>
                <c:pt idx="6">
                  <c:v>58.68</c:v>
                </c:pt>
                <c:pt idx="7">
                  <c:v>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7F-491F-96A7-5BCC30EA3928}"/>
            </c:ext>
          </c:extLst>
        </c:ser>
        <c:ser>
          <c:idx val="6"/>
          <c:order val="7"/>
          <c:tx>
            <c:strRef>
              <c:f>Prism_plus_impact_pre_and_post_!$G$1</c:f>
              <c:strCache>
                <c:ptCount val="1"/>
                <c:pt idx="0">
                  <c:v>average_profit_margin_percent_2022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Prism_plus_impact_pre_and_post_!$A$2:$A$10</c15:sqref>
                  </c15:fullRef>
                </c:ext>
              </c:extLst>
              <c:f>Prism_plus_impact_pre_and_post_!$A$2:$A$9</c:f>
              <c:strCache>
                <c:ptCount val="8"/>
                <c:pt idx="0">
                  <c:v>Control Bronze</c:v>
                </c:pt>
                <c:pt idx="1">
                  <c:v>True Bronze</c:v>
                </c:pt>
                <c:pt idx="2">
                  <c:v>Control Silver</c:v>
                </c:pt>
                <c:pt idx="3">
                  <c:v>True Silver</c:v>
                </c:pt>
                <c:pt idx="4">
                  <c:v>Control Gold</c:v>
                </c:pt>
                <c:pt idx="5">
                  <c:v>True Gold</c:v>
                </c:pt>
                <c:pt idx="6">
                  <c:v>Control Platinum</c:v>
                </c:pt>
                <c:pt idx="7">
                  <c:v>True Platinum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Prism_plus_impact_pre_and_post_!$G$2:$G$10</c15:sqref>
                  </c15:fullRef>
                </c:ext>
              </c:extLst>
              <c:f>Prism_plus_impact_pre_and_post_!$G$2:$G$9</c:f>
              <c:numCache>
                <c:formatCode>0.00</c:formatCode>
                <c:ptCount val="8"/>
                <c:pt idx="0">
                  <c:v>60.69</c:v>
                </c:pt>
                <c:pt idx="1">
                  <c:v>49.61</c:v>
                </c:pt>
                <c:pt idx="2">
                  <c:v>63.06</c:v>
                </c:pt>
                <c:pt idx="3">
                  <c:v>50.57</c:v>
                </c:pt>
                <c:pt idx="4">
                  <c:v>61.2</c:v>
                </c:pt>
                <c:pt idx="5">
                  <c:v>46.76</c:v>
                </c:pt>
                <c:pt idx="6">
                  <c:v>62.96</c:v>
                </c:pt>
                <c:pt idx="7">
                  <c:v>47.84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F-491F-96A7-5BCC30EA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46896"/>
        <c:axId val="575547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Prism_plus_impact_pre_and_post_!$A$1</c15:sqref>
                        </c15:formulaRef>
                      </c:ext>
                    </c:extLst>
                    <c:strCache>
                      <c:ptCount val="1"/>
                      <c:pt idx="0">
                        <c:v>plus_or_pseudo_status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7F-491F-96A7-5BCC30EA39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Prism_plus_impact_pre_and_post_!$B$1</c15:sqref>
                        </c15:formulaRef>
                      </c:ext>
                    </c:extLst>
                    <c:strCache>
                      <c:ptCount val="1"/>
                      <c:pt idx="0">
                        <c:v>user_count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Prism_plus_impact_pre_and_post_!$B$2:$B$10</c15:sqref>
                        </c15:fullRef>
                        <c15:formulaRef>
                          <c15:sqref>Prism_plus_impact_pre_and_post_!$B$2:$B$9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8027</c:v>
                      </c:pt>
                      <c:pt idx="1">
                        <c:v>7549</c:v>
                      </c:pt>
                      <c:pt idx="2">
                        <c:v>2203</c:v>
                      </c:pt>
                      <c:pt idx="3">
                        <c:v>2307</c:v>
                      </c:pt>
                      <c:pt idx="4">
                        <c:v>802</c:v>
                      </c:pt>
                      <c:pt idx="5">
                        <c:v>874</c:v>
                      </c:pt>
                      <c:pt idx="6">
                        <c:v>823</c:v>
                      </c:pt>
                      <c:pt idx="7">
                        <c:v>1012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7F-491F-96A7-5BCC30EA39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Prism_plus_impact_pre_and_post_!$C$1</c15:sqref>
                        </c15:formulaRef>
                      </c:ext>
                    </c:extLst>
                    <c:strCache>
                      <c:ptCount val="1"/>
                      <c:pt idx="0">
                        <c:v>AOF_2022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Prism_plus_impact_pre_and_post_!$C$2:$C$10</c15:sqref>
                        </c15:fullRef>
                        <c15:formulaRef>
                          <c15:sqref>Prism_plus_impact_pre_and_post_!$C$2:$C$9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0.31979568954777599</c:v>
                      </c:pt>
                      <c:pt idx="1">
                        <c:v>0.55517287057888398</c:v>
                      </c:pt>
                      <c:pt idx="2">
                        <c:v>0.57739446209713996</c:v>
                      </c:pt>
                      <c:pt idx="3">
                        <c:v>0.97572605114867705</c:v>
                      </c:pt>
                      <c:pt idx="4">
                        <c:v>0.80049875311720597</c:v>
                      </c:pt>
                      <c:pt idx="5">
                        <c:v>1.30091533180777</c:v>
                      </c:pt>
                      <c:pt idx="6">
                        <c:v>1.3584447144592899</c:v>
                      </c:pt>
                      <c:pt idx="7">
                        <c:v>2.6640316205533598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7F-491F-96A7-5BCC30EA39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Prism_plus_impact_pre_and_post_!$D$1</c15:sqref>
                        </c15:formulaRef>
                      </c:ext>
                    </c:extLst>
                    <c:strCache>
                      <c:ptCount val="1"/>
                      <c:pt idx="0">
                        <c:v>ABV_2022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Prism_plus_impact_pre_and_post_!$D$2:$D$10</c15:sqref>
                        </c15:fullRef>
                        <c15:formulaRef>
                          <c15:sqref>Prism_plus_impact_pre_and_post_!$D$2:$D$9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60.750379097367102</c:v>
                      </c:pt>
                      <c:pt idx="1">
                        <c:v>52.1998173383774</c:v>
                      </c:pt>
                      <c:pt idx="2">
                        <c:v>64.891566785346598</c:v>
                      </c:pt>
                      <c:pt idx="3">
                        <c:v>52.473494144305199</c:v>
                      </c:pt>
                      <c:pt idx="4">
                        <c:v>60.375976388029898</c:v>
                      </c:pt>
                      <c:pt idx="5">
                        <c:v>51.086219728951598</c:v>
                      </c:pt>
                      <c:pt idx="6">
                        <c:v>77.273769961337905</c:v>
                      </c:pt>
                      <c:pt idx="7">
                        <c:v>49.303538183298997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7F-491F-96A7-5BCC30EA39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Prism_plus_impact_pre_and_post_!$E$1</c15:sqref>
                        </c15:formulaRef>
                      </c:ext>
                    </c:extLst>
                    <c:strCache>
                      <c:ptCount val="1"/>
                      <c:pt idx="0">
                        <c:v>total_revenue_2022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Prism_plus_impact_pre_and_post_!$E$2:$E$10</c15:sqref>
                        </c15:fullRef>
                        <c15:formulaRef>
                          <c15:sqref>Prism_plus_impact_pre_and_post_!$E$2:$E$9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156917.67000000001</c:v>
                      </c:pt>
                      <c:pt idx="1">
                        <c:v>224136.18024999899</c:v>
                      </c:pt>
                      <c:pt idx="2">
                        <c:v>82869.14</c:v>
                      </c:pt>
                      <c:pt idx="3">
                        <c:v>123022.299999999</c:v>
                      </c:pt>
                      <c:pt idx="4">
                        <c:v>40357.449999999997</c:v>
                      </c:pt>
                      <c:pt idx="5">
                        <c:v>66764.396749999898</c:v>
                      </c:pt>
                      <c:pt idx="6">
                        <c:v>89586.25</c:v>
                      </c:pt>
                      <c:pt idx="7">
                        <c:v>136527.91800000001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7F-491F-96A7-5BCC30EA39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Prism_plus_impact_pre_and_post_!$F$1</c15:sqref>
                        </c15:formulaRef>
                      </c:ext>
                    </c:extLst>
                    <c:strCache>
                      <c:ptCount val="1"/>
                      <c:pt idx="0">
                        <c:v>total_profit_2022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Prism_plus_impact_pre_and_post_!$F$2:$F$10</c15:sqref>
                        </c15:fullRef>
                        <c15:formulaRef>
                          <c15:sqref>Prism_plus_impact_pre_and_post_!$F$2:$F$9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110432.47</c:v>
                      </c:pt>
                      <c:pt idx="1">
                        <c:v>149694.88024999999</c:v>
                      </c:pt>
                      <c:pt idx="2">
                        <c:v>60867.839999999997</c:v>
                      </c:pt>
                      <c:pt idx="3">
                        <c:v>81734.899999999907</c:v>
                      </c:pt>
                      <c:pt idx="4">
                        <c:v>28712.3499999999</c:v>
                      </c:pt>
                      <c:pt idx="5">
                        <c:v>43670.39675</c:v>
                      </c:pt>
                      <c:pt idx="6">
                        <c:v>66014.649999999994</c:v>
                      </c:pt>
                      <c:pt idx="7">
                        <c:v>86475.417999999903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7F-491F-96A7-5BCC30EA3928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Prism_plus_impact_pre_and_post_!$H$1</c15:sqref>
                        </c15:formulaRef>
                      </c:ext>
                    </c:extLst>
                    <c:strCache>
                      <c:ptCount val="1"/>
                      <c:pt idx="0">
                        <c:v>AOF_pre_2022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Prism_plus_impact_pre_and_post_!$H$2:$H$10</c15:sqref>
                        </c15:fullRef>
                        <c15:formulaRef>
                          <c15:sqref>Prism_plus_impact_pre_and_post_!$H$2:$H$9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</c:v>
                      </c:pt>
                      <c:pt idx="1">
                        <c:v>0.99973506424692005</c:v>
                      </c:pt>
                      <c:pt idx="2">
                        <c:v>2</c:v>
                      </c:pt>
                      <c:pt idx="3">
                        <c:v>2.00216731686172</c:v>
                      </c:pt>
                      <c:pt idx="4">
                        <c:v>3</c:v>
                      </c:pt>
                      <c:pt idx="5">
                        <c:v>3.0011441647597201</c:v>
                      </c:pt>
                      <c:pt idx="6">
                        <c:v>5.6938031591737497</c:v>
                      </c:pt>
                      <c:pt idx="7">
                        <c:v>6.3745059288537496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7F-491F-96A7-5BCC30EA3928}"/>
                  </c:ext>
                </c:extLst>
              </c15:ser>
            </c15:filteredBarSeries>
            <c15:filteredBa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Prism_plus_impact_pre_and_post_!$I$1</c15:sqref>
                        </c15:formulaRef>
                      </c:ext>
                    </c:extLst>
                    <c:strCache>
                      <c:ptCount val="1"/>
                      <c:pt idx="0">
                        <c:v>ABV_pre_2022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Prism_plus_impact_pre_and_post_!$I$2:$I$10</c15:sqref>
                        </c15:fullRef>
                        <c15:formulaRef>
                          <c15:sqref>Prism_plus_impact_pre_and_post_!$I$2:$I$9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31.945626012208699</c:v>
                      </c:pt>
                      <c:pt idx="1">
                        <c:v>31.156196300715902</c:v>
                      </c:pt>
                      <c:pt idx="2">
                        <c:v>34.652090331366303</c:v>
                      </c:pt>
                      <c:pt idx="3">
                        <c:v>33.759075278138901</c:v>
                      </c:pt>
                      <c:pt idx="4">
                        <c:v>34.676961762261001</c:v>
                      </c:pt>
                      <c:pt idx="5">
                        <c:v>33.987607742181503</c:v>
                      </c:pt>
                      <c:pt idx="6">
                        <c:v>37.611601344255</c:v>
                      </c:pt>
                      <c:pt idx="7">
                        <c:v>39.444841196874499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7F-491F-96A7-5BCC30EA3928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Prism_plus_impact_pre_and_post_!$J$1</c15:sqref>
                        </c15:formulaRef>
                      </c:ext>
                    </c:extLst>
                    <c:strCache>
                      <c:ptCount val="1"/>
                      <c:pt idx="0">
                        <c:v>total_revenue_pre_2022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Prism_plus_impact_pre_and_post_!$J$2:$J$10</c15:sqref>
                        </c15:fullRef>
                        <c15:formulaRef>
                          <c15:sqref>Prism_plus_impact_pre_and_post_!$J$2:$J$9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256427.53999999899</c:v>
                      </c:pt>
                      <c:pt idx="1">
                        <c:v>235080.495</c:v>
                      </c:pt>
                      <c:pt idx="2">
                        <c:v>152677.10999999999</c:v>
                      </c:pt>
                      <c:pt idx="3">
                        <c:v>155983.815</c:v>
                      </c:pt>
                      <c:pt idx="4">
                        <c:v>83432.769999999902</c:v>
                      </c:pt>
                      <c:pt idx="5">
                        <c:v>89120.57</c:v>
                      </c:pt>
                      <c:pt idx="6">
                        <c:v>182879.85</c:v>
                      </c:pt>
                      <c:pt idx="7">
                        <c:v>282061.27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7F-491F-96A7-5BCC30EA3928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Prism_plus_impact_pre_and_post_!$K$1</c15:sqref>
                        </c15:formulaRef>
                      </c:ext>
                    </c:extLst>
                    <c:strCache>
                      <c:ptCount val="1"/>
                      <c:pt idx="0">
                        <c:v>total_profit_pre_2022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Prism_plus_impact_pre_and_post_!$A$2:$A$10</c15:sqref>
                        </c15:fullRef>
                        <c15:formulaRef>
                          <c15:sqref>Prism_plus_impact_pre_and_post_!$A$2:$A$9</c15:sqref>
                        </c15:formulaRef>
                      </c:ext>
                    </c:extLst>
                    <c:strCache>
                      <c:ptCount val="8"/>
                      <c:pt idx="0">
                        <c:v>Control Bronze</c:v>
                      </c:pt>
                      <c:pt idx="1">
                        <c:v>True Bronze</c:v>
                      </c:pt>
                      <c:pt idx="2">
                        <c:v>Control Silver</c:v>
                      </c:pt>
                      <c:pt idx="3">
                        <c:v>True Silver</c:v>
                      </c:pt>
                      <c:pt idx="4">
                        <c:v>Control Gold</c:v>
                      </c:pt>
                      <c:pt idx="5">
                        <c:v>True Gold</c:v>
                      </c:pt>
                      <c:pt idx="6">
                        <c:v>Control Platinum</c:v>
                      </c:pt>
                      <c:pt idx="7">
                        <c:v>True Platinum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Prism_plus_impact_pre_and_post_!$K$2:$K$10</c15:sqref>
                        </c15:fullRef>
                        <c15:formulaRef>
                          <c15:sqref>Prism_plus_impact_pre_and_post_!$K$2:$K$9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150504.83999999901</c:v>
                      </c:pt>
                      <c:pt idx="1">
                        <c:v>138521.89499999999</c:v>
                      </c:pt>
                      <c:pt idx="2">
                        <c:v>94771.81</c:v>
                      </c:pt>
                      <c:pt idx="3">
                        <c:v>95577.914999999906</c:v>
                      </c:pt>
                      <c:pt idx="4">
                        <c:v>51076.869999999901</c:v>
                      </c:pt>
                      <c:pt idx="5">
                        <c:v>55409.17</c:v>
                      </c:pt>
                      <c:pt idx="6">
                        <c:v>115698.45</c:v>
                      </c:pt>
                      <c:pt idx="7">
                        <c:v>192416.27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7F-491F-96A7-5BCC30EA3928}"/>
                  </c:ext>
                </c:extLst>
              </c15:ser>
            </c15:filteredBarSeries>
          </c:ext>
        </c:extLst>
      </c:barChart>
      <c:catAx>
        <c:axId val="5755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7256"/>
        <c:crosses val="autoZero"/>
        <c:auto val="1"/>
        <c:lblAlgn val="ctr"/>
        <c:lblOffset val="100"/>
        <c:noMultiLvlLbl val="0"/>
      </c:catAx>
      <c:valAx>
        <c:axId val="5755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3</xdr:row>
      <xdr:rowOff>109537</xdr:rowOff>
    </xdr:from>
    <xdr:to>
      <xdr:col>15</xdr:col>
      <xdr:colOff>442912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1E85D-B1A3-98F2-EE11-352CD901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0</xdr:rowOff>
    </xdr:from>
    <xdr:to>
      <xdr:col>7</xdr:col>
      <xdr:colOff>266700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05C3F-179E-242F-4E47-168E4ACC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</xdr:row>
      <xdr:rowOff>14287</xdr:rowOff>
    </xdr:from>
    <xdr:to>
      <xdr:col>3</xdr:col>
      <xdr:colOff>1581150</xdr:colOff>
      <xdr:row>16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F93D1-C30D-BE5B-8F1E-B4B63924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27</xdr:row>
      <xdr:rowOff>4762</xdr:rowOff>
    </xdr:from>
    <xdr:to>
      <xdr:col>4</xdr:col>
      <xdr:colOff>704850</xdr:colOff>
      <xdr:row>41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64CE5-FF80-C19E-AF6A-C0871164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923924</xdr:colOff>
      <xdr:row>44</xdr:row>
      <xdr:rowOff>66675</xdr:rowOff>
    </xdr:from>
    <xdr:to>
      <xdr:col>3</xdr:col>
      <xdr:colOff>666749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A052F-EDC5-A196-9756-120BB7007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10</xdr:row>
      <xdr:rowOff>9525</xdr:rowOff>
    </xdr:from>
    <xdr:to>
      <xdr:col>5</xdr:col>
      <xdr:colOff>1123950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13A3-1A1A-0E97-DEC0-CDA844F95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11</xdr:row>
      <xdr:rowOff>100012</xdr:rowOff>
    </xdr:from>
    <xdr:to>
      <xdr:col>10</xdr:col>
      <xdr:colOff>152400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9A341-79FC-2C1C-FA15-F06CC8C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5</xdr:row>
      <xdr:rowOff>33337</xdr:rowOff>
    </xdr:from>
    <xdr:to>
      <xdr:col>16</xdr:col>
      <xdr:colOff>352425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F00E6-BF03-AF32-5C25-492F9A30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761999</xdr:colOff>
      <xdr:row>2</xdr:row>
      <xdr:rowOff>128586</xdr:rowOff>
    </xdr:from>
    <xdr:to>
      <xdr:col>7</xdr:col>
      <xdr:colOff>847724</xdr:colOff>
      <xdr:row>23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DDFFE5-6C0B-ADF1-F06B-5488261C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 Ibarrientos" refreshedDate="45428.795260185187" createdVersion="8" refreshedVersion="8" minRefreshableVersion="3" recordCount="9" xr:uid="{20695FF6-C233-4049-8F4E-A115AD83AAFE}">
  <cacheSource type="worksheet">
    <worksheetSource name="data"/>
  </cacheSource>
  <cacheFields count="12">
    <cacheField name="plus_or_pseudo_status" numFmtId="0">
      <sharedItems containsBlank="1" count="9">
        <m/>
        <s v="Actual Bronze"/>
        <s v="Actual Gold"/>
        <s v="Actual Platinum"/>
        <s v="Actual Silver"/>
        <s v="pseudo_bronze"/>
        <s v="pseudo_gold"/>
        <s v="pseudo_platinum"/>
        <s v="pseudo_silver"/>
      </sharedItems>
    </cacheField>
    <cacheField name="user_count" numFmtId="2">
      <sharedItems containsSemiMixedTypes="0" containsString="0" containsNumber="1" containsInteger="1" minValue="802" maxValue="74444"/>
    </cacheField>
    <cacheField name="AOF_2022" numFmtId="2">
      <sharedItems containsSemiMixedTypes="0" containsString="0" containsNumber="1" minValue="0.297727150609854" maxValue="2.6640316205533598"/>
    </cacheField>
    <cacheField name="ABV_2022" numFmtId="2">
      <sharedItems containsSemiMixedTypes="0" containsString="0" containsNumber="1" minValue="49.303538183298997" maxValue="77.273769961337905"/>
    </cacheField>
    <cacheField name="total_revenue_2022" numFmtId="2">
      <sharedItems containsSemiMixedTypes="0" containsString="0" containsNumber="1" minValue="40357.449999999997" maxValue="1397055.4650000001"/>
    </cacheField>
    <cacheField name="total_profit_2022" numFmtId="2">
      <sharedItems containsSemiMixedTypes="0" containsString="0" containsNumber="1" minValue="28712.3499999999" maxValue="995048.66499999899"/>
    </cacheField>
    <cacheField name="average_profit_margin_percent_2022" numFmtId="2">
      <sharedItems containsSemiMixedTypes="0" containsString="0" containsNumber="1" minValue="46.76" maxValue="63.06"/>
    </cacheField>
    <cacheField name="AOF_pre_2022" numFmtId="2">
      <sharedItems containsSemiMixedTypes="0" containsString="0" containsNumber="1" minValue="0" maxValue="6.3745059288537496"/>
    </cacheField>
    <cacheField name="ABV_pre_2022" numFmtId="2">
      <sharedItems containsString="0" containsBlank="1" containsNumber="1" minValue="31.156196300715902" maxValue="39.444841196874499"/>
    </cacheField>
    <cacheField name="total_revenue_pre_2022" numFmtId="2">
      <sharedItems containsSemiMixedTypes="0" containsString="0" containsNumber="1" minValue="0" maxValue="282061.27"/>
    </cacheField>
    <cacheField name="total_profit_pre_2022" numFmtId="2">
      <sharedItems containsSemiMixedTypes="0" containsString="0" containsNumber="1" minValue="0" maxValue="192416.27"/>
    </cacheField>
    <cacheField name="average_profit_margin_percent_pre_2022" numFmtId="2">
      <sharedItems containsString="0" containsBlank="1" containsNumber="1" minValue="52.76" maxValue="59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74444"/>
    <n v="0.297727150609854"/>
    <n v="61.209523425713897"/>
    <n v="1397055.4650000001"/>
    <n v="995048.66499999899"/>
    <n v="59.86"/>
    <n v="0"/>
    <m/>
    <n v="0"/>
    <n v="0"/>
    <m/>
  </r>
  <r>
    <x v="1"/>
    <n v="7549"/>
    <n v="0.55517287057888398"/>
    <n v="52.1998173383774"/>
    <n v="224136.18024999899"/>
    <n v="149694.88024999999"/>
    <n v="49.61"/>
    <n v="0.99973506424692005"/>
    <n v="31.156196300715902"/>
    <n v="235080.495"/>
    <n v="138521.89499999999"/>
    <n v="53.2"/>
  </r>
  <r>
    <x v="2"/>
    <n v="874"/>
    <n v="1.30091533180777"/>
    <n v="51.086219728951598"/>
    <n v="66764.396749999898"/>
    <n v="43670.39675"/>
    <n v="46.76"/>
    <n v="3.0011441647597201"/>
    <n v="33.987607742181503"/>
    <n v="89120.57"/>
    <n v="55409.17"/>
    <n v="56.56"/>
  </r>
  <r>
    <x v="3"/>
    <n v="1012"/>
    <n v="2.6640316205533598"/>
    <n v="49.303538183298997"/>
    <n v="136527.91800000001"/>
    <n v="86475.417999999903"/>
    <n v="47.84"/>
    <n v="6.3745059288537496"/>
    <n v="39.444841196874499"/>
    <n v="282061.27"/>
    <n v="192416.27"/>
    <n v="59.89"/>
  </r>
  <r>
    <x v="4"/>
    <n v="2307"/>
    <n v="0.97572605114867705"/>
    <n v="52.473494144305199"/>
    <n v="123022.299999999"/>
    <n v="81734.899999999907"/>
    <n v="50.57"/>
    <n v="2.00216731686172"/>
    <n v="33.759075278138901"/>
    <n v="155983.815"/>
    <n v="95577.914999999906"/>
    <n v="55.11"/>
  </r>
  <r>
    <x v="5"/>
    <n v="8027"/>
    <n v="0.31979568954777599"/>
    <n v="60.750379097367102"/>
    <n v="156917.67000000001"/>
    <n v="110432.47"/>
    <n v="60.69"/>
    <n v="1"/>
    <n v="31.945626012208699"/>
    <n v="256427.53999999899"/>
    <n v="150504.83999999901"/>
    <n v="52.76"/>
  </r>
  <r>
    <x v="6"/>
    <n v="802"/>
    <n v="0.80049875311720597"/>
    <n v="60.375976388029898"/>
    <n v="40357.449999999997"/>
    <n v="28712.3499999999"/>
    <n v="61.2"/>
    <n v="3"/>
    <n v="34.676961762261001"/>
    <n v="83432.769999999902"/>
    <n v="51076.869999999901"/>
    <n v="55.69"/>
  </r>
  <r>
    <x v="7"/>
    <n v="823"/>
    <n v="1.3584447144592899"/>
    <n v="77.273769961337905"/>
    <n v="89586.25"/>
    <n v="66014.649999999994"/>
    <n v="62.96"/>
    <n v="5.6938031591737497"/>
    <n v="37.611601344255"/>
    <n v="182879.85"/>
    <n v="115698.45"/>
    <n v="58.68"/>
  </r>
  <r>
    <x v="8"/>
    <n v="2203"/>
    <n v="0.57739446209713996"/>
    <n v="64.891566785346598"/>
    <n v="82869.14"/>
    <n v="60867.839999999997"/>
    <n v="63.06"/>
    <n v="2"/>
    <n v="34.652090331366303"/>
    <n v="152677.10999999999"/>
    <n v="94771.81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E4596-980E-45D6-ADAD-B322C185D0D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9:B38" firstHeaderRow="1" firstDataRow="1" firstDataCol="1"/>
  <pivotFields count="12">
    <pivotField axis="axisRow" showAll="0">
      <items count="10">
        <item n="Control Bronze" x="5"/>
        <item n="True Bronze" x="1"/>
        <item n="Control Silver" x="8"/>
        <item n="True Silver" x="4"/>
        <item n="Control Gold" x="6"/>
        <item n="True Gold" x="2"/>
        <item n="Control Platinum" x="7"/>
        <item n="True Platinum" x="3"/>
        <item h="1" x="0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ser_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19CA-C4D0-492D-9C9A-22AF1FB0EC9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10" firstHeaderRow="1" firstDataRow="1" firstDataCol="1"/>
  <pivotFields count="12">
    <pivotField axis="axisRow" showAll="0">
      <items count="10">
        <item n="Control Bronze" x="5"/>
        <item n="True Bronze" x="1"/>
        <item n="Control Silver" x="8"/>
        <item n="True Silver" x="4"/>
        <item n="Control Gold" x="6"/>
        <item n="True Gold" x="2"/>
        <item n="Control Platinum" x="7"/>
        <item n="True Platinum" x="3"/>
        <item h="1" x="0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showAll="0"/>
    <pivotField numFmtId="2" showAll="0"/>
    <pivotField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_profit_2022" fld="5" baseField="0" baseItem="0"/>
  </dataFields>
  <formats count="2">
    <format dxfId="43">
      <pivotArea collapsedLevelsAreSubtotals="1" fieldPosition="0">
        <references count="1">
          <reference field="0" count="0"/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A253A-C0FA-40D1-A535-FEEAEF86A64D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C52" firstHeaderRow="0" firstDataRow="1" firstDataCol="1"/>
  <pivotFields count="12">
    <pivotField name="Customer group" axis="axisRow" showAll="0">
      <items count="10">
        <item n="Control Bronze" x="5"/>
        <item n="True Bronze" x="1"/>
        <item n="Control Silver" x="8"/>
        <item n="True Silver" x="4"/>
        <item n="Control Gold" x="6"/>
        <item n="True Gold" x="2"/>
        <item n="Control Platinum" x="7"/>
        <item n="True Platinum" x="3"/>
        <item h="1"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showAll="0"/>
    <pivotField numFmtId="2" showAll="0"/>
    <pivotField numFmtId="2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_profit_margin_percent_pre_2022" fld="11" baseField="0" baseItem="0"/>
    <dataField name="Sum of average_profit_margin_percent_2022" fld="6" baseField="0" baseItem="0"/>
  </dataFields>
  <formats count="1">
    <format dxfId="76">
      <pivotArea collapsedLevelsAreSubtotals="1" fieldPosition="0">
        <references count="1">
          <reference field="0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E803C-F4B4-4D5D-BC96-47AD5667F1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2" firstHeaderRow="0" firstDataRow="1" firstDataCol="1"/>
  <pivotFields count="12">
    <pivotField axis="axisRow" showAll="0">
      <items count="10">
        <item n="True Bronze" x="1"/>
        <item n="Control Bronze" x="5"/>
        <item n="True Silver" x="4"/>
        <item n="Control Silver" x="8"/>
        <item n="True Gold" x="2"/>
        <item n="Control Gold" x="6"/>
        <item n="True Platinum" x="3"/>
        <item n="Control Platinum" x="7"/>
        <item h="1"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ser_count" fld="1" baseField="0" baseItem="0"/>
    <dataField name="Sum of ABV_2022" fld="3" baseField="0" baseItem="0" numFmtId="2"/>
    <dataField name="Sum of AOF_2022" fld="2" baseField="0" baseItem="0" numFmtId="2"/>
    <dataField name="Sum of total_revenue_2022" fld="4" baseField="0" baseItem="0"/>
  </dataFields>
  <formats count="1">
    <format dxfId="6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4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B6D28-C438-446C-A1F9-9FE00C859B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2">
    <pivotField axis="axisRow" showAll="0">
      <items count="10">
        <item n="True Bronze" x="1"/>
        <item n="True Silver" x="4"/>
        <item n="True Gold" x="2"/>
        <item n="True Platinum" x="3"/>
        <item h="1" x="5"/>
        <item h="1" x="6"/>
        <item h="1" x="7"/>
        <item h="1" x="8"/>
        <item h="1" x="0"/>
        <item t="default"/>
      </items>
    </pivotField>
    <pivotField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_2022" fld="4" baseField="0" baseItem="0"/>
    <dataField name="Sum of ABV_202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B9BB0-E670-4F89-849A-76EC98517B80}" name="Table2" displayName="Table2" ref="A12:F17" totalsRowShown="0">
  <autoFilter ref="A12:F17" xr:uid="{77EB9BB0-E670-4F89-849A-76EC98517B80}"/>
  <sortState xmlns:xlrd2="http://schemas.microsoft.com/office/spreadsheetml/2017/richdata2" ref="A13:F17">
    <sortCondition ref="F13:F17" customList="True Bronze,True Silver,True Gold,True Platinum,Grand Total"/>
  </sortState>
  <tableColumns count="6">
    <tableColumn id="1" xr3:uid="{2704A599-C5A4-4A81-BB8C-47760B484FF6}" name="Row Labels"/>
    <tableColumn id="2" xr3:uid="{71226A93-99A5-4FD1-98B4-1FFC71FCA3DB}" name="Sum of AOF_2022" dataDxfId="75"/>
    <tableColumn id="3" xr3:uid="{F432F728-612C-4FF8-A7AD-EC74D0099847}" name="Sum of ABV_2022" dataDxfId="74"/>
    <tableColumn id="4" xr3:uid="{717A0C43-C081-4D06-A700-0479B99E7DA2}" name="Sum of total_revenue_2022" dataDxfId="73"/>
    <tableColumn id="5" xr3:uid="{8D7A82B9-6D81-4236-8986-2C202ABD3C41}" name="Total revenue w/o discount" dataDxfId="72"/>
    <tableColumn id="6" xr3:uid="{8862E4FA-A56F-4622-9D60-2DC21F20AB55}" name="Profit lost" dataDxfId="71">
      <calculatedColumnFormula>E13-Table2[[#This Row],[Sum of total_revenue_2022]]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431FF6-30F2-44CD-A82B-D7CC86FC77EA}" name="Table3" displayName="Table3" ref="A21:F26" totalsRowShown="0">
  <autoFilter ref="A21:F26" xr:uid="{CD431FF6-30F2-44CD-A82B-D7CC86FC77EA}"/>
  <tableColumns count="6">
    <tableColumn id="1" xr3:uid="{ACA7320D-C3DC-48E5-B8C6-C986BD25D80A}" name="Row Labels"/>
    <tableColumn id="2" xr3:uid="{ED0549BC-D210-4F35-A2D8-31E590E975D3}" name="Sum of AOF_2022" dataDxfId="70"/>
    <tableColumn id="3" xr3:uid="{51D91065-298B-422C-B166-D145AA97BF35}" name="Sum of ABV_2022" dataDxfId="69"/>
    <tableColumn id="4" xr3:uid="{EBF64617-CDED-4BD5-AFE0-485263767E19}" name="Sum of total_profit_2022" dataDxfId="68"/>
    <tableColumn id="5" xr3:uid="{35F0306E-B3A3-498A-963F-0D12C563B879}" name="Total profit w/o discount" dataDxfId="67"/>
    <tableColumn id="6" xr3:uid="{1413F1A7-11D9-421F-99E0-C8D83000A4CA}" name="Total Profit lost to discounts" dataDxfId="66">
      <calculatedColumnFormula>Table3[[#This Row],[Total profit w/o discount]]-Table3[[#This Row],[Sum of total_profit_2022]]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3F8F80-FBAF-4574-BE16-7848909FC689}" name="Table4" displayName="Table4" ref="A18:D26" totalsRowShown="0">
  <autoFilter ref="A18:D26" xr:uid="{8F3F8F80-FBAF-4574-BE16-7848909FC689}"/>
  <tableColumns count="4">
    <tableColumn id="1" xr3:uid="{D5631505-E1B2-4904-8787-A36EB871C61A}" name="Prism+ groups"/>
    <tableColumn id="2" xr3:uid="{AD58E777-A3BF-4C8A-9F46-03B8284D029E}" name="Estimated total transactions"/>
    <tableColumn id="3" xr3:uid="{8DF3504C-580C-4365-8AC6-1E01EA6B9CA7}" name="New estimated revenue based on ABV" dataDxfId="64"/>
    <tableColumn id="4" xr3:uid="{CBDA4AA2-CB37-4235-BAE2-C5BFFED7DD5F}" name="Original estimated revenue based on ABV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3A392-D0E9-4D73-9C3E-BD27E6D3B28D}" name="Table5" displayName="Table5" ref="A12:M17" totalsRowCount="1">
  <autoFilter ref="A12:M16" xr:uid="{ADB3A392-D0E9-4D73-9C3E-BD27E6D3B28D}"/>
  <tableColumns count="13">
    <tableColumn id="1" xr3:uid="{49B98A81-7355-4448-8C0B-0ED36B55C7AA}" name="Tier" dataDxfId="62" totalsRowDxfId="8"/>
    <tableColumn id="2" xr3:uid="{A81C2404-9699-4F8B-B1E5-95B6CEC7B001}" name="New discount"/>
    <tableColumn id="3" xr3:uid="{8EC7F83C-DE86-4D1F-AB1F-A270B645F59E}" name="Current revenue" totalsRowFunction="custom" dataDxfId="61">
      <totalsRowFormula>SUM(Table5[Current revenue])</totalsRowFormula>
    </tableColumn>
    <tableColumn id="12" xr3:uid="{B5D28FC8-A854-4AC3-BB04-5BEE59B18E32}" name="Current revenue without discounts" dataDxfId="12">
      <calculatedColumnFormula>C13+(C13/100 * 5)</calculatedColumnFormula>
    </tableColumn>
    <tableColumn id="4" xr3:uid="{A857CD1E-0ED6-4F89-97E9-9213B4C17676}" name="Current transactions" totalsRowFunction="custom">
      <totalsRowFormula>SUM(Table5[Current transactions])</totalsRowFormula>
    </tableColumn>
    <tableColumn id="7" xr3:uid="{81DC7F08-9A12-4842-A9B7-C00476DCD0B4}" name="Revenue based on transaction count and ABV" totalsRowFunction="custom" dataDxfId="60" totalsRowDxfId="7">
      <calculatedColumnFormula>E13*C4</calculatedColumnFormula>
      <totalsRowFormula>SUM(Table5[Revenue based on transaction count and ABV])</totalsRowFormula>
    </tableColumn>
    <tableColumn id="10" xr3:uid="{5E7B2B44-FA0F-4C6D-A8E7-D8ED052FC761}" name="Revenue difference ratio between non-discount and ABV-calculated revenue" dataDxfId="11" totalsRowDxfId="6">
      <calculatedColumnFormula>Table5[[#This Row],[Revenue based on transaction count and ABV]]/Table5[[#This Row],[Current revenue without discounts]]</calculatedColumnFormula>
    </tableColumn>
    <tableColumn id="5" xr3:uid="{21DEE41A-33D3-4916-A6BE-AE2E67E7559F}" name="Expected transaction drop-off percentage" dataDxfId="59" totalsRowDxfId="5"/>
    <tableColumn id="6" xr3:uid="{00CFC0E6-984C-407D-B71F-3BC9A99D2089}" name="New transactions" dataDxfId="58" totalsRowDxfId="4">
      <calculatedColumnFormula>E13*(1-H13)</calculatedColumnFormula>
    </tableColumn>
    <tableColumn id="8" xr3:uid="{BF34D9B3-7D4F-4117-BC78-EE17FB952DB3}" name="New Revenue based on transaction count and  ABV" totalsRowFunction="custom" dataDxfId="57" totalsRowDxfId="3">
      <calculatedColumnFormula>C4*I13</calculatedColumnFormula>
      <totalsRowFormula>SUM(Table5[New Revenue based on transaction count and  ABV])</totalsRowFormula>
    </tableColumn>
    <tableColumn id="11" xr3:uid="{5AE334DE-AC0D-4AC0-AA27-FFA0DE7B17E3}" name="New actual revenue without discounts" totalsRowFunction="custom" dataDxfId="56" totalsRowDxfId="2">
      <calculatedColumnFormula>J13*G13</calculatedColumnFormula>
      <totalsRowFormula>SUM(Table5[New actual revenue without discounts])</totalsRowFormula>
    </tableColumn>
    <tableColumn id="13" xr3:uid="{DA7B157E-43EC-41FB-BEEA-F075D415C1A5}" name="New actual revenue with new discounts" totalsRowFunction="custom" dataDxfId="10" totalsRowDxfId="1">
      <calculatedColumnFormula>Table5[[#This Row],[New actual revenue without discounts]]*(1-Table5[[#This Row],[New discount]])</calculatedColumnFormula>
      <totalsRowFormula>SUM(Table5[New actual revenue with new discounts])</totalsRowFormula>
    </tableColumn>
    <tableColumn id="9" xr3:uid="{D8DA9E57-7B89-404C-9510-FD4AE65BC723}" name="Revenue difference" totalsRowFunction="custom" dataDxfId="9" totalsRowDxfId="0">
      <calculatedColumnFormula>C13-Table5[[#This Row],[New actual revenue with new discounts]]</calculatedColumnFormula>
      <totalsRowFormula>SUM(Table5[Revenue difference])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6656D-3F8A-4661-9B43-2D488DD6C6B7}" name="data" displayName="data" ref="A1:L10" totalsRowShown="0">
  <autoFilter ref="A1:L10" xr:uid="{2176656D-3F8A-4661-9B43-2D488DD6C6B7}"/>
  <sortState xmlns:xlrd2="http://schemas.microsoft.com/office/spreadsheetml/2017/richdata2" ref="A2:L10">
    <sortCondition ref="A2:A10" customList="Control Bronze,True Bronze,Control Silver,True Silver,Control Gold,True Gold,Control Platinum,True Platinum"/>
  </sortState>
  <tableColumns count="12">
    <tableColumn id="1" xr3:uid="{6F657F8C-940A-4BBD-99E8-AE5C3CF8B247}" name="plus_or_pseudo_status"/>
    <tableColumn id="2" xr3:uid="{342B1DEF-146B-4A62-B2F6-25129FFA245E}" name="user_count" dataDxfId="55"/>
    <tableColumn id="3" xr3:uid="{F6E6939B-B802-4069-8CCB-2120D7EE1354}" name="AOF_2022" dataDxfId="54"/>
    <tableColumn id="4" xr3:uid="{439C515B-737E-4BEB-964F-6C187C34228D}" name="ABV_2022" dataDxfId="53"/>
    <tableColumn id="5" xr3:uid="{C4DD0A0D-7E89-4CF4-8334-D27E92BBE3AA}" name="total_revenue_2022" dataDxfId="52"/>
    <tableColumn id="6" xr3:uid="{AA382BBE-C2C2-403E-9EE0-1E52978C9530}" name="total_profit_2022" dataDxfId="51"/>
    <tableColumn id="7" xr3:uid="{0D9E8C5D-31C2-4106-B259-A87CA9E30507}" name="average_profit_margin_percent_2022" dataDxfId="50"/>
    <tableColumn id="8" xr3:uid="{610734C8-D6A7-4B1E-B122-A72F25C53C96}" name="AOF_pre_2022" dataDxfId="49"/>
    <tableColumn id="9" xr3:uid="{13BD2D99-8AF5-4B56-82F8-5787B4534C3D}" name="ABV_pre_2022" dataDxfId="48"/>
    <tableColumn id="10" xr3:uid="{7E3AFC66-4A61-4915-A386-3600AC18D771}" name="total_revenue_pre_2022" dataDxfId="47"/>
    <tableColumn id="11" xr3:uid="{A3552046-1E20-4BED-9241-A9D071B9773C}" name="total_profit_pre_2022" dataDxfId="46"/>
    <tableColumn id="12" xr3:uid="{13B9D897-BE02-47B3-89FE-4B84D837EEF8}" name="average_profit_margin_percent_pre_2022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04F-0D8F-4037-BF54-C52AA45F51EF}">
  <dimension ref="A1:F52"/>
  <sheetViews>
    <sheetView workbookViewId="0">
      <selection activeCell="E11" sqref="E11"/>
    </sheetView>
  </sheetViews>
  <sheetFormatPr defaultRowHeight="15" x14ac:dyDescent="0.25"/>
  <cols>
    <col min="1" max="1" width="16" bestFit="1" customWidth="1"/>
    <col min="2" max="2" width="23" bestFit="1" customWidth="1"/>
    <col min="3" max="3" width="41.28515625" bestFit="1" customWidth="1"/>
    <col min="4" max="4" width="24.7109375" customWidth="1"/>
    <col min="5" max="5" width="28.140625" bestFit="1" customWidth="1"/>
    <col min="6" max="6" width="29.140625" bestFit="1" customWidth="1"/>
  </cols>
  <sheetData>
    <row r="1" spans="1:6" x14ac:dyDescent="0.25">
      <c r="A1" s="5" t="s">
        <v>16</v>
      </c>
      <c r="B1" t="s">
        <v>31</v>
      </c>
    </row>
    <row r="2" spans="1:6" x14ac:dyDescent="0.25">
      <c r="A2" s="6" t="s">
        <v>27</v>
      </c>
      <c r="B2" s="7">
        <v>110432.47</v>
      </c>
    </row>
    <row r="3" spans="1:6" x14ac:dyDescent="0.25">
      <c r="A3" s="6" t="s">
        <v>23</v>
      </c>
      <c r="B3" s="7">
        <v>149694.88024999999</v>
      </c>
    </row>
    <row r="4" spans="1:6" x14ac:dyDescent="0.25">
      <c r="A4" s="6" t="s">
        <v>30</v>
      </c>
      <c r="B4" s="7">
        <v>60867.839999999997</v>
      </c>
    </row>
    <row r="5" spans="1:6" x14ac:dyDescent="0.25">
      <c r="A5" s="6" t="s">
        <v>26</v>
      </c>
      <c r="B5" s="7">
        <v>81734.899999999907</v>
      </c>
    </row>
    <row r="6" spans="1:6" x14ac:dyDescent="0.25">
      <c r="A6" s="6" t="s">
        <v>28</v>
      </c>
      <c r="B6" s="7">
        <v>28712.3499999999</v>
      </c>
    </row>
    <row r="7" spans="1:6" x14ac:dyDescent="0.25">
      <c r="A7" s="6" t="s">
        <v>24</v>
      </c>
      <c r="B7" s="7">
        <v>43670.39675</v>
      </c>
    </row>
    <row r="8" spans="1:6" x14ac:dyDescent="0.25">
      <c r="A8" s="6" t="s">
        <v>29</v>
      </c>
      <c r="B8" s="7">
        <v>66014.649999999994</v>
      </c>
    </row>
    <row r="9" spans="1:6" x14ac:dyDescent="0.25">
      <c r="A9" s="6" t="s">
        <v>25</v>
      </c>
      <c r="B9" s="7">
        <v>86475.417999999903</v>
      </c>
    </row>
    <row r="10" spans="1:6" x14ac:dyDescent="0.25">
      <c r="A10" s="6" t="s">
        <v>17</v>
      </c>
      <c r="B10" s="10">
        <v>627602.9049999998</v>
      </c>
    </row>
    <row r="12" spans="1:6" x14ac:dyDescent="0.25">
      <c r="A12" t="s">
        <v>16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</row>
    <row r="13" spans="1:6" x14ac:dyDescent="0.25">
      <c r="A13" t="s">
        <v>24</v>
      </c>
      <c r="B13" s="2">
        <v>1.30091533180777</v>
      </c>
      <c r="C13" s="2">
        <v>51.086219728951598</v>
      </c>
      <c r="D13" s="2">
        <v>66764.396749999898</v>
      </c>
      <c r="E13" s="2">
        <f>D13+(D13/100 * 15)</f>
        <v>76779.056262499886</v>
      </c>
      <c r="F13" s="2">
        <f>E13-Table2[[#This Row],[Sum of total_revenue_2022]]</f>
        <v>10014.659512499988</v>
      </c>
    </row>
    <row r="14" spans="1:6" x14ac:dyDescent="0.25">
      <c r="A14" t="s">
        <v>23</v>
      </c>
      <c r="B14" s="2">
        <v>0.55517287057888398</v>
      </c>
      <c r="C14" s="2">
        <v>52.1998173383774</v>
      </c>
      <c r="D14" s="2">
        <v>224136.18024999899</v>
      </c>
      <c r="E14" s="2">
        <f>D14+(D14/100 * 5)</f>
        <v>235342.98926249894</v>
      </c>
      <c r="F14" s="2">
        <f>E14-Table2[[#This Row],[Sum of total_revenue_2022]]</f>
        <v>11206.809012499958</v>
      </c>
    </row>
    <row r="15" spans="1:6" x14ac:dyDescent="0.25">
      <c r="A15" t="s">
        <v>26</v>
      </c>
      <c r="B15" s="2">
        <v>0.97572605114867705</v>
      </c>
      <c r="C15" s="2">
        <v>52.473494144305199</v>
      </c>
      <c r="D15" s="2">
        <v>123022.299999999</v>
      </c>
      <c r="E15" s="2">
        <f>D15+(D15/100 * 10)</f>
        <v>135324.52999999889</v>
      </c>
      <c r="F15" s="2">
        <f>E15-Table2[[#This Row],[Sum of total_revenue_2022]]</f>
        <v>12302.229999999894</v>
      </c>
    </row>
    <row r="16" spans="1:6" x14ac:dyDescent="0.25">
      <c r="A16" t="s">
        <v>25</v>
      </c>
      <c r="B16" s="2">
        <v>2.6640316205533598</v>
      </c>
      <c r="C16" s="2">
        <v>49.303538183298997</v>
      </c>
      <c r="D16" s="2">
        <v>136527.91800000001</v>
      </c>
      <c r="E16" s="2">
        <f>D16+(D16/100 * 20)</f>
        <v>163833.50160000002</v>
      </c>
      <c r="F16" s="2">
        <f>E16-Table2[[#This Row],[Sum of total_revenue_2022]]</f>
        <v>27305.583600000013</v>
      </c>
    </row>
    <row r="17" spans="1:6" x14ac:dyDescent="0.25">
      <c r="A17" t="s">
        <v>17</v>
      </c>
      <c r="B17" s="2">
        <v>5.4958458740886913</v>
      </c>
      <c r="C17" s="2">
        <v>205.06306939493319</v>
      </c>
      <c r="D17" s="2">
        <v>550450.79499999783</v>
      </c>
      <c r="E17" s="2">
        <f>SUM(E13:E16)</f>
        <v>611280.07712499774</v>
      </c>
      <c r="F17" s="2">
        <f>E17-Table2[[#This Row],[Sum of total_revenue_2022]]</f>
        <v>60829.282124999911</v>
      </c>
    </row>
    <row r="21" spans="1:6" x14ac:dyDescent="0.25">
      <c r="A21" t="s">
        <v>16</v>
      </c>
      <c r="B21" t="s">
        <v>18</v>
      </c>
      <c r="C21" t="s">
        <v>19</v>
      </c>
      <c r="D21" t="s">
        <v>31</v>
      </c>
      <c r="E21" t="s">
        <v>32</v>
      </c>
      <c r="F21" t="s">
        <v>33</v>
      </c>
    </row>
    <row r="22" spans="1:6" x14ac:dyDescent="0.25">
      <c r="A22" t="s">
        <v>12</v>
      </c>
      <c r="B22" s="2">
        <v>0.55517287057888398</v>
      </c>
      <c r="C22" s="2">
        <v>52.1998173383774</v>
      </c>
      <c r="D22" s="2">
        <v>149694.88024999999</v>
      </c>
      <c r="E22" s="2">
        <f>D22 + (D22/100 * 5)</f>
        <v>157179.62426249997</v>
      </c>
      <c r="F22" s="2">
        <f>Table3[[#This Row],[Total profit w/o discount]]-Table3[[#This Row],[Sum of total_profit_2022]]</f>
        <v>7484.7440124999848</v>
      </c>
    </row>
    <row r="23" spans="1:6" x14ac:dyDescent="0.25">
      <c r="A23" t="s">
        <v>15</v>
      </c>
      <c r="B23" s="2">
        <v>0.97572605114867705</v>
      </c>
      <c r="C23" s="2">
        <v>52.473494144305199</v>
      </c>
      <c r="D23" s="2">
        <v>81734.899999999907</v>
      </c>
      <c r="E23" s="2">
        <f>D23 + (D23/100 * 10)</f>
        <v>89908.389999999898</v>
      </c>
      <c r="F23" s="2">
        <f>Table3[[#This Row],[Total profit w/o discount]]-Table3[[#This Row],[Sum of total_profit_2022]]</f>
        <v>8173.4899999999907</v>
      </c>
    </row>
    <row r="24" spans="1:6" x14ac:dyDescent="0.25">
      <c r="A24" t="s">
        <v>13</v>
      </c>
      <c r="B24" s="2">
        <v>1.30091533180777</v>
      </c>
      <c r="C24" s="2">
        <v>51.086219728951598</v>
      </c>
      <c r="D24" s="2">
        <v>43670.39675</v>
      </c>
      <c r="E24" s="2">
        <f>D24 + (D24/100 * 15)</f>
        <v>50220.956262499996</v>
      </c>
      <c r="F24" s="2">
        <f>Table3[[#This Row],[Total profit w/o discount]]-Table3[[#This Row],[Sum of total_profit_2022]]</f>
        <v>6550.5595124999963</v>
      </c>
    </row>
    <row r="25" spans="1:6" x14ac:dyDescent="0.25">
      <c r="A25" t="s">
        <v>14</v>
      </c>
      <c r="B25" s="2">
        <v>2.6640316205533598</v>
      </c>
      <c r="C25" s="2">
        <v>49.303538183298997</v>
      </c>
      <c r="D25" s="2">
        <v>86475.417999999903</v>
      </c>
      <c r="E25" s="2">
        <f>D25 + (D25/100 * 20)</f>
        <v>103770.50159999989</v>
      </c>
      <c r="F25" s="2">
        <f>Table3[[#This Row],[Total profit w/o discount]]-Table3[[#This Row],[Sum of total_profit_2022]]</f>
        <v>17295.083599999984</v>
      </c>
    </row>
    <row r="26" spans="1:6" x14ac:dyDescent="0.25">
      <c r="A26" t="s">
        <v>17</v>
      </c>
      <c r="B26" s="2">
        <v>5.4958458740886904</v>
      </c>
      <c r="C26" s="2">
        <v>205.06306939493319</v>
      </c>
      <c r="D26" s="2">
        <v>361575.5949999998</v>
      </c>
      <c r="E26" s="2">
        <f>SUM(E22:E25)</f>
        <v>401079.4721249998</v>
      </c>
      <c r="F26" s="2">
        <f>Table3[[#This Row],[Total profit w/o discount]]-Table3[[#This Row],[Sum of total_profit_2022]]</f>
        <v>39503.877124999999</v>
      </c>
    </row>
    <row r="29" spans="1:6" x14ac:dyDescent="0.25">
      <c r="A29" s="5" t="s">
        <v>16</v>
      </c>
      <c r="B29" t="s">
        <v>34</v>
      </c>
    </row>
    <row r="30" spans="1:6" x14ac:dyDescent="0.25">
      <c r="A30" s="6" t="s">
        <v>27</v>
      </c>
      <c r="B30">
        <v>8027</v>
      </c>
    </row>
    <row r="31" spans="1:6" x14ac:dyDescent="0.25">
      <c r="A31" s="6" t="s">
        <v>23</v>
      </c>
      <c r="B31">
        <v>7549</v>
      </c>
    </row>
    <row r="32" spans="1:6" x14ac:dyDescent="0.25">
      <c r="A32" s="6" t="s">
        <v>30</v>
      </c>
      <c r="B32">
        <v>2203</v>
      </c>
    </row>
    <row r="33" spans="1:3" x14ac:dyDescent="0.25">
      <c r="A33" s="6" t="s">
        <v>26</v>
      </c>
      <c r="B33">
        <v>2307</v>
      </c>
    </row>
    <row r="34" spans="1:3" x14ac:dyDescent="0.25">
      <c r="A34" s="6" t="s">
        <v>28</v>
      </c>
      <c r="B34">
        <v>802</v>
      </c>
    </row>
    <row r="35" spans="1:3" x14ac:dyDescent="0.25">
      <c r="A35" s="6" t="s">
        <v>24</v>
      </c>
      <c r="B35">
        <v>874</v>
      </c>
    </row>
    <row r="36" spans="1:3" x14ac:dyDescent="0.25">
      <c r="A36" s="6" t="s">
        <v>29</v>
      </c>
      <c r="B36">
        <v>823</v>
      </c>
    </row>
    <row r="37" spans="1:3" x14ac:dyDescent="0.25">
      <c r="A37" s="6" t="s">
        <v>25</v>
      </c>
      <c r="B37">
        <v>1012</v>
      </c>
    </row>
    <row r="38" spans="1:3" x14ac:dyDescent="0.25">
      <c r="A38" s="6" t="s">
        <v>17</v>
      </c>
      <c r="B38">
        <v>23597</v>
      </c>
    </row>
    <row r="43" spans="1:3" x14ac:dyDescent="0.25">
      <c r="A43" s="5" t="s">
        <v>16</v>
      </c>
      <c r="B43" t="s">
        <v>45</v>
      </c>
      <c r="C43" t="s">
        <v>44</v>
      </c>
    </row>
    <row r="44" spans="1:3" x14ac:dyDescent="0.25">
      <c r="A44" s="6" t="s">
        <v>27</v>
      </c>
      <c r="B44" s="2">
        <v>52.76</v>
      </c>
      <c r="C44" s="2">
        <v>60.69</v>
      </c>
    </row>
    <row r="45" spans="1:3" x14ac:dyDescent="0.25">
      <c r="A45" s="6" t="s">
        <v>23</v>
      </c>
      <c r="B45" s="2">
        <v>53.2</v>
      </c>
      <c r="C45" s="2">
        <v>49.61</v>
      </c>
    </row>
    <row r="46" spans="1:3" x14ac:dyDescent="0.25">
      <c r="A46" s="6" t="s">
        <v>30</v>
      </c>
      <c r="B46" s="2">
        <v>55</v>
      </c>
      <c r="C46" s="2">
        <v>63.06</v>
      </c>
    </row>
    <row r="47" spans="1:3" x14ac:dyDescent="0.25">
      <c r="A47" s="6" t="s">
        <v>26</v>
      </c>
      <c r="B47" s="2">
        <v>55.11</v>
      </c>
      <c r="C47" s="2">
        <v>50.57</v>
      </c>
    </row>
    <row r="48" spans="1:3" x14ac:dyDescent="0.25">
      <c r="A48" s="6" t="s">
        <v>28</v>
      </c>
      <c r="B48" s="2">
        <v>55.69</v>
      </c>
      <c r="C48" s="2">
        <v>61.2</v>
      </c>
    </row>
    <row r="49" spans="1:3" x14ac:dyDescent="0.25">
      <c r="A49" s="6" t="s">
        <v>24</v>
      </c>
      <c r="B49" s="2">
        <v>56.56</v>
      </c>
      <c r="C49" s="2">
        <v>46.76</v>
      </c>
    </row>
    <row r="50" spans="1:3" x14ac:dyDescent="0.25">
      <c r="A50" s="6" t="s">
        <v>29</v>
      </c>
      <c r="B50" s="2">
        <v>58.68</v>
      </c>
      <c r="C50" s="2">
        <v>62.96</v>
      </c>
    </row>
    <row r="51" spans="1:3" x14ac:dyDescent="0.25">
      <c r="A51" s="6" t="s">
        <v>25</v>
      </c>
      <c r="B51" s="2">
        <v>59.89</v>
      </c>
      <c r="C51" s="2">
        <v>47.84</v>
      </c>
    </row>
    <row r="52" spans="1:3" x14ac:dyDescent="0.25">
      <c r="A52" s="6" t="s">
        <v>17</v>
      </c>
      <c r="B52">
        <v>446.89</v>
      </c>
      <c r="C52">
        <v>442.68999999999994</v>
      </c>
    </row>
  </sheetData>
  <phoneticPr fontId="18" type="noConversion"/>
  <pageMargins left="0.7" right="0.7" top="0.75" bottom="0.75" header="0.3" footer="0.3"/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5F04-CFC9-4B01-8A3D-3784D14B3F15}">
  <dimension ref="A3:G27"/>
  <sheetViews>
    <sheetView topLeftCell="A7" workbookViewId="0">
      <selection activeCell="F26" sqref="F26"/>
    </sheetView>
  </sheetViews>
  <sheetFormatPr defaultRowHeight="15" x14ac:dyDescent="0.25"/>
  <cols>
    <col min="1" max="1" width="16" bestFit="1" customWidth="1"/>
    <col min="2" max="2" width="28.42578125" customWidth="1"/>
    <col min="3" max="3" width="37" customWidth="1"/>
    <col min="4" max="4" width="40" customWidth="1"/>
    <col min="5" max="5" width="25.5703125" bestFit="1" customWidth="1"/>
    <col min="6" max="6" width="26.28515625" bestFit="1" customWidth="1"/>
    <col min="7" max="7" width="11.5703125" bestFit="1" customWidth="1"/>
  </cols>
  <sheetData>
    <row r="3" spans="1:7" x14ac:dyDescent="0.25">
      <c r="A3" s="5" t="s">
        <v>16</v>
      </c>
      <c r="B3" t="s">
        <v>34</v>
      </c>
      <c r="C3" t="s">
        <v>19</v>
      </c>
      <c r="D3" t="s">
        <v>18</v>
      </c>
      <c r="E3" t="s">
        <v>20</v>
      </c>
      <c r="F3" t="s">
        <v>35</v>
      </c>
      <c r="G3" t="s">
        <v>41</v>
      </c>
    </row>
    <row r="4" spans="1:7" x14ac:dyDescent="0.25">
      <c r="A4" s="6" t="s">
        <v>23</v>
      </c>
      <c r="B4">
        <v>7549</v>
      </c>
      <c r="C4" s="2">
        <v>52.1998173383774</v>
      </c>
      <c r="D4" s="2">
        <v>0.55517287057888398</v>
      </c>
      <c r="E4">
        <v>224136.18024999899</v>
      </c>
      <c r="F4" s="7">
        <f t="shared" ref="F4:F12" si="0">B4*D4</f>
        <v>4190.9999999999955</v>
      </c>
      <c r="G4" s="7">
        <f>F4*C4</f>
        <v>218769.43446513943</v>
      </c>
    </row>
    <row r="5" spans="1:7" x14ac:dyDescent="0.25">
      <c r="A5" s="6" t="s">
        <v>27</v>
      </c>
      <c r="B5">
        <v>8027</v>
      </c>
      <c r="C5" s="2">
        <v>60.750379097367102</v>
      </c>
      <c r="D5" s="2">
        <v>0.31979568954777599</v>
      </c>
      <c r="E5">
        <v>156917.67000000001</v>
      </c>
      <c r="F5" s="7">
        <f t="shared" si="0"/>
        <v>2566.9999999999977</v>
      </c>
      <c r="G5" s="7">
        <f t="shared" ref="G5:G12" si="1">F5*C5</f>
        <v>155946.22314294122</v>
      </c>
    </row>
    <row r="6" spans="1:7" x14ac:dyDescent="0.25">
      <c r="A6" s="6" t="s">
        <v>26</v>
      </c>
      <c r="B6">
        <v>2307</v>
      </c>
      <c r="C6" s="2">
        <v>52.473494144305199</v>
      </c>
      <c r="D6" s="2">
        <v>0.97572605114867705</v>
      </c>
      <c r="E6">
        <v>123022.299999999</v>
      </c>
      <c r="F6" s="7">
        <f t="shared" si="0"/>
        <v>2250.9999999999982</v>
      </c>
      <c r="G6" s="7">
        <f t="shared" si="1"/>
        <v>118117.83531883091</v>
      </c>
    </row>
    <row r="7" spans="1:7" x14ac:dyDescent="0.25">
      <c r="A7" s="6" t="s">
        <v>30</v>
      </c>
      <c r="B7">
        <v>2203</v>
      </c>
      <c r="C7" s="2">
        <v>64.891566785346598</v>
      </c>
      <c r="D7" s="2">
        <v>0.57739446209713996</v>
      </c>
      <c r="E7">
        <v>82869.14</v>
      </c>
      <c r="F7" s="7">
        <f t="shared" si="0"/>
        <v>1271.9999999999993</v>
      </c>
      <c r="G7" s="7">
        <f t="shared" si="1"/>
        <v>82542.072950960821</v>
      </c>
    </row>
    <row r="8" spans="1:7" x14ac:dyDescent="0.25">
      <c r="A8" s="6" t="s">
        <v>24</v>
      </c>
      <c r="B8">
        <v>874</v>
      </c>
      <c r="C8" s="2">
        <v>51.086219728951598</v>
      </c>
      <c r="D8" s="2">
        <v>1.30091533180777</v>
      </c>
      <c r="E8">
        <v>66764.396749999898</v>
      </c>
      <c r="F8" s="7">
        <f t="shared" si="0"/>
        <v>1136.9999999999909</v>
      </c>
      <c r="G8" s="7">
        <f>F8*C8</f>
        <v>58085.031831817505</v>
      </c>
    </row>
    <row r="9" spans="1:7" x14ac:dyDescent="0.25">
      <c r="A9" s="6" t="s">
        <v>28</v>
      </c>
      <c r="B9">
        <v>802</v>
      </c>
      <c r="C9" s="2">
        <v>60.375976388029898</v>
      </c>
      <c r="D9" s="2">
        <v>0.80049875311720597</v>
      </c>
      <c r="E9">
        <v>40357.449999999997</v>
      </c>
      <c r="F9" s="7">
        <f t="shared" si="0"/>
        <v>641.9999999999992</v>
      </c>
      <c r="G9" s="7">
        <f t="shared" si="1"/>
        <v>38761.376841115147</v>
      </c>
    </row>
    <row r="10" spans="1:7" x14ac:dyDescent="0.25">
      <c r="A10" s="6" t="s">
        <v>25</v>
      </c>
      <c r="B10">
        <v>1012</v>
      </c>
      <c r="C10" s="2">
        <v>49.303538183298997</v>
      </c>
      <c r="D10" s="2">
        <v>2.6640316205533598</v>
      </c>
      <c r="E10">
        <v>136527.91800000001</v>
      </c>
      <c r="F10" s="7">
        <f t="shared" si="0"/>
        <v>2696</v>
      </c>
      <c r="G10" s="7">
        <f t="shared" si="1"/>
        <v>132922.3389421741</v>
      </c>
    </row>
    <row r="11" spans="1:7" x14ac:dyDescent="0.25">
      <c r="A11" s="6" t="s">
        <v>29</v>
      </c>
      <c r="B11">
        <v>823</v>
      </c>
      <c r="C11" s="2">
        <v>77.273769961337905</v>
      </c>
      <c r="D11" s="2">
        <v>1.3584447144592899</v>
      </c>
      <c r="E11">
        <v>89586.25</v>
      </c>
      <c r="F11" s="7">
        <f t="shared" si="0"/>
        <v>1117.9999999999957</v>
      </c>
      <c r="G11" s="7">
        <f t="shared" si="1"/>
        <v>86392.07481677545</v>
      </c>
    </row>
    <row r="12" spans="1:7" x14ac:dyDescent="0.25">
      <c r="A12" s="6" t="s">
        <v>17</v>
      </c>
      <c r="B12">
        <v>23597</v>
      </c>
      <c r="C12" s="2">
        <v>468.35476162701474</v>
      </c>
      <c r="D12" s="2">
        <v>8.5519794933101032</v>
      </c>
      <c r="E12">
        <v>920181.30499999784</v>
      </c>
      <c r="F12" s="7">
        <f t="shared" si="0"/>
        <v>201801.06010363851</v>
      </c>
      <c r="G12" s="7">
        <f t="shared" si="1"/>
        <v>94514487.400918484</v>
      </c>
    </row>
    <row r="15" spans="1:7" x14ac:dyDescent="0.25">
      <c r="D15" t="s">
        <v>36</v>
      </c>
    </row>
    <row r="16" spans="1:7" x14ac:dyDescent="0.25">
      <c r="D16" t="s">
        <v>37</v>
      </c>
    </row>
    <row r="18" spans="1:6" x14ac:dyDescent="0.25">
      <c r="A18" t="s">
        <v>38</v>
      </c>
      <c r="B18" t="s">
        <v>35</v>
      </c>
      <c r="C18" t="s">
        <v>42</v>
      </c>
      <c r="D18" t="s">
        <v>43</v>
      </c>
    </row>
    <row r="19" spans="1:6" x14ac:dyDescent="0.25">
      <c r="A19" t="s">
        <v>23</v>
      </c>
      <c r="B19">
        <v>4190.9999999999955</v>
      </c>
      <c r="C19" s="7">
        <f>B19*C4</f>
        <v>218769.43446513943</v>
      </c>
      <c r="D19" s="7">
        <v>218769.43446513943</v>
      </c>
    </row>
    <row r="20" spans="1:6" x14ac:dyDescent="0.25">
      <c r="A20" t="s">
        <v>27</v>
      </c>
      <c r="B20">
        <v>2566.9999999999977</v>
      </c>
      <c r="C20" s="7">
        <f t="shared" ref="C20:C24" si="2">B20*C5</f>
        <v>155946.22314294122</v>
      </c>
      <c r="D20" s="7">
        <v>155946.22314294122</v>
      </c>
    </row>
    <row r="21" spans="1:6" x14ac:dyDescent="0.25">
      <c r="A21" t="s">
        <v>26</v>
      </c>
      <c r="B21">
        <v>2250.9999999999982</v>
      </c>
      <c r="C21" s="7">
        <f t="shared" si="2"/>
        <v>118117.83531883091</v>
      </c>
      <c r="D21" s="7">
        <v>118117.83531883091</v>
      </c>
    </row>
    <row r="22" spans="1:6" x14ac:dyDescent="0.25">
      <c r="A22" t="s">
        <v>30</v>
      </c>
      <c r="B22">
        <v>1271.9999999999993</v>
      </c>
      <c r="C22" s="7">
        <f t="shared" si="2"/>
        <v>82542.072950960821</v>
      </c>
      <c r="D22" s="7">
        <v>82542.072950960821</v>
      </c>
    </row>
    <row r="23" spans="1:6" x14ac:dyDescent="0.25">
      <c r="A23" t="s">
        <v>24</v>
      </c>
      <c r="B23">
        <v>1136.9999999999909</v>
      </c>
      <c r="C23" s="7">
        <f>B23*C8</f>
        <v>58085.031831817505</v>
      </c>
      <c r="D23" s="7">
        <v>58085.031831817505</v>
      </c>
    </row>
    <row r="24" spans="1:6" x14ac:dyDescent="0.25">
      <c r="A24" t="s">
        <v>28</v>
      </c>
      <c r="B24">
        <v>641.9999999999992</v>
      </c>
      <c r="C24" s="7">
        <f t="shared" si="2"/>
        <v>38761.376841115147</v>
      </c>
      <c r="D24" s="7">
        <v>38761.376841115147</v>
      </c>
    </row>
    <row r="25" spans="1:6" x14ac:dyDescent="0.25">
      <c r="A25" s="8" t="s">
        <v>39</v>
      </c>
      <c r="B25" s="9">
        <f>2696+F8</f>
        <v>3832.9999999999909</v>
      </c>
      <c r="C25" s="9">
        <f>B25*50</f>
        <v>191649.99999999953</v>
      </c>
      <c r="D25" s="9">
        <v>132922.3389421741</v>
      </c>
      <c r="E25" s="7">
        <f>C25-D25</f>
        <v>58727.661057825433</v>
      </c>
      <c r="F25" s="7"/>
    </row>
    <row r="26" spans="1:6" x14ac:dyDescent="0.25">
      <c r="A26" s="8" t="s">
        <v>40</v>
      </c>
      <c r="B26" s="9">
        <f>F11+F9</f>
        <v>1759.999999999995</v>
      </c>
      <c r="C26" s="9">
        <f>B26*70</f>
        <v>123199.99999999965</v>
      </c>
      <c r="D26" s="9">
        <v>86392.07481677545</v>
      </c>
      <c r="F26" s="7"/>
    </row>
    <row r="27" spans="1:6" x14ac:dyDescent="0.25">
      <c r="D27" s="7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9E36-8D4B-4092-9F13-B51BE1E99F65}">
  <dimension ref="A3:M19"/>
  <sheetViews>
    <sheetView tabSelected="1" topLeftCell="D2" workbookViewId="0">
      <selection activeCell="J18" sqref="J18"/>
    </sheetView>
  </sheetViews>
  <sheetFormatPr defaultRowHeight="15" x14ac:dyDescent="0.25"/>
  <cols>
    <col min="1" max="1" width="13.42578125" bestFit="1" customWidth="1"/>
    <col min="2" max="2" width="25.5703125" bestFit="1" customWidth="1"/>
    <col min="3" max="3" width="16.140625" bestFit="1" customWidth="1"/>
    <col min="4" max="4" width="22.140625" bestFit="1" customWidth="1"/>
    <col min="5" max="5" width="23" bestFit="1" customWidth="1"/>
    <col min="6" max="6" width="16.42578125" customWidth="1"/>
    <col min="7" max="7" width="29.42578125" customWidth="1"/>
    <col min="8" max="8" width="22.42578125" bestFit="1" customWidth="1"/>
    <col min="9" max="9" width="19.42578125" customWidth="1"/>
    <col min="10" max="10" width="22.42578125" customWidth="1"/>
    <col min="11" max="11" width="21.7109375" customWidth="1"/>
    <col min="12" max="12" width="16" customWidth="1"/>
    <col min="13" max="13" width="12.85546875" customWidth="1"/>
  </cols>
  <sheetData>
    <row r="3" spans="1:13" x14ac:dyDescent="0.25">
      <c r="A3" s="5" t="s">
        <v>16</v>
      </c>
      <c r="B3" t="s">
        <v>20</v>
      </c>
      <c r="C3" t="s">
        <v>19</v>
      </c>
    </row>
    <row r="4" spans="1:13" x14ac:dyDescent="0.25">
      <c r="A4" s="6" t="s">
        <v>23</v>
      </c>
      <c r="B4">
        <v>224136.18024999899</v>
      </c>
      <c r="C4">
        <v>52.1998173383774</v>
      </c>
    </row>
    <row r="5" spans="1:13" x14ac:dyDescent="0.25">
      <c r="A5" s="6" t="s">
        <v>26</v>
      </c>
      <c r="B5">
        <v>123022.299999999</v>
      </c>
      <c r="C5">
        <v>52.473494144305199</v>
      </c>
    </row>
    <row r="6" spans="1:13" x14ac:dyDescent="0.25">
      <c r="A6" s="6" t="s">
        <v>24</v>
      </c>
      <c r="B6">
        <v>66764.396749999898</v>
      </c>
      <c r="C6">
        <v>51.086219728951598</v>
      </c>
    </row>
    <row r="7" spans="1:13" x14ac:dyDescent="0.25">
      <c r="A7" s="6" t="s">
        <v>25</v>
      </c>
      <c r="B7">
        <v>136527.91800000001</v>
      </c>
      <c r="C7">
        <v>49.303538183298997</v>
      </c>
      <c r="M7" s="7"/>
    </row>
    <row r="8" spans="1:13" x14ac:dyDescent="0.25">
      <c r="A8" s="6" t="s">
        <v>17</v>
      </c>
      <c r="B8">
        <v>550450.79499999783</v>
      </c>
      <c r="C8">
        <v>205.06306939493319</v>
      </c>
    </row>
    <row r="12" spans="1:13" ht="46.5" customHeight="1" x14ac:dyDescent="0.25">
      <c r="A12" t="s">
        <v>46</v>
      </c>
      <c r="B12" t="s">
        <v>47</v>
      </c>
      <c r="C12" t="s">
        <v>48</v>
      </c>
      <c r="D12" s="1" t="s">
        <v>56</v>
      </c>
      <c r="E12" t="s">
        <v>49</v>
      </c>
      <c r="F12" s="1" t="s">
        <v>54</v>
      </c>
      <c r="G12" s="1" t="s">
        <v>59</v>
      </c>
      <c r="H12" s="1" t="s">
        <v>52</v>
      </c>
      <c r="I12" t="s">
        <v>50</v>
      </c>
      <c r="J12" s="1" t="s">
        <v>55</v>
      </c>
      <c r="K12" s="1" t="s">
        <v>57</v>
      </c>
      <c r="L12" s="1" t="s">
        <v>60</v>
      </c>
      <c r="M12" s="1" t="s">
        <v>51</v>
      </c>
    </row>
    <row r="13" spans="1:13" x14ac:dyDescent="0.25">
      <c r="A13" s="6" t="s">
        <v>23</v>
      </c>
      <c r="B13">
        <v>2.5000000000000001E-2</v>
      </c>
      <c r="C13">
        <v>224136.18024999899</v>
      </c>
      <c r="D13">
        <f t="shared" ref="D13" si="0">C13+(C13/100 * 5)</f>
        <v>235342.98926249894</v>
      </c>
      <c r="E13">
        <v>4198</v>
      </c>
      <c r="F13" s="2">
        <f>E13*C4</f>
        <v>219134.83318650833</v>
      </c>
      <c r="G13" s="2">
        <f>Table5[[#This Row],[Revenue based on transaction count and ABV]]/Table5[[#This Row],[Current revenue without discounts]]</f>
        <v>0.93112964135119314</v>
      </c>
      <c r="H13" s="2">
        <v>0.05</v>
      </c>
      <c r="I13" s="7">
        <f>E13*(1-H13)</f>
        <v>3988.1</v>
      </c>
      <c r="J13" s="2">
        <f>C4*I13</f>
        <v>208178.0915271829</v>
      </c>
      <c r="K13" s="2">
        <f>J13*G13</f>
        <v>193840.79170088167</v>
      </c>
      <c r="L13" s="2">
        <f>Table5[[#This Row],[New actual revenue without discounts]]*(1-Table5[[#This Row],[New discount]])</f>
        <v>188994.77190835963</v>
      </c>
      <c r="M13" s="2">
        <f>C13-Table5[[#This Row],[New actual revenue with new discounts]]</f>
        <v>35141.408341639355</v>
      </c>
    </row>
    <row r="14" spans="1:13" x14ac:dyDescent="0.25">
      <c r="A14" s="6" t="s">
        <v>26</v>
      </c>
      <c r="B14">
        <v>0.05</v>
      </c>
      <c r="C14">
        <v>123022.299999999</v>
      </c>
      <c r="D14">
        <f>C14+(C14/100 * 10)</f>
        <v>135324.52999999889</v>
      </c>
      <c r="E14">
        <v>1126</v>
      </c>
      <c r="F14" s="2">
        <f>E14*C5</f>
        <v>59085.154406487658</v>
      </c>
      <c r="G14" s="2">
        <f>Table5[[#This Row],[Revenue based on transaction count and ABV]]/Table5[[#This Row],[Current revenue without discounts]]</f>
        <v>0.43661821257748423</v>
      </c>
      <c r="H14" s="2">
        <v>7.0000000000000007E-2</v>
      </c>
      <c r="I14" s="7">
        <f>E14*(1-H14)</f>
        <v>1047.1799999999998</v>
      </c>
      <c r="J14" s="2">
        <f>C5*I14</f>
        <v>54949.193598033511</v>
      </c>
      <c r="K14" s="2">
        <f t="shared" ref="K14:K16" si="1">J14*G14</f>
        <v>23991.818691347533</v>
      </c>
      <c r="L14" s="2">
        <f>Table5[[#This Row],[New actual revenue without discounts]]*(1-Table5[[#This Row],[New discount]])</f>
        <v>22792.227756780154</v>
      </c>
      <c r="M14" s="2">
        <f>C14-Table5[[#This Row],[New actual revenue with new discounts]]</f>
        <v>100230.07224321885</v>
      </c>
    </row>
    <row r="15" spans="1:13" x14ac:dyDescent="0.25">
      <c r="A15" s="6" t="s">
        <v>24</v>
      </c>
      <c r="B15">
        <v>7.4999999999999997E-2</v>
      </c>
      <c r="C15">
        <v>66764.396749999898</v>
      </c>
      <c r="D15">
        <f>C15+(C15/100 * 15)</f>
        <v>76779.056262499886</v>
      </c>
      <c r="E15">
        <v>2590</v>
      </c>
      <c r="F15" s="2">
        <f>E15*C6</f>
        <v>132313.30909798463</v>
      </c>
      <c r="G15" s="2">
        <f>Table5[[#This Row],[Revenue based on transaction count and ABV]]/Table5[[#This Row],[Current revenue without discounts]]</f>
        <v>1.7232994977903702</v>
      </c>
      <c r="H15" s="2">
        <v>0.1</v>
      </c>
      <c r="I15" s="7">
        <f>E15*(1-H15)</f>
        <v>2331</v>
      </c>
      <c r="J15" s="2">
        <f>C6*I15</f>
        <v>119081.97818818617</v>
      </c>
      <c r="K15" s="2">
        <f t="shared" si="1"/>
        <v>205213.91320758505</v>
      </c>
      <c r="L15" s="2">
        <f>Table5[[#This Row],[New actual revenue without discounts]]*(1-Table5[[#This Row],[New discount]])</f>
        <v>189822.86971701618</v>
      </c>
      <c r="M15" s="2">
        <f>C15-Table5[[#This Row],[New actual revenue with new discounts]]</f>
        <v>-123058.47296701628</v>
      </c>
    </row>
    <row r="16" spans="1:13" x14ac:dyDescent="0.25">
      <c r="A16" s="6" t="s">
        <v>25</v>
      </c>
      <c r="B16">
        <v>0.1</v>
      </c>
      <c r="C16">
        <v>136527.91800000001</v>
      </c>
      <c r="D16">
        <f>C16+(C16/100 * 20)</f>
        <v>163833.50160000002</v>
      </c>
      <c r="E16">
        <v>2241</v>
      </c>
      <c r="F16" s="2">
        <f>E16*C7</f>
        <v>110489.22906877306</v>
      </c>
      <c r="G16" s="2">
        <f>Table5[[#This Row],[Revenue based on transaction count and ABV]]/Table5[[#This Row],[Current revenue without discounts]]</f>
        <v>0.67439948478018152</v>
      </c>
      <c r="H16" s="2">
        <v>0.15</v>
      </c>
      <c r="I16" s="7">
        <f>E16*(1-H16)</f>
        <v>1904.85</v>
      </c>
      <c r="J16" s="2">
        <f>C7*I16</f>
        <v>93915.844708457094</v>
      </c>
      <c r="K16" s="2">
        <f t="shared" si="1"/>
        <v>63336.797284079003</v>
      </c>
      <c r="L16" s="2">
        <f>Table5[[#This Row],[New actual revenue without discounts]]*(1-Table5[[#This Row],[New discount]])</f>
        <v>57003.117555671102</v>
      </c>
      <c r="M16" s="2">
        <f>C16-Table5[[#This Row],[New actual revenue with new discounts]]</f>
        <v>79524.800444328896</v>
      </c>
    </row>
    <row r="17" spans="1:13" x14ac:dyDescent="0.25">
      <c r="A17" s="6"/>
      <c r="C17">
        <f>SUM(Table5[Current revenue])</f>
        <v>550450.79499999783</v>
      </c>
      <c r="E17">
        <f>SUM(Table5[Current transactions])</f>
        <v>10155</v>
      </c>
      <c r="F17" s="2">
        <f>SUM(Table5[Revenue based on transaction count and ABV])</f>
        <v>521022.52575975365</v>
      </c>
      <c r="G17" s="2"/>
      <c r="H17" s="2"/>
      <c r="I17" s="7"/>
      <c r="J17" s="2">
        <f>SUM(Table5[New Revenue based on transaction count and  ABV])</f>
        <v>476125.10802185966</v>
      </c>
      <c r="K17" s="2">
        <f>SUM(Table5[New actual revenue without discounts])</f>
        <v>486383.32088389329</v>
      </c>
      <c r="L17" s="2">
        <f>SUM(Table5[New actual revenue with new discounts])</f>
        <v>458612.98693782702</v>
      </c>
      <c r="M17" s="2">
        <f>SUM(Table5[Revenue difference])</f>
        <v>91837.808062170836</v>
      </c>
    </row>
    <row r="19" spans="1:13" x14ac:dyDescent="0.25">
      <c r="F19" t="s">
        <v>53</v>
      </c>
      <c r="J19" t="s">
        <v>58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15B4-DFAB-47F7-BB46-77B75C0162C4}">
  <dimension ref="A1:L10"/>
  <sheetViews>
    <sheetView topLeftCell="A2" workbookViewId="0">
      <selection activeCell="A7" sqref="A7"/>
    </sheetView>
  </sheetViews>
  <sheetFormatPr defaultRowHeight="15" x14ac:dyDescent="0.25"/>
  <cols>
    <col min="1" max="1" width="23.7109375" customWidth="1"/>
    <col min="2" max="2" width="13.140625" customWidth="1"/>
    <col min="3" max="3" width="11.5703125" customWidth="1"/>
    <col min="4" max="4" width="11.42578125" customWidth="1"/>
    <col min="5" max="5" width="20.42578125" customWidth="1"/>
    <col min="6" max="6" width="18" customWidth="1"/>
    <col min="7" max="7" width="21.28515625" customWidth="1"/>
    <col min="8" max="8" width="15.42578125" customWidth="1"/>
    <col min="9" max="9" width="15.28515625" customWidth="1"/>
    <col min="10" max="10" width="24.28515625" customWidth="1"/>
    <col min="11" max="11" width="21.85546875" customWidth="1"/>
    <col min="12" max="12" width="20.5703125" customWidth="1"/>
  </cols>
  <sheetData>
    <row r="1" spans="1:12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5">
      <c r="A2" t="s">
        <v>27</v>
      </c>
      <c r="B2" s="2">
        <v>8027</v>
      </c>
      <c r="C2" s="3">
        <v>0.31979568954777599</v>
      </c>
      <c r="D2" s="3">
        <v>60.750379097367102</v>
      </c>
      <c r="E2" s="2">
        <v>156917.67000000001</v>
      </c>
      <c r="F2" s="2">
        <v>110432.47</v>
      </c>
      <c r="G2" s="4">
        <v>60.69</v>
      </c>
      <c r="H2" s="2">
        <v>1</v>
      </c>
      <c r="I2" s="3">
        <v>31.945626012208699</v>
      </c>
      <c r="J2" s="3">
        <v>256427.53999999899</v>
      </c>
      <c r="K2" s="3">
        <v>150504.83999999901</v>
      </c>
      <c r="L2" s="2">
        <v>52.76</v>
      </c>
    </row>
    <row r="3" spans="1:12" x14ac:dyDescent="0.25">
      <c r="A3" t="s">
        <v>23</v>
      </c>
      <c r="B3" s="2">
        <v>7549</v>
      </c>
      <c r="C3" s="3">
        <v>0.55517287057888398</v>
      </c>
      <c r="D3" s="2">
        <v>52.1998173383774</v>
      </c>
      <c r="E3" s="3">
        <v>224136.18024999899</v>
      </c>
      <c r="F3" s="3">
        <v>149694.88024999999</v>
      </c>
      <c r="G3" s="4">
        <v>49.61</v>
      </c>
      <c r="H3" s="3">
        <v>0.99973506424692005</v>
      </c>
      <c r="I3" s="3">
        <v>31.156196300715902</v>
      </c>
      <c r="J3" s="3">
        <v>235080.495</v>
      </c>
      <c r="K3" s="2">
        <v>138521.89499999999</v>
      </c>
      <c r="L3" s="2">
        <v>53.2</v>
      </c>
    </row>
    <row r="4" spans="1:12" x14ac:dyDescent="0.25">
      <c r="A4" t="s">
        <v>30</v>
      </c>
      <c r="B4" s="2">
        <v>2203</v>
      </c>
      <c r="C4" s="3">
        <v>0.57739446209713996</v>
      </c>
      <c r="D4" s="3">
        <v>64.891566785346598</v>
      </c>
      <c r="E4" s="3">
        <v>82869.14</v>
      </c>
      <c r="F4" s="3">
        <v>60867.839999999997</v>
      </c>
      <c r="G4" s="4">
        <v>63.06</v>
      </c>
      <c r="H4" s="2">
        <v>2</v>
      </c>
      <c r="I4" s="3">
        <v>34.652090331366303</v>
      </c>
      <c r="J4" s="3">
        <v>152677.10999999999</v>
      </c>
      <c r="K4" s="2">
        <v>94771.81</v>
      </c>
      <c r="L4" s="2">
        <v>55</v>
      </c>
    </row>
    <row r="5" spans="1:12" x14ac:dyDescent="0.25">
      <c r="A5" t="s">
        <v>26</v>
      </c>
      <c r="B5" s="2">
        <v>2307</v>
      </c>
      <c r="C5" s="3">
        <v>0.97572605114867705</v>
      </c>
      <c r="D5" s="3">
        <v>52.473494144305199</v>
      </c>
      <c r="E5" s="3">
        <v>123022.299999999</v>
      </c>
      <c r="F5" s="3">
        <v>81734.899999999907</v>
      </c>
      <c r="G5" s="4">
        <v>50.57</v>
      </c>
      <c r="H5" s="3">
        <v>2.00216731686172</v>
      </c>
      <c r="I5" s="3">
        <v>33.759075278138901</v>
      </c>
      <c r="J5" s="3">
        <v>155983.815</v>
      </c>
      <c r="K5" s="3">
        <v>95577.914999999906</v>
      </c>
      <c r="L5" s="2">
        <v>55.11</v>
      </c>
    </row>
    <row r="6" spans="1:12" x14ac:dyDescent="0.25">
      <c r="A6" t="s">
        <v>28</v>
      </c>
      <c r="B6" s="2">
        <v>802</v>
      </c>
      <c r="C6" s="3">
        <v>0.80049875311720597</v>
      </c>
      <c r="D6" s="3">
        <v>60.375976388029898</v>
      </c>
      <c r="E6" s="2">
        <v>40357.449999999997</v>
      </c>
      <c r="F6" s="3">
        <v>28712.3499999999</v>
      </c>
      <c r="G6" s="4">
        <v>61.2</v>
      </c>
      <c r="H6" s="2">
        <v>3</v>
      </c>
      <c r="I6" s="3">
        <v>34.676961762261001</v>
      </c>
      <c r="J6" s="3">
        <v>83432.769999999902</v>
      </c>
      <c r="K6" s="3">
        <v>51076.869999999901</v>
      </c>
      <c r="L6" s="2">
        <v>55.69</v>
      </c>
    </row>
    <row r="7" spans="1:12" x14ac:dyDescent="0.25">
      <c r="A7" t="s">
        <v>24</v>
      </c>
      <c r="B7" s="2">
        <v>874</v>
      </c>
      <c r="C7" s="3">
        <v>1.30091533180777</v>
      </c>
      <c r="D7" s="3">
        <v>51.086219728951598</v>
      </c>
      <c r="E7" s="3">
        <v>66764.396749999898</v>
      </c>
      <c r="F7" s="3">
        <v>43670.39675</v>
      </c>
      <c r="G7" s="4">
        <v>46.76</v>
      </c>
      <c r="H7" s="3">
        <v>3.0011441647597201</v>
      </c>
      <c r="I7" s="3">
        <v>33.987607742181503</v>
      </c>
      <c r="J7" s="2">
        <v>89120.57</v>
      </c>
      <c r="K7" s="2">
        <v>55409.17</v>
      </c>
      <c r="L7" s="2">
        <v>56.56</v>
      </c>
    </row>
    <row r="8" spans="1:12" x14ac:dyDescent="0.25">
      <c r="A8" t="s">
        <v>29</v>
      </c>
      <c r="B8" s="2">
        <v>823</v>
      </c>
      <c r="C8" s="3">
        <v>1.3584447144592899</v>
      </c>
      <c r="D8" s="3">
        <v>77.273769961337905</v>
      </c>
      <c r="E8" s="3">
        <v>89586.25</v>
      </c>
      <c r="F8" s="2">
        <v>66014.649999999994</v>
      </c>
      <c r="G8" s="4">
        <v>62.96</v>
      </c>
      <c r="H8" s="3">
        <v>5.6938031591737497</v>
      </c>
      <c r="I8" s="3">
        <v>37.611601344255</v>
      </c>
      <c r="J8" s="2">
        <v>182879.85</v>
      </c>
      <c r="K8" s="2">
        <v>115698.45</v>
      </c>
      <c r="L8" s="2">
        <v>58.68</v>
      </c>
    </row>
    <row r="9" spans="1:12" x14ac:dyDescent="0.25">
      <c r="A9" t="s">
        <v>25</v>
      </c>
      <c r="B9" s="2">
        <v>1012</v>
      </c>
      <c r="C9" s="2">
        <v>2.6640316205533598</v>
      </c>
      <c r="D9" s="3">
        <v>49.303538183298997</v>
      </c>
      <c r="E9" s="2">
        <v>136527.91800000001</v>
      </c>
      <c r="F9" s="3">
        <v>86475.417999999903</v>
      </c>
      <c r="G9" s="4">
        <v>47.84</v>
      </c>
      <c r="H9" s="3">
        <v>6.3745059288537496</v>
      </c>
      <c r="I9" s="3">
        <v>39.444841196874499</v>
      </c>
      <c r="J9" s="3">
        <v>282061.27</v>
      </c>
      <c r="K9" s="3">
        <v>192416.27</v>
      </c>
      <c r="L9" s="2">
        <v>59.89</v>
      </c>
    </row>
    <row r="10" spans="1:12" x14ac:dyDescent="0.25">
      <c r="B10" s="2">
        <v>74444</v>
      </c>
      <c r="C10" s="3">
        <v>0.297727150609854</v>
      </c>
      <c r="D10" s="3">
        <v>61.209523425713897</v>
      </c>
      <c r="E10" s="2">
        <v>1397055.4650000001</v>
      </c>
      <c r="F10" s="3">
        <v>995048.66499999899</v>
      </c>
      <c r="G10" s="4">
        <v>59.86</v>
      </c>
      <c r="H10" s="2">
        <v>0</v>
      </c>
      <c r="I10" s="2"/>
      <c r="J10" s="2">
        <v>0</v>
      </c>
      <c r="K10" s="2">
        <v>0</v>
      </c>
      <c r="L10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Reduced discount</vt:lpstr>
      <vt:lpstr>Prism_plus_impact_pre_and_post_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Ibarrientos</dc:creator>
  <cp:lastModifiedBy>Francis Ibarrientos</cp:lastModifiedBy>
  <dcterms:created xsi:type="dcterms:W3CDTF">2024-05-16T17:58:00Z</dcterms:created>
  <dcterms:modified xsi:type="dcterms:W3CDTF">2024-05-17T15:11:41Z</dcterms:modified>
</cp:coreProperties>
</file>