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raqueljoaofonseca/Google Drive Campus/Sociologia das Organizações/SO2017_18/M1/"/>
    </mc:Choice>
  </mc:AlternateContent>
  <bookViews>
    <workbookView xWindow="4240" yWindow="460" windowWidth="34880" windowHeight="20240" activeTab="18"/>
  </bookViews>
  <sheets>
    <sheet name="1." sheetId="1" r:id="rId1"/>
    <sheet name="2." sheetId="2" r:id="rId2"/>
    <sheet name="3." sheetId="3" r:id="rId3"/>
    <sheet name="4." sheetId="4" r:id="rId4"/>
    <sheet name="5." sheetId="5" r:id="rId5"/>
    <sheet name="6." sheetId="8" r:id="rId6"/>
    <sheet name="7." sheetId="9" r:id="rId7"/>
    <sheet name="8." sheetId="17" r:id="rId8"/>
    <sheet name="9." sheetId="18" r:id="rId9"/>
    <sheet name="10." sheetId="11" r:id="rId10"/>
    <sheet name="11." sheetId="14" r:id="rId11"/>
    <sheet name="12." sheetId="15" r:id="rId12"/>
    <sheet name="13." sheetId="10" r:id="rId13"/>
    <sheet name="14." sheetId="16" r:id="rId14"/>
    <sheet name="15." sheetId="12" r:id="rId15"/>
    <sheet name="16." sheetId="13" r:id="rId16"/>
    <sheet name="17." sheetId="7" r:id="rId17"/>
    <sheet name="18." sheetId="6" r:id="rId18"/>
    <sheet name="Exame" sheetId="19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9" l="1"/>
  <c r="I28" i="19"/>
  <c r="I27" i="19"/>
  <c r="I26" i="19"/>
  <c r="H23" i="19"/>
  <c r="H22" i="19"/>
  <c r="G14" i="19"/>
  <c r="G9" i="19"/>
  <c r="G12" i="19"/>
  <c r="G10" i="19"/>
  <c r="J7" i="19"/>
  <c r="G3" i="19"/>
  <c r="H3" i="19"/>
  <c r="I3" i="19"/>
  <c r="I78" i="19"/>
  <c r="J77" i="19"/>
  <c r="G73" i="19"/>
  <c r="H73" i="19"/>
  <c r="I73" i="19"/>
  <c r="J73" i="19"/>
  <c r="H70" i="19"/>
  <c r="G64" i="19"/>
  <c r="H64" i="19"/>
  <c r="I64" i="19"/>
  <c r="J64" i="19"/>
  <c r="I60" i="19"/>
  <c r="I59" i="19"/>
  <c r="H58" i="19"/>
  <c r="I58" i="19"/>
  <c r="I55" i="19"/>
  <c r="G51" i="19"/>
  <c r="H51" i="19"/>
  <c r="I51" i="19"/>
  <c r="F38" i="19"/>
  <c r="J47" i="19"/>
  <c r="H43" i="19"/>
  <c r="G43" i="19"/>
  <c r="H44" i="19"/>
  <c r="F43" i="19"/>
  <c r="J45" i="19"/>
  <c r="J46" i="19"/>
  <c r="I43" i="19"/>
  <c r="J44" i="19"/>
  <c r="I44" i="19"/>
  <c r="H39" i="19"/>
  <c r="G38" i="19"/>
  <c r="H38" i="19"/>
  <c r="I38" i="19"/>
  <c r="G34" i="19"/>
  <c r="H34" i="19"/>
  <c r="I34" i="19"/>
  <c r="L9" i="17"/>
  <c r="M9" i="17"/>
  <c r="N9" i="17"/>
  <c r="B4" i="17"/>
  <c r="L4" i="17"/>
  <c r="M4" i="17"/>
  <c r="N4" i="17"/>
  <c r="N11" i="17"/>
  <c r="B8" i="17"/>
  <c r="L6" i="17"/>
  <c r="M6" i="17"/>
  <c r="L7" i="17"/>
  <c r="M7" i="17"/>
  <c r="L5" i="17"/>
  <c r="M5" i="17"/>
  <c r="L8" i="17"/>
  <c r="I9" i="17"/>
  <c r="I5" i="17"/>
  <c r="J9" i="17"/>
  <c r="I6" i="17"/>
  <c r="J6" i="17"/>
  <c r="I7" i="17"/>
  <c r="J7" i="17"/>
  <c r="J5" i="17"/>
  <c r="B18" i="17"/>
  <c r="B13" i="17"/>
  <c r="B15" i="17"/>
  <c r="B14" i="17"/>
  <c r="E13" i="17"/>
  <c r="A5" i="17"/>
  <c r="A6" i="17"/>
  <c r="A7" i="17"/>
  <c r="A8" i="17"/>
  <c r="A9" i="17"/>
  <c r="F13" i="18"/>
  <c r="F14" i="18"/>
  <c r="F4" i="18"/>
  <c r="H4" i="18"/>
  <c r="F3" i="18"/>
  <c r="H3" i="18"/>
  <c r="I4" i="18"/>
  <c r="F5" i="18"/>
  <c r="H5" i="18"/>
  <c r="I5" i="18"/>
  <c r="I3" i="18"/>
  <c r="B14" i="18"/>
  <c r="B13" i="18"/>
  <c r="A4" i="18"/>
  <c r="A5" i="18"/>
  <c r="A6" i="18"/>
  <c r="A7" i="18"/>
  <c r="A8" i="18"/>
  <c r="M13" i="16"/>
  <c r="M14" i="16"/>
  <c r="M15" i="16"/>
  <c r="L5" i="16"/>
  <c r="L6" i="16"/>
  <c r="L7" i="16"/>
  <c r="L8" i="16"/>
  <c r="L9" i="16"/>
  <c r="L10" i="16"/>
  <c r="L4" i="16"/>
  <c r="J6" i="16"/>
  <c r="J7" i="16"/>
  <c r="J8" i="16"/>
  <c r="J9" i="16"/>
  <c r="J10" i="16"/>
  <c r="J5" i="16"/>
  <c r="C12" i="16"/>
  <c r="H5" i="16"/>
  <c r="H6" i="16"/>
  <c r="H7" i="16"/>
  <c r="H8" i="16"/>
  <c r="H9" i="16"/>
  <c r="H10" i="16"/>
  <c r="H4" i="16"/>
  <c r="B21" i="15"/>
  <c r="B22" i="15"/>
  <c r="B23" i="15"/>
  <c r="B15" i="15"/>
  <c r="D10" i="15"/>
  <c r="D11" i="15"/>
  <c r="B8" i="15"/>
  <c r="B12" i="14"/>
  <c r="C12" i="14"/>
  <c r="B14" i="14"/>
  <c r="A4" i="14"/>
  <c r="A5" i="14"/>
  <c r="A6" i="14"/>
  <c r="A7" i="14"/>
  <c r="A8" i="14"/>
  <c r="A9" i="14"/>
  <c r="L27" i="13"/>
  <c r="E31" i="13"/>
  <c r="D29" i="13"/>
  <c r="B22" i="13"/>
  <c r="C24" i="13"/>
  <c r="B17" i="13"/>
  <c r="C17" i="13"/>
  <c r="C18" i="13"/>
  <c r="F11" i="13"/>
  <c r="G11" i="13"/>
  <c r="H11" i="13"/>
  <c r="I11" i="13"/>
  <c r="I12" i="13"/>
  <c r="B11" i="13"/>
  <c r="C11" i="13"/>
  <c r="D11" i="13"/>
  <c r="E11" i="13"/>
  <c r="E12" i="13"/>
  <c r="I13" i="13"/>
  <c r="G8" i="13"/>
  <c r="H8" i="13"/>
  <c r="I8" i="13"/>
  <c r="F8" i="13"/>
  <c r="F7" i="12"/>
  <c r="F12" i="12"/>
  <c r="F13" i="12"/>
  <c r="D7" i="12"/>
  <c r="E7" i="12"/>
  <c r="C7" i="12"/>
  <c r="D6" i="12"/>
  <c r="E6" i="12"/>
  <c r="F6" i="12"/>
  <c r="C6" i="12"/>
  <c r="C2" i="12"/>
  <c r="D2" i="12"/>
  <c r="E2" i="12"/>
  <c r="F2" i="12"/>
  <c r="H11" i="11"/>
  <c r="H12" i="11"/>
  <c r="H10" i="11"/>
  <c r="C13" i="11"/>
  <c r="F11" i="11"/>
  <c r="F12" i="11"/>
  <c r="F10" i="11"/>
  <c r="D11" i="11"/>
  <c r="E11" i="11"/>
  <c r="D12" i="11"/>
  <c r="E12" i="11"/>
  <c r="D10" i="11"/>
  <c r="E10" i="11"/>
  <c r="C8" i="10"/>
  <c r="D8" i="10"/>
  <c r="E8" i="10"/>
  <c r="E13" i="10"/>
  <c r="B14" i="10"/>
  <c r="C14" i="10"/>
  <c r="D14" i="10"/>
  <c r="E14" i="10"/>
  <c r="E16" i="10"/>
  <c r="D13" i="10"/>
  <c r="C13" i="10"/>
  <c r="D9" i="10"/>
  <c r="E9" i="10"/>
  <c r="C9" i="10"/>
  <c r="G4" i="10"/>
  <c r="G3" i="10"/>
  <c r="C2" i="10"/>
  <c r="D2" i="10"/>
  <c r="E2" i="10"/>
  <c r="C30" i="9"/>
  <c r="D30" i="9"/>
  <c r="C22" i="9"/>
  <c r="C25" i="9"/>
  <c r="C27" i="9"/>
  <c r="D27" i="9"/>
  <c r="E30" i="9"/>
  <c r="C23" i="9"/>
  <c r="D18" i="9"/>
  <c r="E18" i="9"/>
  <c r="F18" i="9"/>
  <c r="G18" i="9"/>
  <c r="B15" i="9"/>
  <c r="B16" i="9"/>
  <c r="C12" i="9"/>
  <c r="D12" i="9"/>
  <c r="E12" i="9"/>
  <c r="F12" i="9"/>
  <c r="G12" i="9"/>
  <c r="H12" i="9"/>
  <c r="I12" i="9"/>
  <c r="J12" i="9"/>
  <c r="K12" i="9"/>
  <c r="L12" i="9"/>
  <c r="M12" i="9"/>
  <c r="N12" i="9"/>
  <c r="C13" i="9"/>
  <c r="D13" i="9"/>
  <c r="E13" i="9"/>
  <c r="F13" i="9"/>
  <c r="G13" i="9"/>
  <c r="H13" i="9"/>
  <c r="I13" i="9"/>
  <c r="J13" i="9"/>
  <c r="K13" i="9"/>
  <c r="L13" i="9"/>
  <c r="M13" i="9"/>
  <c r="N13" i="9"/>
  <c r="G3" i="9"/>
  <c r="G4" i="9"/>
  <c r="G5" i="9"/>
  <c r="G6" i="9"/>
  <c r="E3" i="9"/>
  <c r="E6" i="9"/>
  <c r="F3" i="9"/>
  <c r="E4" i="9"/>
  <c r="F4" i="9"/>
  <c r="E5" i="9"/>
  <c r="F5" i="9"/>
  <c r="F6" i="9"/>
  <c r="J10" i="8"/>
  <c r="J3" i="8"/>
  <c r="B15" i="8"/>
  <c r="J4" i="8"/>
  <c r="K4" i="8"/>
  <c r="K3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K10" i="8"/>
  <c r="L10" i="8"/>
  <c r="L3" i="8"/>
  <c r="B12" i="8"/>
  <c r="C12" i="8"/>
  <c r="E13" i="8"/>
  <c r="E12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3" i="8"/>
  <c r="H3" i="8"/>
  <c r="A4" i="8"/>
  <c r="A5" i="8"/>
  <c r="A6" i="8"/>
  <c r="A7" i="8"/>
  <c r="A8" i="8"/>
  <c r="A9" i="8"/>
  <c r="A10" i="8"/>
  <c r="C14" i="2"/>
  <c r="C16" i="2"/>
  <c r="D14" i="2"/>
  <c r="D16" i="2"/>
  <c r="E14" i="2"/>
  <c r="E16" i="2"/>
  <c r="B14" i="2"/>
  <c r="B16" i="2"/>
  <c r="D7" i="2"/>
  <c r="D15" i="2"/>
  <c r="E7" i="2"/>
  <c r="E15" i="2"/>
  <c r="C7" i="2"/>
  <c r="C15" i="2"/>
  <c r="C11" i="2"/>
  <c r="D11" i="2"/>
  <c r="E11" i="2"/>
  <c r="B7" i="2"/>
  <c r="B5" i="2"/>
  <c r="C2" i="2"/>
  <c r="D2" i="2"/>
  <c r="E2" i="2"/>
  <c r="O4" i="5"/>
  <c r="C11" i="5"/>
  <c r="B19" i="7"/>
  <c r="B12" i="7"/>
  <c r="B10" i="7"/>
  <c r="D12" i="7"/>
  <c r="C12" i="7"/>
  <c r="B11" i="7"/>
  <c r="C7" i="7"/>
  <c r="D7" i="7"/>
  <c r="E7" i="7"/>
  <c r="B7" i="7"/>
  <c r="D16" i="6"/>
  <c r="D17" i="6"/>
  <c r="D18" i="6"/>
  <c r="C16" i="6"/>
  <c r="C18" i="6"/>
  <c r="D13" i="6"/>
  <c r="I10" i="6"/>
  <c r="G10" i="6"/>
  <c r="E10" i="6"/>
  <c r="C10" i="6"/>
  <c r="N12" i="5"/>
  <c r="O6" i="5"/>
  <c r="N5" i="5"/>
  <c r="N3" i="5"/>
  <c r="N7" i="5"/>
  <c r="N8" i="5"/>
  <c r="J8" i="5"/>
  <c r="I8" i="5"/>
  <c r="C8" i="5"/>
  <c r="B8" i="5"/>
  <c r="C9" i="5"/>
  <c r="D8" i="5"/>
  <c r="D9" i="5"/>
  <c r="E8" i="5"/>
  <c r="E9" i="5"/>
  <c r="F8" i="5"/>
  <c r="F9" i="5"/>
  <c r="G8" i="5"/>
  <c r="G9" i="5"/>
  <c r="H8" i="5"/>
  <c r="H9" i="5"/>
  <c r="B9" i="5"/>
  <c r="E12" i="4"/>
  <c r="E13" i="4"/>
  <c r="E14" i="4"/>
  <c r="B16" i="4"/>
  <c r="B10" i="4"/>
  <c r="B9" i="4"/>
  <c r="B7" i="4"/>
  <c r="B6" i="4"/>
  <c r="C2" i="4"/>
  <c r="D2" i="4"/>
  <c r="E2" i="4"/>
  <c r="F2" i="4"/>
  <c r="G2" i="4"/>
  <c r="H2" i="4"/>
  <c r="I2" i="4"/>
  <c r="J2" i="4"/>
  <c r="K2" i="4"/>
  <c r="L2" i="4"/>
  <c r="D9" i="3"/>
  <c r="D12" i="3"/>
  <c r="G5" i="3"/>
  <c r="G6" i="3"/>
  <c r="G4" i="3"/>
  <c r="C20" i="1"/>
  <c r="C21" i="1"/>
  <c r="C15" i="1"/>
  <c r="C12" i="1"/>
  <c r="C10" i="1"/>
  <c r="F30" i="9"/>
  <c r="J12" i="8"/>
  <c r="D13" i="11"/>
  <c r="E13" i="11"/>
  <c r="D15" i="11"/>
  <c r="F13" i="11"/>
  <c r="E20" i="11"/>
  <c r="C23" i="11"/>
  <c r="C24" i="11"/>
  <c r="L11" i="16"/>
</calcChain>
</file>

<file path=xl/sharedStrings.xml><?xml version="1.0" encoding="utf-8"?>
<sst xmlns="http://schemas.openxmlformats.org/spreadsheetml/2006/main" count="340" uniqueCount="197">
  <si>
    <t>Resolução</t>
  </si>
  <si>
    <t>1.</t>
  </si>
  <si>
    <t>1989-1997</t>
  </si>
  <si>
    <t>1997-2005</t>
  </si>
  <si>
    <t>2005-2008</t>
  </si>
  <si>
    <t>2008-2013</t>
  </si>
  <si>
    <t>a)</t>
  </si>
  <si>
    <t>n</t>
  </si>
  <si>
    <t>r média</t>
  </si>
  <si>
    <t>(1+rm)^24 = (1+0,8%)^8 (1-0,5%)^8 (1+2,1%)^3 (1+0,9%)^5</t>
  </si>
  <si>
    <t>b)</t>
  </si>
  <si>
    <t>r 08-09</t>
  </si>
  <si>
    <t>(1+0,9%)^5 = (1+r) (1+1,2%)^4</t>
  </si>
  <si>
    <t>c)</t>
  </si>
  <si>
    <t>Indice do PIB de 2013 com base em 2005 deve reflectir a taxa de crescimento entre esses dois anos</t>
  </si>
  <si>
    <t>r</t>
  </si>
  <si>
    <t>= (1+2,1%)^3 (1+0,9%)^5</t>
  </si>
  <si>
    <t>Período 0</t>
  </si>
  <si>
    <t>Preço</t>
  </si>
  <si>
    <t>Quant.</t>
  </si>
  <si>
    <t>Período 1</t>
  </si>
  <si>
    <t xml:space="preserve">Preço </t>
  </si>
  <si>
    <t>A</t>
  </si>
  <si>
    <t>B</t>
  </si>
  <si>
    <t>C</t>
  </si>
  <si>
    <t>Elasticidade</t>
  </si>
  <si>
    <t>Laspeyres (Preços)</t>
  </si>
  <si>
    <t>d)</t>
  </si>
  <si>
    <t>Valor</t>
  </si>
  <si>
    <t>Rs</t>
  </si>
  <si>
    <t>Ri</t>
  </si>
  <si>
    <t>pontos percentuais</t>
  </si>
  <si>
    <t>Variação absoluta</t>
  </si>
  <si>
    <t>Variação relativa</t>
  </si>
  <si>
    <t>Taxa de crescimento nominal</t>
  </si>
  <si>
    <t>Taxa de inflação</t>
  </si>
  <si>
    <t>Taxa de crescimento real</t>
  </si>
  <si>
    <t>Dificuldade</t>
  </si>
  <si>
    <t>Interesse</t>
  </si>
  <si>
    <t>D1</t>
  </si>
  <si>
    <t>D2</t>
  </si>
  <si>
    <t>D3</t>
  </si>
  <si>
    <t>D4</t>
  </si>
  <si>
    <t>D5</t>
  </si>
  <si>
    <t>D6</t>
  </si>
  <si>
    <t>D7</t>
  </si>
  <si>
    <t>Rácio</t>
  </si>
  <si>
    <t>Indice</t>
  </si>
  <si>
    <t>Laspeyres</t>
  </si>
  <si>
    <t>Nº respostas</t>
  </si>
  <si>
    <t>Paasche</t>
  </si>
  <si>
    <t>Ano</t>
  </si>
  <si>
    <t>Espanha</t>
  </si>
  <si>
    <t>IPC</t>
  </si>
  <si>
    <t>França</t>
  </si>
  <si>
    <t>Itália</t>
  </si>
  <si>
    <t>Portugal</t>
  </si>
  <si>
    <t>Consumo</t>
  </si>
  <si>
    <t>Consumo a preços constantes de 1995</t>
  </si>
  <si>
    <t>PIB</t>
  </si>
  <si>
    <t>15-24</t>
  </si>
  <si>
    <t>25-64</t>
  </si>
  <si>
    <t>64+</t>
  </si>
  <si>
    <t>Rendimento</t>
  </si>
  <si>
    <t>IPC (1970)</t>
  </si>
  <si>
    <t>Cresc. Real</t>
  </si>
  <si>
    <t>Rend. Real</t>
  </si>
  <si>
    <t>VA/PIB</t>
  </si>
  <si>
    <t>Deflator PIB</t>
  </si>
  <si>
    <t>PIB (preços correntes)</t>
  </si>
  <si>
    <t>PIB preços constantes</t>
  </si>
  <si>
    <t>Deflator base 2005</t>
  </si>
  <si>
    <t>VA (preços constantes)</t>
  </si>
  <si>
    <t>Constantes</t>
  </si>
  <si>
    <t>Correntes</t>
  </si>
  <si>
    <t>VA (preços correntes)</t>
  </si>
  <si>
    <t>Deflator base 2000</t>
  </si>
  <si>
    <t>Deflator base 1998</t>
  </si>
  <si>
    <t>Grécia</t>
  </si>
  <si>
    <t>UE-15</t>
  </si>
  <si>
    <t>Investimento pc</t>
  </si>
  <si>
    <t>PIB pc</t>
  </si>
  <si>
    <t>I/PIB</t>
  </si>
  <si>
    <t>Indice I/PIB</t>
  </si>
  <si>
    <t>Indice I pc</t>
  </si>
  <si>
    <t>Investimento</t>
  </si>
  <si>
    <t>População</t>
  </si>
  <si>
    <t>ou</t>
  </si>
  <si>
    <t>Deflator</t>
  </si>
  <si>
    <t>Reais</t>
  </si>
  <si>
    <t>Nominais</t>
  </si>
  <si>
    <t>i.</t>
  </si>
  <si>
    <t>ii.</t>
  </si>
  <si>
    <t>Real</t>
  </si>
  <si>
    <t>V. Relativa</t>
  </si>
  <si>
    <t>Perus</t>
  </si>
  <si>
    <t>Galos</t>
  </si>
  <si>
    <t>Preços</t>
  </si>
  <si>
    <t xml:space="preserve">Laspeyres </t>
  </si>
  <si>
    <t>Ano 1</t>
  </si>
  <si>
    <t>Ano 2</t>
  </si>
  <si>
    <t>Q</t>
  </si>
  <si>
    <t>Produção</t>
  </si>
  <si>
    <t>I (Q)</t>
  </si>
  <si>
    <t>Absol.</t>
  </si>
  <si>
    <t>Relativa</t>
  </si>
  <si>
    <t>Total</t>
  </si>
  <si>
    <t>Laspeyres (quant.)</t>
  </si>
  <si>
    <t>Trabalhadores</t>
  </si>
  <si>
    <t>Valor produção/trabalhador</t>
  </si>
  <si>
    <t>V. Absoluta</t>
  </si>
  <si>
    <t>Elasticidade do valor da produção/investimento</t>
  </si>
  <si>
    <t>Tx cresc nominal</t>
  </si>
  <si>
    <t>Tx cresc real</t>
  </si>
  <si>
    <t>Construção</t>
  </si>
  <si>
    <t>Obras</t>
  </si>
  <si>
    <t>Redução de 8% na produção real</t>
  </si>
  <si>
    <t>iii.</t>
  </si>
  <si>
    <t>V. homóloga</t>
  </si>
  <si>
    <t>do total do sector</t>
  </si>
  <si>
    <t>Crescimento nominal</t>
  </si>
  <si>
    <t>Indice PIB preços correntes</t>
  </si>
  <si>
    <t>Tx crescimento PIB Preços de 1995</t>
  </si>
  <si>
    <t>Gp</t>
  </si>
  <si>
    <t>Taxa de crescimento global PIB pc em Portugal</t>
  </si>
  <si>
    <t>Gue</t>
  </si>
  <si>
    <t>Taxa de crescimento global PIB pc na UE</t>
  </si>
  <si>
    <t>PIB pc Portugal</t>
  </si>
  <si>
    <t>PIBpc Portugal 95/PIBpc UE 1995 &gt; PIBpc Portugal 95 (1+Gp)/PIBpc UE 95(1+Gue)</t>
  </si>
  <si>
    <t>PIBpc Portugal 95/PIBpc UE 1995 &gt; PIBpc Portugal 01/PIBpc UE 01</t>
  </si>
  <si>
    <t>(1+Gp) &lt; (1+Gue)</t>
  </si>
  <si>
    <t>Gp &lt; Gue</t>
  </si>
  <si>
    <t xml:space="preserve">Consumo </t>
  </si>
  <si>
    <t>Base 2000</t>
  </si>
  <si>
    <t>Base 1995</t>
  </si>
  <si>
    <t>Evolução média</t>
  </si>
  <si>
    <t>Emprego</t>
  </si>
  <si>
    <t>Vnegocios Investimento = 0,5 Vnegocios Consumo</t>
  </si>
  <si>
    <t>consumo</t>
  </si>
  <si>
    <t>investimento</t>
  </si>
  <si>
    <t>média</t>
  </si>
  <si>
    <t>Norte</t>
  </si>
  <si>
    <t>Centro</t>
  </si>
  <si>
    <t>LVT</t>
  </si>
  <si>
    <t>Alentejo</t>
  </si>
  <si>
    <t>Algarve</t>
  </si>
  <si>
    <t>Açores</t>
  </si>
  <si>
    <t>Madeira</t>
  </si>
  <si>
    <t>Consumo preços correntes</t>
  </si>
  <si>
    <t>?</t>
  </si>
  <si>
    <t>Indice Produto preços correntes</t>
  </si>
  <si>
    <t>Produto preços constantes 1996</t>
  </si>
  <si>
    <t>Variação anual média</t>
  </si>
  <si>
    <t>nominal</t>
  </si>
  <si>
    <t>real</t>
  </si>
  <si>
    <t>Indice de preços base 1996</t>
  </si>
  <si>
    <t>Produto preços correntes</t>
  </si>
  <si>
    <t>Indice do C/P</t>
  </si>
  <si>
    <t>E</t>
  </si>
  <si>
    <t>Indice do consumo</t>
  </si>
  <si>
    <t>Deflator do consumo</t>
  </si>
  <si>
    <t>Tx anual crescimento de R preços correntes</t>
  </si>
  <si>
    <t>Elasticidade de C face a R preços correntes</t>
  </si>
  <si>
    <t>C/R preços de 1997</t>
  </si>
  <si>
    <t>Consumo preços constantes 1996</t>
  </si>
  <si>
    <t>Deflator do consumo 1997</t>
  </si>
  <si>
    <t>Consumo preços constantes 1997</t>
  </si>
  <si>
    <t>Rendimento preços constantes 1997</t>
  </si>
  <si>
    <t>5.</t>
  </si>
  <si>
    <t>15-64</t>
  </si>
  <si>
    <t>+65</t>
  </si>
  <si>
    <t>6.</t>
  </si>
  <si>
    <t>Anual</t>
  </si>
  <si>
    <t>Global</t>
  </si>
  <si>
    <t>Média anual</t>
  </si>
  <si>
    <t>Nº individ.</t>
  </si>
  <si>
    <t>7.</t>
  </si>
  <si>
    <t>Microondas</t>
  </si>
  <si>
    <t>Computador</t>
  </si>
  <si>
    <t>8.</t>
  </si>
  <si>
    <t>9.</t>
  </si>
  <si>
    <t>2.</t>
  </si>
  <si>
    <t>3.</t>
  </si>
  <si>
    <t>4.</t>
  </si>
  <si>
    <t>Público</t>
  </si>
  <si>
    <t>Privado</t>
  </si>
  <si>
    <t>10.</t>
  </si>
  <si>
    <t>11.</t>
  </si>
  <si>
    <t>Nº alunos</t>
  </si>
  <si>
    <t>%aprovados</t>
  </si>
  <si>
    <t>12.</t>
  </si>
  <si>
    <t>Homens</t>
  </si>
  <si>
    <t>Mulheres</t>
  </si>
  <si>
    <t>Água Can.</t>
  </si>
  <si>
    <t>Duche</t>
  </si>
  <si>
    <t>Inst. Sanit.</t>
  </si>
  <si>
    <t>2011/2016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</si>
</sst>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0" fontId="0" fillId="0" borderId="3" xfId="0" applyBorder="1"/>
    <xf numFmtId="164" fontId="0" fillId="0" borderId="3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quotePrefix="1"/>
    <xf numFmtId="10" fontId="0" fillId="0" borderId="0" xfId="1" applyNumberFormat="1" applyFont="1"/>
    <xf numFmtId="10" fontId="2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166" fontId="0" fillId="0" borderId="0" xfId="0" applyNumberFormat="1"/>
    <xf numFmtId="2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67" fontId="0" fillId="0" borderId="0" xfId="0" applyNumberFormat="1"/>
    <xf numFmtId="0" fontId="2" fillId="0" borderId="2" xfId="0" applyFont="1" applyBorder="1" applyAlignment="1">
      <alignment horizontal="center"/>
    </xf>
    <xf numFmtId="1" fontId="0" fillId="0" borderId="0" xfId="0" applyNumberFormat="1"/>
    <xf numFmtId="164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0" xfId="0" applyNumberFormat="1" applyFont="1"/>
    <xf numFmtId="164" fontId="0" fillId="0" borderId="0" xfId="0" applyNumberForma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11" customWidth="1"/>
  </cols>
  <sheetData>
    <row r="1" spans="1:3" x14ac:dyDescent="0.2">
      <c r="A1" s="2" t="s">
        <v>0</v>
      </c>
    </row>
    <row r="3" spans="1:3" x14ac:dyDescent="0.2">
      <c r="A3" s="1" t="s">
        <v>1</v>
      </c>
    </row>
    <row r="5" spans="1:3" x14ac:dyDescent="0.2">
      <c r="A5" s="4" t="s">
        <v>2</v>
      </c>
      <c r="B5" s="5">
        <v>8.0000000000000002E-3</v>
      </c>
    </row>
    <row r="6" spans="1:3" x14ac:dyDescent="0.2">
      <c r="A6" s="6" t="s">
        <v>3</v>
      </c>
      <c r="B6" s="7">
        <v>-5.0000000000000001E-3</v>
      </c>
    </row>
    <row r="7" spans="1:3" x14ac:dyDescent="0.2">
      <c r="A7" s="6" t="s">
        <v>4</v>
      </c>
      <c r="B7" s="7">
        <v>2.1000000000000001E-2</v>
      </c>
    </row>
    <row r="8" spans="1:3" x14ac:dyDescent="0.2">
      <c r="A8" s="8" t="s">
        <v>5</v>
      </c>
      <c r="B8" s="9">
        <v>8.9999999999999993E-3</v>
      </c>
    </row>
    <row r="10" spans="1:3" x14ac:dyDescent="0.2">
      <c r="A10" s="1" t="s">
        <v>6</v>
      </c>
      <c r="B10" t="s">
        <v>7</v>
      </c>
      <c r="C10">
        <f>2013-1989</f>
        <v>24</v>
      </c>
    </row>
    <row r="11" spans="1:3" x14ac:dyDescent="0.2">
      <c r="B11" t="s">
        <v>8</v>
      </c>
      <c r="C11" s="10" t="s">
        <v>9</v>
      </c>
    </row>
    <row r="12" spans="1:3" x14ac:dyDescent="0.2">
      <c r="C12" s="12">
        <f>((1+B5)^8*(1+B6)^8*(1+B7)^3*(1+B8)^5)^(1/24)-1</f>
        <v>5.4645157550723411E-3</v>
      </c>
    </row>
    <row r="14" spans="1:3" x14ac:dyDescent="0.2">
      <c r="A14" s="1" t="s">
        <v>10</v>
      </c>
      <c r="B14" t="s">
        <v>11</v>
      </c>
      <c r="C14" s="10" t="s">
        <v>12</v>
      </c>
    </row>
    <row r="15" spans="1:3" x14ac:dyDescent="0.2">
      <c r="C15" s="14">
        <f>(1+B8)^5/(1+0.012)^4 -1</f>
        <v>-2.9113304379462246E-3</v>
      </c>
    </row>
    <row r="17" spans="1:3" x14ac:dyDescent="0.2">
      <c r="A17" s="1" t="s">
        <v>13</v>
      </c>
      <c r="B17" t="s">
        <v>14</v>
      </c>
    </row>
    <row r="19" spans="1:3" x14ac:dyDescent="0.2">
      <c r="B19" t="s">
        <v>15</v>
      </c>
      <c r="C19" s="10" t="s">
        <v>16</v>
      </c>
    </row>
    <row r="20" spans="1:3" x14ac:dyDescent="0.2">
      <c r="C20">
        <f>(1+B7)^3*(1+B8)^5</f>
        <v>1.1130971158368594</v>
      </c>
    </row>
    <row r="21" spans="1:3" x14ac:dyDescent="0.2">
      <c r="C21" s="1">
        <f>C20*100</f>
        <v>111.30971158368594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opLeftCell="A7" workbookViewId="0">
      <selection activeCell="C24" sqref="C24"/>
    </sheetView>
  </sheetViews>
  <sheetFormatPr baseColWidth="10" defaultColWidth="8.83203125" defaultRowHeight="15" x14ac:dyDescent="0.2"/>
  <cols>
    <col min="2" max="2" width="10.83203125" customWidth="1"/>
  </cols>
  <sheetData>
    <row r="2" spans="1:8" x14ac:dyDescent="0.2">
      <c r="B2" s="32" t="s">
        <v>99</v>
      </c>
      <c r="C2" s="32"/>
      <c r="D2" s="32" t="s">
        <v>100</v>
      </c>
      <c r="E2" s="32"/>
    </row>
    <row r="3" spans="1:8" x14ac:dyDescent="0.2">
      <c r="B3" s="26" t="s">
        <v>101</v>
      </c>
      <c r="C3" s="26" t="s">
        <v>102</v>
      </c>
      <c r="D3" s="26" t="s">
        <v>103</v>
      </c>
      <c r="E3" s="26" t="s">
        <v>18</v>
      </c>
    </row>
    <row r="4" spans="1:8" x14ac:dyDescent="0.2">
      <c r="A4" t="s">
        <v>22</v>
      </c>
      <c r="B4">
        <v>85</v>
      </c>
      <c r="C4">
        <v>106.25</v>
      </c>
      <c r="D4">
        <v>101.176</v>
      </c>
      <c r="E4">
        <v>1.5</v>
      </c>
    </row>
    <row r="5" spans="1:8" x14ac:dyDescent="0.2">
      <c r="A5" t="s">
        <v>23</v>
      </c>
      <c r="B5">
        <v>84</v>
      </c>
      <c r="C5">
        <v>80.64</v>
      </c>
      <c r="D5">
        <v>59.524000000000001</v>
      </c>
      <c r="E5">
        <v>1.3</v>
      </c>
    </row>
    <row r="6" spans="1:8" x14ac:dyDescent="0.2">
      <c r="A6" t="s">
        <v>24</v>
      </c>
      <c r="B6">
        <v>225</v>
      </c>
      <c r="C6">
        <v>1260</v>
      </c>
      <c r="D6">
        <v>100.889</v>
      </c>
      <c r="E6">
        <v>5.8</v>
      </c>
    </row>
    <row r="8" spans="1:8" x14ac:dyDescent="0.2">
      <c r="H8" t="s">
        <v>99</v>
      </c>
    </row>
    <row r="9" spans="1:8" x14ac:dyDescent="0.2">
      <c r="A9" s="1" t="s">
        <v>6</v>
      </c>
      <c r="D9" t="s">
        <v>101</v>
      </c>
      <c r="E9" t="s">
        <v>104</v>
      </c>
      <c r="F9" t="s">
        <v>105</v>
      </c>
      <c r="H9" t="s">
        <v>18</v>
      </c>
    </row>
    <row r="10" spans="1:8" x14ac:dyDescent="0.2">
      <c r="D10" s="27">
        <f>(D4/100)*B4</f>
        <v>85.999600000000001</v>
      </c>
      <c r="E10" s="27">
        <f>D10-B4</f>
        <v>0.99960000000000093</v>
      </c>
      <c r="F10">
        <f>D4-100</f>
        <v>1.1760000000000019</v>
      </c>
      <c r="H10">
        <f>C4/B4</f>
        <v>1.25</v>
      </c>
    </row>
    <row r="11" spans="1:8" x14ac:dyDescent="0.2">
      <c r="D11" s="27">
        <f t="shared" ref="D11:D12" si="0">(D5/100)*B5</f>
        <v>50.000160000000001</v>
      </c>
      <c r="E11" s="27">
        <f t="shared" ref="E11:E12" si="1">D11-B5</f>
        <v>-33.999839999999999</v>
      </c>
      <c r="F11">
        <f t="shared" ref="F11:F12" si="2">D5-100</f>
        <v>-40.475999999999999</v>
      </c>
      <c r="H11">
        <f t="shared" ref="H11:H12" si="3">C5/B5</f>
        <v>0.96</v>
      </c>
    </row>
    <row r="12" spans="1:8" x14ac:dyDescent="0.2">
      <c r="D12" s="27">
        <f t="shared" si="0"/>
        <v>227.00025000000002</v>
      </c>
      <c r="E12" s="27">
        <f t="shared" si="1"/>
        <v>2.0002500000000225</v>
      </c>
      <c r="F12">
        <f t="shared" si="2"/>
        <v>0.88899999999999579</v>
      </c>
      <c r="H12">
        <f t="shared" si="3"/>
        <v>5.6</v>
      </c>
    </row>
    <row r="13" spans="1:8" x14ac:dyDescent="0.2">
      <c r="B13" t="s">
        <v>106</v>
      </c>
      <c r="C13">
        <f>SUM(C4:C6)</f>
        <v>1446.8899999999999</v>
      </c>
      <c r="D13">
        <f>SUMPRODUCT(D10:D12,E4:E6)</f>
        <v>1510.6010580000002</v>
      </c>
      <c r="E13" s="1">
        <f>D13-C13</f>
        <v>63.711058000000321</v>
      </c>
      <c r="F13" s="28">
        <f>D13/C13-1</f>
        <v>4.4033104106048437E-2</v>
      </c>
    </row>
    <row r="15" spans="1:8" x14ac:dyDescent="0.2">
      <c r="A15" s="1" t="s">
        <v>10</v>
      </c>
      <c r="B15" t="s">
        <v>107</v>
      </c>
      <c r="D15">
        <f>SUMPRODUCT(D10:D12,H10:H12)/SUMPRODUCT(B4:B6*H10:H12)*100</f>
        <v>98.604666118364236</v>
      </c>
    </row>
    <row r="17" spans="1:5" x14ac:dyDescent="0.2">
      <c r="A17" s="1" t="s">
        <v>13</v>
      </c>
    </row>
    <row r="18" spans="1:5" x14ac:dyDescent="0.2">
      <c r="B18" t="s">
        <v>108</v>
      </c>
      <c r="D18">
        <v>0.05</v>
      </c>
    </row>
    <row r="20" spans="1:5" x14ac:dyDescent="0.2">
      <c r="B20" t="s">
        <v>109</v>
      </c>
      <c r="E20" s="12">
        <f>(1+F13)/(1+D18)-1</f>
        <v>-5.6827579942396733E-3</v>
      </c>
    </row>
    <row r="22" spans="1:5" x14ac:dyDescent="0.2">
      <c r="A22" s="1" t="s">
        <v>27</v>
      </c>
    </row>
    <row r="23" spans="1:5" x14ac:dyDescent="0.2">
      <c r="A23" t="s">
        <v>97</v>
      </c>
      <c r="B23" t="s">
        <v>48</v>
      </c>
      <c r="C23">
        <f>SUMPRODUCT(E4:E6,B4:B6)/SUMPRODUCT(H10:H12,B4:B6)*100</f>
        <v>106.55267504786127</v>
      </c>
    </row>
    <row r="24" spans="1:5" x14ac:dyDescent="0.2">
      <c r="B24" t="s">
        <v>50</v>
      </c>
      <c r="C24">
        <f>SUMPRODUCT(E4:E6,D10:D12)/SUMPRODUCT(H10:H12,D10:D12)*100</f>
        <v>105.88069968745693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opLeftCell="A4" workbookViewId="0">
      <selection activeCell="A28" sqref="A28"/>
    </sheetView>
  </sheetViews>
  <sheetFormatPr baseColWidth="10" defaultColWidth="8.83203125" defaultRowHeight="15" x14ac:dyDescent="0.2"/>
  <cols>
    <col min="3" max="3" width="12.6640625" customWidth="1"/>
  </cols>
  <sheetData>
    <row r="2" spans="1:3" ht="45" x14ac:dyDescent="0.2">
      <c r="B2" s="23" t="s">
        <v>121</v>
      </c>
      <c r="C2" s="23" t="s">
        <v>122</v>
      </c>
    </row>
    <row r="3" spans="1:3" x14ac:dyDescent="0.2">
      <c r="A3">
        <v>1995</v>
      </c>
      <c r="B3">
        <v>100</v>
      </c>
      <c r="C3" s="3">
        <v>4.1000000000000002E-2</v>
      </c>
    </row>
    <row r="4" spans="1:3" x14ac:dyDescent="0.2">
      <c r="A4">
        <f>A3+1</f>
        <v>1996</v>
      </c>
      <c r="B4">
        <v>107.54</v>
      </c>
      <c r="C4" s="3">
        <v>3.9E-2</v>
      </c>
    </row>
    <row r="5" spans="1:3" x14ac:dyDescent="0.2">
      <c r="A5">
        <f t="shared" ref="A5:A8" si="0">A4+1</f>
        <v>1997</v>
      </c>
      <c r="B5">
        <v>117.85</v>
      </c>
      <c r="C5" s="3">
        <v>6.4000000000000001E-2</v>
      </c>
    </row>
    <row r="6" spans="1:3" x14ac:dyDescent="0.2">
      <c r="A6">
        <f t="shared" si="0"/>
        <v>1998</v>
      </c>
      <c r="B6">
        <v>127.09</v>
      </c>
      <c r="C6" s="3">
        <v>4.9000000000000002E-2</v>
      </c>
    </row>
    <row r="7" spans="1:3" x14ac:dyDescent="0.2">
      <c r="A7">
        <f t="shared" si="0"/>
        <v>1999</v>
      </c>
      <c r="B7">
        <v>134.96</v>
      </c>
      <c r="C7" s="3">
        <v>3.4000000000000002E-2</v>
      </c>
    </row>
    <row r="8" spans="1:3" x14ac:dyDescent="0.2">
      <c r="A8">
        <f t="shared" si="0"/>
        <v>2000</v>
      </c>
      <c r="B8">
        <v>146.22</v>
      </c>
      <c r="C8" s="3">
        <v>3.6999999999999998E-2</v>
      </c>
    </row>
    <row r="9" spans="1:3" x14ac:dyDescent="0.2">
      <c r="A9">
        <f>A8+1</f>
        <v>2001</v>
      </c>
      <c r="B9">
        <v>151.51</v>
      </c>
      <c r="C9" s="3">
        <v>1.6E-2</v>
      </c>
    </row>
    <row r="12" spans="1:3" x14ac:dyDescent="0.2">
      <c r="A12" s="1" t="s">
        <v>6</v>
      </c>
      <c r="B12" s="11">
        <f>(B9/B3)^(1/6)-1</f>
        <v>7.1700787157288559E-2</v>
      </c>
      <c r="C12" s="11">
        <f>((1+C4)*(1+C5)*(1+C6)*(1+C7)*(1+C8)*(1+C9))^(1/6)-1</f>
        <v>3.9730884215199769E-2</v>
      </c>
    </row>
    <row r="14" spans="1:3" x14ac:dyDescent="0.2">
      <c r="A14" s="1" t="s">
        <v>10</v>
      </c>
      <c r="B14" s="11">
        <f>((1+B12)/(1+C12))^6-1</f>
        <v>0.19926630396613865</v>
      </c>
    </row>
    <row r="16" spans="1:3" x14ac:dyDescent="0.2">
      <c r="A16" s="1" t="s">
        <v>13</v>
      </c>
      <c r="B16" t="s">
        <v>123</v>
      </c>
      <c r="C16" t="s">
        <v>124</v>
      </c>
    </row>
    <row r="17" spans="1:3" x14ac:dyDescent="0.2">
      <c r="B17" t="s">
        <v>125</v>
      </c>
      <c r="C17" t="s">
        <v>126</v>
      </c>
    </row>
    <row r="19" spans="1:3" x14ac:dyDescent="0.2">
      <c r="B19" t="s">
        <v>127</v>
      </c>
    </row>
    <row r="20" spans="1:3" x14ac:dyDescent="0.2">
      <c r="A20">
        <v>1995</v>
      </c>
      <c r="B20">
        <v>70</v>
      </c>
    </row>
    <row r="21" spans="1:3" x14ac:dyDescent="0.2">
      <c r="A21">
        <v>2001</v>
      </c>
      <c r="B21">
        <v>69</v>
      </c>
    </row>
    <row r="22" spans="1:3" x14ac:dyDescent="0.2">
      <c r="B22" s="11"/>
    </row>
    <row r="23" spans="1:3" x14ac:dyDescent="0.2">
      <c r="B23" s="10" t="s">
        <v>129</v>
      </c>
    </row>
    <row r="24" spans="1:3" x14ac:dyDescent="0.2">
      <c r="B24" s="10" t="s">
        <v>128</v>
      </c>
    </row>
    <row r="25" spans="1:3" x14ac:dyDescent="0.2">
      <c r="B25" t="s">
        <v>130</v>
      </c>
    </row>
    <row r="26" spans="1:3" x14ac:dyDescent="0.2">
      <c r="B26" t="s">
        <v>131</v>
      </c>
    </row>
    <row r="28" spans="1:3" x14ac:dyDescent="0.2">
      <c r="A2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12.83203125" bestFit="1" customWidth="1"/>
  </cols>
  <sheetData>
    <row r="2" spans="1:6" x14ac:dyDescent="0.2">
      <c r="B2" s="32" t="s">
        <v>134</v>
      </c>
      <c r="C2" s="32"/>
      <c r="D2" s="32"/>
      <c r="E2" s="32" t="s">
        <v>133</v>
      </c>
      <c r="F2" s="32"/>
    </row>
    <row r="3" spans="1:6" x14ac:dyDescent="0.2">
      <c r="B3" s="16">
        <v>1998</v>
      </c>
      <c r="C3" s="16">
        <v>1999</v>
      </c>
      <c r="D3" s="16">
        <v>2000</v>
      </c>
      <c r="E3" s="16">
        <v>2001</v>
      </c>
      <c r="F3" s="16">
        <v>2002</v>
      </c>
    </row>
    <row r="4" spans="1:6" x14ac:dyDescent="0.2">
      <c r="A4" t="s">
        <v>132</v>
      </c>
      <c r="B4">
        <v>113.5</v>
      </c>
      <c r="C4">
        <v>112.3</v>
      </c>
      <c r="D4">
        <v>115.8</v>
      </c>
      <c r="E4">
        <v>102.6</v>
      </c>
      <c r="F4">
        <v>102</v>
      </c>
    </row>
    <row r="5" spans="1:6" x14ac:dyDescent="0.2">
      <c r="A5" t="s">
        <v>85</v>
      </c>
      <c r="B5">
        <v>158</v>
      </c>
      <c r="C5">
        <v>155.19999999999999</v>
      </c>
      <c r="D5">
        <v>151.69999999999999</v>
      </c>
      <c r="E5">
        <v>102.5</v>
      </c>
      <c r="F5">
        <v>95.1</v>
      </c>
    </row>
    <row r="7" spans="1:6" x14ac:dyDescent="0.2">
      <c r="A7" s="1" t="s">
        <v>6</v>
      </c>
    </row>
    <row r="8" spans="1:6" x14ac:dyDescent="0.2">
      <c r="B8" s="14">
        <f>D4/B4*F4/100-1</f>
        <v>4.0669603524229103E-2</v>
      </c>
    </row>
    <row r="10" spans="1:6" x14ac:dyDescent="0.2">
      <c r="A10" s="1" t="s">
        <v>10</v>
      </c>
      <c r="B10" t="s">
        <v>135</v>
      </c>
      <c r="D10" s="11">
        <f>(E5/100*F5/E5)^0.5-1</f>
        <v>-2.4807711269208221E-2</v>
      </c>
    </row>
    <row r="11" spans="1:6" x14ac:dyDescent="0.2">
      <c r="B11">
        <v>2003</v>
      </c>
      <c r="D11" s="1">
        <f>F5*(1+D10)</f>
        <v>92.74078665829829</v>
      </c>
    </row>
    <row r="13" spans="1:6" x14ac:dyDescent="0.2">
      <c r="A13" s="1" t="s">
        <v>13</v>
      </c>
    </row>
    <row r="14" spans="1:6" x14ac:dyDescent="0.2">
      <c r="A14" t="s">
        <v>25</v>
      </c>
      <c r="B14">
        <v>0.89090000000000003</v>
      </c>
    </row>
    <row r="15" spans="1:6" x14ac:dyDescent="0.2">
      <c r="A15" t="s">
        <v>136</v>
      </c>
      <c r="B15" s="12">
        <f>(F5/100-1)/B14</f>
        <v>-5.5000561230216682E-2</v>
      </c>
    </row>
    <row r="17" spans="1:2" x14ac:dyDescent="0.2">
      <c r="A17" s="1" t="s">
        <v>27</v>
      </c>
    </row>
    <row r="18" spans="1:2" x14ac:dyDescent="0.2">
      <c r="A18" t="s">
        <v>137</v>
      </c>
    </row>
    <row r="19" spans="1:2" x14ac:dyDescent="0.2">
      <c r="A19" t="s">
        <v>136</v>
      </c>
      <c r="B19" s="3">
        <v>2.5000000000000001E-2</v>
      </c>
    </row>
    <row r="21" spans="1:2" x14ac:dyDescent="0.2">
      <c r="A21" t="s">
        <v>138</v>
      </c>
      <c r="B21">
        <f>(F4/100)/(1+$B$19)</f>
        <v>0.9951219512195123</v>
      </c>
    </row>
    <row r="22" spans="1:2" x14ac:dyDescent="0.2">
      <c r="A22" t="s">
        <v>139</v>
      </c>
      <c r="B22">
        <f>(F5/100)/(1+$B$19)</f>
        <v>0.92780487804878053</v>
      </c>
    </row>
    <row r="23" spans="1:2" x14ac:dyDescent="0.2">
      <c r="A23" t="s">
        <v>140</v>
      </c>
      <c r="B23" s="12">
        <f>B21/1.5+B22*0.5/1.5-1</f>
        <v>-2.7317073170731732E-2</v>
      </c>
    </row>
  </sheetData>
  <mergeCells count="2">
    <mergeCell ref="E2:F2"/>
    <mergeCell ref="B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D19" sqref="D19"/>
    </sheetView>
  </sheetViews>
  <sheetFormatPr baseColWidth="10" defaultColWidth="8.83203125" defaultRowHeight="15" x14ac:dyDescent="0.2"/>
  <sheetData>
    <row r="2" spans="1:7" x14ac:dyDescent="0.2">
      <c r="B2" s="16">
        <v>1999</v>
      </c>
      <c r="C2" s="16">
        <f>B2+1</f>
        <v>2000</v>
      </c>
      <c r="D2" s="16">
        <f t="shared" ref="D2:E2" si="0">C2+1</f>
        <v>2001</v>
      </c>
      <c r="E2" s="16">
        <f t="shared" si="0"/>
        <v>2002</v>
      </c>
      <c r="G2" s="1" t="s">
        <v>6</v>
      </c>
    </row>
    <row r="3" spans="1:7" x14ac:dyDescent="0.2">
      <c r="A3" t="s">
        <v>95</v>
      </c>
      <c r="B3">
        <v>10000</v>
      </c>
      <c r="C3">
        <v>10500</v>
      </c>
      <c r="D3">
        <v>11000</v>
      </c>
      <c r="E3">
        <v>11500</v>
      </c>
      <c r="G3" s="11">
        <f>(E3/B3)^(1/3)-1</f>
        <v>4.7689553171647248E-2</v>
      </c>
    </row>
    <row r="4" spans="1:7" x14ac:dyDescent="0.2">
      <c r="A4" t="s">
        <v>96</v>
      </c>
      <c r="B4">
        <v>20000</v>
      </c>
      <c r="C4">
        <v>22000</v>
      </c>
      <c r="D4">
        <v>24200</v>
      </c>
      <c r="E4">
        <v>26620</v>
      </c>
      <c r="G4" s="11">
        <f>(E4/B4)^(1/3)-1</f>
        <v>9.9999999999999867E-2</v>
      </c>
    </row>
    <row r="7" spans="1:7" x14ac:dyDescent="0.2">
      <c r="A7" s="1" t="s">
        <v>10</v>
      </c>
      <c r="B7" t="s">
        <v>95</v>
      </c>
    </row>
    <row r="8" spans="1:7" x14ac:dyDescent="0.2">
      <c r="A8" t="s">
        <v>18</v>
      </c>
      <c r="B8">
        <v>1</v>
      </c>
      <c r="C8">
        <f>B8*1.05</f>
        <v>1.05</v>
      </c>
      <c r="D8">
        <f t="shared" ref="D8:E8" si="1">C8*1.05</f>
        <v>1.1025</v>
      </c>
      <c r="E8">
        <f t="shared" si="1"/>
        <v>1.1576250000000001</v>
      </c>
    </row>
    <row r="9" spans="1:7" x14ac:dyDescent="0.2">
      <c r="A9" t="s">
        <v>28</v>
      </c>
      <c r="B9">
        <v>100</v>
      </c>
      <c r="C9">
        <f>C3*C8/$B$3*100</f>
        <v>110.25</v>
      </c>
      <c r="D9">
        <f t="shared" ref="D9:E9" si="2">D3*D8/$B$3*100</f>
        <v>121.27500000000001</v>
      </c>
      <c r="E9">
        <f t="shared" si="2"/>
        <v>133.12687500000001</v>
      </c>
    </row>
    <row r="12" spans="1:7" x14ac:dyDescent="0.2">
      <c r="A12" s="1" t="s">
        <v>13</v>
      </c>
      <c r="B12" t="s">
        <v>97</v>
      </c>
    </row>
    <row r="13" spans="1:7" x14ac:dyDescent="0.2">
      <c r="A13" t="s">
        <v>95</v>
      </c>
      <c r="B13">
        <v>1</v>
      </c>
      <c r="C13">
        <f>C8</f>
        <v>1.05</v>
      </c>
      <c r="D13">
        <f>D8</f>
        <v>1.1025</v>
      </c>
      <c r="E13">
        <f>E8</f>
        <v>1.1576250000000001</v>
      </c>
    </row>
    <row r="14" spans="1:7" x14ac:dyDescent="0.2">
      <c r="A14" t="s">
        <v>96</v>
      </c>
      <c r="B14">
        <f>B13*(1-0.2)</f>
        <v>0.8</v>
      </c>
      <c r="C14">
        <f>B14</f>
        <v>0.8</v>
      </c>
      <c r="D14">
        <f t="shared" ref="D14:E14" si="3">C14</f>
        <v>0.8</v>
      </c>
      <c r="E14">
        <f t="shared" si="3"/>
        <v>0.8</v>
      </c>
    </row>
    <row r="16" spans="1:7" x14ac:dyDescent="0.2">
      <c r="C16" t="s">
        <v>98</v>
      </c>
      <c r="E16">
        <f>(E13*B3+E14*B4)/(B13*B3+B14*B4)*100</f>
        <v>106.0625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L11" sqref="L11"/>
    </sheetView>
  </sheetViews>
  <sheetFormatPr baseColWidth="10" defaultColWidth="8.83203125" defaultRowHeight="15" x14ac:dyDescent="0.2"/>
  <cols>
    <col min="12" max="12" width="11.33203125" customWidth="1"/>
    <col min="13" max="13" width="12" bestFit="1" customWidth="1"/>
  </cols>
  <sheetData>
    <row r="1" spans="1:13" x14ac:dyDescent="0.2">
      <c r="H1" s="1" t="s">
        <v>6</v>
      </c>
      <c r="J1" s="1" t="s">
        <v>10</v>
      </c>
      <c r="L1" s="1" t="s">
        <v>13</v>
      </c>
    </row>
    <row r="3" spans="1:13" x14ac:dyDescent="0.2">
      <c r="B3" s="16">
        <v>2000</v>
      </c>
      <c r="C3" s="16">
        <v>2002</v>
      </c>
      <c r="E3" s="16">
        <v>2000</v>
      </c>
      <c r="F3" s="16">
        <v>2002</v>
      </c>
      <c r="H3" s="16">
        <v>2002</v>
      </c>
      <c r="J3" s="16">
        <v>2002</v>
      </c>
      <c r="L3" s="16">
        <v>2002</v>
      </c>
    </row>
    <row r="4" spans="1:13" x14ac:dyDescent="0.2">
      <c r="A4" t="s">
        <v>141</v>
      </c>
      <c r="B4" s="25">
        <v>100</v>
      </c>
      <c r="C4" s="25">
        <v>100</v>
      </c>
      <c r="E4">
        <v>686</v>
      </c>
      <c r="F4">
        <v>647</v>
      </c>
      <c r="H4" s="21">
        <f>C4/$C$12*100</f>
        <v>26.525198938992045</v>
      </c>
      <c r="J4" s="13">
        <v>4.1669999999999999E-2</v>
      </c>
      <c r="L4" s="13">
        <f>(F4/E4)^0.5-1</f>
        <v>-2.8841574177185469E-2</v>
      </c>
    </row>
    <row r="5" spans="1:13" x14ac:dyDescent="0.2">
      <c r="A5" t="s">
        <v>142</v>
      </c>
      <c r="B5" s="25">
        <v>38.5</v>
      </c>
      <c r="C5" s="25">
        <v>38</v>
      </c>
      <c r="E5">
        <v>668</v>
      </c>
      <c r="F5">
        <v>625</v>
      </c>
      <c r="H5" s="21">
        <f t="shared" ref="H5:H10" si="0">C5/$C$12*100</f>
        <v>10.079575596816976</v>
      </c>
      <c r="J5" s="11">
        <f>(1+$J$4)*C5/B5-1</f>
        <v>2.8141818181818268E-2</v>
      </c>
      <c r="L5" s="13">
        <f t="shared" ref="L5:L10" si="1">(F5/E5)^0.5-1</f>
        <v>-3.2720959332328881E-2</v>
      </c>
    </row>
    <row r="6" spans="1:13" x14ac:dyDescent="0.2">
      <c r="A6" t="s">
        <v>143</v>
      </c>
      <c r="B6" s="25">
        <v>205.2</v>
      </c>
      <c r="C6" s="25">
        <v>210</v>
      </c>
      <c r="E6">
        <v>655</v>
      </c>
      <c r="F6">
        <v>583</v>
      </c>
      <c r="H6" s="21">
        <f t="shared" si="0"/>
        <v>55.702917771883286</v>
      </c>
      <c r="J6" s="11">
        <f t="shared" ref="J6:J10" si="2">(1+$J$4)*C6/B6-1</f>
        <v>6.6036549707602532E-2</v>
      </c>
      <c r="L6" s="13">
        <f t="shared" si="1"/>
        <v>-5.6561429727476797E-2</v>
      </c>
    </row>
    <row r="7" spans="1:13" x14ac:dyDescent="0.2">
      <c r="A7" t="s">
        <v>144</v>
      </c>
      <c r="B7" s="25">
        <v>11.5</v>
      </c>
      <c r="C7" s="25">
        <v>11</v>
      </c>
      <c r="E7">
        <v>1023</v>
      </c>
      <c r="F7">
        <v>1031</v>
      </c>
      <c r="H7" s="21">
        <f t="shared" si="0"/>
        <v>2.9177718832891246</v>
      </c>
      <c r="J7" s="11">
        <f t="shared" si="2"/>
        <v>-3.6199999999999566E-3</v>
      </c>
      <c r="L7" s="13">
        <f t="shared" si="1"/>
        <v>3.9024538531593489E-3</v>
      </c>
    </row>
    <row r="8" spans="1:13" x14ac:dyDescent="0.2">
      <c r="A8" t="s">
        <v>145</v>
      </c>
      <c r="B8" s="25">
        <v>9.4</v>
      </c>
      <c r="C8" s="25">
        <v>7</v>
      </c>
      <c r="E8">
        <v>550</v>
      </c>
      <c r="F8">
        <v>818</v>
      </c>
      <c r="H8" s="21">
        <f t="shared" si="0"/>
        <v>1.8567639257294428</v>
      </c>
      <c r="J8" s="11">
        <f t="shared" si="2"/>
        <v>-0.22428829787234039</v>
      </c>
      <c r="L8" s="13">
        <f t="shared" si="1"/>
        <v>0.21953791547156398</v>
      </c>
    </row>
    <row r="9" spans="1:13" x14ac:dyDescent="0.2">
      <c r="A9" t="s">
        <v>146</v>
      </c>
      <c r="B9" s="25">
        <v>2.1</v>
      </c>
      <c r="C9" s="25">
        <v>3</v>
      </c>
      <c r="E9">
        <v>783</v>
      </c>
      <c r="F9">
        <v>518</v>
      </c>
      <c r="H9" s="21">
        <f t="shared" si="0"/>
        <v>0.79575596816976124</v>
      </c>
      <c r="J9" s="11">
        <f t="shared" si="2"/>
        <v>0.4881000000000002</v>
      </c>
      <c r="L9" s="13">
        <f t="shared" si="1"/>
        <v>-0.18663777452233998</v>
      </c>
    </row>
    <row r="10" spans="1:13" x14ac:dyDescent="0.2">
      <c r="A10" t="s">
        <v>147</v>
      </c>
      <c r="B10" s="25">
        <v>7.3</v>
      </c>
      <c r="C10" s="25">
        <v>8</v>
      </c>
      <c r="E10">
        <v>1248</v>
      </c>
      <c r="F10">
        <v>1076</v>
      </c>
      <c r="H10" s="21">
        <f t="shared" si="0"/>
        <v>2.1220159151193632</v>
      </c>
      <c r="J10" s="11">
        <f t="shared" si="2"/>
        <v>0.14155616438356167</v>
      </c>
      <c r="L10" s="13">
        <f t="shared" si="1"/>
        <v>-7.1463793285642896E-2</v>
      </c>
    </row>
    <row r="11" spans="1:13" x14ac:dyDescent="0.2">
      <c r="L11" s="14">
        <f>SUMPRODUCT(L4:L10,B4:B10)/SUM(B4:B10)</f>
        <v>-3.8918208889918503E-2</v>
      </c>
    </row>
    <row r="12" spans="1:13" x14ac:dyDescent="0.2">
      <c r="C12" s="25">
        <f>SUM(C4:C10)</f>
        <v>377</v>
      </c>
    </row>
    <row r="13" spans="1:13" x14ac:dyDescent="0.2">
      <c r="L13" t="s">
        <v>48</v>
      </c>
      <c r="M13">
        <f>(SUMPRODUCT(F4:F10,B4:B10)/SUMPRODUCT(E4:E10,B4:B10))*100</f>
        <v>92.383075442293915</v>
      </c>
    </row>
    <row r="14" spans="1:13" x14ac:dyDescent="0.2">
      <c r="M14">
        <f>M13/100-1</f>
        <v>-7.616924557706084E-2</v>
      </c>
    </row>
    <row r="15" spans="1:13" x14ac:dyDescent="0.2">
      <c r="M15" s="12">
        <f>(1+M14)^0.5-1</f>
        <v>-3.8838850960496218E-2</v>
      </c>
    </row>
  </sheetData>
  <pageMargins left="0.7" right="0.7" top="0.75" bottom="0.75" header="0.3" footer="0.3"/>
  <ignoredErrors>
    <ignoredError sqref="M13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1.5" customWidth="1"/>
  </cols>
  <sheetData>
    <row r="2" spans="1:6" x14ac:dyDescent="0.2">
      <c r="B2" s="16">
        <v>1999</v>
      </c>
      <c r="C2" s="16">
        <f>B2+1</f>
        <v>2000</v>
      </c>
      <c r="D2" s="16">
        <f t="shared" ref="D2:F2" si="0">C2+1</f>
        <v>2001</v>
      </c>
      <c r="E2" s="16">
        <f t="shared" si="0"/>
        <v>2002</v>
      </c>
      <c r="F2" s="16">
        <f t="shared" si="0"/>
        <v>2003</v>
      </c>
    </row>
    <row r="3" spans="1:6" x14ac:dyDescent="0.2">
      <c r="B3">
        <v>5268.73</v>
      </c>
      <c r="C3">
        <v>5110.67</v>
      </c>
      <c r="D3">
        <v>4957.3500000000004</v>
      </c>
      <c r="E3">
        <v>4808.63</v>
      </c>
      <c r="F3">
        <v>4664.37</v>
      </c>
    </row>
    <row r="5" spans="1:6" x14ac:dyDescent="0.2">
      <c r="A5" s="1" t="s">
        <v>6</v>
      </c>
    </row>
    <row r="6" spans="1:6" x14ac:dyDescent="0.2">
      <c r="A6" t="s">
        <v>110</v>
      </c>
      <c r="C6">
        <f>C3-B3</f>
        <v>-158.05999999999949</v>
      </c>
      <c r="D6">
        <f t="shared" ref="D6:F6" si="1">D3-C3</f>
        <v>-153.31999999999971</v>
      </c>
      <c r="E6">
        <f t="shared" si="1"/>
        <v>-148.72000000000025</v>
      </c>
      <c r="F6">
        <f t="shared" si="1"/>
        <v>-144.26000000000022</v>
      </c>
    </row>
    <row r="7" spans="1:6" x14ac:dyDescent="0.2">
      <c r="A7" t="s">
        <v>94</v>
      </c>
      <c r="C7" s="3">
        <f>C3/B3-1</f>
        <v>-2.9999639381786403E-2</v>
      </c>
      <c r="D7" s="3">
        <f t="shared" ref="D7:F7" si="2">D3/C3-1</f>
        <v>-2.999998043309382E-2</v>
      </c>
      <c r="E7" s="3">
        <f t="shared" si="2"/>
        <v>-2.999989913966139E-2</v>
      </c>
      <c r="F7" s="3">
        <f t="shared" si="2"/>
        <v>-3.0000228755383551E-2</v>
      </c>
    </row>
    <row r="9" spans="1:6" x14ac:dyDescent="0.2">
      <c r="A9" s="1" t="s">
        <v>10</v>
      </c>
    </row>
    <row r="10" spans="1:6" x14ac:dyDescent="0.2">
      <c r="A10" t="s">
        <v>111</v>
      </c>
      <c r="F10">
        <v>1.2</v>
      </c>
    </row>
    <row r="11" spans="1:6" x14ac:dyDescent="0.2">
      <c r="A11" t="s">
        <v>18</v>
      </c>
      <c r="F11" s="3">
        <v>-2.5000000000000001E-2</v>
      </c>
    </row>
    <row r="12" spans="1:6" x14ac:dyDescent="0.2">
      <c r="A12" t="s">
        <v>112</v>
      </c>
      <c r="F12" s="28">
        <f>F10*F7</f>
        <v>-3.6000274506460261E-2</v>
      </c>
    </row>
    <row r="13" spans="1:6" x14ac:dyDescent="0.2">
      <c r="A13" t="s">
        <v>113</v>
      </c>
      <c r="F13" s="12">
        <f>(1+F12)/(1+F11)-1</f>
        <v>-1.1282332827138752E-2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workbookViewId="0">
      <selection activeCell="B27" sqref="B27"/>
    </sheetView>
  </sheetViews>
  <sheetFormatPr baseColWidth="10" defaultColWidth="8.83203125" defaultRowHeight="15" x14ac:dyDescent="0.2"/>
  <cols>
    <col min="1" max="1" width="12.6640625" customWidth="1"/>
  </cols>
  <sheetData>
    <row r="1" spans="1:12" x14ac:dyDescent="0.2">
      <c r="B1" s="32">
        <v>2001</v>
      </c>
      <c r="C1" s="32"/>
      <c r="D1" s="32"/>
      <c r="E1" s="32"/>
      <c r="F1" s="32">
        <v>2002</v>
      </c>
      <c r="G1" s="32"/>
      <c r="H1" s="32"/>
      <c r="I1" s="32"/>
      <c r="J1" s="32">
        <v>2003</v>
      </c>
      <c r="K1" s="32"/>
      <c r="L1" s="32"/>
    </row>
    <row r="2" spans="1:12" x14ac:dyDescent="0.2">
      <c r="B2" s="26">
        <v>1</v>
      </c>
      <c r="C2" s="26">
        <v>2</v>
      </c>
      <c r="D2" s="26">
        <v>3</v>
      </c>
      <c r="E2" s="26">
        <v>4</v>
      </c>
      <c r="F2" s="26">
        <v>1</v>
      </c>
      <c r="G2" s="26">
        <v>2</v>
      </c>
      <c r="H2" s="26">
        <v>3</v>
      </c>
      <c r="I2" s="26">
        <v>4</v>
      </c>
      <c r="J2" s="26">
        <v>1</v>
      </c>
      <c r="K2" s="26">
        <v>2</v>
      </c>
      <c r="L2" s="26">
        <v>3</v>
      </c>
    </row>
    <row r="3" spans="1:12" x14ac:dyDescent="0.2">
      <c r="A3" t="s">
        <v>114</v>
      </c>
      <c r="B3">
        <v>105.9</v>
      </c>
      <c r="C3">
        <v>107.7</v>
      </c>
      <c r="D3">
        <v>92</v>
      </c>
      <c r="E3">
        <v>107.2</v>
      </c>
      <c r="F3">
        <v>106.9</v>
      </c>
      <c r="G3">
        <v>105.9</v>
      </c>
      <c r="H3">
        <v>90.4</v>
      </c>
      <c r="I3">
        <v>102.4</v>
      </c>
      <c r="J3">
        <v>98.2</v>
      </c>
      <c r="K3">
        <v>96.6</v>
      </c>
      <c r="L3">
        <v>89.4</v>
      </c>
    </row>
    <row r="4" spans="1:12" x14ac:dyDescent="0.2">
      <c r="A4" t="s">
        <v>115</v>
      </c>
      <c r="B4">
        <v>102.3</v>
      </c>
      <c r="C4">
        <v>108.6</v>
      </c>
      <c r="D4">
        <v>103.3</v>
      </c>
      <c r="E4">
        <v>112.2</v>
      </c>
      <c r="F4">
        <v>111.2</v>
      </c>
      <c r="G4">
        <v>110.9</v>
      </c>
      <c r="H4">
        <v>100.2</v>
      </c>
      <c r="I4">
        <v>103.3</v>
      </c>
      <c r="J4">
        <v>97.5</v>
      </c>
      <c r="K4">
        <v>96.7</v>
      </c>
      <c r="L4">
        <v>93.2</v>
      </c>
    </row>
    <row r="6" spans="1:12" x14ac:dyDescent="0.2">
      <c r="A6" s="1" t="s">
        <v>6</v>
      </c>
    </row>
    <row r="7" spans="1:12" x14ac:dyDescent="0.2">
      <c r="A7" s="1" t="s">
        <v>91</v>
      </c>
      <c r="B7" t="s">
        <v>116</v>
      </c>
    </row>
    <row r="8" spans="1:12" x14ac:dyDescent="0.2">
      <c r="A8" s="1" t="s">
        <v>92</v>
      </c>
      <c r="F8">
        <f>F3/$F$3*100</f>
        <v>100</v>
      </c>
      <c r="G8">
        <f t="shared" ref="G8:I8" si="0">G3/$F$3*100</f>
        <v>99.064546304957901</v>
      </c>
      <c r="H8">
        <f t="shared" si="0"/>
        <v>84.565014031805433</v>
      </c>
      <c r="I8">
        <f t="shared" si="0"/>
        <v>95.790458372310567</v>
      </c>
    </row>
    <row r="10" spans="1:12" x14ac:dyDescent="0.2">
      <c r="A10" s="1" t="s">
        <v>117</v>
      </c>
    </row>
    <row r="11" spans="1:12" x14ac:dyDescent="0.2">
      <c r="A11" s="1">
        <v>1</v>
      </c>
      <c r="B11">
        <f>$A$11*B3/100</f>
        <v>1.0590000000000002</v>
      </c>
      <c r="C11">
        <f t="shared" ref="C11:I11" si="1">$A$11*C3/100</f>
        <v>1.077</v>
      </c>
      <c r="D11">
        <f t="shared" si="1"/>
        <v>0.92</v>
      </c>
      <c r="E11">
        <f t="shared" si="1"/>
        <v>1.0720000000000001</v>
      </c>
      <c r="F11">
        <f t="shared" si="1"/>
        <v>1.069</v>
      </c>
      <c r="G11">
        <f t="shared" si="1"/>
        <v>1.0590000000000002</v>
      </c>
      <c r="H11">
        <f t="shared" si="1"/>
        <v>0.90400000000000003</v>
      </c>
      <c r="I11">
        <f t="shared" si="1"/>
        <v>1.024</v>
      </c>
    </row>
    <row r="12" spans="1:12" x14ac:dyDescent="0.2">
      <c r="E12">
        <f>SUM(B11:E11)</f>
        <v>4.1280000000000001</v>
      </c>
      <c r="I12">
        <f>SUM(F11:I11)</f>
        <v>4.056</v>
      </c>
    </row>
    <row r="13" spans="1:12" x14ac:dyDescent="0.2">
      <c r="I13" s="14">
        <f>I12/E12-1</f>
        <v>-1.744186046511631E-2</v>
      </c>
    </row>
    <row r="15" spans="1:12" x14ac:dyDescent="0.2">
      <c r="A15" s="1" t="s">
        <v>10</v>
      </c>
      <c r="B15">
        <v>2003</v>
      </c>
    </row>
    <row r="16" spans="1:12" x14ac:dyDescent="0.2">
      <c r="B16">
        <v>3</v>
      </c>
      <c r="C16">
        <v>4</v>
      </c>
    </row>
    <row r="17" spans="1:12" x14ac:dyDescent="0.2">
      <c r="A17" t="s">
        <v>118</v>
      </c>
      <c r="B17" s="13">
        <f>L4/H4-1</f>
        <v>-6.9860279441117723E-2</v>
      </c>
      <c r="C17" s="29">
        <f>B17</f>
        <v>-6.9860279441117723E-2</v>
      </c>
    </row>
    <row r="18" spans="1:12" x14ac:dyDescent="0.2">
      <c r="A18" t="s">
        <v>47</v>
      </c>
      <c r="C18" s="1">
        <f>(1+C17)*I4</f>
        <v>96.083433133732541</v>
      </c>
    </row>
    <row r="20" spans="1:12" x14ac:dyDescent="0.2">
      <c r="A20" s="1" t="s">
        <v>13</v>
      </c>
    </row>
    <row r="21" spans="1:12" x14ac:dyDescent="0.2">
      <c r="A21" t="s">
        <v>114</v>
      </c>
      <c r="B21">
        <v>0.69950000000000001</v>
      </c>
      <c r="C21" t="s">
        <v>119</v>
      </c>
    </row>
    <row r="22" spans="1:12" x14ac:dyDescent="0.2">
      <c r="A22" t="s">
        <v>115</v>
      </c>
      <c r="B22">
        <f>1-B21</f>
        <v>0.30049999999999999</v>
      </c>
    </row>
    <row r="24" spans="1:12" x14ac:dyDescent="0.2">
      <c r="A24" t="s">
        <v>107</v>
      </c>
      <c r="C24" s="1">
        <f>L3*B21+L4*B22</f>
        <v>90.541899999999998</v>
      </c>
    </row>
    <row r="26" spans="1:12" x14ac:dyDescent="0.2">
      <c r="A26" s="1" t="s">
        <v>27</v>
      </c>
    </row>
    <row r="27" spans="1:12" x14ac:dyDescent="0.2">
      <c r="A27" t="s">
        <v>97</v>
      </c>
      <c r="B27">
        <v>107</v>
      </c>
      <c r="L27">
        <f>B27+6.1</f>
        <v>113.1</v>
      </c>
    </row>
    <row r="29" spans="1:12" x14ac:dyDescent="0.2">
      <c r="A29" s="1" t="s">
        <v>91</v>
      </c>
      <c r="B29" t="s">
        <v>25</v>
      </c>
      <c r="D29" s="1">
        <f>(L3/B3-1)/(L27/B27-1)</f>
        <v>-2.7330144429480319</v>
      </c>
    </row>
    <row r="31" spans="1:12" x14ac:dyDescent="0.2">
      <c r="A31" s="1" t="s">
        <v>92</v>
      </c>
      <c r="B31" t="s">
        <v>120</v>
      </c>
      <c r="E31" s="12">
        <f>(L27/B27)*(L3/B3)-1</f>
        <v>-0.10768049561833148</v>
      </c>
    </row>
  </sheetData>
  <mergeCells count="3">
    <mergeCell ref="B1:E1"/>
    <mergeCell ref="F1:I1"/>
    <mergeCell ref="J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E21" sqref="E21"/>
    </sheetView>
  </sheetViews>
  <sheetFormatPr baseColWidth="10" defaultColWidth="8.83203125" defaultRowHeight="15" x14ac:dyDescent="0.2"/>
  <sheetData>
    <row r="2" spans="1:6" x14ac:dyDescent="0.2">
      <c r="B2" s="16">
        <v>-14</v>
      </c>
      <c r="C2" s="16" t="s">
        <v>60</v>
      </c>
      <c r="D2" s="16" t="s">
        <v>61</v>
      </c>
      <c r="E2" s="16" t="s">
        <v>62</v>
      </c>
    </row>
    <row r="3" spans="1:6" x14ac:dyDescent="0.2">
      <c r="A3">
        <v>1981</v>
      </c>
      <c r="B3">
        <v>2509</v>
      </c>
      <c r="C3">
        <v>1628</v>
      </c>
      <c r="D3">
        <v>4571</v>
      </c>
      <c r="E3">
        <v>1125</v>
      </c>
    </row>
    <row r="4" spans="1:6" x14ac:dyDescent="0.2">
      <c r="A4">
        <v>1991</v>
      </c>
      <c r="B4">
        <v>1972</v>
      </c>
      <c r="C4">
        <v>1611</v>
      </c>
      <c r="D4">
        <v>4941</v>
      </c>
      <c r="E4">
        <v>1343</v>
      </c>
    </row>
    <row r="5" spans="1:6" x14ac:dyDescent="0.2">
      <c r="A5">
        <v>2001</v>
      </c>
      <c r="B5">
        <v>1657</v>
      </c>
      <c r="C5">
        <v>1480</v>
      </c>
      <c r="D5">
        <v>5526</v>
      </c>
      <c r="E5">
        <v>1693</v>
      </c>
    </row>
    <row r="7" spans="1:6" x14ac:dyDescent="0.2">
      <c r="A7" s="1" t="s">
        <v>6</v>
      </c>
      <c r="B7" s="11">
        <f>(B5/B3)^(1/20)-1</f>
        <v>-2.0530104322409315E-2</v>
      </c>
      <c r="C7" s="11">
        <f t="shared" ref="C7:E7" si="0">(C5/C3)^(1/20)-1</f>
        <v>-4.7541719682911987E-3</v>
      </c>
      <c r="D7" s="11">
        <f t="shared" si="0"/>
        <v>9.5317518857374051E-3</v>
      </c>
      <c r="E7" s="11">
        <f t="shared" si="0"/>
        <v>2.0646197205293815E-2</v>
      </c>
    </row>
    <row r="9" spans="1:6" x14ac:dyDescent="0.2">
      <c r="A9" s="1" t="s">
        <v>10</v>
      </c>
    </row>
    <row r="10" spans="1:6" x14ac:dyDescent="0.2">
      <c r="A10">
        <v>1981</v>
      </c>
      <c r="B10" s="11">
        <f>E3/(SUM(C3:D3))</f>
        <v>0.18148088401355059</v>
      </c>
    </row>
    <row r="11" spans="1:6" x14ac:dyDescent="0.2">
      <c r="A11">
        <v>1991</v>
      </c>
      <c r="B11" s="11">
        <f t="shared" ref="B11:B12" si="1">E4/(SUM(C4:D4))</f>
        <v>0.20497557997557997</v>
      </c>
    </row>
    <row r="12" spans="1:6" x14ac:dyDescent="0.2">
      <c r="A12">
        <v>2001</v>
      </c>
      <c r="B12" s="11">
        <f t="shared" si="1"/>
        <v>0.24165001427347987</v>
      </c>
      <c r="C12" s="19">
        <f>(B12-B10)*100</f>
        <v>6.0169130259929284</v>
      </c>
      <c r="D12" s="22">
        <f>B12/B10-1</f>
        <v>0.3315452786500459</v>
      </c>
    </row>
    <row r="15" spans="1:6" x14ac:dyDescent="0.2">
      <c r="D15" s="16" t="s">
        <v>60</v>
      </c>
      <c r="E15" s="16" t="s">
        <v>61</v>
      </c>
      <c r="F15" s="16" t="s">
        <v>62</v>
      </c>
    </row>
    <row r="16" spans="1:6" x14ac:dyDescent="0.2">
      <c r="C16">
        <v>2001</v>
      </c>
      <c r="D16">
        <v>48</v>
      </c>
      <c r="E16">
        <v>16</v>
      </c>
      <c r="F16">
        <v>2.2000000000000002</v>
      </c>
    </row>
    <row r="17" spans="1:6" x14ac:dyDescent="0.2">
      <c r="C17">
        <v>2002</v>
      </c>
      <c r="D17">
        <v>55</v>
      </c>
      <c r="E17">
        <v>26</v>
      </c>
      <c r="F17">
        <v>4.2</v>
      </c>
    </row>
    <row r="19" spans="1:6" x14ac:dyDescent="0.2">
      <c r="A19" s="1" t="s">
        <v>13</v>
      </c>
      <c r="B19">
        <f>SUMPRODUCT(D17:F17,C5:E5)/SUMPRODUCT(D16:F16,C5:E5)*100</f>
        <v>142.28811513133303</v>
      </c>
    </row>
  </sheetData>
  <pageMargins left="0.7" right="0.7" top="0.75" bottom="0.75" header="0.3" footer="0.3"/>
  <ignoredErrors>
    <ignoredError sqref="B19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10" sqref="C10"/>
    </sheetView>
  </sheetViews>
  <sheetFormatPr baseColWidth="10" defaultColWidth="8.83203125" defaultRowHeight="15" x14ac:dyDescent="0.2"/>
  <sheetData>
    <row r="2" spans="1:10" x14ac:dyDescent="0.2">
      <c r="C2" s="32" t="s">
        <v>52</v>
      </c>
      <c r="D2" s="32"/>
      <c r="E2" s="32" t="s">
        <v>54</v>
      </c>
      <c r="F2" s="32"/>
      <c r="G2" s="32" t="s">
        <v>55</v>
      </c>
      <c r="H2" s="32"/>
      <c r="I2" s="32" t="s">
        <v>56</v>
      </c>
      <c r="J2" s="32"/>
    </row>
    <row r="3" spans="1:10" x14ac:dyDescent="0.2">
      <c r="B3" s="16" t="s">
        <v>51</v>
      </c>
      <c r="C3" s="16" t="s">
        <v>53</v>
      </c>
      <c r="D3" s="16" t="s">
        <v>24</v>
      </c>
      <c r="E3" s="16" t="s">
        <v>53</v>
      </c>
      <c r="F3" s="16" t="s">
        <v>24</v>
      </c>
      <c r="G3" s="16" t="s">
        <v>53</v>
      </c>
      <c r="H3" s="16" t="s">
        <v>24</v>
      </c>
      <c r="I3" s="16" t="s">
        <v>53</v>
      </c>
      <c r="J3" s="16" t="s">
        <v>24</v>
      </c>
    </row>
    <row r="4" spans="1:10" x14ac:dyDescent="0.2">
      <c r="B4">
        <v>1990</v>
      </c>
      <c r="C4">
        <v>77.8</v>
      </c>
      <c r="D4">
        <v>306953</v>
      </c>
      <c r="E4">
        <v>84.3</v>
      </c>
      <c r="F4">
        <v>672960</v>
      </c>
      <c r="G4">
        <v>78.3</v>
      </c>
      <c r="H4">
        <v>634194</v>
      </c>
      <c r="I4">
        <v>100</v>
      </c>
      <c r="J4">
        <v>44679</v>
      </c>
    </row>
    <row r="5" spans="1:10" x14ac:dyDescent="0.2">
      <c r="B5">
        <v>1995</v>
      </c>
      <c r="C5">
        <v>100</v>
      </c>
      <c r="D5">
        <v>349304</v>
      </c>
      <c r="E5">
        <v>94.1</v>
      </c>
      <c r="F5">
        <v>862165</v>
      </c>
      <c r="G5">
        <v>100</v>
      </c>
      <c r="H5">
        <v>644428</v>
      </c>
      <c r="I5">
        <v>141</v>
      </c>
      <c r="J5">
        <v>67922</v>
      </c>
    </row>
    <row r="6" spans="1:10" x14ac:dyDescent="0.2">
      <c r="B6">
        <v>2000</v>
      </c>
      <c r="C6">
        <v>113.8</v>
      </c>
      <c r="D6">
        <v>331206</v>
      </c>
      <c r="E6">
        <v>100</v>
      </c>
      <c r="F6">
        <v>715208</v>
      </c>
      <c r="G6">
        <v>112.8</v>
      </c>
      <c r="H6">
        <v>650619</v>
      </c>
      <c r="I6">
        <v>160.5</v>
      </c>
      <c r="J6">
        <v>65520</v>
      </c>
    </row>
    <row r="7" spans="1:10" x14ac:dyDescent="0.2">
      <c r="B7">
        <v>2001</v>
      </c>
      <c r="C7">
        <v>117.9</v>
      </c>
      <c r="D7">
        <v>340659</v>
      </c>
      <c r="E7">
        <v>101.6</v>
      </c>
      <c r="F7">
        <v>729328</v>
      </c>
      <c r="G7">
        <v>115.9</v>
      </c>
      <c r="H7">
        <v>655635</v>
      </c>
      <c r="I7">
        <v>167.6</v>
      </c>
      <c r="J7">
        <v>67078</v>
      </c>
    </row>
    <row r="9" spans="1:10" x14ac:dyDescent="0.2">
      <c r="A9" s="1" t="s">
        <v>6</v>
      </c>
      <c r="B9" t="s">
        <v>35</v>
      </c>
    </row>
    <row r="10" spans="1:10" x14ac:dyDescent="0.2">
      <c r="B10">
        <v>2001</v>
      </c>
      <c r="C10" s="3">
        <f>C7/C6-1</f>
        <v>3.6028119507908629E-2</v>
      </c>
      <c r="E10" s="3">
        <f>E7/E6-1</f>
        <v>1.6000000000000014E-2</v>
      </c>
      <c r="G10" s="3">
        <f>G7/G6-1</f>
        <v>2.7482269503546153E-2</v>
      </c>
      <c r="I10" s="3">
        <f>I7/I6-1</f>
        <v>4.423676012461053E-2</v>
      </c>
    </row>
    <row r="12" spans="1:10" x14ac:dyDescent="0.2">
      <c r="A12" s="1" t="s">
        <v>10</v>
      </c>
      <c r="B12" t="s">
        <v>58</v>
      </c>
    </row>
    <row r="13" spans="1:10" x14ac:dyDescent="0.2">
      <c r="B13">
        <v>1995</v>
      </c>
      <c r="D13">
        <f>D5+F5+H5+J5</f>
        <v>1923819</v>
      </c>
    </row>
    <row r="15" spans="1:10" x14ac:dyDescent="0.2">
      <c r="A15" s="1" t="s">
        <v>13</v>
      </c>
      <c r="B15" t="s">
        <v>25</v>
      </c>
    </row>
    <row r="16" spans="1:10" x14ac:dyDescent="0.2">
      <c r="B16" t="s">
        <v>57</v>
      </c>
      <c r="C16" s="3">
        <f>(J6/J4)^(1/10)-1</f>
        <v>3.9027505374902738E-2</v>
      </c>
      <c r="D16" s="3">
        <f>J6/J4-1</f>
        <v>0.46646075337406834</v>
      </c>
    </row>
    <row r="17" spans="2:4" x14ac:dyDescent="0.2">
      <c r="B17" t="s">
        <v>59</v>
      </c>
      <c r="C17" s="3">
        <v>1.4999999999999999E-2</v>
      </c>
      <c r="D17" s="3">
        <f>(1+C17)^10-1</f>
        <v>0.16054082502514855</v>
      </c>
    </row>
    <row r="18" spans="2:4" x14ac:dyDescent="0.2">
      <c r="C18" s="21">
        <f>C16/C17</f>
        <v>2.6018336916601825</v>
      </c>
      <c r="D18" s="21">
        <f>D16/D17</f>
        <v>2.9055584665208851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tabSelected="1" zoomScale="120" zoomScaleNormal="120" zoomScalePageLayoutView="120" workbookViewId="0">
      <selection activeCell="B26" sqref="B26"/>
    </sheetView>
  </sheetViews>
  <sheetFormatPr baseColWidth="10" defaultRowHeight="15" x14ac:dyDescent="0.2"/>
  <cols>
    <col min="1" max="2" width="10.83203125" style="1"/>
  </cols>
  <sheetData>
    <row r="2" spans="1:10" x14ac:dyDescent="0.2">
      <c r="A2" s="1" t="s">
        <v>1</v>
      </c>
      <c r="B2" s="1" t="s">
        <v>6</v>
      </c>
    </row>
    <row r="3" spans="1:10" x14ac:dyDescent="0.2">
      <c r="F3" s="31">
        <v>2011</v>
      </c>
      <c r="G3" s="31">
        <f>F3+1</f>
        <v>2012</v>
      </c>
      <c r="H3" s="31">
        <f t="shared" ref="H3:I3" si="0">G3+1</f>
        <v>2013</v>
      </c>
      <c r="I3" s="31">
        <f t="shared" si="0"/>
        <v>2014</v>
      </c>
      <c r="J3" s="31">
        <v>2015</v>
      </c>
    </row>
    <row r="4" spans="1:10" x14ac:dyDescent="0.2">
      <c r="E4" t="s">
        <v>191</v>
      </c>
      <c r="F4">
        <v>184627</v>
      </c>
      <c r="G4">
        <v>181515</v>
      </c>
      <c r="H4">
        <v>173745</v>
      </c>
      <c r="I4">
        <v>168252</v>
      </c>
      <c r="J4">
        <v>162323</v>
      </c>
    </row>
    <row r="5" spans="1:10" x14ac:dyDescent="0.2">
      <c r="E5" s="10" t="s">
        <v>192</v>
      </c>
      <c r="F5">
        <v>211641</v>
      </c>
      <c r="G5">
        <v>208758</v>
      </c>
      <c r="H5">
        <v>197255</v>
      </c>
      <c r="I5">
        <v>193948</v>
      </c>
      <c r="J5">
        <v>187335</v>
      </c>
    </row>
    <row r="7" spans="1:10" x14ac:dyDescent="0.2">
      <c r="E7" t="s">
        <v>47</v>
      </c>
      <c r="J7" s="35">
        <f>J5/(F4+F5)*100</f>
        <v>47.274824108936372</v>
      </c>
    </row>
    <row r="9" spans="1:10" x14ac:dyDescent="0.2">
      <c r="A9" s="1" t="s">
        <v>181</v>
      </c>
      <c r="B9" s="1" t="s">
        <v>27</v>
      </c>
      <c r="E9" t="s">
        <v>6</v>
      </c>
      <c r="F9" t="s">
        <v>191</v>
      </c>
      <c r="G9" s="11">
        <f>J4/F4-1</f>
        <v>-0.12080573263932148</v>
      </c>
    </row>
    <row r="10" spans="1:10" x14ac:dyDescent="0.2">
      <c r="F10" t="s">
        <v>192</v>
      </c>
      <c r="G10" s="11">
        <f>J5/F5-1</f>
        <v>-0.11484542220080229</v>
      </c>
    </row>
    <row r="12" spans="1:10" x14ac:dyDescent="0.2">
      <c r="E12" t="s">
        <v>10</v>
      </c>
      <c r="G12" s="11">
        <f>(1+G9)^(1/4)-1</f>
        <v>-3.1674849713867581E-2</v>
      </c>
    </row>
    <row r="14" spans="1:10" x14ac:dyDescent="0.2">
      <c r="E14" t="s">
        <v>13</v>
      </c>
      <c r="G14" s="11">
        <f>(SUM(J4:J5)/SUM(F4:F5))^(1/4)-1</f>
        <v>-3.0799528958314393E-2</v>
      </c>
    </row>
    <row r="15" spans="1:10" x14ac:dyDescent="0.2">
      <c r="G15" s="11"/>
    </row>
    <row r="16" spans="1:10" x14ac:dyDescent="0.2">
      <c r="A16" s="1" t="s">
        <v>182</v>
      </c>
      <c r="B16" s="1" t="s">
        <v>6</v>
      </c>
    </row>
    <row r="17" spans="1:9" x14ac:dyDescent="0.2">
      <c r="F17" s="31" t="s">
        <v>106</v>
      </c>
      <c r="G17" s="31" t="s">
        <v>193</v>
      </c>
      <c r="H17" s="31" t="s">
        <v>194</v>
      </c>
      <c r="I17" s="31" t="s">
        <v>195</v>
      </c>
    </row>
    <row r="18" spans="1:9" x14ac:dyDescent="0.2">
      <c r="E18">
        <v>1991</v>
      </c>
      <c r="F18">
        <v>3083144</v>
      </c>
      <c r="G18">
        <v>2675466</v>
      </c>
      <c r="H18">
        <v>2521742</v>
      </c>
      <c r="I18">
        <v>2730011</v>
      </c>
    </row>
    <row r="19" spans="1:9" x14ac:dyDescent="0.2">
      <c r="E19" s="10">
        <v>2001</v>
      </c>
      <c r="F19">
        <v>3578548</v>
      </c>
      <c r="G19">
        <v>3502726</v>
      </c>
      <c r="H19">
        <v>3354632</v>
      </c>
      <c r="I19">
        <v>3371464</v>
      </c>
    </row>
    <row r="20" spans="1:9" x14ac:dyDescent="0.2">
      <c r="E20">
        <v>2011</v>
      </c>
      <c r="F20">
        <v>3997724</v>
      </c>
      <c r="G20">
        <v>3971833</v>
      </c>
      <c r="H20">
        <v>3918455</v>
      </c>
      <c r="I20">
        <v>3961515</v>
      </c>
    </row>
    <row r="22" spans="1:9" x14ac:dyDescent="0.2">
      <c r="H22" s="11">
        <f>(H20/H19)^(1/10)-1</f>
        <v>1.5656840416547357E-2</v>
      </c>
    </row>
    <row r="23" spans="1:9" x14ac:dyDescent="0.2">
      <c r="E23">
        <v>2005</v>
      </c>
      <c r="H23" s="33">
        <f>H19*(1+H22)^4</f>
        <v>3569709.5138355847</v>
      </c>
    </row>
    <row r="25" spans="1:9" x14ac:dyDescent="0.2">
      <c r="A25" s="1" t="s">
        <v>183</v>
      </c>
      <c r="B25" s="1" t="s">
        <v>13</v>
      </c>
    </row>
    <row r="26" spans="1:9" x14ac:dyDescent="0.2">
      <c r="E26" t="s">
        <v>196</v>
      </c>
      <c r="F26" s="3">
        <v>1.4999999999999999E-2</v>
      </c>
      <c r="I26" s="11">
        <f>(I20/I19)^(1/10)-1</f>
        <v>1.6258702965079586E-2</v>
      </c>
    </row>
    <row r="27" spans="1:9" x14ac:dyDescent="0.2">
      <c r="F27">
        <f>F20*(1+F26)^2</f>
        <v>4118555.2078999989</v>
      </c>
      <c r="I27">
        <f>I20*(1+I26)^5</f>
        <v>4294204.2130524321</v>
      </c>
    </row>
    <row r="28" spans="1:9" x14ac:dyDescent="0.2">
      <c r="I28" s="1">
        <f>I27/F27*100</f>
        <v>104.2648209453527</v>
      </c>
    </row>
    <row r="34" spans="1:10" x14ac:dyDescent="0.2">
      <c r="A34" s="1" t="s">
        <v>168</v>
      </c>
      <c r="B34" s="1" t="s">
        <v>10</v>
      </c>
      <c r="F34" s="31">
        <v>2011</v>
      </c>
      <c r="G34" s="31">
        <f>F34+1</f>
        <v>2012</v>
      </c>
      <c r="H34" s="31">
        <f t="shared" ref="H34:I34" si="1">G34+1</f>
        <v>2013</v>
      </c>
      <c r="I34" s="31">
        <f t="shared" si="1"/>
        <v>2014</v>
      </c>
      <c r="J34" s="31">
        <v>2015</v>
      </c>
    </row>
    <row r="35" spans="1:10" x14ac:dyDescent="0.2">
      <c r="E35" t="s">
        <v>169</v>
      </c>
      <c r="F35">
        <v>1084.9000000000001</v>
      </c>
      <c r="G35">
        <v>1160.7</v>
      </c>
      <c r="H35">
        <v>1208.5</v>
      </c>
      <c r="I35">
        <v>1337.7</v>
      </c>
    </row>
    <row r="36" spans="1:10" x14ac:dyDescent="0.2">
      <c r="E36" s="10" t="s">
        <v>170</v>
      </c>
      <c r="F36">
        <v>101.2</v>
      </c>
      <c r="G36">
        <v>119.6</v>
      </c>
      <c r="H36">
        <v>127.7</v>
      </c>
      <c r="I36">
        <v>124.4</v>
      </c>
    </row>
    <row r="38" spans="1:10" x14ac:dyDescent="0.2">
      <c r="E38" t="s">
        <v>106</v>
      </c>
      <c r="F38">
        <f>SUM(F35:F36)</f>
        <v>1186.1000000000001</v>
      </c>
      <c r="G38">
        <f t="shared" ref="G38:I38" si="2">SUM(G35:G36)</f>
        <v>1280.3</v>
      </c>
      <c r="H38">
        <f t="shared" si="2"/>
        <v>1336.2</v>
      </c>
      <c r="I38">
        <f t="shared" si="2"/>
        <v>1462.1000000000001</v>
      </c>
    </row>
    <row r="39" spans="1:10" x14ac:dyDescent="0.2">
      <c r="E39" t="s">
        <v>47</v>
      </c>
      <c r="H39" s="1">
        <f>H36/F38*100</f>
        <v>10.766377202596743</v>
      </c>
    </row>
    <row r="42" spans="1:10" x14ac:dyDescent="0.2">
      <c r="A42" s="1" t="s">
        <v>171</v>
      </c>
      <c r="B42" s="1" t="s">
        <v>6</v>
      </c>
      <c r="E42" t="s">
        <v>47</v>
      </c>
    </row>
    <row r="43" spans="1:10" x14ac:dyDescent="0.2">
      <c r="E43" t="s">
        <v>169</v>
      </c>
      <c r="F43">
        <f t="shared" ref="F43:G43" si="3">F35/$F$38*100</f>
        <v>91.467835764269452</v>
      </c>
      <c r="G43">
        <f t="shared" si="3"/>
        <v>97.858527948739564</v>
      </c>
      <c r="H43">
        <f>H35/$F$38*100</f>
        <v>101.88854228142652</v>
      </c>
      <c r="I43">
        <f>I35/F38*100</f>
        <v>112.78138436894021</v>
      </c>
      <c r="J43">
        <v>117.43</v>
      </c>
    </row>
    <row r="44" spans="1:10" x14ac:dyDescent="0.2">
      <c r="E44" t="s">
        <v>172</v>
      </c>
      <c r="H44" s="12">
        <f>H43/G43-1</f>
        <v>4.1182045317480931E-2</v>
      </c>
      <c r="I44" s="11">
        <f>I43/H43-1</f>
        <v>0.10690939180802639</v>
      </c>
      <c r="J44" s="12">
        <f>J43/I43-1</f>
        <v>4.1217933766913628E-2</v>
      </c>
    </row>
    <row r="45" spans="1:10" x14ac:dyDescent="0.2">
      <c r="E45" t="s">
        <v>173</v>
      </c>
      <c r="J45" s="11">
        <f>J43/F43-1</f>
        <v>0.28383927550926358</v>
      </c>
    </row>
    <row r="46" spans="1:10" x14ac:dyDescent="0.2">
      <c r="E46" t="s">
        <v>174</v>
      </c>
      <c r="J46" s="11">
        <f>(1+J45)^(1/4)-1</f>
        <v>6.4455877706159015E-2</v>
      </c>
    </row>
    <row r="47" spans="1:10" x14ac:dyDescent="0.2">
      <c r="E47" t="s">
        <v>175</v>
      </c>
      <c r="J47" s="27">
        <f>J43*F38/100</f>
        <v>1392.8372300000003</v>
      </c>
    </row>
    <row r="50" spans="1:10" x14ac:dyDescent="0.2">
      <c r="A50" s="1" t="s">
        <v>176</v>
      </c>
      <c r="B50" s="1" t="s">
        <v>27</v>
      </c>
    </row>
    <row r="51" spans="1:10" x14ac:dyDescent="0.2">
      <c r="F51" s="31">
        <v>1995</v>
      </c>
      <c r="G51" s="31">
        <f>F51+5</f>
        <v>2000</v>
      </c>
      <c r="H51" s="31">
        <f t="shared" ref="H51:I51" si="4">G51+5</f>
        <v>2005</v>
      </c>
      <c r="I51" s="31">
        <f t="shared" si="4"/>
        <v>2010</v>
      </c>
    </row>
    <row r="52" spans="1:10" x14ac:dyDescent="0.2">
      <c r="E52" t="s">
        <v>177</v>
      </c>
      <c r="F52" s="3">
        <v>0.11600000000000001</v>
      </c>
      <c r="G52" s="3">
        <v>0.33300000000000002</v>
      </c>
      <c r="H52" s="3">
        <v>0.70199999999999996</v>
      </c>
      <c r="I52" s="3">
        <v>0.82899999999999996</v>
      </c>
    </row>
    <row r="53" spans="1:10" x14ac:dyDescent="0.2">
      <c r="E53" s="10" t="s">
        <v>178</v>
      </c>
      <c r="F53" s="3">
        <v>0.10100000000000001</v>
      </c>
      <c r="G53" s="3">
        <v>0.219</v>
      </c>
      <c r="H53" s="3">
        <v>0.439</v>
      </c>
      <c r="I53" s="3">
        <v>0.57199999999999995</v>
      </c>
    </row>
    <row r="55" spans="1:10" x14ac:dyDescent="0.2">
      <c r="E55" t="s">
        <v>47</v>
      </c>
      <c r="I55" s="33">
        <f>I52/F52*100</f>
        <v>714.65517241379303</v>
      </c>
    </row>
    <row r="57" spans="1:10" x14ac:dyDescent="0.2">
      <c r="A57" s="1" t="s">
        <v>179</v>
      </c>
      <c r="B57" s="1" t="s">
        <v>27</v>
      </c>
    </row>
    <row r="58" spans="1:10" x14ac:dyDescent="0.2">
      <c r="E58" t="s">
        <v>6</v>
      </c>
      <c r="H58" s="22">
        <f>H53/G53-1</f>
        <v>1.0045662100456623</v>
      </c>
      <c r="I58" s="20">
        <f>I53-H53</f>
        <v>0.13299999999999995</v>
      </c>
    </row>
    <row r="59" spans="1:10" x14ac:dyDescent="0.2">
      <c r="E59" t="s">
        <v>10</v>
      </c>
      <c r="I59" s="11">
        <f>(I53/G53)^(1/10)-1</f>
        <v>0.10076646789642463</v>
      </c>
    </row>
    <row r="60" spans="1:10" x14ac:dyDescent="0.2">
      <c r="E60" t="s">
        <v>13</v>
      </c>
      <c r="I60" s="34">
        <f>I53/F53-1</f>
        <v>4.6633663366336622</v>
      </c>
    </row>
    <row r="63" spans="1:10" x14ac:dyDescent="0.2">
      <c r="A63" s="1" t="s">
        <v>180</v>
      </c>
      <c r="B63" s="1" t="s">
        <v>13</v>
      </c>
    </row>
    <row r="64" spans="1:10" x14ac:dyDescent="0.2">
      <c r="F64" s="31">
        <v>2004</v>
      </c>
      <c r="G64" s="31">
        <f>F64+1</f>
        <v>2005</v>
      </c>
      <c r="H64" s="31">
        <f t="shared" ref="H64:I64" si="5">G64+1</f>
        <v>2006</v>
      </c>
      <c r="I64" s="31">
        <f t="shared" si="5"/>
        <v>2007</v>
      </c>
      <c r="J64" s="31">
        <f>I64+1</f>
        <v>2008</v>
      </c>
    </row>
    <row r="65" spans="1:10" x14ac:dyDescent="0.2">
      <c r="E65" t="s">
        <v>184</v>
      </c>
      <c r="F65">
        <v>100</v>
      </c>
      <c r="G65">
        <v>106</v>
      </c>
      <c r="H65">
        <v>111</v>
      </c>
      <c r="I65">
        <v>117</v>
      </c>
      <c r="J65">
        <v>115</v>
      </c>
    </row>
    <row r="66" spans="1:10" x14ac:dyDescent="0.2">
      <c r="E66" s="10" t="s">
        <v>185</v>
      </c>
      <c r="F66">
        <v>100</v>
      </c>
      <c r="G66">
        <v>108</v>
      </c>
      <c r="H66">
        <v>117</v>
      </c>
      <c r="I66">
        <v>124</v>
      </c>
      <c r="J66">
        <v>134</v>
      </c>
    </row>
    <row r="69" spans="1:10" x14ac:dyDescent="0.2">
      <c r="A69" s="1" t="s">
        <v>186</v>
      </c>
      <c r="B69" s="1" t="s">
        <v>10</v>
      </c>
    </row>
    <row r="70" spans="1:10" x14ac:dyDescent="0.2">
      <c r="H70" s="12">
        <f>H66/G66-1</f>
        <v>8.3333333333333259E-2</v>
      </c>
    </row>
    <row r="73" spans="1:10" x14ac:dyDescent="0.2">
      <c r="A73" s="1" t="s">
        <v>187</v>
      </c>
      <c r="B73" s="1" t="s">
        <v>13</v>
      </c>
      <c r="F73" s="31">
        <v>2010</v>
      </c>
      <c r="G73" s="31">
        <f>F73+1</f>
        <v>2011</v>
      </c>
      <c r="H73" s="31">
        <f t="shared" ref="H73:I73" si="6">G73+1</f>
        <v>2012</v>
      </c>
      <c r="I73" s="31">
        <f t="shared" si="6"/>
        <v>2013</v>
      </c>
      <c r="J73" s="31">
        <f>I73+1</f>
        <v>2014</v>
      </c>
    </row>
    <row r="74" spans="1:10" x14ac:dyDescent="0.2">
      <c r="E74" t="s">
        <v>188</v>
      </c>
      <c r="F74">
        <v>27545</v>
      </c>
      <c r="G74">
        <v>28132</v>
      </c>
      <c r="H74">
        <v>31450</v>
      </c>
      <c r="I74">
        <v>31620</v>
      </c>
      <c r="J74">
        <v>32106</v>
      </c>
    </row>
    <row r="75" spans="1:10" x14ac:dyDescent="0.2">
      <c r="E75" s="10" t="s">
        <v>189</v>
      </c>
      <c r="F75">
        <v>72.2</v>
      </c>
      <c r="G75">
        <v>56.8</v>
      </c>
      <c r="H75">
        <v>59.2</v>
      </c>
      <c r="I75">
        <v>50.2</v>
      </c>
      <c r="J75">
        <v>44.8</v>
      </c>
    </row>
    <row r="77" spans="1:10" x14ac:dyDescent="0.2">
      <c r="J77" s="12">
        <f>(J74/F74)^(1/4)-1</f>
        <v>3.9048587156410575E-2</v>
      </c>
    </row>
    <row r="78" spans="1:10" x14ac:dyDescent="0.2">
      <c r="A78" s="1" t="s">
        <v>190</v>
      </c>
      <c r="B78" s="1" t="s">
        <v>10</v>
      </c>
      <c r="E78" t="s">
        <v>47</v>
      </c>
      <c r="I78" s="35">
        <f>I75/F75*100</f>
        <v>69.529085872576175</v>
      </c>
    </row>
  </sheetData>
  <pageMargins left="0.7" right="0.7" top="0.75" bottom="0.75" header="0.3" footer="0.3"/>
  <ignoredErrors>
    <ignoredError sqref="E36" numberStoredAsText="1"/>
    <ignoredError sqref="F38 G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6" bestFit="1" customWidth="1"/>
  </cols>
  <sheetData>
    <row r="2" spans="1:5" x14ac:dyDescent="0.2">
      <c r="B2" s="16">
        <v>1970</v>
      </c>
      <c r="C2" s="16">
        <f>B2+1</f>
        <v>1971</v>
      </c>
      <c r="D2" s="16">
        <f t="shared" ref="D2:E2" si="0">C2+1</f>
        <v>1972</v>
      </c>
      <c r="E2" s="16">
        <f t="shared" si="0"/>
        <v>1973</v>
      </c>
    </row>
    <row r="3" spans="1:5" x14ac:dyDescent="0.2">
      <c r="A3" t="s">
        <v>63</v>
      </c>
      <c r="B3">
        <v>68000</v>
      </c>
      <c r="C3">
        <v>70500</v>
      </c>
      <c r="D3">
        <v>71200</v>
      </c>
      <c r="E3">
        <v>72600</v>
      </c>
    </row>
    <row r="5" spans="1:5" x14ac:dyDescent="0.2">
      <c r="A5" s="1" t="s">
        <v>6</v>
      </c>
      <c r="B5" s="11">
        <f>(E3/B3)^(1/3)-1</f>
        <v>2.2058848900565753E-2</v>
      </c>
    </row>
    <row r="7" spans="1:5" x14ac:dyDescent="0.2">
      <c r="A7" s="1" t="s">
        <v>10</v>
      </c>
      <c r="B7">
        <f>B3/$B$3*100</f>
        <v>100</v>
      </c>
      <c r="C7">
        <f t="shared" ref="C7:E7" si="1">C3/$B$3*100</f>
        <v>103.6764705882353</v>
      </c>
      <c r="D7">
        <f t="shared" si="1"/>
        <v>104.70588235294119</v>
      </c>
      <c r="E7">
        <f t="shared" si="1"/>
        <v>106.76470588235294</v>
      </c>
    </row>
    <row r="9" spans="1:5" x14ac:dyDescent="0.2">
      <c r="A9" s="1" t="s">
        <v>13</v>
      </c>
    </row>
    <row r="11" spans="1:5" x14ac:dyDescent="0.2">
      <c r="B11" s="16">
        <v>1970</v>
      </c>
      <c r="C11" s="16">
        <f>B11+1</f>
        <v>1971</v>
      </c>
      <c r="D11" s="16">
        <f t="shared" ref="D11:E11" si="2">C11+1</f>
        <v>1972</v>
      </c>
      <c r="E11" s="16">
        <f t="shared" si="2"/>
        <v>1973</v>
      </c>
    </row>
    <row r="12" spans="1:5" x14ac:dyDescent="0.2">
      <c r="A12" t="s">
        <v>53</v>
      </c>
      <c r="B12">
        <v>178.4</v>
      </c>
      <c r="C12">
        <v>205.5</v>
      </c>
      <c r="D12">
        <v>224</v>
      </c>
      <c r="E12">
        <v>266.5</v>
      </c>
    </row>
    <row r="14" spans="1:5" x14ac:dyDescent="0.2">
      <c r="A14" t="s">
        <v>64</v>
      </c>
      <c r="B14">
        <f>B12/$B$12*100</f>
        <v>100</v>
      </c>
      <c r="C14">
        <f t="shared" ref="C14:E14" si="3">C12/$B$12*100</f>
        <v>115.19058295964125</v>
      </c>
      <c r="D14">
        <f t="shared" si="3"/>
        <v>125.56053811659191</v>
      </c>
      <c r="E14">
        <f t="shared" si="3"/>
        <v>149.38340807174887</v>
      </c>
    </row>
    <row r="15" spans="1:5" x14ac:dyDescent="0.2">
      <c r="A15" t="s">
        <v>65</v>
      </c>
      <c r="C15">
        <f>C7/C14-1</f>
        <v>-9.9957063117217526E-2</v>
      </c>
      <c r="D15">
        <f t="shared" ref="D15:E15" si="4">D7/D14-1</f>
        <v>-0.1660924369747897</v>
      </c>
      <c r="E15">
        <f t="shared" si="4"/>
        <v>-0.28529742853989626</v>
      </c>
    </row>
    <row r="16" spans="1:5" x14ac:dyDescent="0.2">
      <c r="A16" t="s">
        <v>66</v>
      </c>
      <c r="B16">
        <f>B3/B14*100</f>
        <v>68000</v>
      </c>
      <c r="C16">
        <f t="shared" ref="C16:E16" si="5">C3/C14*100</f>
        <v>61202.9197080292</v>
      </c>
      <c r="D16">
        <f t="shared" si="5"/>
        <v>56705.71428571429</v>
      </c>
      <c r="E16">
        <f t="shared" si="5"/>
        <v>48599.774859287056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F9" sqref="F9"/>
    </sheetView>
  </sheetViews>
  <sheetFormatPr baseColWidth="10" defaultColWidth="8.83203125" defaultRowHeight="15" x14ac:dyDescent="0.2"/>
  <cols>
    <col min="7" max="7" width="11.5" bestFit="1" customWidth="1"/>
  </cols>
  <sheetData>
    <row r="2" spans="1:7" x14ac:dyDescent="0.2">
      <c r="B2" s="32" t="s">
        <v>17</v>
      </c>
      <c r="C2" s="32"/>
      <c r="D2" s="32" t="s">
        <v>20</v>
      </c>
      <c r="E2" s="32"/>
      <c r="G2" s="15" t="s">
        <v>6</v>
      </c>
    </row>
    <row r="3" spans="1:7" x14ac:dyDescent="0.2">
      <c r="A3" s="8"/>
      <c r="B3" s="16" t="s">
        <v>18</v>
      </c>
      <c r="C3" s="16" t="s">
        <v>19</v>
      </c>
      <c r="D3" s="16" t="s">
        <v>21</v>
      </c>
      <c r="E3" s="16" t="s">
        <v>19</v>
      </c>
      <c r="G3" s="17" t="s">
        <v>25</v>
      </c>
    </row>
    <row r="4" spans="1:7" x14ac:dyDescent="0.2">
      <c r="A4" t="s">
        <v>22</v>
      </c>
      <c r="B4">
        <v>10</v>
      </c>
      <c r="C4">
        <v>30</v>
      </c>
      <c r="D4">
        <v>14</v>
      </c>
      <c r="E4">
        <v>25</v>
      </c>
      <c r="G4">
        <f>((E4-C4)/C4)/((D4-B4)/B4)</f>
        <v>-0.41666666666666663</v>
      </c>
    </row>
    <row r="5" spans="1:7" x14ac:dyDescent="0.2">
      <c r="A5" t="s">
        <v>23</v>
      </c>
      <c r="B5">
        <v>20</v>
      </c>
      <c r="C5">
        <v>25</v>
      </c>
      <c r="D5">
        <v>26</v>
      </c>
      <c r="E5">
        <v>25</v>
      </c>
      <c r="G5">
        <f t="shared" ref="G5:G6" si="0">((E5-C5)/C5)/((D5-B5)/B5)</f>
        <v>0</v>
      </c>
    </row>
    <row r="6" spans="1:7" x14ac:dyDescent="0.2">
      <c r="A6" t="s">
        <v>24</v>
      </c>
      <c r="B6">
        <v>50</v>
      </c>
      <c r="C6">
        <v>15</v>
      </c>
      <c r="D6">
        <v>60</v>
      </c>
      <c r="E6">
        <v>30</v>
      </c>
      <c r="G6">
        <f t="shared" si="0"/>
        <v>5</v>
      </c>
    </row>
    <row r="9" spans="1:7" x14ac:dyDescent="0.2">
      <c r="A9" s="1" t="s">
        <v>10</v>
      </c>
      <c r="B9" t="s">
        <v>26</v>
      </c>
      <c r="D9">
        <f>SUMPRODUCT(C4:C6,D4:D6)/SUMPRODUCT(C4:C6,B4:B6)*100</f>
        <v>127.09677419354838</v>
      </c>
    </row>
    <row r="10" spans="1:7" x14ac:dyDescent="0.2">
      <c r="A10" s="1"/>
    </row>
    <row r="12" spans="1:7" x14ac:dyDescent="0.2">
      <c r="A12" s="1" t="s">
        <v>13</v>
      </c>
      <c r="B12" t="s">
        <v>28</v>
      </c>
      <c r="D12">
        <f>SUMPRODUCT(E4:E6,D4:D6)/SUMPRODUCT(C4:C6,B4:B6)*100</f>
        <v>180.64516129032256</v>
      </c>
    </row>
    <row r="14" spans="1:7" x14ac:dyDescent="0.2">
      <c r="A14" s="1"/>
    </row>
  </sheetData>
  <mergeCells count="2">
    <mergeCell ref="B2:C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B16" sqref="B16"/>
    </sheetView>
  </sheetViews>
  <sheetFormatPr baseColWidth="10" defaultColWidth="8.83203125" defaultRowHeight="15" x14ac:dyDescent="0.2"/>
  <sheetData>
    <row r="2" spans="1:12" x14ac:dyDescent="0.2">
      <c r="B2" s="16">
        <v>1990</v>
      </c>
      <c r="C2" s="16">
        <f>B2+1</f>
        <v>1991</v>
      </c>
      <c r="D2" s="16">
        <f t="shared" ref="D2:L2" si="0">C2+1</f>
        <v>1992</v>
      </c>
      <c r="E2" s="16">
        <f t="shared" si="0"/>
        <v>1993</v>
      </c>
      <c r="F2" s="16">
        <f t="shared" si="0"/>
        <v>1994</v>
      </c>
      <c r="G2" s="16">
        <f t="shared" si="0"/>
        <v>1995</v>
      </c>
      <c r="H2" s="16">
        <f t="shared" si="0"/>
        <v>1996</v>
      </c>
      <c r="I2" s="16">
        <f t="shared" si="0"/>
        <v>1997</v>
      </c>
      <c r="J2" s="16">
        <f>I2+1</f>
        <v>1998</v>
      </c>
      <c r="K2" s="16">
        <f t="shared" si="0"/>
        <v>1999</v>
      </c>
      <c r="L2" s="16">
        <f t="shared" si="0"/>
        <v>2000</v>
      </c>
    </row>
    <row r="3" spans="1:12" x14ac:dyDescent="0.2">
      <c r="A3" t="s">
        <v>29</v>
      </c>
      <c r="B3" s="3">
        <v>0.12</v>
      </c>
      <c r="C3" s="3">
        <v>0.13500000000000001</v>
      </c>
      <c r="D3" s="3">
        <v>8.2000000000000003E-2</v>
      </c>
      <c r="E3" s="3">
        <v>0.05</v>
      </c>
      <c r="F3" s="3">
        <v>2.5000000000000001E-2</v>
      </c>
      <c r="G3" s="3">
        <v>0.05</v>
      </c>
      <c r="H3" s="3">
        <v>4.2500000000000003E-2</v>
      </c>
      <c r="I3" s="3">
        <v>0.03</v>
      </c>
      <c r="J3" s="3">
        <v>2.75E-2</v>
      </c>
      <c r="K3" s="3">
        <v>0.03</v>
      </c>
      <c r="L3" s="3">
        <v>2.5000000000000001E-2</v>
      </c>
    </row>
    <row r="4" spans="1:12" x14ac:dyDescent="0.2">
      <c r="A4" t="s">
        <v>30</v>
      </c>
      <c r="B4" s="3">
        <v>0.113</v>
      </c>
      <c r="C4" s="3">
        <v>0.104</v>
      </c>
      <c r="D4" s="3">
        <v>9.4E-2</v>
      </c>
      <c r="E4" s="3">
        <v>7.9000000000000001E-2</v>
      </c>
      <c r="F4" s="3">
        <v>5.3999999999999999E-2</v>
      </c>
      <c r="G4" s="3">
        <v>4.4999999999999998E-2</v>
      </c>
      <c r="H4" s="3">
        <v>0.03</v>
      </c>
      <c r="I4" s="3">
        <v>2.4E-2</v>
      </c>
      <c r="J4" s="3">
        <v>2.8000000000000001E-2</v>
      </c>
      <c r="K4" s="3">
        <v>2.3E-2</v>
      </c>
      <c r="L4" s="3">
        <v>0.03</v>
      </c>
    </row>
    <row r="6" spans="1:12" x14ac:dyDescent="0.2">
      <c r="A6" s="1" t="s">
        <v>6</v>
      </c>
      <c r="B6" s="18">
        <f>(L3-B3)*100</f>
        <v>-9.5</v>
      </c>
      <c r="C6" t="s">
        <v>31</v>
      </c>
      <c r="E6" t="s">
        <v>32</v>
      </c>
    </row>
    <row r="7" spans="1:12" x14ac:dyDescent="0.2">
      <c r="B7" s="3">
        <f>(L3-B3)/B3</f>
        <v>-0.79166666666666674</v>
      </c>
      <c r="E7" t="s">
        <v>33</v>
      </c>
    </row>
    <row r="9" spans="1:12" x14ac:dyDescent="0.2">
      <c r="A9" s="1" t="s">
        <v>10</v>
      </c>
      <c r="B9" s="19">
        <f>(L4-B4)*100/10</f>
        <v>-0.83000000000000007</v>
      </c>
      <c r="C9" t="s">
        <v>31</v>
      </c>
      <c r="E9" t="s">
        <v>32</v>
      </c>
    </row>
    <row r="10" spans="1:12" x14ac:dyDescent="0.2">
      <c r="B10" s="11">
        <f>((L4-B4)/B4+1)^(1/10)-1</f>
        <v>-0.12420133041816861</v>
      </c>
    </row>
    <row r="12" spans="1:12" x14ac:dyDescent="0.2">
      <c r="A12" s="1" t="s">
        <v>13</v>
      </c>
      <c r="B12" t="s">
        <v>34</v>
      </c>
      <c r="E12" s="11">
        <f>((1+C3)*(1+D3)*(1+E3)*(1+F3)*(1+G3))^(1/5)-1</f>
        <v>6.7739027556207976E-2</v>
      </c>
    </row>
    <row r="13" spans="1:12" x14ac:dyDescent="0.2">
      <c r="B13" t="s">
        <v>35</v>
      </c>
      <c r="E13" s="11">
        <f>((1+C4)*(1+D4)*(1+E4)*(1+F4)*(1+G4))^(1/5)-1</f>
        <v>7.4961594326289571E-2</v>
      </c>
    </row>
    <row r="14" spans="1:12" x14ac:dyDescent="0.2">
      <c r="B14" t="s">
        <v>36</v>
      </c>
      <c r="E14" s="11">
        <f>(1+E12)/(1+E13)-1</f>
        <v>-6.718906803929281E-3</v>
      </c>
    </row>
    <row r="16" spans="1:12" x14ac:dyDescent="0.2">
      <c r="A16" s="1" t="s">
        <v>27</v>
      </c>
      <c r="B16" s="11">
        <f>(1+0.05)*(1+E14)^5-1</f>
        <v>1.5196574083076397E-2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1.1640625" bestFit="1" customWidth="1"/>
    <col min="2" max="2" width="10.33203125" customWidth="1"/>
    <col min="11" max="11" width="12.1640625" bestFit="1" customWidth="1"/>
  </cols>
  <sheetData>
    <row r="2" spans="1:15" x14ac:dyDescent="0.2"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L2" s="16">
        <v>2012</v>
      </c>
      <c r="M2" s="16">
        <v>2013</v>
      </c>
      <c r="O2" s="15" t="s">
        <v>13</v>
      </c>
    </row>
    <row r="3" spans="1:15" x14ac:dyDescent="0.2">
      <c r="A3" t="s">
        <v>37</v>
      </c>
      <c r="B3" s="20">
        <v>4.28</v>
      </c>
      <c r="C3" s="20">
        <v>3.02</v>
      </c>
      <c r="D3" s="20">
        <v>4.0979999999999999</v>
      </c>
      <c r="E3" s="20">
        <v>3.923</v>
      </c>
      <c r="F3" s="20">
        <v>3.585</v>
      </c>
      <c r="G3" s="20">
        <v>3.5259999999999998</v>
      </c>
      <c r="H3" s="20">
        <v>3.524</v>
      </c>
      <c r="K3" t="s">
        <v>37</v>
      </c>
      <c r="L3">
        <v>3.6720000000000002</v>
      </c>
      <c r="M3">
        <v>3.7069999999999999</v>
      </c>
      <c r="N3">
        <f>M3/L3</f>
        <v>1.0095315904139432</v>
      </c>
    </row>
    <row r="4" spans="1:15" x14ac:dyDescent="0.2">
      <c r="A4" t="s">
        <v>38</v>
      </c>
      <c r="B4" s="20">
        <v>3.7370000000000001</v>
      </c>
      <c r="C4" s="20">
        <v>3.714</v>
      </c>
      <c r="D4" s="20">
        <v>3.0049999999999999</v>
      </c>
      <c r="E4" s="20">
        <v>3.343</v>
      </c>
      <c r="F4" s="20">
        <v>3.6339999999999999</v>
      </c>
      <c r="G4" s="20">
        <v>3.05</v>
      </c>
      <c r="H4" s="20">
        <v>3.2679999999999998</v>
      </c>
      <c r="K4" t="s">
        <v>49</v>
      </c>
      <c r="L4">
        <v>5114</v>
      </c>
      <c r="M4">
        <v>4339.2258751501686</v>
      </c>
      <c r="O4" s="11">
        <f>M4/L4-1</f>
        <v>-0.15150061103829315</v>
      </c>
    </row>
    <row r="5" spans="1:15" x14ac:dyDescent="0.2">
      <c r="K5" t="s">
        <v>38</v>
      </c>
      <c r="L5">
        <v>3.5059999999999998</v>
      </c>
      <c r="M5">
        <v>3.5259999999999998</v>
      </c>
      <c r="N5">
        <f>M5/L5</f>
        <v>1.0057045065601826</v>
      </c>
    </row>
    <row r="6" spans="1:15" x14ac:dyDescent="0.2">
      <c r="K6" t="s">
        <v>49</v>
      </c>
      <c r="L6">
        <v>5107</v>
      </c>
      <c r="M6">
        <v>4329</v>
      </c>
      <c r="O6" s="11">
        <f>M6/L6-1</f>
        <v>-0.15233992559232423</v>
      </c>
    </row>
    <row r="7" spans="1:15" x14ac:dyDescent="0.2">
      <c r="A7" s="1" t="s">
        <v>6</v>
      </c>
      <c r="N7">
        <f>N3*L4+N5*L6</f>
        <v>10298.877468379758</v>
      </c>
    </row>
    <row r="8" spans="1:15" x14ac:dyDescent="0.2">
      <c r="A8" t="s">
        <v>46</v>
      </c>
      <c r="B8">
        <f>B3/B4</f>
        <v>1.1453037195611453</v>
      </c>
      <c r="C8">
        <f t="shared" ref="C8:H8" si="0">C3/C4</f>
        <v>0.81313947226709749</v>
      </c>
      <c r="D8">
        <f t="shared" si="0"/>
        <v>1.3637271214642264</v>
      </c>
      <c r="E8">
        <f t="shared" si="0"/>
        <v>1.173496859108585</v>
      </c>
      <c r="F8">
        <f t="shared" si="0"/>
        <v>0.98651623555310952</v>
      </c>
      <c r="G8">
        <f t="shared" si="0"/>
        <v>1.1560655737704919</v>
      </c>
      <c r="H8">
        <f t="shared" si="0"/>
        <v>1.0783353733170136</v>
      </c>
      <c r="I8">
        <f>M3/M5</f>
        <v>1.051332955190017</v>
      </c>
      <c r="J8">
        <f>L3/L5</f>
        <v>1.0473474044495152</v>
      </c>
      <c r="N8">
        <f>N7/(L6+L4)</f>
        <v>1.0076193590039877</v>
      </c>
    </row>
    <row r="9" spans="1:15" x14ac:dyDescent="0.2">
      <c r="A9" t="s">
        <v>47</v>
      </c>
      <c r="B9">
        <f>B8/$B$8*100</f>
        <v>100</v>
      </c>
      <c r="C9">
        <f t="shared" ref="C9:H9" si="1">C8/$B$8*100</f>
        <v>70.997715136965965</v>
      </c>
      <c r="D9">
        <f t="shared" si="1"/>
        <v>119.07122086242556</v>
      </c>
      <c r="E9">
        <f t="shared" si="1"/>
        <v>102.46162996469117</v>
      </c>
      <c r="F9">
        <f t="shared" si="1"/>
        <v>86.135775052849766</v>
      </c>
      <c r="G9">
        <f t="shared" si="1"/>
        <v>100.93965068178336</v>
      </c>
      <c r="H9">
        <f t="shared" si="1"/>
        <v>94.152787151534582</v>
      </c>
    </row>
    <row r="11" spans="1:15" x14ac:dyDescent="0.2">
      <c r="A11" s="1" t="s">
        <v>10</v>
      </c>
      <c r="C11">
        <f>(M3*L4+M5*L6)/(L3*L4+L5*L6)*100</f>
        <v>100.7663611272021</v>
      </c>
      <c r="M11" t="s">
        <v>50</v>
      </c>
      <c r="N11">
        <v>100.76649999999999</v>
      </c>
    </row>
    <row r="12" spans="1:15" x14ac:dyDescent="0.2">
      <c r="N12">
        <f>((M3*M4+M5*M6)/(L3*M4+L5*M6))*100</f>
        <v>100.76645576064629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13" sqref="E13"/>
    </sheetView>
  </sheetViews>
  <sheetFormatPr baseColWidth="10" defaultColWidth="8.83203125" defaultRowHeight="15" x14ac:dyDescent="0.2"/>
  <cols>
    <col min="3" max="3" width="11" customWidth="1"/>
    <col min="5" max="5" width="11.83203125" customWidth="1"/>
    <col min="7" max="7" width="12.5" customWidth="1"/>
    <col min="8" max="8" width="12.33203125" customWidth="1"/>
    <col min="10" max="10" width="14.5" customWidth="1"/>
    <col min="11" max="11" width="12.5" customWidth="1"/>
    <col min="12" max="12" width="11.83203125" customWidth="1"/>
  </cols>
  <sheetData>
    <row r="1" spans="1:12" x14ac:dyDescent="0.2">
      <c r="G1" s="15" t="s">
        <v>6</v>
      </c>
      <c r="J1" s="1" t="s">
        <v>13</v>
      </c>
    </row>
    <row r="2" spans="1:12" ht="30" x14ac:dyDescent="0.2">
      <c r="B2" s="23" t="s">
        <v>67</v>
      </c>
      <c r="C2" s="23" t="s">
        <v>69</v>
      </c>
      <c r="D2" s="23" t="s">
        <v>68</v>
      </c>
      <c r="E2" s="23" t="s">
        <v>72</v>
      </c>
      <c r="G2" s="24" t="s">
        <v>71</v>
      </c>
      <c r="H2" s="24" t="s">
        <v>70</v>
      </c>
      <c r="J2" s="24" t="s">
        <v>75</v>
      </c>
      <c r="K2" s="24" t="s">
        <v>76</v>
      </c>
      <c r="L2" s="24" t="s">
        <v>77</v>
      </c>
    </row>
    <row r="3" spans="1:12" x14ac:dyDescent="0.2">
      <c r="A3">
        <v>1998</v>
      </c>
      <c r="B3">
        <v>5.8500000000000003E-2</v>
      </c>
      <c r="C3">
        <v>7084</v>
      </c>
      <c r="D3">
        <v>78.88</v>
      </c>
      <c r="E3">
        <v>524735</v>
      </c>
      <c r="G3" s="21">
        <f t="shared" ref="G3:G9" si="0">D3/$D$10*100</f>
        <v>53.616095704187053</v>
      </c>
      <c r="H3">
        <f>C3/G3*100</f>
        <v>13212.450304259635</v>
      </c>
      <c r="J3">
        <f>C3*B3*1000</f>
        <v>414414.00000000006</v>
      </c>
      <c r="K3">
        <f>J3/E3*100</f>
        <v>78.975864007546676</v>
      </c>
      <c r="L3">
        <f>K3/$K$3*100</f>
        <v>100</v>
      </c>
    </row>
    <row r="4" spans="1:12" x14ac:dyDescent="0.2">
      <c r="A4">
        <f>A3+1</f>
        <v>1999</v>
      </c>
      <c r="B4">
        <v>6.25E-2</v>
      </c>
      <c r="C4">
        <v>8372</v>
      </c>
      <c r="D4">
        <v>88.67</v>
      </c>
      <c r="E4">
        <v>578218</v>
      </c>
      <c r="G4" s="21">
        <f t="shared" si="0"/>
        <v>60.270527460576396</v>
      </c>
      <c r="H4">
        <f t="shared" ref="H4:H10" si="1">C4/G4*100</f>
        <v>13890.703056276081</v>
      </c>
      <c r="J4">
        <f t="shared" ref="J4:J10" si="2">C4*B4*1000</f>
        <v>523250</v>
      </c>
      <c r="K4">
        <f t="shared" ref="K4:K10" si="3">J4/E4*100</f>
        <v>90.493550875275417</v>
      </c>
      <c r="L4">
        <f t="shared" ref="L4:L10" si="4">K4/$K$3*100</f>
        <v>114.58380609375563</v>
      </c>
    </row>
    <row r="5" spans="1:12" x14ac:dyDescent="0.2">
      <c r="A5">
        <f t="shared" ref="A5:A10" si="5">A4+1</f>
        <v>2000</v>
      </c>
      <c r="B5">
        <v>6.3799999999999996E-2</v>
      </c>
      <c r="C5">
        <v>9855</v>
      </c>
      <c r="D5">
        <v>100</v>
      </c>
      <c r="E5">
        <v>628749</v>
      </c>
      <c r="G5" s="21">
        <f t="shared" si="0"/>
        <v>67.971723762914621</v>
      </c>
      <c r="H5">
        <f t="shared" si="1"/>
        <v>14498.675999999999</v>
      </c>
      <c r="J5">
        <f t="shared" si="2"/>
        <v>628748.99999999988</v>
      </c>
      <c r="K5">
        <f t="shared" si="3"/>
        <v>99.999999999999972</v>
      </c>
      <c r="L5">
        <f t="shared" si="4"/>
        <v>126.62096357748527</v>
      </c>
    </row>
    <row r="6" spans="1:12" x14ac:dyDescent="0.2">
      <c r="A6">
        <f t="shared" si="5"/>
        <v>2001</v>
      </c>
      <c r="B6">
        <v>5.2499999999999998E-2</v>
      </c>
      <c r="C6">
        <v>11315</v>
      </c>
      <c r="D6">
        <v>112.19</v>
      </c>
      <c r="E6">
        <v>603679</v>
      </c>
      <c r="G6" s="21">
        <f t="shared" si="0"/>
        <v>76.257476889613912</v>
      </c>
      <c r="H6">
        <f t="shared" si="1"/>
        <v>14837.889294946075</v>
      </c>
      <c r="J6">
        <f t="shared" si="2"/>
        <v>594037.5</v>
      </c>
      <c r="K6">
        <f t="shared" si="3"/>
        <v>98.402876363100262</v>
      </c>
      <c r="L6">
        <f t="shared" si="4"/>
        <v>124.59867023891908</v>
      </c>
    </row>
    <row r="7" spans="1:12" x14ac:dyDescent="0.2">
      <c r="A7">
        <f t="shared" si="5"/>
        <v>2002</v>
      </c>
      <c r="B7">
        <v>4.2799999999999998E-2</v>
      </c>
      <c r="C7">
        <v>12759</v>
      </c>
      <c r="D7">
        <v>123.4</v>
      </c>
      <c r="E7">
        <v>636317</v>
      </c>
      <c r="G7" s="21">
        <f t="shared" si="0"/>
        <v>83.877107123436659</v>
      </c>
      <c r="H7">
        <f t="shared" si="1"/>
        <v>15211.540356564017</v>
      </c>
      <c r="J7">
        <f t="shared" si="2"/>
        <v>546085.19999999995</v>
      </c>
      <c r="K7">
        <f t="shared" si="3"/>
        <v>85.819677927825282</v>
      </c>
      <c r="L7">
        <f t="shared" si="4"/>
        <v>108.66570313130683</v>
      </c>
    </row>
    <row r="8" spans="1:12" x14ac:dyDescent="0.2">
      <c r="A8">
        <f t="shared" si="5"/>
        <v>2003</v>
      </c>
      <c r="B8">
        <v>3.7499999999999999E-2</v>
      </c>
      <c r="C8">
        <v>13463</v>
      </c>
      <c r="D8">
        <v>131.66999999999999</v>
      </c>
      <c r="E8">
        <v>583954</v>
      </c>
      <c r="G8" s="21">
        <f t="shared" si="0"/>
        <v>89.498368678629674</v>
      </c>
      <c r="H8">
        <f t="shared" si="1"/>
        <v>15042.732285258604</v>
      </c>
      <c r="J8">
        <f t="shared" si="2"/>
        <v>504862.49999999994</v>
      </c>
      <c r="K8">
        <f t="shared" si="3"/>
        <v>86.455868099199591</v>
      </c>
      <c r="L8">
        <f t="shared" si="4"/>
        <v>109.47125325648625</v>
      </c>
    </row>
    <row r="9" spans="1:12" x14ac:dyDescent="0.2">
      <c r="A9">
        <f t="shared" si="5"/>
        <v>2004</v>
      </c>
      <c r="B9">
        <v>3.9600000000000003E-2</v>
      </c>
      <c r="C9">
        <v>14629</v>
      </c>
      <c r="D9">
        <v>139.94</v>
      </c>
      <c r="E9">
        <v>613777</v>
      </c>
      <c r="G9" s="21">
        <f t="shared" si="0"/>
        <v>95.119630233822733</v>
      </c>
      <c r="H9">
        <f t="shared" si="1"/>
        <v>15379.580391596397</v>
      </c>
      <c r="J9">
        <f t="shared" si="2"/>
        <v>579308.4</v>
      </c>
      <c r="K9">
        <f t="shared" si="3"/>
        <v>94.384181877131283</v>
      </c>
      <c r="L9">
        <f t="shared" si="4"/>
        <v>119.51016055754988</v>
      </c>
    </row>
    <row r="10" spans="1:12" x14ac:dyDescent="0.2">
      <c r="A10">
        <f t="shared" si="5"/>
        <v>2005</v>
      </c>
      <c r="B10">
        <v>3.9300000000000002E-2</v>
      </c>
      <c r="C10">
        <v>15818</v>
      </c>
      <c r="D10">
        <v>147.12</v>
      </c>
      <c r="E10">
        <v>617023</v>
      </c>
      <c r="G10" s="21">
        <f>D10/$D$10*100</f>
        <v>100</v>
      </c>
      <c r="H10">
        <f t="shared" si="1"/>
        <v>15818</v>
      </c>
      <c r="J10">
        <f t="shared" si="2"/>
        <v>621647.4</v>
      </c>
      <c r="K10">
        <f t="shared" si="3"/>
        <v>100.74946963079172</v>
      </c>
      <c r="L10">
        <f t="shared" si="4"/>
        <v>127.56994924571441</v>
      </c>
    </row>
    <row r="12" spans="1:12" x14ac:dyDescent="0.2">
      <c r="A12" s="1" t="s">
        <v>10</v>
      </c>
      <c r="B12" s="11">
        <f>(B10/B3)^(1/7)-1</f>
        <v>-5.5244288037030742E-2</v>
      </c>
      <c r="C12" s="11">
        <f>(C10/C3)^(1/7)-1</f>
        <v>0.12160258786895395</v>
      </c>
      <c r="E12" s="11">
        <f>(E10/E3)^(1/7)-1</f>
        <v>2.3414620891644367E-2</v>
      </c>
      <c r="F12" t="s">
        <v>73</v>
      </c>
      <c r="J12" s="11">
        <f>(J10/J3)^(1/7)-1</f>
        <v>5.9640451441642428E-2</v>
      </c>
    </row>
    <row r="13" spans="1:12" x14ac:dyDescent="0.2">
      <c r="A13" s="1"/>
      <c r="E13" s="11">
        <f>(1+B12)*(1+C12)-1</f>
        <v>5.9640451441642428E-2</v>
      </c>
      <c r="F13" t="s">
        <v>74</v>
      </c>
    </row>
    <row r="15" spans="1:12" x14ac:dyDescent="0.2">
      <c r="A15" s="1" t="s">
        <v>27</v>
      </c>
      <c r="B15">
        <f>(J10/J3-1)/(C10/C3-1)</f>
        <v>0.40559323128592645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7" workbookViewId="0">
      <selection activeCell="F30" sqref="F30"/>
    </sheetView>
  </sheetViews>
  <sheetFormatPr baseColWidth="10" defaultColWidth="8.83203125" defaultRowHeight="15" x14ac:dyDescent="0.2"/>
  <cols>
    <col min="2" max="2" width="12.5" customWidth="1"/>
    <col min="6" max="6" width="12" customWidth="1"/>
    <col min="7" max="7" width="11.5" customWidth="1"/>
  </cols>
  <sheetData>
    <row r="1" spans="1:14" x14ac:dyDescent="0.2">
      <c r="E1" s="1" t="s">
        <v>6</v>
      </c>
    </row>
    <row r="2" spans="1:14" ht="30" x14ac:dyDescent="0.2">
      <c r="B2" s="23" t="s">
        <v>80</v>
      </c>
      <c r="C2" s="23" t="s">
        <v>81</v>
      </c>
      <c r="E2" t="s">
        <v>82</v>
      </c>
      <c r="F2" t="s">
        <v>83</v>
      </c>
      <c r="G2" t="s">
        <v>84</v>
      </c>
    </row>
    <row r="3" spans="1:14" x14ac:dyDescent="0.2">
      <c r="A3" t="s">
        <v>56</v>
      </c>
      <c r="B3">
        <v>2600</v>
      </c>
      <c r="C3">
        <v>9581</v>
      </c>
      <c r="E3">
        <f>B3/C3</f>
        <v>0.27137042062415195</v>
      </c>
      <c r="F3">
        <f t="shared" ref="F3:F5" si="0">E3/$E$6*100</f>
        <v>137.61676919571656</v>
      </c>
      <c r="G3">
        <f t="shared" ref="G3:G5" si="1">B3/$B$6*100</f>
        <v>65.162907268170429</v>
      </c>
    </row>
    <row r="4" spans="1:14" x14ac:dyDescent="0.2">
      <c r="A4" t="s">
        <v>52</v>
      </c>
      <c r="B4">
        <v>3010</v>
      </c>
      <c r="C4">
        <v>13203</v>
      </c>
      <c r="E4">
        <f t="shared" ref="E4:E6" si="2">B4/C4</f>
        <v>0.22797848973718093</v>
      </c>
      <c r="F4">
        <f t="shared" si="0"/>
        <v>115.61194890581751</v>
      </c>
      <c r="G4">
        <f t="shared" si="1"/>
        <v>75.438596491228068</v>
      </c>
    </row>
    <row r="5" spans="1:14" x14ac:dyDescent="0.2">
      <c r="A5" t="s">
        <v>78</v>
      </c>
      <c r="B5">
        <v>2280</v>
      </c>
      <c r="C5">
        <v>10268</v>
      </c>
      <c r="E5">
        <f t="shared" si="2"/>
        <v>0.22204908453447605</v>
      </c>
      <c r="F5">
        <f t="shared" si="0"/>
        <v>112.60504201680672</v>
      </c>
      <c r="G5">
        <f t="shared" si="1"/>
        <v>57.142857142857139</v>
      </c>
    </row>
    <row r="6" spans="1:14" x14ac:dyDescent="0.2">
      <c r="A6" t="s">
        <v>79</v>
      </c>
      <c r="B6">
        <v>3990</v>
      </c>
      <c r="C6">
        <v>20234</v>
      </c>
      <c r="E6">
        <f t="shared" si="2"/>
        <v>0.19719284372837798</v>
      </c>
      <c r="F6">
        <f>E6/$E$6*100</f>
        <v>100</v>
      </c>
      <c r="G6">
        <f>B6/$B$6*100</f>
        <v>100</v>
      </c>
    </row>
    <row r="9" spans="1:14" x14ac:dyDescent="0.2">
      <c r="A9" s="1" t="s">
        <v>10</v>
      </c>
      <c r="B9" t="s">
        <v>85</v>
      </c>
      <c r="C9" s="3">
        <v>5.5E-2</v>
      </c>
    </row>
    <row r="10" spans="1:14" x14ac:dyDescent="0.2">
      <c r="B10" t="s">
        <v>86</v>
      </c>
      <c r="C10" s="3">
        <v>2E-3</v>
      </c>
    </row>
    <row r="12" spans="1:14" x14ac:dyDescent="0.2">
      <c r="B12">
        <v>1998</v>
      </c>
      <c r="C12">
        <f>B12+1</f>
        <v>1999</v>
      </c>
      <c r="D12">
        <f t="shared" ref="D12:N12" si="3">C12+1</f>
        <v>2000</v>
      </c>
      <c r="E12">
        <f t="shared" si="3"/>
        <v>2001</v>
      </c>
      <c r="F12">
        <f t="shared" si="3"/>
        <v>2002</v>
      </c>
      <c r="G12">
        <f t="shared" si="3"/>
        <v>2003</v>
      </c>
      <c r="H12">
        <f t="shared" si="3"/>
        <v>2004</v>
      </c>
      <c r="I12">
        <f t="shared" si="3"/>
        <v>2005</v>
      </c>
      <c r="J12">
        <f t="shared" si="3"/>
        <v>2006</v>
      </c>
      <c r="K12">
        <f t="shared" si="3"/>
        <v>2007</v>
      </c>
      <c r="L12">
        <f t="shared" si="3"/>
        <v>2008</v>
      </c>
      <c r="M12">
        <f t="shared" si="3"/>
        <v>2009</v>
      </c>
      <c r="N12">
        <f t="shared" si="3"/>
        <v>2010</v>
      </c>
    </row>
    <row r="13" spans="1:14" x14ac:dyDescent="0.2">
      <c r="B13">
        <v>2600</v>
      </c>
      <c r="C13">
        <f>B13*(1+$C$9)/(1+$C$10)</f>
        <v>2737.5249500998002</v>
      </c>
      <c r="D13">
        <f>C13*(1+$C$9)/(1+$C$10)</f>
        <v>2882.3241740072749</v>
      </c>
      <c r="E13">
        <f t="shared" ref="E13:I13" si="4">D13*(1+$C$9)/(1+$C$10)</f>
        <v>3034.7824387002743</v>
      </c>
      <c r="F13">
        <f t="shared" si="4"/>
        <v>3195.304863102584</v>
      </c>
      <c r="G13">
        <f t="shared" si="4"/>
        <v>3364.3179945840579</v>
      </c>
      <c r="H13">
        <f t="shared" si="4"/>
        <v>3542.2709424013783</v>
      </c>
      <c r="I13">
        <f t="shared" si="4"/>
        <v>3729.6365710912714</v>
      </c>
      <c r="J13">
        <f>I13*(1+$C$9)/(1+$C$10)</f>
        <v>3926.9127569873162</v>
      </c>
      <c r="K13">
        <f>J13*(1+$C$9)/(1+$C$10)</f>
        <v>4134.6237111992195</v>
      </c>
      <c r="L13">
        <f t="shared" ref="L13:N13" si="5">K13*(1+$C$9)/(1+$C$10)</f>
        <v>4353.3213725700361</v>
      </c>
      <c r="M13">
        <f t="shared" si="5"/>
        <v>4583.5868743127621</v>
      </c>
      <c r="N13">
        <f t="shared" si="5"/>
        <v>4826.0320882235164</v>
      </c>
    </row>
    <row r="15" spans="1:14" x14ac:dyDescent="0.2">
      <c r="A15" t="s">
        <v>87</v>
      </c>
      <c r="B15">
        <f>LN(B6/B13)/LN((1+C9)/(1+C10))</f>
        <v>8.309212592274454</v>
      </c>
    </row>
    <row r="16" spans="1:14" x14ac:dyDescent="0.2">
      <c r="B16">
        <f>B12+B15</f>
        <v>2006.3092125922744</v>
      </c>
    </row>
    <row r="18" spans="1:7" x14ac:dyDescent="0.2">
      <c r="A18" s="1" t="s">
        <v>13</v>
      </c>
      <c r="C18" s="16">
        <v>1996</v>
      </c>
      <c r="D18" s="16">
        <f>C18+1</f>
        <v>1997</v>
      </c>
      <c r="E18" s="16">
        <f t="shared" ref="E18:G18" si="6">D18+1</f>
        <v>1998</v>
      </c>
      <c r="F18" s="16">
        <f t="shared" si="6"/>
        <v>1999</v>
      </c>
      <c r="G18" s="16">
        <f t="shared" si="6"/>
        <v>2000</v>
      </c>
    </row>
    <row r="19" spans="1:7" x14ac:dyDescent="0.2">
      <c r="B19" t="s">
        <v>59</v>
      </c>
      <c r="C19" s="3">
        <v>3.7999999999999999E-2</v>
      </c>
      <c r="D19" s="3">
        <v>3.9E-2</v>
      </c>
      <c r="E19" s="3">
        <v>4.4999999999999998E-2</v>
      </c>
      <c r="F19" s="3">
        <v>3.4000000000000002E-2</v>
      </c>
      <c r="G19" s="3">
        <v>3.4000000000000002E-2</v>
      </c>
    </row>
    <row r="20" spans="1:7" x14ac:dyDescent="0.2">
      <c r="B20" t="s">
        <v>88</v>
      </c>
      <c r="C20" s="3">
        <v>3.5000000000000003E-2</v>
      </c>
      <c r="D20" s="3">
        <v>0.03</v>
      </c>
      <c r="E20" s="3">
        <v>2.8000000000000001E-2</v>
      </c>
      <c r="F20" s="3">
        <v>2.7E-2</v>
      </c>
      <c r="G20" s="3">
        <v>2.7E-2</v>
      </c>
    </row>
    <row r="22" spans="1:7" x14ac:dyDescent="0.2">
      <c r="A22" s="1" t="s">
        <v>91</v>
      </c>
      <c r="B22" t="s">
        <v>89</v>
      </c>
      <c r="C22" s="11">
        <f>(1+D19)*(1+E19)*(1+F19)*(1+G19)-1</f>
        <v>0.16084147277999983</v>
      </c>
    </row>
    <row r="23" spans="1:7" x14ac:dyDescent="0.2">
      <c r="B23" t="s">
        <v>90</v>
      </c>
      <c r="C23" s="11">
        <f>(1+D19)*(1+D20)*(1+E19)*(1+E20)*(1+F19)*(1+F20)*(1+G19)*(1+G20)-1</f>
        <v>0.29641528281614016</v>
      </c>
    </row>
    <row r="25" spans="1:7" x14ac:dyDescent="0.2">
      <c r="A25" s="1" t="s">
        <v>92</v>
      </c>
      <c r="B25" t="s">
        <v>93</v>
      </c>
      <c r="C25" s="11">
        <f>(1+C22)^(1/4)-1</f>
        <v>3.7990141831650837E-2</v>
      </c>
    </row>
    <row r="27" spans="1:7" x14ac:dyDescent="0.2">
      <c r="B27" t="s">
        <v>94</v>
      </c>
      <c r="C27" s="11">
        <f>(1+C25)/(1+C10)-1</f>
        <v>3.5918305221208424E-2</v>
      </c>
      <c r="D27" s="11">
        <f>(1+C27)^4-1</f>
        <v>0.15160098957003276</v>
      </c>
    </row>
    <row r="29" spans="1:7" x14ac:dyDescent="0.2">
      <c r="C29" s="16">
        <v>1998</v>
      </c>
      <c r="D29" s="16">
        <v>2000</v>
      </c>
      <c r="E29" s="16">
        <v>1996</v>
      </c>
    </row>
    <row r="30" spans="1:7" x14ac:dyDescent="0.2">
      <c r="B30" t="s">
        <v>81</v>
      </c>
      <c r="C30">
        <f>C3</f>
        <v>9581</v>
      </c>
      <c r="D30">
        <f>C30*(1+F19)*(1+G19)</f>
        <v>10243.583636000001</v>
      </c>
      <c r="E30">
        <f>D30/(1+D27)</f>
        <v>8895.0806127950564</v>
      </c>
      <c r="F30">
        <f>D30-E30</f>
        <v>1348.5030232049448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1" sqref="N11"/>
    </sheetView>
  </sheetViews>
  <sheetFormatPr baseColWidth="10" defaultColWidth="8.83203125" defaultRowHeight="15" x14ac:dyDescent="0.2"/>
  <cols>
    <col min="1" max="1" width="11.6640625" customWidth="1"/>
    <col min="5" max="5" width="13.5" customWidth="1"/>
    <col min="6" max="6" width="12.33203125" customWidth="1"/>
    <col min="9" max="9" width="10.5" customWidth="1"/>
    <col min="13" max="13" width="11.1640625" customWidth="1"/>
    <col min="14" max="14" width="12.1640625" customWidth="1"/>
  </cols>
  <sheetData>
    <row r="1" spans="1:14" x14ac:dyDescent="0.2">
      <c r="I1" s="1" t="s">
        <v>13</v>
      </c>
      <c r="L1" s="1" t="s">
        <v>27</v>
      </c>
    </row>
    <row r="3" spans="1:14" ht="60" x14ac:dyDescent="0.2">
      <c r="B3" s="23" t="s">
        <v>148</v>
      </c>
      <c r="C3" s="23" t="s">
        <v>159</v>
      </c>
      <c r="D3" s="23" t="s">
        <v>160</v>
      </c>
      <c r="E3" s="23" t="s">
        <v>161</v>
      </c>
      <c r="F3" s="23" t="s">
        <v>162</v>
      </c>
      <c r="G3" s="24" t="s">
        <v>163</v>
      </c>
      <c r="I3" s="23" t="s">
        <v>164</v>
      </c>
      <c r="J3" s="23" t="s">
        <v>159</v>
      </c>
      <c r="L3" s="23" t="s">
        <v>165</v>
      </c>
      <c r="M3" s="23" t="s">
        <v>166</v>
      </c>
      <c r="N3" s="23" t="s">
        <v>167</v>
      </c>
    </row>
    <row r="4" spans="1:14" x14ac:dyDescent="0.2">
      <c r="A4">
        <v>1996</v>
      </c>
      <c r="B4" s="30">
        <f>C4/100*B9</f>
        <v>130.02000000000001</v>
      </c>
      <c r="C4">
        <v>23.64</v>
      </c>
      <c r="D4">
        <v>100</v>
      </c>
      <c r="G4">
        <v>2.4500000000000001E-2</v>
      </c>
      <c r="L4">
        <f>D4/$D$5*100</f>
        <v>80</v>
      </c>
      <c r="M4">
        <f>B4/(L4/100)</f>
        <v>162.52500000000001</v>
      </c>
      <c r="N4">
        <f>M4/G4</f>
        <v>6633.6734693877552</v>
      </c>
    </row>
    <row r="5" spans="1:14" x14ac:dyDescent="0.2">
      <c r="A5">
        <f>A4+1</f>
        <v>1997</v>
      </c>
      <c r="B5">
        <v>200</v>
      </c>
      <c r="C5">
        <v>36.36</v>
      </c>
      <c r="D5">
        <v>125</v>
      </c>
      <c r="E5">
        <v>0.1111</v>
      </c>
      <c r="F5">
        <v>4.8452000000000002</v>
      </c>
      <c r="G5">
        <v>3.4599999999999999E-2</v>
      </c>
      <c r="I5">
        <f>B5/(D5/100)</f>
        <v>160</v>
      </c>
      <c r="J5">
        <f>I5/$I$5*100</f>
        <v>100</v>
      </c>
      <c r="L5">
        <f>D5/$D$5*100</f>
        <v>100</v>
      </c>
      <c r="M5">
        <f>B5/(L5/100)</f>
        <v>200</v>
      </c>
    </row>
    <row r="6" spans="1:14" x14ac:dyDescent="0.2">
      <c r="A6">
        <f t="shared" ref="A6:A9" si="0">A5+1</f>
        <v>1998</v>
      </c>
      <c r="B6">
        <v>350</v>
      </c>
      <c r="C6">
        <v>63.64</v>
      </c>
      <c r="D6">
        <v>133</v>
      </c>
      <c r="E6">
        <v>9.1899999999999996E-2</v>
      </c>
      <c r="F6">
        <v>8.1639999999999997</v>
      </c>
      <c r="G6">
        <v>5.5500000000000001E-2</v>
      </c>
      <c r="I6">
        <f t="shared" ref="I6:I7" si="1">B6/(D6/100)</f>
        <v>263.15789473684208</v>
      </c>
      <c r="J6">
        <f t="shared" ref="J6:J9" si="2">I6/$I$5*100</f>
        <v>164.4736842105263</v>
      </c>
      <c r="L6">
        <f t="shared" ref="L6:L9" si="3">D6/$D$5*100</f>
        <v>106.4</v>
      </c>
      <c r="M6">
        <f t="shared" ref="M6:M9" si="4">B6/(L6/100)</f>
        <v>328.9473684210526</v>
      </c>
    </row>
    <row r="7" spans="1:14" x14ac:dyDescent="0.2">
      <c r="A7">
        <f t="shared" si="0"/>
        <v>1999</v>
      </c>
      <c r="B7">
        <v>420</v>
      </c>
      <c r="C7">
        <v>76.36</v>
      </c>
      <c r="D7">
        <v>145</v>
      </c>
      <c r="E7">
        <v>0.15579999999999999</v>
      </c>
      <c r="F7">
        <v>1.2834000000000001</v>
      </c>
      <c r="G7">
        <v>5.7599999999999998E-2</v>
      </c>
      <c r="I7">
        <f t="shared" si="1"/>
        <v>289.65517241379314</v>
      </c>
      <c r="J7">
        <f t="shared" si="2"/>
        <v>181.0344827586207</v>
      </c>
      <c r="L7">
        <f t="shared" si="3"/>
        <v>115.99999999999999</v>
      </c>
      <c r="M7">
        <f t="shared" si="4"/>
        <v>362.06896551724139</v>
      </c>
    </row>
    <row r="8" spans="1:14" x14ac:dyDescent="0.2">
      <c r="A8">
        <f t="shared" si="0"/>
        <v>2000</v>
      </c>
      <c r="B8" s="30">
        <f>C8/100*B9</f>
        <v>529.98</v>
      </c>
      <c r="C8">
        <v>96.36</v>
      </c>
      <c r="D8">
        <v>160</v>
      </c>
      <c r="E8">
        <v>0.1196</v>
      </c>
      <c r="F8">
        <v>2.1894999999999998</v>
      </c>
      <c r="G8">
        <v>6.5000000000000002E-2</v>
      </c>
      <c r="L8">
        <f t="shared" si="3"/>
        <v>128</v>
      </c>
    </row>
    <row r="9" spans="1:14" x14ac:dyDescent="0.2">
      <c r="A9">
        <f t="shared" si="0"/>
        <v>2001</v>
      </c>
      <c r="B9">
        <v>550</v>
      </c>
      <c r="C9">
        <v>100</v>
      </c>
      <c r="D9">
        <v>165</v>
      </c>
      <c r="E9">
        <v>0.14169999999999999</v>
      </c>
      <c r="F9">
        <v>0.26629999999999998</v>
      </c>
      <c r="G9">
        <v>6.9999999999999999E-4</v>
      </c>
      <c r="I9">
        <f>B9/(D9/100)</f>
        <v>333.33333333333337</v>
      </c>
      <c r="J9">
        <f t="shared" si="2"/>
        <v>208.33333333333334</v>
      </c>
      <c r="L9">
        <f t="shared" si="3"/>
        <v>132</v>
      </c>
      <c r="M9">
        <f t="shared" si="4"/>
        <v>416.66666666666663</v>
      </c>
      <c r="N9">
        <f>M9/G9</f>
        <v>595238.09523809515</v>
      </c>
    </row>
    <row r="11" spans="1:14" x14ac:dyDescent="0.2">
      <c r="N11" s="1">
        <f>(N9-N4)/5</f>
        <v>117720.88435374147</v>
      </c>
    </row>
    <row r="12" spans="1:14" x14ac:dyDescent="0.2">
      <c r="A12" s="1" t="s">
        <v>6</v>
      </c>
    </row>
    <row r="13" spans="1:14" x14ac:dyDescent="0.2">
      <c r="A13" t="s">
        <v>57</v>
      </c>
      <c r="B13">
        <f>B9*C8/100</f>
        <v>529.98</v>
      </c>
      <c r="E13" s="11">
        <f>((1+E6)*(1+E7)*(1+E8))^(1/3)-1</f>
        <v>0.12212907493492886</v>
      </c>
    </row>
    <row r="14" spans="1:14" x14ac:dyDescent="0.2">
      <c r="B14" s="11">
        <f>(B13/B5)^(1/3)-1</f>
        <v>0.38381009679023714</v>
      </c>
    </row>
    <row r="15" spans="1:14" x14ac:dyDescent="0.2">
      <c r="B15">
        <f>(B13-B5)/3</f>
        <v>109.99333333333334</v>
      </c>
    </row>
    <row r="17" spans="1:2" x14ac:dyDescent="0.2">
      <c r="A17" s="1" t="s">
        <v>10</v>
      </c>
    </row>
    <row r="18" spans="1:2" x14ac:dyDescent="0.2">
      <c r="A18" t="s">
        <v>25</v>
      </c>
      <c r="B18">
        <f>((B7-B5)/B5)/((1+E6)*(1+E7)-1)</f>
        <v>4.1981845370787862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2.33203125" customWidth="1"/>
    <col min="3" max="3" width="11.83203125" customWidth="1"/>
    <col min="4" max="4" width="11.33203125" customWidth="1"/>
    <col min="9" max="9" width="12" bestFit="1" customWidth="1"/>
  </cols>
  <sheetData>
    <row r="1" spans="1:9" x14ac:dyDescent="0.2">
      <c r="F1" s="1" t="s">
        <v>10</v>
      </c>
      <c r="H1" s="1" t="s">
        <v>13</v>
      </c>
    </row>
    <row r="2" spans="1:9" ht="60" x14ac:dyDescent="0.2">
      <c r="B2" s="23" t="s">
        <v>148</v>
      </c>
      <c r="C2" s="23" t="s">
        <v>150</v>
      </c>
      <c r="D2" s="23" t="s">
        <v>151</v>
      </c>
      <c r="F2" s="24" t="s">
        <v>155</v>
      </c>
      <c r="H2" s="24" t="s">
        <v>156</v>
      </c>
      <c r="I2" s="24" t="s">
        <v>157</v>
      </c>
    </row>
    <row r="3" spans="1:9" x14ac:dyDescent="0.2">
      <c r="A3">
        <v>1996</v>
      </c>
      <c r="B3">
        <v>101.5</v>
      </c>
      <c r="C3">
        <v>93.88</v>
      </c>
      <c r="D3">
        <v>210500</v>
      </c>
      <c r="F3">
        <f t="shared" ref="F3:F4" si="0">(C3/$C$3)/(D3/$D$3)*100</f>
        <v>100</v>
      </c>
      <c r="H3">
        <f>D3*F3/100</f>
        <v>210500</v>
      </c>
      <c r="I3">
        <f>(B3/(H3/1000))/($B$3/($H$3/1000))*100</f>
        <v>100</v>
      </c>
    </row>
    <row r="4" spans="1:9" x14ac:dyDescent="0.2">
      <c r="A4">
        <f>A3+1</f>
        <v>1997</v>
      </c>
      <c r="B4">
        <v>106.9</v>
      </c>
      <c r="C4">
        <v>95.32</v>
      </c>
      <c r="D4">
        <v>208514</v>
      </c>
      <c r="F4">
        <f t="shared" si="0"/>
        <v>102.50093649677497</v>
      </c>
      <c r="H4">
        <f t="shared" ref="H4:H5" si="1">D4*F4/100</f>
        <v>213728.80272688533</v>
      </c>
      <c r="I4">
        <f t="shared" ref="I4:I5" si="2">(B4/(H4/1000))/($B$3/($H$3/1000))*100</f>
        <v>103.72912398785323</v>
      </c>
    </row>
    <row r="5" spans="1:9" x14ac:dyDescent="0.2">
      <c r="A5">
        <f t="shared" ref="A5:A8" si="3">A4+1</f>
        <v>1998</v>
      </c>
      <c r="B5">
        <v>112.29</v>
      </c>
      <c r="C5">
        <v>100</v>
      </c>
      <c r="D5">
        <v>211356</v>
      </c>
      <c r="F5">
        <f>(C5/$C$3)/(D5/$D$3)*100</f>
        <v>106.0875544528014</v>
      </c>
      <c r="H5">
        <f t="shared" si="1"/>
        <v>224222.41158926292</v>
      </c>
      <c r="I5">
        <f t="shared" si="2"/>
        <v>103.85995270935962</v>
      </c>
    </row>
    <row r="6" spans="1:9" x14ac:dyDescent="0.2">
      <c r="A6">
        <f t="shared" si="3"/>
        <v>1999</v>
      </c>
      <c r="B6">
        <v>113.6</v>
      </c>
      <c r="C6">
        <v>102.01</v>
      </c>
      <c r="D6">
        <v>210338</v>
      </c>
    </row>
    <row r="7" spans="1:9" x14ac:dyDescent="0.2">
      <c r="A7">
        <f t="shared" si="3"/>
        <v>2000</v>
      </c>
      <c r="B7">
        <v>118.7</v>
      </c>
      <c r="C7">
        <v>105.88</v>
      </c>
      <c r="D7">
        <v>211964</v>
      </c>
    </row>
    <row r="8" spans="1:9" x14ac:dyDescent="0.2">
      <c r="A8">
        <f t="shared" si="3"/>
        <v>2001</v>
      </c>
      <c r="B8" t="s">
        <v>149</v>
      </c>
      <c r="C8">
        <v>110.19</v>
      </c>
      <c r="D8">
        <v>216269</v>
      </c>
    </row>
    <row r="11" spans="1:9" x14ac:dyDescent="0.2">
      <c r="A11" s="1" t="s">
        <v>6</v>
      </c>
      <c r="E11" s="1" t="s">
        <v>27</v>
      </c>
    </row>
    <row r="12" spans="1:9" x14ac:dyDescent="0.2">
      <c r="A12" t="s">
        <v>152</v>
      </c>
      <c r="E12" t="s">
        <v>158</v>
      </c>
      <c r="F12">
        <v>1.296</v>
      </c>
    </row>
    <row r="13" spans="1:9" x14ac:dyDescent="0.2">
      <c r="A13" t="s">
        <v>153</v>
      </c>
      <c r="B13" s="11">
        <f>((C8/C3)^(1/5)-1)</f>
        <v>3.2556489259196963E-2</v>
      </c>
      <c r="F13">
        <f>F12*(C8/C3-1)</f>
        <v>0.22515722198551341</v>
      </c>
    </row>
    <row r="14" spans="1:9" x14ac:dyDescent="0.2">
      <c r="A14" t="s">
        <v>154</v>
      </c>
      <c r="B14" s="11">
        <f>(D8/D3)^0.2-1</f>
        <v>5.4221167750692079E-3</v>
      </c>
      <c r="E14" t="s">
        <v>57</v>
      </c>
      <c r="F14" s="1">
        <f>B3*(1+F13)</f>
        <v>124.35345803152961</v>
      </c>
    </row>
    <row r="16" spans="1:9" x14ac:dyDescent="0.2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Exame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João Fonseca</dc:creator>
  <cp:lastModifiedBy>Microsoft Office User</cp:lastModifiedBy>
  <dcterms:created xsi:type="dcterms:W3CDTF">2014-09-18T09:42:02Z</dcterms:created>
  <dcterms:modified xsi:type="dcterms:W3CDTF">2017-09-13T15:05:24Z</dcterms:modified>
</cp:coreProperties>
</file>