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/>
  <mc:AlternateContent xmlns:mc="http://schemas.openxmlformats.org/markup-compatibility/2006">
    <mc:Choice Requires="x15">
      <x15ac:absPath xmlns:x15ac="http://schemas.microsoft.com/office/spreadsheetml/2010/11/ac" url="/Volumes/GoogleDrive/My Drive/Sociologia das Organizações/SO2018_19/M2/"/>
    </mc:Choice>
  </mc:AlternateContent>
  <xr:revisionPtr revIDLastSave="0" documentId="13_ncr:1_{1DFA8134-E435-074F-9C38-961C72CAA57D}" xr6:coauthVersionLast="37" xr6:coauthVersionMax="37" xr10:uidLastSave="{00000000-0000-0000-0000-000000000000}"/>
  <bookViews>
    <workbookView xWindow="840" yWindow="460" windowWidth="14300" windowHeight="16220" activeTab="1" xr2:uid="{00000000-000D-0000-FFFF-FFFF00000000}"/>
  </bookViews>
  <sheets>
    <sheet name="1. a 17." sheetId="2" r:id="rId1"/>
    <sheet name="18. a 27." sheetId="4" r:id="rId2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8" i="2" l="1"/>
  <c r="E59" i="2"/>
  <c r="B55" i="2"/>
  <c r="B54" i="2"/>
  <c r="B43" i="2"/>
  <c r="E48" i="2"/>
  <c r="E45" i="2"/>
  <c r="E49" i="2"/>
  <c r="E51" i="2"/>
  <c r="B34" i="2"/>
  <c r="E36" i="2"/>
  <c r="E40" i="2"/>
  <c r="B31" i="2"/>
  <c r="B30" i="2"/>
  <c r="B29" i="2"/>
  <c r="E24" i="2"/>
  <c r="E25" i="2"/>
  <c r="B21" i="2"/>
  <c r="E18" i="2"/>
  <c r="B15" i="2"/>
  <c r="E12" i="2"/>
  <c r="B9" i="2"/>
  <c r="E80" i="4"/>
  <c r="E81" i="4"/>
  <c r="G81" i="4"/>
  <c r="H81" i="4"/>
  <c r="H84" i="4"/>
  <c r="F83" i="4"/>
  <c r="F84" i="4"/>
  <c r="F85" i="4"/>
  <c r="G85" i="4"/>
  <c r="E53" i="4"/>
  <c r="F86" i="4"/>
  <c r="G84" i="4"/>
  <c r="B76" i="4"/>
  <c r="E64" i="4"/>
  <c r="F67" i="4"/>
  <c r="E67" i="4"/>
  <c r="E68" i="4"/>
  <c r="F56" i="4"/>
  <c r="F59" i="4"/>
  <c r="F61" i="4"/>
  <c r="E56" i="4"/>
  <c r="E49" i="4"/>
  <c r="E48" i="4"/>
  <c r="B43" i="4"/>
  <c r="E38" i="4"/>
  <c r="E36" i="4"/>
  <c r="E31" i="4"/>
  <c r="B28" i="4"/>
  <c r="E22" i="4"/>
  <c r="E23" i="4"/>
  <c r="E25" i="4"/>
  <c r="B20" i="4"/>
  <c r="E15" i="4"/>
  <c r="E17" i="4"/>
  <c r="B12" i="4"/>
  <c r="E7" i="4"/>
  <c r="E10" i="4"/>
  <c r="B7" i="4"/>
  <c r="F3" i="4"/>
  <c r="F4" i="4"/>
  <c r="B1" i="4"/>
  <c r="E109" i="2"/>
  <c r="E110" i="2"/>
  <c r="E111" i="2"/>
  <c r="E112" i="2"/>
  <c r="E113" i="2"/>
  <c r="B106" i="2"/>
  <c r="E101" i="2"/>
  <c r="E104" i="2"/>
  <c r="F101" i="2"/>
  <c r="F104" i="2"/>
  <c r="B98" i="2"/>
  <c r="F96" i="2"/>
  <c r="E96" i="2"/>
  <c r="B92" i="2"/>
  <c r="H90" i="2"/>
  <c r="F90" i="2"/>
  <c r="B86" i="2"/>
  <c r="E90" i="2"/>
  <c r="E84" i="2"/>
  <c r="F81" i="2"/>
  <c r="F84" i="2"/>
  <c r="B80" i="2"/>
  <c r="E78" i="2"/>
  <c r="B75" i="2"/>
  <c r="F72" i="2"/>
  <c r="E72" i="2"/>
  <c r="E65" i="2"/>
  <c r="B62" i="2"/>
  <c r="F6" i="2"/>
  <c r="E6" i="2"/>
  <c r="E57" i="4"/>
  <c r="E58" i="4"/>
  <c r="E61" i="4"/>
  <c r="B52" i="4"/>
  <c r="E69" i="4"/>
  <c r="F64" i="4"/>
  <c r="F68" i="4"/>
  <c r="F70" i="4"/>
  <c r="F71" i="4"/>
  <c r="F73" i="4"/>
  <c r="B63" i="4"/>
  <c r="E39" i="4"/>
  <c r="B34" i="4"/>
  <c r="B68" i="2"/>
  <c r="F53" i="4"/>
</calcChain>
</file>

<file path=xl/sharedStrings.xml><?xml version="1.0" encoding="utf-8"?>
<sst xmlns="http://schemas.openxmlformats.org/spreadsheetml/2006/main" count="207" uniqueCount="110">
  <si>
    <t>1.</t>
  </si>
  <si>
    <t>Verdadeiro</t>
  </si>
  <si>
    <t>2.</t>
  </si>
  <si>
    <t>Capital Inicial</t>
  </si>
  <si>
    <t>r</t>
  </si>
  <si>
    <t>n</t>
  </si>
  <si>
    <t>Valor Futuro</t>
  </si>
  <si>
    <t>3.</t>
  </si>
  <si>
    <t>Valor futuro</t>
  </si>
  <si>
    <t>Valor actual</t>
  </si>
  <si>
    <t>4.</t>
  </si>
  <si>
    <t>João</t>
  </si>
  <si>
    <t>5.</t>
  </si>
  <si>
    <t>6.</t>
  </si>
  <si>
    <t>António</t>
  </si>
  <si>
    <t>Joana</t>
  </si>
  <si>
    <t>Maria</t>
  </si>
  <si>
    <t>7.</t>
  </si>
  <si>
    <t>Hip.1</t>
  </si>
  <si>
    <t>Hip.2</t>
  </si>
  <si>
    <t>Valor do carro</t>
  </si>
  <si>
    <t>Aplicação</t>
  </si>
  <si>
    <t>Sim</t>
  </si>
  <si>
    <t>8.</t>
  </si>
  <si>
    <t>Valor inicial</t>
  </si>
  <si>
    <t>9.</t>
  </si>
  <si>
    <t>Mod. B</t>
  </si>
  <si>
    <t>Mod. A</t>
  </si>
  <si>
    <t>Retoma</t>
  </si>
  <si>
    <t>Valor líquido</t>
  </si>
  <si>
    <t>10.</t>
  </si>
  <si>
    <t>Propinas</t>
  </si>
  <si>
    <t>Aumento anual</t>
  </si>
  <si>
    <t>Prop. Ano 12</t>
  </si>
  <si>
    <t>?</t>
  </si>
  <si>
    <t>Prop. Ano 13</t>
  </si>
  <si>
    <t>Prop. Ano 14</t>
  </si>
  <si>
    <t>Prop. Ano 15</t>
  </si>
  <si>
    <t>11.</t>
  </si>
  <si>
    <t>Tx juro anual nominal</t>
  </si>
  <si>
    <t>Períodos de cap.</t>
  </si>
  <si>
    <t>Tx juro trimestral efectiva</t>
  </si>
  <si>
    <t>Tx juro anual efectiva</t>
  </si>
  <si>
    <t>12.</t>
  </si>
  <si>
    <t>Prestação</t>
  </si>
  <si>
    <t>13.</t>
  </si>
  <si>
    <t>Início</t>
  </si>
  <si>
    <t>Fim</t>
  </si>
  <si>
    <t>14.</t>
  </si>
  <si>
    <t>15.</t>
  </si>
  <si>
    <t>16.</t>
  </si>
  <si>
    <t>r nominal</t>
  </si>
  <si>
    <t>Empréstimo</t>
  </si>
  <si>
    <t>r efectiva</t>
  </si>
  <si>
    <t>Juro 1º mês</t>
  </si>
  <si>
    <t>17.</t>
  </si>
  <si>
    <t xml:space="preserve">Fundo </t>
  </si>
  <si>
    <t>Prestação anual</t>
  </si>
  <si>
    <t xml:space="preserve">r </t>
  </si>
  <si>
    <t>Nº de prestações</t>
  </si>
  <si>
    <t>Valor final fundo</t>
  </si>
  <si>
    <t>Valor final prestações</t>
  </si>
  <si>
    <t>18.</t>
  </si>
  <si>
    <t>Emp. 1</t>
  </si>
  <si>
    <t>Emp. 2</t>
  </si>
  <si>
    <t>Valor em dívida hoje</t>
  </si>
  <si>
    <t>Valor actual da prestação</t>
  </si>
  <si>
    <t>Comissão</t>
  </si>
  <si>
    <t>19.</t>
  </si>
  <si>
    <t>Poupança mensal</t>
  </si>
  <si>
    <t>Poupança total actual</t>
  </si>
  <si>
    <t>Poupança</t>
  </si>
  <si>
    <t>20.</t>
  </si>
  <si>
    <t>Hip. 1</t>
  </si>
  <si>
    <t>Hip. 2</t>
  </si>
  <si>
    <t>Valor final adicional</t>
  </si>
  <si>
    <t>Valor actual das prestações</t>
  </si>
  <si>
    <t>Valor final actualizado</t>
  </si>
  <si>
    <t>Diferença prestações actual</t>
  </si>
  <si>
    <t>Juros totais</t>
  </si>
  <si>
    <t>a)</t>
  </si>
  <si>
    <t>b)</t>
  </si>
  <si>
    <t>c)</t>
  </si>
  <si>
    <t>Tx anual nominal</t>
  </si>
  <si>
    <t>Tx efectiva quadrimestral</t>
  </si>
  <si>
    <t>Depósito adicional</t>
  </si>
  <si>
    <t>Nova tx efectiva quadrimestral</t>
  </si>
  <si>
    <t>Depósito inicial</t>
  </si>
  <si>
    <t>Goal seek</t>
  </si>
  <si>
    <t>Tx anual efectiva</t>
  </si>
  <si>
    <t>Depósito 2º quadrimestre</t>
  </si>
  <si>
    <t>Nova tax efectiva anual</t>
  </si>
  <si>
    <t>Depósito 4º quadrimestre</t>
  </si>
  <si>
    <t>Tx anual nominal cap trimestral</t>
  </si>
  <si>
    <t>1º ano</t>
  </si>
  <si>
    <t>2º ano</t>
  </si>
  <si>
    <t>3º ano</t>
  </si>
  <si>
    <t>4º ano</t>
  </si>
  <si>
    <t>Tx efectiva semestral</t>
  </si>
  <si>
    <t>Tx efectiva anual</t>
  </si>
  <si>
    <t>Tx anual nominal cap mensal</t>
  </si>
  <si>
    <t>Capital inicial</t>
  </si>
  <si>
    <t>Tx média de capitalizção</t>
  </si>
  <si>
    <t>21.</t>
  </si>
  <si>
    <t>22.</t>
  </si>
  <si>
    <t>23.</t>
  </si>
  <si>
    <t>24.</t>
  </si>
  <si>
    <t>25.</t>
  </si>
  <si>
    <t>26.</t>
  </si>
  <si>
    <t>27.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</si>
</sst>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;[Red]\-#,##0.00\ &quot;€&quot;"/>
    <numFmt numFmtId="165" formatCode="#,##0.00\ &quot;€&quot;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10" fontId="0" fillId="0" borderId="0" xfId="0" applyNumberFormat="1"/>
    <xf numFmtId="9" fontId="0" fillId="0" borderId="0" xfId="1" applyFont="1"/>
    <xf numFmtId="164" fontId="0" fillId="0" borderId="0" xfId="0" applyNumberFormat="1"/>
    <xf numFmtId="0" fontId="2" fillId="2" borderId="0" xfId="0" applyFont="1" applyFill="1"/>
    <xf numFmtId="0" fontId="2" fillId="0" borderId="0" xfId="0" applyFont="1"/>
    <xf numFmtId="9" fontId="0" fillId="0" borderId="1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9" fontId="0" fillId="0" borderId="8" xfId="1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2" xfId="0" applyFill="1" applyBorder="1"/>
    <xf numFmtId="0" fontId="0" fillId="0" borderId="5" xfId="0" applyFill="1" applyBorder="1"/>
    <xf numFmtId="9" fontId="0" fillId="0" borderId="6" xfId="1" applyFont="1" applyBorder="1"/>
    <xf numFmtId="0" fontId="2" fillId="0" borderId="9" xfId="0" applyFont="1" applyFill="1" applyBorder="1"/>
    <xf numFmtId="0" fontId="0" fillId="0" borderId="7" xfId="0" applyFill="1" applyBorder="1"/>
    <xf numFmtId="165" fontId="2" fillId="0" borderId="0" xfId="0" applyNumberFormat="1" applyFont="1"/>
    <xf numFmtId="9" fontId="0" fillId="0" borderId="0" xfId="1" applyFont="1" applyBorder="1"/>
    <xf numFmtId="0" fontId="2" fillId="0" borderId="0" xfId="0" applyFont="1" applyBorder="1"/>
    <xf numFmtId="166" fontId="0" fillId="0" borderId="8" xfId="1" applyNumberFormat="1" applyFont="1" applyBorder="1"/>
    <xf numFmtId="1" fontId="0" fillId="0" borderId="0" xfId="1" applyNumberFormat="1" applyFont="1" applyBorder="1"/>
    <xf numFmtId="1" fontId="0" fillId="0" borderId="6" xfId="1" applyNumberFormat="1" applyFont="1" applyBorder="1"/>
    <xf numFmtId="9" fontId="0" fillId="0" borderId="8" xfId="1" applyNumberFormat="1" applyFont="1" applyBorder="1"/>
    <xf numFmtId="0" fontId="2" fillId="0" borderId="12" xfId="0" applyFont="1" applyBorder="1"/>
    <xf numFmtId="0" fontId="2" fillId="0" borderId="6" xfId="0" applyFont="1" applyBorder="1"/>
    <xf numFmtId="9" fontId="0" fillId="0" borderId="6" xfId="1" applyNumberFormat="1" applyFont="1" applyBorder="1"/>
    <xf numFmtId="0" fontId="0" fillId="0" borderId="11" xfId="0" applyBorder="1"/>
    <xf numFmtId="1" fontId="0" fillId="0" borderId="1" xfId="1" applyNumberFormat="1" applyFont="1" applyBorder="1"/>
    <xf numFmtId="0" fontId="2" fillId="0" borderId="0" xfId="0" applyFont="1" applyFill="1"/>
    <xf numFmtId="10" fontId="2" fillId="0" borderId="0" xfId="0" applyNumberFormat="1" applyFont="1"/>
    <xf numFmtId="164" fontId="2" fillId="0" borderId="10" xfId="0" applyNumberFormat="1" applyFont="1" applyBorder="1"/>
    <xf numFmtId="164" fontId="2" fillId="0" borderId="0" xfId="0" applyNumberFormat="1" applyFont="1"/>
    <xf numFmtId="164" fontId="2" fillId="0" borderId="11" xfId="0" applyNumberFormat="1" applyFont="1" applyBorder="1"/>
    <xf numFmtId="164" fontId="2" fillId="0" borderId="0" xfId="0" applyNumberFormat="1" applyFont="1" applyBorder="1"/>
    <xf numFmtId="166" fontId="0" fillId="0" borderId="0" xfId="1" applyNumberFormat="1" applyFont="1" applyBorder="1"/>
    <xf numFmtId="166" fontId="0" fillId="0" borderId="6" xfId="1" applyNumberFormat="1" applyFont="1" applyBorder="1"/>
    <xf numFmtId="2" fontId="0" fillId="0" borderId="8" xfId="1" applyNumberFormat="1" applyFont="1" applyBorder="1"/>
    <xf numFmtId="1" fontId="0" fillId="0" borderId="8" xfId="1" applyNumberFormat="1" applyFont="1" applyBorder="1"/>
    <xf numFmtId="10" fontId="0" fillId="0" borderId="0" xfId="1" applyNumberFormat="1" applyFont="1" applyBorder="1"/>
    <xf numFmtId="164" fontId="0" fillId="0" borderId="0" xfId="0" applyNumberFormat="1" applyBorder="1"/>
    <xf numFmtId="164" fontId="0" fillId="0" borderId="6" xfId="0" applyNumberFormat="1" applyBorder="1"/>
    <xf numFmtId="10" fontId="0" fillId="0" borderId="6" xfId="1" applyNumberFormat="1" applyFont="1" applyBorder="1"/>
    <xf numFmtId="0" fontId="3" fillId="3" borderId="0" xfId="0" applyFont="1" applyFill="1"/>
    <xf numFmtId="165" fontId="3" fillId="0" borderId="0" xfId="0" applyNumberFormat="1" applyFont="1"/>
    <xf numFmtId="0" fontId="4" fillId="0" borderId="0" xfId="0" applyFont="1"/>
    <xf numFmtId="0" fontId="4" fillId="0" borderId="2" xfId="0" applyFont="1" applyBorder="1"/>
    <xf numFmtId="0" fontId="4" fillId="0" borderId="4" xfId="0" applyFont="1" applyBorder="1"/>
    <xf numFmtId="0" fontId="3" fillId="0" borderId="0" xfId="0" applyFo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9" fontId="4" fillId="0" borderId="8" xfId="0" applyNumberFormat="1" applyFont="1" applyBorder="1"/>
    <xf numFmtId="0" fontId="3" fillId="0" borderId="9" xfId="0" applyFont="1" applyBorder="1"/>
    <xf numFmtId="2" fontId="4" fillId="0" borderId="6" xfId="0" applyNumberFormat="1" applyFont="1" applyBorder="1"/>
    <xf numFmtId="2" fontId="3" fillId="0" borderId="11" xfId="0" applyNumberFormat="1" applyFont="1" applyBorder="1"/>
    <xf numFmtId="10" fontId="3" fillId="0" borderId="0" xfId="1" applyNumberFormat="1" applyFont="1"/>
    <xf numFmtId="166" fontId="0" fillId="0" borderId="0" xfId="1" applyNumberFormat="1" applyFont="1"/>
    <xf numFmtId="10" fontId="0" fillId="0" borderId="0" xfId="1" applyNumberFormat="1" applyFont="1"/>
    <xf numFmtId="166" fontId="2" fillId="0" borderId="0" xfId="0" applyNumberFormat="1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3"/>
  <sheetViews>
    <sheetView topLeftCell="A85" workbookViewId="0">
      <selection activeCell="A107" sqref="A107"/>
    </sheetView>
  </sheetViews>
  <sheetFormatPr baseColWidth="10" defaultColWidth="8.83203125" defaultRowHeight="15" x14ac:dyDescent="0.2"/>
  <cols>
    <col min="1" max="1" width="8.83203125" style="5"/>
    <col min="2" max="2" width="11" style="5" bestFit="1" customWidth="1"/>
    <col min="3" max="3" width="12.83203125" bestFit="1" customWidth="1"/>
    <col min="4" max="4" width="25.1640625" bestFit="1" customWidth="1"/>
    <col min="5" max="6" width="12.6640625" bestFit="1" customWidth="1"/>
    <col min="8" max="8" width="9.5" bestFit="1" customWidth="1"/>
  </cols>
  <sheetData>
    <row r="1" spans="1:6" x14ac:dyDescent="0.2">
      <c r="A1" s="4" t="s">
        <v>0</v>
      </c>
      <c r="B1" s="5" t="s">
        <v>1</v>
      </c>
    </row>
    <row r="3" spans="1:6" x14ac:dyDescent="0.2">
      <c r="A3" s="4" t="s">
        <v>2</v>
      </c>
      <c r="B3" s="5" t="s">
        <v>1</v>
      </c>
      <c r="D3" s="7" t="s">
        <v>3</v>
      </c>
      <c r="E3" s="8">
        <v>100</v>
      </c>
      <c r="F3" s="9">
        <v>200</v>
      </c>
    </row>
    <row r="4" spans="1:6" x14ac:dyDescent="0.2">
      <c r="D4" s="10" t="s">
        <v>5</v>
      </c>
      <c r="E4" s="11">
        <v>10</v>
      </c>
      <c r="F4" s="12">
        <v>10</v>
      </c>
    </row>
    <row r="5" spans="1:6" ht="16" thickBot="1" x14ac:dyDescent="0.25">
      <c r="D5" s="13" t="s">
        <v>4</v>
      </c>
      <c r="E5" s="6">
        <v>0.12</v>
      </c>
      <c r="F5" s="14">
        <v>0.04</v>
      </c>
    </row>
    <row r="6" spans="1:6" x14ac:dyDescent="0.2">
      <c r="D6" s="15" t="s">
        <v>6</v>
      </c>
      <c r="E6" s="16">
        <f>E3*(1+E5)^E4</f>
        <v>310.58482083442112</v>
      </c>
      <c r="F6" s="17">
        <f>F3*(1+F5)^F4</f>
        <v>296.04885698366894</v>
      </c>
    </row>
    <row r="7" spans="1:6" x14ac:dyDescent="0.2">
      <c r="D7" s="3"/>
      <c r="E7" s="3"/>
    </row>
    <row r="8" spans="1:6" x14ac:dyDescent="0.2">
      <c r="D8" s="3"/>
      <c r="E8" s="3"/>
    </row>
    <row r="9" spans="1:6" x14ac:dyDescent="0.2">
      <c r="A9" s="4" t="s">
        <v>7</v>
      </c>
      <c r="B9" s="25">
        <f>E12</f>
        <v>12624.769600000003</v>
      </c>
      <c r="D9" s="20" t="s">
        <v>9</v>
      </c>
      <c r="E9" s="9">
        <v>10000</v>
      </c>
    </row>
    <row r="10" spans="1:6" x14ac:dyDescent="0.2">
      <c r="D10" s="21" t="s">
        <v>5</v>
      </c>
      <c r="E10" s="12">
        <v>4</v>
      </c>
    </row>
    <row r="11" spans="1:6" ht="16" thickBot="1" x14ac:dyDescent="0.25">
      <c r="D11" s="24" t="s">
        <v>4</v>
      </c>
      <c r="E11" s="14">
        <v>0.06</v>
      </c>
    </row>
    <row r="12" spans="1:6" x14ac:dyDescent="0.2">
      <c r="D12" s="23" t="s">
        <v>8</v>
      </c>
      <c r="E12" s="17">
        <f>E9*(1+E11)^E10</f>
        <v>12624.769600000003</v>
      </c>
    </row>
    <row r="13" spans="1:6" x14ac:dyDescent="0.2">
      <c r="D13" s="3"/>
      <c r="E13" s="3"/>
    </row>
    <row r="14" spans="1:6" x14ac:dyDescent="0.2">
      <c r="D14" s="3"/>
      <c r="E14" s="3"/>
    </row>
    <row r="15" spans="1:6" x14ac:dyDescent="0.2">
      <c r="A15" s="4" t="s">
        <v>10</v>
      </c>
      <c r="B15" s="25">
        <f>E18</f>
        <v>49999.995206506275</v>
      </c>
      <c r="D15" s="20" t="s">
        <v>8</v>
      </c>
      <c r="E15" s="9">
        <v>65113</v>
      </c>
    </row>
    <row r="16" spans="1:6" x14ac:dyDescent="0.2">
      <c r="D16" s="21" t="s">
        <v>5</v>
      </c>
      <c r="E16" s="12">
        <v>6</v>
      </c>
    </row>
    <row r="17" spans="1:5" ht="16" thickBot="1" x14ac:dyDescent="0.25">
      <c r="D17" s="24" t="s">
        <v>4</v>
      </c>
      <c r="E17" s="28">
        <v>4.4999999999999998E-2</v>
      </c>
    </row>
    <row r="18" spans="1:5" x14ac:dyDescent="0.2">
      <c r="D18" s="23" t="s">
        <v>9</v>
      </c>
      <c r="E18" s="17">
        <f>E15/(1+E17)^E16</f>
        <v>49999.995206506275</v>
      </c>
    </row>
    <row r="19" spans="1:5" x14ac:dyDescent="0.2">
      <c r="D19" s="3"/>
      <c r="E19" s="3"/>
    </row>
    <row r="20" spans="1:5" x14ac:dyDescent="0.2">
      <c r="D20" s="3"/>
      <c r="E20" s="3"/>
    </row>
    <row r="21" spans="1:5" x14ac:dyDescent="0.2">
      <c r="A21" s="51" t="s">
        <v>12</v>
      </c>
      <c r="B21" s="52">
        <f>E25</f>
        <v>1576.2500000000018</v>
      </c>
      <c r="C21" s="53"/>
      <c r="D21" s="54" t="s">
        <v>8</v>
      </c>
      <c r="E21" s="55">
        <v>11576.25</v>
      </c>
    </row>
    <row r="22" spans="1:5" x14ac:dyDescent="0.2">
      <c r="A22" s="56"/>
      <c r="B22" s="56"/>
      <c r="C22" s="53"/>
      <c r="D22" s="57" t="s">
        <v>5</v>
      </c>
      <c r="E22" s="58">
        <v>3</v>
      </c>
    </row>
    <row r="23" spans="1:5" ht="16" thickBot="1" x14ac:dyDescent="0.25">
      <c r="A23" s="56"/>
      <c r="B23" s="56"/>
      <c r="C23" s="53"/>
      <c r="D23" s="59" t="s">
        <v>4</v>
      </c>
      <c r="E23" s="60">
        <v>0.05</v>
      </c>
    </row>
    <row r="24" spans="1:5" x14ac:dyDescent="0.2">
      <c r="A24" s="56"/>
      <c r="B24" s="56"/>
      <c r="C24" s="53"/>
      <c r="D24" s="57" t="s">
        <v>9</v>
      </c>
      <c r="E24" s="62">
        <f>E21/(1+E23)^E22</f>
        <v>9999.9999999999982</v>
      </c>
    </row>
    <row r="25" spans="1:5" x14ac:dyDescent="0.2">
      <c r="A25" s="56"/>
      <c r="B25" s="56"/>
      <c r="C25" s="53"/>
      <c r="D25" s="61" t="s">
        <v>79</v>
      </c>
      <c r="E25" s="63">
        <f>E21-E24</f>
        <v>1576.2500000000018</v>
      </c>
    </row>
    <row r="26" spans="1:5" x14ac:dyDescent="0.2">
      <c r="D26" s="3"/>
      <c r="E26" s="3"/>
    </row>
    <row r="27" spans="1:5" x14ac:dyDescent="0.2">
      <c r="D27" s="3"/>
      <c r="E27" s="3"/>
    </row>
    <row r="28" spans="1:5" x14ac:dyDescent="0.2">
      <c r="A28" s="51" t="s">
        <v>13</v>
      </c>
      <c r="B28" s="52"/>
      <c r="C28" s="53"/>
    </row>
    <row r="29" spans="1:5" x14ac:dyDescent="0.2">
      <c r="A29" s="56" t="s">
        <v>80</v>
      </c>
      <c r="B29" s="64">
        <f>(1+0.03)^(1/12)-1</f>
        <v>2.4662697723036864E-3</v>
      </c>
      <c r="C29" s="53"/>
    </row>
    <row r="30" spans="1:5" x14ac:dyDescent="0.2">
      <c r="A30" s="56" t="s">
        <v>81</v>
      </c>
      <c r="B30" s="64">
        <f>(1+0.18)^(1/12)-1</f>
        <v>1.3888430348409919E-2</v>
      </c>
      <c r="C30" s="53"/>
    </row>
    <row r="31" spans="1:5" x14ac:dyDescent="0.2">
      <c r="A31" s="56" t="s">
        <v>82</v>
      </c>
      <c r="B31" s="64">
        <f>(1+0.18)^(1/4)-1</f>
        <v>4.2246635456321124E-2</v>
      </c>
      <c r="C31" s="53"/>
    </row>
    <row r="32" spans="1:5" x14ac:dyDescent="0.2">
      <c r="D32" s="3"/>
      <c r="E32" s="3"/>
    </row>
    <row r="33" spans="1:6" x14ac:dyDescent="0.2">
      <c r="D33" s="3"/>
      <c r="E33" s="3"/>
    </row>
    <row r="34" spans="1:6" x14ac:dyDescent="0.2">
      <c r="A34" s="51" t="s">
        <v>17</v>
      </c>
      <c r="B34" s="67">
        <f>E39</f>
        <v>3.3828731298778544E-2</v>
      </c>
      <c r="D34" s="3" t="s">
        <v>8</v>
      </c>
      <c r="E34" s="3">
        <v>13935.82</v>
      </c>
    </row>
    <row r="35" spans="1:6" x14ac:dyDescent="0.2">
      <c r="D35" s="3" t="s">
        <v>83</v>
      </c>
      <c r="E35" s="2">
        <v>0.06</v>
      </c>
    </row>
    <row r="36" spans="1:6" x14ac:dyDescent="0.2">
      <c r="D36" s="3" t="s">
        <v>84</v>
      </c>
      <c r="E36" s="2">
        <f>E35/3</f>
        <v>0.02</v>
      </c>
    </row>
    <row r="37" spans="1:6" x14ac:dyDescent="0.2">
      <c r="D37" s="3" t="s">
        <v>87</v>
      </c>
      <c r="E37" s="3">
        <v>10000</v>
      </c>
    </row>
    <row r="38" spans="1:6" x14ac:dyDescent="0.2">
      <c r="D38" s="3" t="s">
        <v>85</v>
      </c>
      <c r="E38" s="3">
        <v>2000</v>
      </c>
    </row>
    <row r="39" spans="1:6" x14ac:dyDescent="0.2">
      <c r="D39" s="3" t="s">
        <v>86</v>
      </c>
      <c r="E39" s="65">
        <v>3.3828731298778544E-2</v>
      </c>
      <c r="F39" t="s">
        <v>88</v>
      </c>
    </row>
    <row r="40" spans="1:6" x14ac:dyDescent="0.2">
      <c r="D40" s="3"/>
      <c r="E40" s="3">
        <f>E37*(1+E36)^3*(1+E39)^3+E38*(1+E39)^3</f>
        <v>13935.819400269425</v>
      </c>
    </row>
    <row r="41" spans="1:6" x14ac:dyDescent="0.2">
      <c r="D41" s="3"/>
      <c r="E41" s="3"/>
    </row>
    <row r="42" spans="1:6" x14ac:dyDescent="0.2">
      <c r="D42" s="3"/>
      <c r="E42" s="3"/>
    </row>
    <row r="43" spans="1:6" x14ac:dyDescent="0.2">
      <c r="A43" s="51" t="s">
        <v>23</v>
      </c>
      <c r="B43" s="25">
        <f>E50</f>
        <v>1074.1818735595186</v>
      </c>
      <c r="D43" s="3" t="s">
        <v>8</v>
      </c>
      <c r="E43" s="3">
        <v>5500</v>
      </c>
    </row>
    <row r="44" spans="1:6" x14ac:dyDescent="0.2">
      <c r="D44" s="3" t="s">
        <v>89</v>
      </c>
      <c r="E44" s="66">
        <v>4.7500000000000001E-2</v>
      </c>
    </row>
    <row r="45" spans="1:6" x14ac:dyDescent="0.2">
      <c r="D45" s="3" t="s">
        <v>84</v>
      </c>
      <c r="E45" s="66">
        <f>(1+E44)^(1/3)-1</f>
        <v>1.5589051982073832E-2</v>
      </c>
    </row>
    <row r="46" spans="1:6" x14ac:dyDescent="0.2">
      <c r="D46" s="3" t="s">
        <v>87</v>
      </c>
      <c r="E46" s="3">
        <v>3000</v>
      </c>
    </row>
    <row r="47" spans="1:6" x14ac:dyDescent="0.2">
      <c r="D47" s="3" t="s">
        <v>90</v>
      </c>
      <c r="E47" s="3">
        <v>1000</v>
      </c>
    </row>
    <row r="48" spans="1:6" x14ac:dyDescent="0.2">
      <c r="D48" s="3" t="s">
        <v>91</v>
      </c>
      <c r="E48" s="65">
        <f>E44+0.0075</f>
        <v>5.5E-2</v>
      </c>
    </row>
    <row r="49" spans="1:6" x14ac:dyDescent="0.2">
      <c r="D49" s="3" t="s">
        <v>84</v>
      </c>
      <c r="E49" s="66">
        <f>(1+E48)^(1/3)-1</f>
        <v>1.8007130281241235E-2</v>
      </c>
    </row>
    <row r="50" spans="1:6" x14ac:dyDescent="0.2">
      <c r="D50" s="3" t="s">
        <v>92</v>
      </c>
      <c r="E50" s="3">
        <v>1074.1818735595186</v>
      </c>
      <c r="F50" t="s">
        <v>88</v>
      </c>
    </row>
    <row r="51" spans="1:6" x14ac:dyDescent="0.2">
      <c r="D51" s="3"/>
      <c r="E51" s="3">
        <f>E46*(1+E44)*(1+E48)+E47*(1+E45)*(1+E48)+E50*(1+E49)^2</f>
        <v>5499.9999999999991</v>
      </c>
    </row>
    <row r="52" spans="1:6" x14ac:dyDescent="0.2">
      <c r="D52" s="3"/>
      <c r="E52" s="3"/>
    </row>
    <row r="53" spans="1:6" x14ac:dyDescent="0.2">
      <c r="A53" s="51" t="s">
        <v>25</v>
      </c>
      <c r="B53" s="25"/>
      <c r="D53" s="3" t="s">
        <v>8</v>
      </c>
      <c r="E53" s="3">
        <v>5994.06</v>
      </c>
    </row>
    <row r="54" spans="1:6" x14ac:dyDescent="0.2">
      <c r="A54" s="5" t="s">
        <v>80</v>
      </c>
      <c r="B54" s="40">
        <f>E58</f>
        <v>5000.0022850909008</v>
      </c>
      <c r="D54" s="3" t="s">
        <v>93</v>
      </c>
      <c r="E54" s="66">
        <v>0.05</v>
      </c>
      <c r="F54" t="s">
        <v>94</v>
      </c>
    </row>
    <row r="55" spans="1:6" x14ac:dyDescent="0.2">
      <c r="A55" s="5" t="s">
        <v>81</v>
      </c>
      <c r="B55" s="68">
        <f>E59</f>
        <v>4.637588141693505E-2</v>
      </c>
      <c r="D55" s="3" t="s">
        <v>98</v>
      </c>
      <c r="E55" s="66">
        <v>2.2499999999999999E-2</v>
      </c>
      <c r="F55" t="s">
        <v>95</v>
      </c>
    </row>
    <row r="56" spans="1:6" x14ac:dyDescent="0.2">
      <c r="D56" s="3" t="s">
        <v>99</v>
      </c>
      <c r="E56" s="66">
        <v>4.4999999999999998E-2</v>
      </c>
      <c r="F56" t="s">
        <v>96</v>
      </c>
    </row>
    <row r="57" spans="1:6" x14ac:dyDescent="0.2">
      <c r="D57" s="3" t="s">
        <v>100</v>
      </c>
      <c r="E57" s="66">
        <v>4.3200000000000002E-2</v>
      </c>
      <c r="F57" t="s">
        <v>97</v>
      </c>
    </row>
    <row r="58" spans="1:6" x14ac:dyDescent="0.2">
      <c r="D58" s="40" t="s">
        <v>101</v>
      </c>
      <c r="E58" s="40">
        <f>E53/((1+E54/4)^4*(1+E55)^2*(1+E56)*(1+E57/12)^12)</f>
        <v>5000.0022850909008</v>
      </c>
    </row>
    <row r="59" spans="1:6" x14ac:dyDescent="0.2">
      <c r="D59" s="40" t="s">
        <v>102</v>
      </c>
      <c r="E59" s="68">
        <f>(E53/E58)^(1/4)-1</f>
        <v>4.637588141693505E-2</v>
      </c>
    </row>
    <row r="60" spans="1:6" x14ac:dyDescent="0.2">
      <c r="D60" s="3"/>
      <c r="E60" s="3"/>
    </row>
    <row r="61" spans="1:6" x14ac:dyDescent="0.2">
      <c r="D61" s="3"/>
      <c r="E61" s="3"/>
    </row>
    <row r="62" spans="1:6" x14ac:dyDescent="0.2">
      <c r="A62" s="4" t="s">
        <v>30</v>
      </c>
      <c r="B62" s="25">
        <f>E65</f>
        <v>188.67924528301887</v>
      </c>
      <c r="D62" s="20" t="s">
        <v>8</v>
      </c>
      <c r="E62" s="9">
        <v>200</v>
      </c>
    </row>
    <row r="63" spans="1:6" x14ac:dyDescent="0.2">
      <c r="D63" s="21" t="s">
        <v>5</v>
      </c>
      <c r="E63" s="12">
        <v>1</v>
      </c>
    </row>
    <row r="64" spans="1:6" ht="16" thickBot="1" x14ac:dyDescent="0.25">
      <c r="D64" s="24" t="s">
        <v>4</v>
      </c>
      <c r="E64" s="14">
        <v>0.06</v>
      </c>
    </row>
    <row r="65" spans="1:6" x14ac:dyDescent="0.2">
      <c r="D65" s="23" t="s">
        <v>9</v>
      </c>
      <c r="E65" s="17">
        <f>E62/(1+E64)</f>
        <v>188.67924528301887</v>
      </c>
    </row>
    <row r="68" spans="1:6" x14ac:dyDescent="0.2">
      <c r="A68" s="4" t="s">
        <v>38</v>
      </c>
      <c r="B68" s="25">
        <f>F72-E72</f>
        <v>159.27407429999994</v>
      </c>
      <c r="D68" s="7"/>
      <c r="E68" s="8" t="s">
        <v>11</v>
      </c>
      <c r="F68" s="9" t="s">
        <v>14</v>
      </c>
    </row>
    <row r="69" spans="1:6" x14ac:dyDescent="0.2">
      <c r="D69" s="10" t="s">
        <v>3</v>
      </c>
      <c r="E69" s="11">
        <v>1000</v>
      </c>
      <c r="F69" s="12">
        <v>1000</v>
      </c>
    </row>
    <row r="70" spans="1:6" x14ac:dyDescent="0.2">
      <c r="D70" s="10" t="s">
        <v>5</v>
      </c>
      <c r="E70" s="11">
        <v>5</v>
      </c>
      <c r="F70" s="12">
        <v>5</v>
      </c>
    </row>
    <row r="71" spans="1:6" ht="16" thickBot="1" x14ac:dyDescent="0.25">
      <c r="D71" s="13" t="s">
        <v>4</v>
      </c>
      <c r="E71" s="6">
        <v>0</v>
      </c>
      <c r="F71" s="14">
        <v>0.03</v>
      </c>
    </row>
    <row r="72" spans="1:6" x14ac:dyDescent="0.2">
      <c r="D72" s="15" t="s">
        <v>6</v>
      </c>
      <c r="E72" s="16">
        <f>E69*(1+E71)^E70</f>
        <v>1000</v>
      </c>
      <c r="F72" s="17">
        <f>F69*(1+F71)^F70</f>
        <v>1159.2740742999999</v>
      </c>
    </row>
    <row r="73" spans="1:6" x14ac:dyDescent="0.2">
      <c r="D73" s="27"/>
      <c r="E73" s="27"/>
      <c r="F73" s="27"/>
    </row>
    <row r="75" spans="1:6" x14ac:dyDescent="0.2">
      <c r="A75" s="4" t="s">
        <v>43</v>
      </c>
      <c r="B75" s="25">
        <f>E78</f>
        <v>98357.567864478275</v>
      </c>
      <c r="D75" s="7" t="s">
        <v>3</v>
      </c>
      <c r="E75" s="9">
        <v>50000</v>
      </c>
      <c r="F75" s="11"/>
    </row>
    <row r="76" spans="1:6" x14ac:dyDescent="0.2">
      <c r="D76" s="10" t="s">
        <v>5</v>
      </c>
      <c r="E76" s="12">
        <v>10</v>
      </c>
      <c r="F76" s="11"/>
    </row>
    <row r="77" spans="1:6" ht="16" thickBot="1" x14ac:dyDescent="0.25">
      <c r="D77" s="13" t="s">
        <v>4</v>
      </c>
      <c r="E77" s="14">
        <v>7.0000000000000007E-2</v>
      </c>
      <c r="F77" s="26"/>
    </row>
    <row r="78" spans="1:6" x14ac:dyDescent="0.2">
      <c r="D78" s="15" t="s">
        <v>6</v>
      </c>
      <c r="E78" s="17">
        <f>E75*(1+E77)^E76</f>
        <v>98357.567864478275</v>
      </c>
      <c r="F78" s="27"/>
    </row>
    <row r="80" spans="1:6" x14ac:dyDescent="0.2">
      <c r="A80" s="4" t="s">
        <v>45</v>
      </c>
      <c r="B80" s="25">
        <f>E84-F84</f>
        <v>5518.0630814306714</v>
      </c>
      <c r="D80" s="7"/>
      <c r="E80" s="8" t="s">
        <v>15</v>
      </c>
      <c r="F80" s="9" t="s">
        <v>16</v>
      </c>
    </row>
    <row r="81" spans="1:8" x14ac:dyDescent="0.2">
      <c r="D81" s="10" t="s">
        <v>3</v>
      </c>
      <c r="E81" s="11">
        <v>10000</v>
      </c>
      <c r="F81" s="12">
        <f>10000-2000</f>
        <v>8000</v>
      </c>
    </row>
    <row r="82" spans="1:8" x14ac:dyDescent="0.2">
      <c r="D82" s="10" t="s">
        <v>5</v>
      </c>
      <c r="E82" s="11">
        <v>15</v>
      </c>
      <c r="F82" s="12">
        <v>15</v>
      </c>
    </row>
    <row r="83" spans="1:8" ht="16" thickBot="1" x14ac:dyDescent="0.25">
      <c r="D83" s="13" t="s">
        <v>4</v>
      </c>
      <c r="E83" s="6">
        <v>7.0000000000000007E-2</v>
      </c>
      <c r="F83" s="14">
        <v>7.0000000000000007E-2</v>
      </c>
    </row>
    <row r="84" spans="1:8" x14ac:dyDescent="0.2">
      <c r="D84" s="15" t="s">
        <v>6</v>
      </c>
      <c r="E84" s="16">
        <f>E81*(1+E83)^E82</f>
        <v>27590.315407153346</v>
      </c>
      <c r="F84" s="17">
        <f>F81*(1+F83)^F82</f>
        <v>22072.252325722675</v>
      </c>
    </row>
    <row r="86" spans="1:8" x14ac:dyDescent="0.2">
      <c r="A86" s="4" t="s">
        <v>48</v>
      </c>
      <c r="B86" s="25">
        <f>H90-F90</f>
        <v>2331.1629912820026</v>
      </c>
      <c r="D86" s="7"/>
      <c r="E86" s="8" t="s">
        <v>18</v>
      </c>
      <c r="F86" s="9" t="s">
        <v>19</v>
      </c>
      <c r="H86" s="9" t="s">
        <v>21</v>
      </c>
    </row>
    <row r="87" spans="1:8" x14ac:dyDescent="0.2">
      <c r="B87" s="5" t="s">
        <v>22</v>
      </c>
      <c r="D87" s="10" t="s">
        <v>20</v>
      </c>
      <c r="E87" s="11">
        <v>20000</v>
      </c>
      <c r="F87" s="12">
        <v>20000</v>
      </c>
      <c r="H87" s="12">
        <v>20000</v>
      </c>
    </row>
    <row r="88" spans="1:8" x14ac:dyDescent="0.2">
      <c r="D88" s="10" t="s">
        <v>5</v>
      </c>
      <c r="E88" s="11">
        <v>0</v>
      </c>
      <c r="F88" s="12">
        <v>5</v>
      </c>
      <c r="H88" s="12">
        <v>5</v>
      </c>
    </row>
    <row r="89" spans="1:8" ht="16" thickBot="1" x14ac:dyDescent="0.25">
      <c r="D89" s="13" t="s">
        <v>4</v>
      </c>
      <c r="E89" s="6">
        <v>0</v>
      </c>
      <c r="F89" s="28">
        <v>2.9000000000000001E-2</v>
      </c>
      <c r="H89" s="28">
        <v>4.9000000000000002E-2</v>
      </c>
    </row>
    <row r="90" spans="1:8" x14ac:dyDescent="0.2">
      <c r="D90" s="15" t="s">
        <v>6</v>
      </c>
      <c r="E90" s="16">
        <f>E87*(1+E89)^E88</f>
        <v>20000</v>
      </c>
      <c r="F90" s="17">
        <f>F87*(1+F89)^F88</f>
        <v>23073.148938322975</v>
      </c>
      <c r="H90" s="17">
        <f>H87*(1+H89)^H88</f>
        <v>25404.311929604977</v>
      </c>
    </row>
    <row r="92" spans="1:8" x14ac:dyDescent="0.2">
      <c r="A92" s="4" t="s">
        <v>49</v>
      </c>
      <c r="B92" s="25">
        <f>F96-(E96+90000)</f>
        <v>1815.9360000000161</v>
      </c>
      <c r="D92" s="7"/>
      <c r="E92" s="8" t="s">
        <v>18</v>
      </c>
      <c r="F92" s="9" t="s">
        <v>19</v>
      </c>
    </row>
    <row r="93" spans="1:8" x14ac:dyDescent="0.2">
      <c r="B93" s="5" t="s">
        <v>19</v>
      </c>
      <c r="D93" s="10" t="s">
        <v>24</v>
      </c>
      <c r="E93" s="11">
        <v>10000</v>
      </c>
      <c r="F93" s="12">
        <v>100000</v>
      </c>
    </row>
    <row r="94" spans="1:8" x14ac:dyDescent="0.2">
      <c r="D94" s="10" t="s">
        <v>5</v>
      </c>
      <c r="E94" s="11">
        <v>4</v>
      </c>
      <c r="F94" s="12">
        <v>4</v>
      </c>
    </row>
    <row r="95" spans="1:8" ht="16" thickBot="1" x14ac:dyDescent="0.25">
      <c r="D95" s="13" t="s">
        <v>4</v>
      </c>
      <c r="E95" s="6">
        <v>0.6</v>
      </c>
      <c r="F95" s="28">
        <v>0.12</v>
      </c>
    </row>
    <row r="96" spans="1:8" x14ac:dyDescent="0.2">
      <c r="D96" s="15" t="s">
        <v>6</v>
      </c>
      <c r="E96" s="16">
        <f>E93*(1+E95)^E94</f>
        <v>65536.000000000029</v>
      </c>
      <c r="F96" s="17">
        <f>F93*(1+F95)^F94</f>
        <v>157351.93600000005</v>
      </c>
    </row>
    <row r="98" spans="1:6" x14ac:dyDescent="0.2">
      <c r="A98" s="4" t="s">
        <v>50</v>
      </c>
      <c r="B98" s="25">
        <f>E104-F104</f>
        <v>2109.919950763313</v>
      </c>
      <c r="D98" s="7"/>
      <c r="E98" s="8" t="s">
        <v>27</v>
      </c>
      <c r="F98" s="9" t="s">
        <v>26</v>
      </c>
    </row>
    <row r="99" spans="1:6" x14ac:dyDescent="0.2">
      <c r="B99" s="5" t="s">
        <v>27</v>
      </c>
      <c r="D99" s="10" t="s">
        <v>24</v>
      </c>
      <c r="E99" s="11">
        <v>20000</v>
      </c>
      <c r="F99" s="12">
        <v>18000</v>
      </c>
    </row>
    <row r="100" spans="1:6" x14ac:dyDescent="0.2">
      <c r="D100" s="10" t="s">
        <v>28</v>
      </c>
      <c r="E100" s="26">
        <v>0.5</v>
      </c>
      <c r="F100" s="22">
        <v>0.25</v>
      </c>
    </row>
    <row r="101" spans="1:6" x14ac:dyDescent="0.2">
      <c r="D101" s="10" t="s">
        <v>8</v>
      </c>
      <c r="E101" s="29">
        <f>E100*E99</f>
        <v>10000</v>
      </c>
      <c r="F101" s="30">
        <f>F100*F99</f>
        <v>4500</v>
      </c>
    </row>
    <row r="102" spans="1:6" x14ac:dyDescent="0.2">
      <c r="D102" s="10" t="s">
        <v>5</v>
      </c>
      <c r="E102" s="11">
        <v>5</v>
      </c>
      <c r="F102" s="12">
        <v>5</v>
      </c>
    </row>
    <row r="103" spans="1:6" ht="16" thickBot="1" x14ac:dyDescent="0.25">
      <c r="D103" s="13" t="s">
        <v>4</v>
      </c>
      <c r="E103" s="6">
        <v>0.06</v>
      </c>
      <c r="F103" s="31">
        <v>0.06</v>
      </c>
    </row>
    <row r="104" spans="1:6" x14ac:dyDescent="0.2">
      <c r="D104" s="15" t="s">
        <v>29</v>
      </c>
      <c r="E104" s="16">
        <f>-E99+E101/(1+E103)^E102</f>
        <v>-12527.418271339431</v>
      </c>
      <c r="F104" s="32">
        <f>-F99+F101/(1+F103)^F102</f>
        <v>-14637.338222102744</v>
      </c>
    </row>
    <row r="105" spans="1:6" x14ac:dyDescent="0.2">
      <c r="C105" s="11"/>
      <c r="D105" s="18"/>
    </row>
    <row r="106" spans="1:6" x14ac:dyDescent="0.2">
      <c r="A106" s="4" t="s">
        <v>55</v>
      </c>
      <c r="B106" s="25">
        <f>E113</f>
        <v>49034.944594506844</v>
      </c>
      <c r="D106" s="7"/>
      <c r="E106" s="8" t="s">
        <v>31</v>
      </c>
      <c r="F106" s="9" t="s">
        <v>21</v>
      </c>
    </row>
    <row r="107" spans="1:6" x14ac:dyDescent="0.2">
      <c r="D107" s="10" t="s">
        <v>24</v>
      </c>
      <c r="E107" s="11">
        <v>9500</v>
      </c>
      <c r="F107" s="33" t="s">
        <v>34</v>
      </c>
    </row>
    <row r="108" spans="1:6" x14ac:dyDescent="0.2">
      <c r="D108" s="10" t="s">
        <v>32</v>
      </c>
      <c r="E108" s="26">
        <v>7.0000000000000007E-2</v>
      </c>
      <c r="F108" s="22">
        <v>0.05</v>
      </c>
    </row>
    <row r="109" spans="1:6" x14ac:dyDescent="0.2">
      <c r="D109" s="10" t="s">
        <v>33</v>
      </c>
      <c r="E109" s="29">
        <f>$E$107*(1+$E$108)^12</f>
        <v>21395.820095127823</v>
      </c>
      <c r="F109" s="30"/>
    </row>
    <row r="110" spans="1:6" x14ac:dyDescent="0.2">
      <c r="D110" s="10" t="s">
        <v>35</v>
      </c>
      <c r="E110" s="29">
        <f>$E$107*(1+$E$108)^13</f>
        <v>22893.527501786772</v>
      </c>
      <c r="F110" s="12"/>
    </row>
    <row r="111" spans="1:6" x14ac:dyDescent="0.2">
      <c r="D111" s="10" t="s">
        <v>36</v>
      </c>
      <c r="E111" s="29">
        <f>$E$107*(1+$E$108)^14</f>
        <v>24496.074426911844</v>
      </c>
      <c r="F111" s="34"/>
    </row>
    <row r="112" spans="1:6" ht="16" thickBot="1" x14ac:dyDescent="0.25">
      <c r="D112" s="13" t="s">
        <v>37</v>
      </c>
      <c r="E112" s="36">
        <f>$E$107*(1+$E$108)^15</f>
        <v>26210.799636795677</v>
      </c>
      <c r="F112" s="33"/>
    </row>
    <row r="113" spans="4:6" x14ac:dyDescent="0.2">
      <c r="D113" s="23" t="s">
        <v>9</v>
      </c>
      <c r="E113" s="16">
        <f>E109/(1+F108)^12+E110/(1+F108)^13+E111/(1+F108)^14+E112/(1+F108)^15</f>
        <v>49034.944594506844</v>
      </c>
      <c r="F113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7"/>
  <sheetViews>
    <sheetView tabSelected="1" topLeftCell="A59" workbookViewId="0">
      <selection activeCell="A77" sqref="A77"/>
    </sheetView>
  </sheetViews>
  <sheetFormatPr baseColWidth="10" defaultColWidth="8.83203125" defaultRowHeight="15" x14ac:dyDescent="0.2"/>
  <cols>
    <col min="1" max="1" width="8.83203125" style="5"/>
    <col min="2" max="2" width="12.33203125" style="5" bestFit="1" customWidth="1"/>
    <col min="3" max="3" width="12.83203125" bestFit="1" customWidth="1"/>
    <col min="4" max="4" width="25.33203125" bestFit="1" customWidth="1"/>
    <col min="5" max="5" width="12.33203125" bestFit="1" customWidth="1"/>
    <col min="6" max="6" width="12.6640625" bestFit="1" customWidth="1"/>
    <col min="7" max="8" width="9.5" bestFit="1" customWidth="1"/>
  </cols>
  <sheetData>
    <row r="1" spans="1:6" x14ac:dyDescent="0.2">
      <c r="A1" s="4" t="s">
        <v>62</v>
      </c>
      <c r="B1" s="38">
        <f>F4</f>
        <v>0.12550880999999992</v>
      </c>
      <c r="D1" t="s">
        <v>39</v>
      </c>
      <c r="F1" s="2">
        <v>0.12</v>
      </c>
    </row>
    <row r="2" spans="1:6" x14ac:dyDescent="0.2">
      <c r="A2" s="37"/>
      <c r="D2" t="s">
        <v>40</v>
      </c>
      <c r="F2">
        <v>4</v>
      </c>
    </row>
    <row r="3" spans="1:6" x14ac:dyDescent="0.2">
      <c r="A3" s="37"/>
      <c r="D3" t="s">
        <v>41</v>
      </c>
      <c r="F3" s="2">
        <f>F1/F2</f>
        <v>0.03</v>
      </c>
    </row>
    <row r="4" spans="1:6" x14ac:dyDescent="0.2">
      <c r="A4" s="37"/>
      <c r="D4" t="s">
        <v>42</v>
      </c>
      <c r="F4" s="1">
        <f>(1+F3)^F2-1</f>
        <v>0.12550880999999992</v>
      </c>
    </row>
    <row r="5" spans="1:6" x14ac:dyDescent="0.2">
      <c r="A5" s="37"/>
    </row>
    <row r="7" spans="1:6" x14ac:dyDescent="0.2">
      <c r="A7" s="4" t="s">
        <v>68</v>
      </c>
      <c r="B7" s="40">
        <f>E10</f>
        <v>453411.77435396775</v>
      </c>
      <c r="D7" s="7" t="s">
        <v>5</v>
      </c>
      <c r="E7" s="9">
        <f>65-35</f>
        <v>30</v>
      </c>
    </row>
    <row r="8" spans="1:6" x14ac:dyDescent="0.2">
      <c r="D8" s="10" t="s">
        <v>44</v>
      </c>
      <c r="E8" s="12">
        <v>-4800</v>
      </c>
    </row>
    <row r="9" spans="1:6" ht="16" thickBot="1" x14ac:dyDescent="0.25">
      <c r="D9" s="13" t="s">
        <v>4</v>
      </c>
      <c r="E9" s="14">
        <v>7.0000000000000007E-2</v>
      </c>
    </row>
    <row r="10" spans="1:6" x14ac:dyDescent="0.2">
      <c r="D10" s="15" t="s">
        <v>8</v>
      </c>
      <c r="E10" s="41">
        <f>FV(E9,E7,E8)</f>
        <v>453411.77435396775</v>
      </c>
    </row>
    <row r="11" spans="1:6" x14ac:dyDescent="0.2">
      <c r="D11" s="3"/>
      <c r="E11" s="3"/>
    </row>
    <row r="12" spans="1:6" x14ac:dyDescent="0.2">
      <c r="A12" s="4" t="s">
        <v>72</v>
      </c>
      <c r="B12" s="25">
        <f>E17</f>
        <v>22705.015749213755</v>
      </c>
      <c r="D12" s="20" t="s">
        <v>44</v>
      </c>
      <c r="E12" s="9">
        <v>-1000</v>
      </c>
    </row>
    <row r="13" spans="1:6" x14ac:dyDescent="0.2">
      <c r="D13" s="21" t="s">
        <v>46</v>
      </c>
      <c r="E13" s="12">
        <v>5</v>
      </c>
    </row>
    <row r="14" spans="1:6" x14ac:dyDescent="0.2">
      <c r="D14" s="21" t="s">
        <v>47</v>
      </c>
      <c r="E14" s="12">
        <v>21</v>
      </c>
    </row>
    <row r="15" spans="1:6" x14ac:dyDescent="0.2">
      <c r="D15" s="21" t="s">
        <v>5</v>
      </c>
      <c r="E15" s="12">
        <f>E14-E13+1</f>
        <v>17</v>
      </c>
    </row>
    <row r="16" spans="1:6" ht="16" thickBot="1" x14ac:dyDescent="0.25">
      <c r="D16" s="24" t="s">
        <v>4</v>
      </c>
      <c r="E16" s="28">
        <v>3.5000000000000003E-2</v>
      </c>
    </row>
    <row r="17" spans="1:6" x14ac:dyDescent="0.2">
      <c r="D17" s="23" t="s">
        <v>8</v>
      </c>
      <c r="E17" s="41">
        <f>FV(E16,E15,E12)</f>
        <v>22705.015749213755</v>
      </c>
    </row>
    <row r="20" spans="1:6" x14ac:dyDescent="0.2">
      <c r="A20" s="4" t="s">
        <v>103</v>
      </c>
      <c r="B20" s="25">
        <f>E25</f>
        <v>-660928.65876316174</v>
      </c>
      <c r="D20" s="20" t="s">
        <v>44</v>
      </c>
      <c r="E20" s="9">
        <v>75000</v>
      </c>
    </row>
    <row r="21" spans="1:6" x14ac:dyDescent="0.2">
      <c r="D21" s="21" t="s">
        <v>46</v>
      </c>
      <c r="E21" s="12">
        <v>66</v>
      </c>
    </row>
    <row r="22" spans="1:6" x14ac:dyDescent="0.2">
      <c r="D22" s="21" t="s">
        <v>47</v>
      </c>
      <c r="E22" s="12">
        <f>19+E21</f>
        <v>85</v>
      </c>
    </row>
    <row r="23" spans="1:6" x14ac:dyDescent="0.2">
      <c r="D23" s="21" t="s">
        <v>5</v>
      </c>
      <c r="E23" s="12">
        <f>E22-E21+1</f>
        <v>20</v>
      </c>
    </row>
    <row r="24" spans="1:6" ht="16" thickBot="1" x14ac:dyDescent="0.25">
      <c r="D24" s="24" t="s">
        <v>4</v>
      </c>
      <c r="E24" s="28">
        <v>9.5000000000000001E-2</v>
      </c>
    </row>
    <row r="25" spans="1:6" x14ac:dyDescent="0.2">
      <c r="D25" s="23" t="s">
        <v>9</v>
      </c>
      <c r="E25" s="41">
        <f>PV(E24,E23,E20)</f>
        <v>-660928.65876316174</v>
      </c>
    </row>
    <row r="26" spans="1:6" x14ac:dyDescent="0.2">
      <c r="D26" s="19"/>
      <c r="E26" s="42"/>
      <c r="F26" s="27"/>
    </row>
    <row r="28" spans="1:6" x14ac:dyDescent="0.2">
      <c r="A28" s="4" t="s">
        <v>104</v>
      </c>
      <c r="B28" s="25">
        <f>E31</f>
        <v>3958.5547766852951</v>
      </c>
      <c r="D28" s="20" t="s">
        <v>44</v>
      </c>
      <c r="E28" s="9">
        <v>-200</v>
      </c>
      <c r="F28" s="11"/>
    </row>
    <row r="29" spans="1:6" x14ac:dyDescent="0.2">
      <c r="D29" s="21" t="s">
        <v>5</v>
      </c>
      <c r="E29" s="12">
        <v>40</v>
      </c>
      <c r="F29" s="11"/>
    </row>
    <row r="30" spans="1:6" ht="16" thickBot="1" x14ac:dyDescent="0.25">
      <c r="D30" s="24" t="s">
        <v>4</v>
      </c>
      <c r="E30" s="28">
        <v>0.04</v>
      </c>
      <c r="F30" s="27"/>
    </row>
    <row r="31" spans="1:6" x14ac:dyDescent="0.2">
      <c r="D31" s="23" t="s">
        <v>9</v>
      </c>
      <c r="E31" s="41">
        <f>PV(E30,E29,E28)</f>
        <v>3958.5547766852951</v>
      </c>
      <c r="F31" s="27"/>
    </row>
    <row r="32" spans="1:6" x14ac:dyDescent="0.2">
      <c r="D32" s="27"/>
      <c r="E32" s="27"/>
      <c r="F32" s="27"/>
    </row>
    <row r="34" spans="1:8" x14ac:dyDescent="0.2">
      <c r="A34" s="4" t="s">
        <v>105</v>
      </c>
      <c r="B34" s="25">
        <f>E39</f>
        <v>1000</v>
      </c>
      <c r="D34" s="20" t="s">
        <v>9</v>
      </c>
      <c r="E34" s="9">
        <v>250000</v>
      </c>
    </row>
    <row r="35" spans="1:8" x14ac:dyDescent="0.2">
      <c r="D35" s="21" t="s">
        <v>5</v>
      </c>
      <c r="E35" s="12">
        <v>15</v>
      </c>
    </row>
    <row r="36" spans="1:8" x14ac:dyDescent="0.2">
      <c r="D36" s="21" t="s">
        <v>52</v>
      </c>
      <c r="E36" s="12">
        <f>E34-0.2*E34</f>
        <v>200000</v>
      </c>
    </row>
    <row r="37" spans="1:8" x14ac:dyDescent="0.2">
      <c r="D37" s="21" t="s">
        <v>51</v>
      </c>
      <c r="E37" s="44">
        <v>0.06</v>
      </c>
    </row>
    <row r="38" spans="1:8" ht="16" thickBot="1" x14ac:dyDescent="0.25">
      <c r="D38" s="24" t="s">
        <v>53</v>
      </c>
      <c r="E38" s="28">
        <f>E37/12</f>
        <v>5.0000000000000001E-3</v>
      </c>
    </row>
    <row r="39" spans="1:8" x14ac:dyDescent="0.2">
      <c r="D39" s="23" t="s">
        <v>54</v>
      </c>
      <c r="E39" s="41">
        <f>E38*E36</f>
        <v>1000</v>
      </c>
    </row>
    <row r="40" spans="1:8" x14ac:dyDescent="0.2">
      <c r="C40" s="11"/>
      <c r="D40" s="27"/>
      <c r="E40" s="27"/>
    </row>
    <row r="41" spans="1:8" x14ac:dyDescent="0.2">
      <c r="D41" s="27"/>
      <c r="E41" s="27"/>
    </row>
    <row r="43" spans="1:8" x14ac:dyDescent="0.2">
      <c r="A43" s="4" t="s">
        <v>106</v>
      </c>
      <c r="B43" s="25">
        <f>E48+E49</f>
        <v>40358.405594408803</v>
      </c>
      <c r="D43" s="20" t="s">
        <v>56</v>
      </c>
      <c r="E43" s="9">
        <v>75000</v>
      </c>
    </row>
    <row r="44" spans="1:8" x14ac:dyDescent="0.2">
      <c r="D44" s="21" t="s">
        <v>5</v>
      </c>
      <c r="E44" s="12">
        <v>10</v>
      </c>
    </row>
    <row r="45" spans="1:8" x14ac:dyDescent="0.2">
      <c r="D45" s="21" t="s">
        <v>57</v>
      </c>
      <c r="E45" s="12">
        <v>30000</v>
      </c>
    </row>
    <row r="46" spans="1:8" x14ac:dyDescent="0.2">
      <c r="D46" s="21" t="s">
        <v>58</v>
      </c>
      <c r="E46" s="44">
        <v>0.09</v>
      </c>
    </row>
    <row r="47" spans="1:8" ht="16" thickBot="1" x14ac:dyDescent="0.25">
      <c r="D47" s="24" t="s">
        <v>59</v>
      </c>
      <c r="E47" s="46">
        <v>4</v>
      </c>
    </row>
    <row r="48" spans="1:8" x14ac:dyDescent="0.2">
      <c r="D48" s="23" t="s">
        <v>60</v>
      </c>
      <c r="E48" s="41">
        <f>E43*(1+E46)^10</f>
        <v>177552.27559440891</v>
      </c>
      <c r="F48" s="27"/>
      <c r="H48" s="27"/>
    </row>
    <row r="49" spans="1:8" x14ac:dyDescent="0.2">
      <c r="D49" s="23" t="s">
        <v>61</v>
      </c>
      <c r="E49" s="41">
        <f>FV(E46,E47,E45)</f>
        <v>-137193.87000000011</v>
      </c>
      <c r="F49" s="27"/>
      <c r="H49" s="27"/>
    </row>
    <row r="50" spans="1:8" x14ac:dyDescent="0.2">
      <c r="D50" s="27"/>
      <c r="E50" s="27"/>
      <c r="F50" s="27"/>
      <c r="H50" s="27"/>
    </row>
    <row r="52" spans="1:8" x14ac:dyDescent="0.2">
      <c r="A52" s="4" t="s">
        <v>107</v>
      </c>
      <c r="B52" s="25">
        <f>E61+F61</f>
        <v>613.83441041210608</v>
      </c>
      <c r="D52" s="7"/>
      <c r="E52" s="8" t="s">
        <v>63</v>
      </c>
      <c r="F52" s="9" t="s">
        <v>64</v>
      </c>
    </row>
    <row r="53" spans="1:8" x14ac:dyDescent="0.2">
      <c r="B53" s="5" t="s">
        <v>64</v>
      </c>
      <c r="D53" s="10" t="s">
        <v>24</v>
      </c>
      <c r="E53" s="11">
        <f>200000-0.1*200000</f>
        <v>180000</v>
      </c>
      <c r="F53" s="49">
        <f>E58</f>
        <v>91038.035555540628</v>
      </c>
    </row>
    <row r="54" spans="1:8" x14ac:dyDescent="0.2">
      <c r="D54" s="10" t="s">
        <v>5</v>
      </c>
      <c r="E54" s="11">
        <v>15</v>
      </c>
      <c r="F54" s="12">
        <v>5</v>
      </c>
    </row>
    <row r="55" spans="1:8" x14ac:dyDescent="0.2">
      <c r="D55" s="21" t="s">
        <v>51</v>
      </c>
      <c r="E55" s="43">
        <v>0.1</v>
      </c>
      <c r="F55" s="44">
        <v>0.1</v>
      </c>
    </row>
    <row r="56" spans="1:8" x14ac:dyDescent="0.2">
      <c r="D56" s="10" t="s">
        <v>53</v>
      </c>
      <c r="E56" s="47">
        <f>E55/12</f>
        <v>8.3333333333333332E-3</v>
      </c>
      <c r="F56" s="50">
        <f>F55/12</f>
        <v>8.3333333333333332E-3</v>
      </c>
    </row>
    <row r="57" spans="1:8" x14ac:dyDescent="0.2">
      <c r="D57" s="10" t="s">
        <v>44</v>
      </c>
      <c r="E57" s="48">
        <f>PMT(E56,E54*12,E53)</f>
        <v>-1934.289211874609</v>
      </c>
      <c r="F57" s="49">
        <v>1900</v>
      </c>
    </row>
    <row r="58" spans="1:8" x14ac:dyDescent="0.2">
      <c r="D58" s="10" t="s">
        <v>65</v>
      </c>
      <c r="E58" s="48">
        <f>PV(E56,F54*12,E57)</f>
        <v>91038.035555540628</v>
      </c>
      <c r="F58" s="12"/>
    </row>
    <row r="59" spans="1:8" x14ac:dyDescent="0.2">
      <c r="D59" s="10" t="s">
        <v>66</v>
      </c>
      <c r="E59" s="11"/>
      <c r="F59" s="49">
        <f>PV(F56,F54*12,F57)</f>
        <v>-89424.201145128522</v>
      </c>
    </row>
    <row r="60" spans="1:8" ht="16" thickBot="1" x14ac:dyDescent="0.25">
      <c r="D60" s="13" t="s">
        <v>67</v>
      </c>
      <c r="E60" s="6"/>
      <c r="F60" s="46">
        <v>-1000</v>
      </c>
    </row>
    <row r="61" spans="1:8" x14ac:dyDescent="0.2">
      <c r="D61" s="15" t="s">
        <v>6</v>
      </c>
      <c r="E61" s="39">
        <f>E58</f>
        <v>91038.035555540628</v>
      </c>
      <c r="F61" s="41">
        <f>F59+F60</f>
        <v>-90424.201145128522</v>
      </c>
    </row>
    <row r="63" spans="1:8" x14ac:dyDescent="0.2">
      <c r="A63" s="4" t="s">
        <v>108</v>
      </c>
      <c r="B63" s="25">
        <f>F73</f>
        <v>4646.8755397887981</v>
      </c>
      <c r="D63" s="7"/>
      <c r="E63" s="8" t="s">
        <v>63</v>
      </c>
      <c r="F63" s="9" t="s">
        <v>64</v>
      </c>
    </row>
    <row r="64" spans="1:8" x14ac:dyDescent="0.2">
      <c r="B64" s="5" t="s">
        <v>64</v>
      </c>
      <c r="D64" s="10" t="s">
        <v>24</v>
      </c>
      <c r="E64" s="11">
        <f>300000-0.2*300000</f>
        <v>240000</v>
      </c>
      <c r="F64" s="49">
        <f>E69</f>
        <v>117265.54322077932</v>
      </c>
    </row>
    <row r="65" spans="1:6" x14ac:dyDescent="0.2">
      <c r="D65" s="10" t="s">
        <v>5</v>
      </c>
      <c r="E65" s="11">
        <v>15</v>
      </c>
      <c r="F65" s="12">
        <v>5</v>
      </c>
    </row>
    <row r="66" spans="1:6" x14ac:dyDescent="0.2">
      <c r="D66" s="21" t="s">
        <v>51</v>
      </c>
      <c r="E66" s="43">
        <v>0.09</v>
      </c>
      <c r="F66" s="44">
        <v>0.06</v>
      </c>
    </row>
    <row r="67" spans="1:6" x14ac:dyDescent="0.2">
      <c r="D67" s="10" t="s">
        <v>53</v>
      </c>
      <c r="E67" s="47">
        <f>E66/12</f>
        <v>7.4999999999999997E-3</v>
      </c>
      <c r="F67" s="50">
        <f>F66/12</f>
        <v>5.0000000000000001E-3</v>
      </c>
    </row>
    <row r="68" spans="1:6" x14ac:dyDescent="0.2">
      <c r="D68" s="10" t="s">
        <v>44</v>
      </c>
      <c r="E68" s="48">
        <f>PMT(E67,E65*12,E64)</f>
        <v>-2434.2398019882835</v>
      </c>
      <c r="F68" s="49">
        <f>PMT(F67,F65*12,F64)</f>
        <v>-2267.0714733278774</v>
      </c>
    </row>
    <row r="69" spans="1:6" x14ac:dyDescent="0.2">
      <c r="D69" s="10" t="s">
        <v>65</v>
      </c>
      <c r="E69" s="48">
        <f>PV(E67,F65*12,E68)</f>
        <v>117265.54322077932</v>
      </c>
      <c r="F69" s="12"/>
    </row>
    <row r="70" spans="1:6" x14ac:dyDescent="0.2">
      <c r="D70" s="10" t="s">
        <v>69</v>
      </c>
      <c r="E70" s="11"/>
      <c r="F70" s="49">
        <f>E68*(-1)-F68*(-1)</f>
        <v>167.16832866040613</v>
      </c>
    </row>
    <row r="71" spans="1:6" x14ac:dyDescent="0.2">
      <c r="D71" s="10" t="s">
        <v>70</v>
      </c>
      <c r="E71" s="11"/>
      <c r="F71" s="49">
        <f>PV(F67,F65*12,F70)</f>
        <v>-8646.8755397887981</v>
      </c>
    </row>
    <row r="72" spans="1:6" ht="16" thickBot="1" x14ac:dyDescent="0.25">
      <c r="D72" s="13" t="s">
        <v>67</v>
      </c>
      <c r="E72" s="6"/>
      <c r="F72" s="46">
        <v>-4000</v>
      </c>
    </row>
    <row r="73" spans="1:6" x14ac:dyDescent="0.2">
      <c r="D73" s="15" t="s">
        <v>71</v>
      </c>
      <c r="E73" s="39"/>
      <c r="F73" s="41">
        <f>F71*(-1)+F72</f>
        <v>4646.8755397887981</v>
      </c>
    </row>
    <row r="74" spans="1:6" x14ac:dyDescent="0.2">
      <c r="D74" s="27"/>
      <c r="E74" s="27"/>
    </row>
    <row r="75" spans="1:6" x14ac:dyDescent="0.2">
      <c r="C75" s="11"/>
      <c r="D75" s="18"/>
    </row>
    <row r="76" spans="1:6" x14ac:dyDescent="0.2">
      <c r="A76" s="4" t="s">
        <v>109</v>
      </c>
      <c r="B76" s="25">
        <f>F85</f>
        <v>246.94050916740889</v>
      </c>
      <c r="D76" s="7"/>
      <c r="E76" s="8" t="s">
        <v>73</v>
      </c>
      <c r="F76" s="9" t="s">
        <v>74</v>
      </c>
    </row>
    <row r="77" spans="1:6" x14ac:dyDescent="0.2">
      <c r="B77" s="5" t="s">
        <v>18</v>
      </c>
      <c r="D77" s="10" t="s">
        <v>24</v>
      </c>
      <c r="E77" s="11">
        <v>6000</v>
      </c>
      <c r="F77" s="49"/>
    </row>
    <row r="78" spans="1:6" x14ac:dyDescent="0.2">
      <c r="D78" s="10" t="s">
        <v>5</v>
      </c>
      <c r="E78" s="11">
        <v>4</v>
      </c>
      <c r="F78" s="12">
        <v>4</v>
      </c>
    </row>
    <row r="79" spans="1:6" x14ac:dyDescent="0.2">
      <c r="D79" s="21" t="s">
        <v>51</v>
      </c>
      <c r="E79" s="43">
        <v>0.05</v>
      </c>
      <c r="F79" s="44"/>
    </row>
    <row r="80" spans="1:6" x14ac:dyDescent="0.2">
      <c r="D80" s="10" t="s">
        <v>53</v>
      </c>
      <c r="E80" s="47">
        <f>E79/12</f>
        <v>4.1666666666666666E-3</v>
      </c>
      <c r="F80" s="50"/>
    </row>
    <row r="81" spans="4:8" x14ac:dyDescent="0.2">
      <c r="D81" s="10" t="s">
        <v>44</v>
      </c>
      <c r="E81" s="48">
        <f>PMT(E80,E78*12,E77)</f>
        <v>-138.17576142387912</v>
      </c>
      <c r="F81" s="49">
        <v>-125</v>
      </c>
      <c r="G81" s="3">
        <f>E81*(-1)-F81*(-1)</f>
        <v>13.175761423879123</v>
      </c>
      <c r="H81" s="3">
        <f>PV(E80,48,G81)</f>
        <v>-572.13050775787565</v>
      </c>
    </row>
    <row r="82" spans="4:8" x14ac:dyDescent="0.2">
      <c r="D82" s="10" t="s">
        <v>75</v>
      </c>
      <c r="E82" s="48"/>
      <c r="F82" s="12">
        <v>-1000</v>
      </c>
    </row>
    <row r="83" spans="4:8" x14ac:dyDescent="0.2">
      <c r="D83" s="10" t="s">
        <v>77</v>
      </c>
      <c r="E83" s="48"/>
      <c r="F83" s="49">
        <f>PV(E80,F78*12,0,F82)</f>
        <v>819.0710169252618</v>
      </c>
    </row>
    <row r="84" spans="4:8" x14ac:dyDescent="0.2">
      <c r="D84" s="10" t="s">
        <v>76</v>
      </c>
      <c r="E84" s="11"/>
      <c r="F84" s="49">
        <f>PV(E80,F78*12,F81)</f>
        <v>5427.8694922421473</v>
      </c>
      <c r="G84" s="3">
        <f>F84+F83</f>
        <v>6246.9405091674089</v>
      </c>
      <c r="H84" s="3">
        <f>FV(E80,48,G81)</f>
        <v>-698.51147938992585</v>
      </c>
    </row>
    <row r="85" spans="4:8" x14ac:dyDescent="0.2">
      <c r="D85" s="10" t="s">
        <v>70</v>
      </c>
      <c r="E85" s="11"/>
      <c r="F85" s="49">
        <f>F83+F84-E77</f>
        <v>246.94050916740889</v>
      </c>
      <c r="G85">
        <f>F85*(1+E80)^48</f>
        <v>301.48852061010189</v>
      </c>
    </row>
    <row r="86" spans="4:8" ht="16" thickBot="1" x14ac:dyDescent="0.25">
      <c r="D86" s="13" t="s">
        <v>78</v>
      </c>
      <c r="E86" s="6"/>
      <c r="F86" s="45">
        <f>PV(E80,F78*12,-G81)-F83</f>
        <v>-246.94050916738615</v>
      </c>
    </row>
    <row r="87" spans="4:8" x14ac:dyDescent="0.2">
      <c r="D87" s="15"/>
      <c r="E87" s="39"/>
      <c r="F87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a 17.</vt:lpstr>
      <vt:lpstr>18. a 27.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João Fonseca</dc:creator>
  <cp:lastModifiedBy>Raquel João Fonseca</cp:lastModifiedBy>
  <dcterms:created xsi:type="dcterms:W3CDTF">2013-09-02T11:35:59Z</dcterms:created>
  <dcterms:modified xsi:type="dcterms:W3CDTF">2018-10-11T13:31:13Z</dcterms:modified>
</cp:coreProperties>
</file>