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1280" yWindow="-20" windowWidth="24360" windowHeight="15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4" i="1" l="1"/>
  <c r="F210" i="1"/>
  <c r="F211" i="1"/>
  <c r="F209" i="1"/>
  <c r="F208" i="1"/>
  <c r="F191" i="1"/>
  <c r="F190" i="1"/>
  <c r="F188" i="1"/>
  <c r="F187" i="1"/>
  <c r="F186" i="1"/>
  <c r="F185" i="1"/>
  <c r="I177" i="1"/>
  <c r="F174" i="1"/>
  <c r="F175" i="1"/>
  <c r="F172" i="1"/>
  <c r="F171" i="1"/>
  <c r="F164" i="1"/>
  <c r="F163" i="1"/>
  <c r="F162" i="1"/>
  <c r="F160" i="1"/>
  <c r="F153" i="1"/>
  <c r="F152" i="1"/>
  <c r="F151" i="1"/>
  <c r="F149" i="1"/>
  <c r="I146" i="1"/>
  <c r="I145" i="1"/>
  <c r="I140" i="1"/>
  <c r="F130" i="1"/>
  <c r="I115" i="1"/>
  <c r="L115" i="1"/>
  <c r="L118" i="1"/>
  <c r="F131" i="1"/>
  <c r="F132" i="1"/>
  <c r="I112" i="1"/>
  <c r="L112" i="1"/>
  <c r="F133" i="1"/>
  <c r="F134" i="1"/>
  <c r="F135" i="1"/>
  <c r="F122" i="1"/>
  <c r="F123" i="1"/>
  <c r="F124" i="1"/>
  <c r="F125" i="1"/>
  <c r="F127" i="1"/>
  <c r="F126" i="1"/>
  <c r="F128" i="1"/>
  <c r="F136" i="1"/>
  <c r="F137" i="1"/>
  <c r="F138" i="1"/>
  <c r="F120" i="1"/>
  <c r="I101" i="1"/>
  <c r="F104" i="1"/>
  <c r="F105" i="1"/>
  <c r="F107" i="1"/>
  <c r="F106" i="1"/>
  <c r="F108" i="1"/>
  <c r="F94" i="1"/>
  <c r="F78" i="1"/>
  <c r="F75" i="1"/>
  <c r="I75" i="1"/>
  <c r="F60" i="1"/>
  <c r="I60" i="1"/>
  <c r="F63" i="1"/>
  <c r="F64" i="1"/>
  <c r="F29" i="1"/>
  <c r="F28" i="1"/>
  <c r="I28" i="1"/>
  <c r="F38" i="1"/>
  <c r="F37" i="1"/>
  <c r="F39" i="1"/>
  <c r="I21" i="1"/>
  <c r="F32" i="1"/>
  <c r="I12" i="1"/>
  <c r="F17" i="1"/>
  <c r="F18" i="1"/>
  <c r="I2" i="1"/>
  <c r="F10" i="1"/>
  <c r="F79" i="1"/>
  <c r="F82" i="1"/>
  <c r="F95" i="1"/>
  <c r="F96" i="1"/>
  <c r="F67" i="1"/>
  <c r="F65" i="1"/>
  <c r="F69" i="1"/>
  <c r="F70" i="1"/>
  <c r="F68" i="1"/>
  <c r="I37" i="1"/>
  <c r="F109" i="1"/>
  <c r="F110" i="1"/>
  <c r="F30" i="1"/>
  <c r="F33" i="1"/>
  <c r="F46" i="1"/>
  <c r="F47" i="1"/>
  <c r="F49" i="1"/>
  <c r="F41" i="1"/>
  <c r="F80" i="1"/>
  <c r="F42" i="1"/>
  <c r="F83" i="1"/>
  <c r="F84" i="1"/>
  <c r="F85" i="1"/>
  <c r="F48" i="1"/>
  <c r="F50" i="1"/>
  <c r="F52" i="1"/>
  <c r="F53" i="1"/>
</calcChain>
</file>

<file path=xl/sharedStrings.xml><?xml version="1.0" encoding="utf-8"?>
<sst xmlns="http://schemas.openxmlformats.org/spreadsheetml/2006/main" count="213" uniqueCount="116">
  <si>
    <t>1.</t>
  </si>
  <si>
    <t>D</t>
  </si>
  <si>
    <t>1 ano = 300 dias</t>
  </si>
  <si>
    <t>h (€/un,dia)</t>
  </si>
  <si>
    <t>c (€/un)</t>
  </si>
  <si>
    <t>K (€)</t>
  </si>
  <si>
    <t>tempo de entrega (dias)</t>
  </si>
  <si>
    <t>Procura diária (un/dia)</t>
  </si>
  <si>
    <t>Procura anual (un/ano)</t>
  </si>
  <si>
    <t>Q*</t>
  </si>
  <si>
    <t>2.</t>
  </si>
  <si>
    <t>h (€/un,ano)</t>
  </si>
  <si>
    <t>Procura diária (ton/dia)</t>
  </si>
  <si>
    <t>h (€/ton,ano)</t>
  </si>
  <si>
    <t>h (€/ton,dia)</t>
  </si>
  <si>
    <t>As encomendas deverão ser em lotes de 31,62 toneladas</t>
  </si>
  <si>
    <t>T*</t>
  </si>
  <si>
    <t>O tempo entre encomendas será de 31,62 dias</t>
  </si>
  <si>
    <t>R (un/semana)</t>
  </si>
  <si>
    <t>h (€/un.mês)</t>
  </si>
  <si>
    <t>D (un/semana)</t>
  </si>
  <si>
    <t>P1</t>
  </si>
  <si>
    <t>Qmax</t>
  </si>
  <si>
    <t>Qmax (un)</t>
  </si>
  <si>
    <t>T1 (semanas)</t>
  </si>
  <si>
    <t>T2 (semanas)</t>
  </si>
  <si>
    <t>T (semanas)</t>
  </si>
  <si>
    <t>CT (€)</t>
  </si>
  <si>
    <t>C (€/semana)</t>
  </si>
  <si>
    <t>1 mês = 4 semanas</t>
  </si>
  <si>
    <t>h (€/un,semana)</t>
  </si>
  <si>
    <t>P2</t>
  </si>
  <si>
    <t>P2 é melhor política do que P1</t>
  </si>
  <si>
    <t>3. a)</t>
  </si>
  <si>
    <t>3. b)</t>
  </si>
  <si>
    <t>Q</t>
  </si>
  <si>
    <t>A melhor política corresponde a produzir em lotes de 9165 unidades</t>
  </si>
  <si>
    <t>4.</t>
  </si>
  <si>
    <t>r (€/un,semana)</t>
  </si>
  <si>
    <t>1 ano = 50 semanas</t>
  </si>
  <si>
    <t>Q* (ajustado)</t>
  </si>
  <si>
    <t>T* (semanas)</t>
  </si>
  <si>
    <t>Fmax</t>
  </si>
  <si>
    <t>F*max</t>
  </si>
  <si>
    <t>Q*max</t>
  </si>
  <si>
    <t>5.</t>
  </si>
  <si>
    <t>D (ton/dia)</t>
  </si>
  <si>
    <t>c (€/ton)</t>
  </si>
  <si>
    <t>Q (ton)</t>
  </si>
  <si>
    <t>T (dias)</t>
  </si>
  <si>
    <t>C (€/dia)</t>
  </si>
  <si>
    <t>D (un/mês)</t>
  </si>
  <si>
    <t>1 mês = 30 dias</t>
  </si>
  <si>
    <t>Tempo de entrega (dias)</t>
  </si>
  <si>
    <t>h (€/un,mês)</t>
  </si>
  <si>
    <t>6. a)</t>
  </si>
  <si>
    <t>T* (meses)</t>
  </si>
  <si>
    <t>Q* (un)</t>
  </si>
  <si>
    <t>6. b)</t>
  </si>
  <si>
    <t>R (un/dia)</t>
  </si>
  <si>
    <t>R (un/mês)</t>
  </si>
  <si>
    <t>Q*max (un)</t>
  </si>
  <si>
    <t>T1 (meses)</t>
  </si>
  <si>
    <t>T2 (meses)</t>
  </si>
  <si>
    <t>T (meses)</t>
  </si>
  <si>
    <t>C (€/mês)</t>
  </si>
  <si>
    <t>7. a)</t>
  </si>
  <si>
    <t>1 mês = 20 dias</t>
  </si>
  <si>
    <t>D (peça/mês)</t>
  </si>
  <si>
    <t>D (peça/dia)</t>
  </si>
  <si>
    <t>h (€/peça,mês)</t>
  </si>
  <si>
    <t>h (€/peça,dia)</t>
  </si>
  <si>
    <t>1 lote = 25 peças</t>
  </si>
  <si>
    <t>r (€/peça,dia)</t>
  </si>
  <si>
    <t>Q* (lotes)</t>
  </si>
  <si>
    <t>D (lote/dia)</t>
  </si>
  <si>
    <t>h (€/lote,dia)</t>
  </si>
  <si>
    <t>r (€/lote,dia)</t>
  </si>
  <si>
    <t>c (€/lote)</t>
  </si>
  <si>
    <t>Q* ajustado (lotes)</t>
  </si>
  <si>
    <t>F*max (lotes)</t>
  </si>
  <si>
    <t>T1 (dias)</t>
  </si>
  <si>
    <t>Q*max (lotes)</t>
  </si>
  <si>
    <t>T2 (dias)</t>
  </si>
  <si>
    <t>7. b)</t>
  </si>
  <si>
    <t>Q (lotes)</t>
  </si>
  <si>
    <t>CT (€), com excepção do custo unitário</t>
  </si>
  <si>
    <t>c máximo</t>
  </si>
  <si>
    <t>8. a)</t>
  </si>
  <si>
    <t>D (un/dia)</t>
  </si>
  <si>
    <t>Revenda</t>
  </si>
  <si>
    <t>1 lote = 10 unidades</t>
  </si>
  <si>
    <t>Q* ajustado</t>
  </si>
  <si>
    <t>Produção própria</t>
  </si>
  <si>
    <t>A revenda tem um menor custo</t>
  </si>
  <si>
    <t>8. b)</t>
  </si>
  <si>
    <t>p (€/un)</t>
  </si>
  <si>
    <t>Custo por unidade (€/un)</t>
  </si>
  <si>
    <t>Margem (€/un)</t>
  </si>
  <si>
    <t>9. a)</t>
  </si>
  <si>
    <t>Subcontratação</t>
  </si>
  <si>
    <t>1 semana = 5 dias</t>
  </si>
  <si>
    <t>T* (dias)</t>
  </si>
  <si>
    <t>9. b)</t>
  </si>
  <si>
    <t>Preço de venda mínimo (€/un)</t>
  </si>
  <si>
    <t>9. c)</t>
  </si>
  <si>
    <t>R</t>
  </si>
  <si>
    <t>c</t>
  </si>
  <si>
    <r>
      <t>SQRT(2*</t>
    </r>
    <r>
      <rPr>
        <sz val="11"/>
        <color indexed="205"/>
        <rFont val="Calibri"/>
        <family val="2"/>
      </rPr>
      <t>200</t>
    </r>
    <r>
      <rPr>
        <sz val="11"/>
        <color theme="1"/>
        <rFont val="Calibri"/>
        <family val="2"/>
        <scheme val="minor"/>
      </rPr>
      <t>*</t>
    </r>
    <r>
      <rPr>
        <sz val="11"/>
        <color indexed="206"/>
        <rFont val="Calibri"/>
        <family val="2"/>
      </rPr>
      <t>100</t>
    </r>
    <r>
      <rPr>
        <sz val="11"/>
        <color theme="1"/>
        <rFont val="Calibri"/>
        <family val="2"/>
        <scheme val="minor"/>
      </rPr>
      <t>/0,1)*SQRT(R/</t>
    </r>
    <r>
      <rPr>
        <sz val="11"/>
        <color indexed="206"/>
        <rFont val="Calibri"/>
        <family val="2"/>
      </rPr>
      <t>(</t>
    </r>
    <r>
      <rPr>
        <sz val="11"/>
        <color theme="1"/>
        <rFont val="Calibri"/>
        <family val="2"/>
        <scheme val="minor"/>
      </rPr>
      <t>R-100))</t>
    </r>
  </si>
  <si>
    <t>200 + c Q + 0,1 x T* x Q*/2</t>
  </si>
  <si>
    <t>Condição</t>
  </si>
  <si>
    <t>200 D/Q* + c D + 0,1 x Q*/2 = 20000 / Q* + 100c + 0,05 Q*</t>
  </si>
  <si>
    <t>20000 / Q* + 100c + 0,05 Q* &lt; 300</t>
  </si>
  <si>
    <t>Resultado</t>
  </si>
  <si>
    <t>c &lt; 3 - 200 (2R-100)/((R-100)Q)</t>
  </si>
  <si>
    <t xml:space="preserve">c &lt; 3 - 200 (1600-100)/((800-100)x676)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</si>
</sst>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205"/>
      <name val="Calibri"/>
      <family val="2"/>
    </font>
    <font>
      <sz val="11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4"/>
  <sheetViews>
    <sheetView tabSelected="1" topLeftCell="A177" workbookViewId="0">
      <selection activeCell="B215" sqref="B215"/>
    </sheetView>
  </sheetViews>
  <sheetFormatPr baseColWidth="10" defaultColWidth="8.83203125" defaultRowHeight="14" x14ac:dyDescent="0"/>
  <cols>
    <col min="4" max="4" width="35.5" customWidth="1"/>
    <col min="5" max="5" width="4.5" customWidth="1"/>
    <col min="8" max="8" width="21.6640625" customWidth="1"/>
    <col min="11" max="11" width="21.6640625" customWidth="1"/>
  </cols>
  <sheetData>
    <row r="2" spans="2:9">
      <c r="B2" s="1" t="s">
        <v>0</v>
      </c>
      <c r="D2" t="s">
        <v>8</v>
      </c>
      <c r="E2" t="s">
        <v>1</v>
      </c>
      <c r="F2">
        <v>12000</v>
      </c>
      <c r="H2" t="s">
        <v>7</v>
      </c>
      <c r="I2">
        <f>F2/300</f>
        <v>40</v>
      </c>
    </row>
    <row r="3" spans="2:9">
      <c r="D3" t="s">
        <v>2</v>
      </c>
    </row>
    <row r="4" spans="2:9">
      <c r="D4" t="s">
        <v>3</v>
      </c>
      <c r="F4">
        <v>0.625</v>
      </c>
    </row>
    <row r="5" spans="2:9">
      <c r="D5" t="s">
        <v>4</v>
      </c>
      <c r="F5">
        <v>2.5</v>
      </c>
    </row>
    <row r="6" spans="2:9">
      <c r="D6" t="s">
        <v>5</v>
      </c>
      <c r="F6">
        <v>1.5</v>
      </c>
    </row>
    <row r="8" spans="2:9">
      <c r="D8" t="s">
        <v>6</v>
      </c>
      <c r="F8">
        <v>5</v>
      </c>
    </row>
    <row r="10" spans="2:9">
      <c r="D10" t="s">
        <v>9</v>
      </c>
      <c r="F10">
        <f>SQRT(2*F6*I2/F4)</f>
        <v>13.856406460551018</v>
      </c>
    </row>
    <row r="12" spans="2:9">
      <c r="B12" s="1" t="s">
        <v>10</v>
      </c>
      <c r="D12" t="s">
        <v>13</v>
      </c>
      <c r="F12">
        <v>75</v>
      </c>
      <c r="H12" t="s">
        <v>14</v>
      </c>
      <c r="I12">
        <f>F12/300</f>
        <v>0.25</v>
      </c>
    </row>
    <row r="13" spans="2:9">
      <c r="D13" t="s">
        <v>12</v>
      </c>
      <c r="E13" t="s">
        <v>1</v>
      </c>
      <c r="F13">
        <v>1</v>
      </c>
    </row>
    <row r="14" spans="2:9">
      <c r="D14" t="s">
        <v>5</v>
      </c>
      <c r="F14">
        <v>125</v>
      </c>
    </row>
    <row r="15" spans="2:9">
      <c r="D15" t="s">
        <v>2</v>
      </c>
    </row>
    <row r="17" spans="2:9">
      <c r="D17" t="s">
        <v>9</v>
      </c>
      <c r="F17">
        <f>SQRT(2*F14*F13/I12)</f>
        <v>31.622776601683793</v>
      </c>
      <c r="H17" t="s">
        <v>15</v>
      </c>
    </row>
    <row r="18" spans="2:9">
      <c r="D18" t="s">
        <v>16</v>
      </c>
      <c r="F18">
        <f>F17/F13</f>
        <v>31.622776601683793</v>
      </c>
      <c r="H18" t="s">
        <v>17</v>
      </c>
    </row>
    <row r="20" spans="2:9">
      <c r="B20" s="1" t="s">
        <v>33</v>
      </c>
      <c r="D20" t="s">
        <v>18</v>
      </c>
      <c r="F20">
        <v>1050</v>
      </c>
    </row>
    <row r="21" spans="2:9">
      <c r="D21" t="s">
        <v>19</v>
      </c>
      <c r="F21">
        <v>15</v>
      </c>
      <c r="H21" t="s">
        <v>30</v>
      </c>
      <c r="I21">
        <f>F21/4</f>
        <v>3.75</v>
      </c>
    </row>
    <row r="22" spans="2:9">
      <c r="D22" t="s">
        <v>5</v>
      </c>
      <c r="F22">
        <v>75000</v>
      </c>
    </row>
    <row r="23" spans="2:9">
      <c r="D23" t="s">
        <v>20</v>
      </c>
      <c r="F23">
        <v>700</v>
      </c>
    </row>
    <row r="24" spans="2:9">
      <c r="D24" t="s">
        <v>29</v>
      </c>
    </row>
    <row r="26" spans="2:9">
      <c r="D26" t="s">
        <v>21</v>
      </c>
    </row>
    <row r="27" spans="2:9">
      <c r="D27" t="s">
        <v>23</v>
      </c>
      <c r="F27">
        <v>700</v>
      </c>
    </row>
    <row r="28" spans="2:9">
      <c r="D28" t="s">
        <v>24</v>
      </c>
      <c r="F28">
        <f>F27/(F$20-F$23)</f>
        <v>2</v>
      </c>
      <c r="H28" t="s">
        <v>35</v>
      </c>
      <c r="I28">
        <f>F28*F$20</f>
        <v>2100</v>
      </c>
    </row>
    <row r="29" spans="2:9">
      <c r="D29" t="s">
        <v>25</v>
      </c>
      <c r="F29">
        <f>F27/F$23</f>
        <v>1</v>
      </c>
    </row>
    <row r="30" spans="2:9">
      <c r="D30" t="s">
        <v>26</v>
      </c>
      <c r="F30">
        <f>F28+F29</f>
        <v>3</v>
      </c>
    </row>
    <row r="32" spans="2:9">
      <c r="D32" t="s">
        <v>27</v>
      </c>
      <c r="F32">
        <f>F$22+I$21*F27</f>
        <v>77625</v>
      </c>
    </row>
    <row r="33" spans="2:9">
      <c r="D33" t="s">
        <v>28</v>
      </c>
      <c r="F33">
        <f>F32/F30</f>
        <v>25875</v>
      </c>
    </row>
    <row r="35" spans="2:9">
      <c r="D35" t="s">
        <v>31</v>
      </c>
    </row>
    <row r="36" spans="2:9">
      <c r="D36" t="s">
        <v>23</v>
      </c>
      <c r="F36">
        <v>1400</v>
      </c>
    </row>
    <row r="37" spans="2:9">
      <c r="D37" t="s">
        <v>24</v>
      </c>
      <c r="F37">
        <f>F36/(F$20-F$23)</f>
        <v>4</v>
      </c>
      <c r="H37" t="s">
        <v>35</v>
      </c>
      <c r="I37">
        <f>F37*F$20</f>
        <v>4200</v>
      </c>
    </row>
    <row r="38" spans="2:9">
      <c r="D38" t="s">
        <v>25</v>
      </c>
      <c r="F38">
        <f>F36/F$23</f>
        <v>2</v>
      </c>
    </row>
    <row r="39" spans="2:9">
      <c r="D39" t="s">
        <v>26</v>
      </c>
      <c r="F39">
        <f>F37+F38</f>
        <v>6</v>
      </c>
    </row>
    <row r="41" spans="2:9">
      <c r="D41" t="s">
        <v>27</v>
      </c>
      <c r="F41">
        <f>F$22+I$21*F36</f>
        <v>80250</v>
      </c>
    </row>
    <row r="42" spans="2:9">
      <c r="D42" t="s">
        <v>28</v>
      </c>
      <c r="F42">
        <f>F41/F39</f>
        <v>13375</v>
      </c>
    </row>
    <row r="44" spans="2:9">
      <c r="D44" t="s">
        <v>32</v>
      </c>
    </row>
    <row r="46" spans="2:9">
      <c r="B46" s="1" t="s">
        <v>34</v>
      </c>
      <c r="D46" t="s">
        <v>9</v>
      </c>
      <c r="F46">
        <f>SQRT(2*F22*F23/I21)*SQRT(F20/(F20-F23))</f>
        <v>9165.1513899116799</v>
      </c>
    </row>
    <row r="47" spans="2:9">
      <c r="D47" t="s">
        <v>23</v>
      </c>
      <c r="F47">
        <f>F46-F23*F46/F20</f>
        <v>3055.0504633038927</v>
      </c>
    </row>
    <row r="48" spans="2:9">
      <c r="D48" t="s">
        <v>24</v>
      </c>
      <c r="F48">
        <f>F47/(F$20-F$23)</f>
        <v>8.7287156094396927</v>
      </c>
    </row>
    <row r="49" spans="2:9">
      <c r="D49" t="s">
        <v>25</v>
      </c>
      <c r="F49">
        <f>F47/F$23</f>
        <v>4.3643578047198464</v>
      </c>
    </row>
    <row r="50" spans="2:9">
      <c r="D50" t="s">
        <v>26</v>
      </c>
      <c r="F50">
        <f>F48+F49</f>
        <v>13.093073414159539</v>
      </c>
    </row>
    <row r="52" spans="2:9">
      <c r="D52" t="s">
        <v>27</v>
      </c>
      <c r="F52">
        <f>F$22+I$21*F47</f>
        <v>86456.439237389597</v>
      </c>
    </row>
    <row r="53" spans="2:9">
      <c r="D53" t="s">
        <v>28</v>
      </c>
      <c r="F53">
        <f>F52/F50</f>
        <v>6603.2196186948013</v>
      </c>
    </row>
    <row r="55" spans="2:9">
      <c r="D55" t="s">
        <v>36</v>
      </c>
    </row>
    <row r="57" spans="2:9">
      <c r="B57" s="1" t="s">
        <v>37</v>
      </c>
      <c r="D57" t="s">
        <v>4</v>
      </c>
      <c r="F57">
        <v>5000</v>
      </c>
    </row>
    <row r="58" spans="2:9">
      <c r="D58" t="s">
        <v>20</v>
      </c>
      <c r="F58">
        <v>10</v>
      </c>
    </row>
    <row r="59" spans="2:9">
      <c r="D59" t="s">
        <v>38</v>
      </c>
      <c r="F59">
        <v>15000</v>
      </c>
      <c r="H59" t="s">
        <v>39</v>
      </c>
    </row>
    <row r="60" spans="2:9">
      <c r="D60" t="s">
        <v>11</v>
      </c>
      <c r="F60">
        <f>0.4*F57</f>
        <v>2000</v>
      </c>
      <c r="H60" t="s">
        <v>30</v>
      </c>
      <c r="I60">
        <f>F60/50</f>
        <v>40</v>
      </c>
    </row>
    <row r="61" spans="2:9">
      <c r="D61" t="s">
        <v>5</v>
      </c>
      <c r="F61">
        <v>10000</v>
      </c>
    </row>
    <row r="63" spans="2:9">
      <c r="D63" t="s">
        <v>9</v>
      </c>
      <c r="F63">
        <f>SQRT(2*F61*F58/I60)*SQRT((I60+F59)/F59)</f>
        <v>70.80489625254269</v>
      </c>
    </row>
    <row r="64" spans="2:9">
      <c r="D64" t="s">
        <v>40</v>
      </c>
      <c r="F64">
        <f>ROUND(F63,0)</f>
        <v>71</v>
      </c>
    </row>
    <row r="65" spans="2:9">
      <c r="D65" t="s">
        <v>43</v>
      </c>
      <c r="F65">
        <f>(I60/(I60+F59))*F64</f>
        <v>0.18882978723404256</v>
      </c>
    </row>
    <row r="67" spans="2:9">
      <c r="D67" t="s">
        <v>41</v>
      </c>
      <c r="F67">
        <f>F64/F58</f>
        <v>7.1</v>
      </c>
    </row>
    <row r="68" spans="2:9">
      <c r="D68" t="s">
        <v>25</v>
      </c>
      <c r="F68">
        <f>F65/F58</f>
        <v>1.8882978723404255E-2</v>
      </c>
    </row>
    <row r="69" spans="2:9">
      <c r="D69" t="s">
        <v>44</v>
      </c>
      <c r="F69">
        <f>F64-F65</f>
        <v>70.811170212765958</v>
      </c>
    </row>
    <row r="70" spans="2:9">
      <c r="D70" t="s">
        <v>24</v>
      </c>
      <c r="F70">
        <f>F69/F58</f>
        <v>7.0811170212765955</v>
      </c>
    </row>
    <row r="72" spans="2:9">
      <c r="B72" s="1" t="s">
        <v>45</v>
      </c>
      <c r="D72" t="s">
        <v>46</v>
      </c>
      <c r="F72">
        <v>10</v>
      </c>
    </row>
    <row r="73" spans="2:9">
      <c r="D73" t="s">
        <v>5</v>
      </c>
      <c r="F73">
        <v>196.875</v>
      </c>
      <c r="H73" t="s">
        <v>2</v>
      </c>
    </row>
    <row r="74" spans="2:9">
      <c r="D74" t="s">
        <v>47</v>
      </c>
      <c r="F74">
        <v>182.5</v>
      </c>
    </row>
    <row r="75" spans="2:9">
      <c r="D75" t="s">
        <v>13</v>
      </c>
      <c r="F75">
        <f>0.35*F74</f>
        <v>63.874999999999993</v>
      </c>
      <c r="H75" t="s">
        <v>14</v>
      </c>
      <c r="I75">
        <f>F75/300</f>
        <v>0.21291666666666664</v>
      </c>
    </row>
    <row r="77" spans="2:9">
      <c r="D77" t="s">
        <v>48</v>
      </c>
      <c r="F77">
        <v>300</v>
      </c>
    </row>
    <row r="78" spans="2:9">
      <c r="D78" t="s">
        <v>49</v>
      </c>
      <c r="F78">
        <f>F77/F$72</f>
        <v>30</v>
      </c>
    </row>
    <row r="79" spans="2:9">
      <c r="D79" t="s">
        <v>27</v>
      </c>
      <c r="F79">
        <f>F$73+F$74*F77+I$75*F78*F77/2</f>
        <v>55905</v>
      </c>
    </row>
    <row r="80" spans="2:9">
      <c r="D80" t="s">
        <v>50</v>
      </c>
      <c r="F80">
        <f>F79/F78</f>
        <v>1863.5</v>
      </c>
    </row>
    <row r="82" spans="2:6">
      <c r="D82" t="s">
        <v>9</v>
      </c>
      <c r="F82">
        <f>SQRT(2*F73*F72/I75)</f>
        <v>135.98952417348738</v>
      </c>
    </row>
    <row r="83" spans="2:6">
      <c r="D83" t="s">
        <v>49</v>
      </c>
      <c r="F83">
        <f>F82/F$72</f>
        <v>13.598952417348737</v>
      </c>
    </row>
    <row r="84" spans="2:6">
      <c r="D84" t="s">
        <v>27</v>
      </c>
      <c r="F84">
        <f>F$73+F$74*F82+I$75*F83*F82/2</f>
        <v>25211.838161661446</v>
      </c>
    </row>
    <row r="85" spans="2:6">
      <c r="D85" t="s">
        <v>50</v>
      </c>
      <c r="F85">
        <f>F84/F83</f>
        <v>1853.9544361886051</v>
      </c>
    </row>
    <row r="87" spans="2:6">
      <c r="B87" s="1" t="s">
        <v>55</v>
      </c>
      <c r="D87" t="s">
        <v>51</v>
      </c>
      <c r="F87">
        <v>40000</v>
      </c>
    </row>
    <row r="88" spans="2:6">
      <c r="D88" t="s">
        <v>52</v>
      </c>
    </row>
    <row r="89" spans="2:6">
      <c r="D89" t="s">
        <v>5</v>
      </c>
      <c r="F89">
        <v>1600</v>
      </c>
    </row>
    <row r="90" spans="2:6">
      <c r="D90" t="s">
        <v>53</v>
      </c>
      <c r="F90">
        <v>5</v>
      </c>
    </row>
    <row r="91" spans="2:6">
      <c r="D91" t="s">
        <v>4</v>
      </c>
      <c r="F91">
        <v>0.1</v>
      </c>
    </row>
    <row r="92" spans="2:6">
      <c r="D92" t="s">
        <v>54</v>
      </c>
      <c r="F92">
        <v>0.02</v>
      </c>
    </row>
    <row r="94" spans="2:6">
      <c r="D94" t="s">
        <v>57</v>
      </c>
      <c r="F94">
        <f>SQRT(2*F89*F87/F92)</f>
        <v>80000</v>
      </c>
    </row>
    <row r="95" spans="2:6">
      <c r="D95" t="s">
        <v>56</v>
      </c>
      <c r="F95">
        <f>F94/F87</f>
        <v>2</v>
      </c>
    </row>
    <row r="96" spans="2:6">
      <c r="D96" t="s">
        <v>27</v>
      </c>
      <c r="F96">
        <f>F89+F91*F94+F92*F95*F94/2</f>
        <v>11200</v>
      </c>
    </row>
    <row r="101" spans="2:12">
      <c r="B101" s="1" t="s">
        <v>58</v>
      </c>
      <c r="D101" t="s">
        <v>59</v>
      </c>
      <c r="F101">
        <v>4000</v>
      </c>
      <c r="H101" t="s">
        <v>60</v>
      </c>
      <c r="I101">
        <f>F101*30</f>
        <v>120000</v>
      </c>
    </row>
    <row r="102" spans="2:12">
      <c r="D102" t="s">
        <v>5</v>
      </c>
      <c r="F102">
        <v>600</v>
      </c>
    </row>
    <row r="104" spans="2:12">
      <c r="D104" t="s">
        <v>57</v>
      </c>
      <c r="F104">
        <f>SQRT(2*F102*F87/F92)*SQRT(I101/(I101-F87))</f>
        <v>59999.999999999993</v>
      </c>
    </row>
    <row r="105" spans="2:12">
      <c r="D105" t="s">
        <v>61</v>
      </c>
      <c r="F105">
        <f>F104-F87*F104/I101</f>
        <v>40000</v>
      </c>
    </row>
    <row r="106" spans="2:12">
      <c r="D106" t="s">
        <v>62</v>
      </c>
      <c r="F106">
        <f>F104/I101</f>
        <v>0.49999999999999994</v>
      </c>
    </row>
    <row r="107" spans="2:12">
      <c r="D107" t="s">
        <v>63</v>
      </c>
      <c r="F107">
        <f>F105/F87</f>
        <v>1</v>
      </c>
    </row>
    <row r="108" spans="2:12">
      <c r="D108" t="s">
        <v>64</v>
      </c>
      <c r="F108">
        <f>F106+F107</f>
        <v>1.5</v>
      </c>
    </row>
    <row r="109" spans="2:12">
      <c r="D109" t="s">
        <v>27</v>
      </c>
      <c r="F109">
        <f>F102+F105*F108*F92</f>
        <v>1800</v>
      </c>
    </row>
    <row r="110" spans="2:12">
      <c r="D110" t="s">
        <v>65</v>
      </c>
      <c r="F110">
        <f>F109/F108</f>
        <v>1200</v>
      </c>
    </row>
    <row r="112" spans="2:12">
      <c r="B112" s="1" t="s">
        <v>66</v>
      </c>
      <c r="D112" t="s">
        <v>68</v>
      </c>
      <c r="F112">
        <v>1000</v>
      </c>
      <c r="H112" t="s">
        <v>69</v>
      </c>
      <c r="I112">
        <f>F112/20</f>
        <v>50</v>
      </c>
      <c r="K112" t="s">
        <v>75</v>
      </c>
      <c r="L112">
        <f>I112/25</f>
        <v>2</v>
      </c>
    </row>
    <row r="113" spans="4:12">
      <c r="D113" t="s">
        <v>67</v>
      </c>
    </row>
    <row r="114" spans="4:12">
      <c r="D114" t="s">
        <v>5</v>
      </c>
      <c r="F114">
        <v>200</v>
      </c>
    </row>
    <row r="115" spans="4:12">
      <c r="D115" t="s">
        <v>70</v>
      </c>
      <c r="F115">
        <v>5</v>
      </c>
      <c r="H115" t="s">
        <v>71</v>
      </c>
      <c r="I115">
        <f>F115/20</f>
        <v>0.25</v>
      </c>
      <c r="K115" t="s">
        <v>76</v>
      </c>
      <c r="L115">
        <f>I115*25</f>
        <v>6.25</v>
      </c>
    </row>
    <row r="116" spans="4:12">
      <c r="D116" t="s">
        <v>72</v>
      </c>
    </row>
    <row r="117" spans="4:12">
      <c r="D117" t="s">
        <v>78</v>
      </c>
      <c r="F117">
        <v>50</v>
      </c>
    </row>
    <row r="118" spans="4:12">
      <c r="D118" t="s">
        <v>73</v>
      </c>
      <c r="F118">
        <v>1.25</v>
      </c>
      <c r="K118" t="s">
        <v>77</v>
      </c>
      <c r="L118">
        <f>F118*25</f>
        <v>31.25</v>
      </c>
    </row>
    <row r="120" spans="4:12">
      <c r="D120" t="s">
        <v>74</v>
      </c>
      <c r="F120">
        <f>SQRT(2*F114*L112/L115)*SQRT(L118/(L118+L115))</f>
        <v>10.327955589886447</v>
      </c>
    </row>
    <row r="121" spans="4:12">
      <c r="D121" t="s">
        <v>79</v>
      </c>
      <c r="F121">
        <v>10</v>
      </c>
    </row>
    <row r="122" spans="4:12">
      <c r="D122" t="s">
        <v>80</v>
      </c>
      <c r="F122">
        <f>(L115/(L118+L115))*F121</f>
        <v>1.6666666666666665</v>
      </c>
    </row>
    <row r="123" spans="4:12">
      <c r="D123" t="s">
        <v>82</v>
      </c>
      <c r="F123">
        <f>F121-F122</f>
        <v>8.3333333333333339</v>
      </c>
    </row>
    <row r="124" spans="4:12">
      <c r="D124" t="s">
        <v>81</v>
      </c>
      <c r="F124">
        <f>F123/L112</f>
        <v>4.166666666666667</v>
      </c>
    </row>
    <row r="125" spans="4:12">
      <c r="D125" t="s">
        <v>83</v>
      </c>
      <c r="F125">
        <f>F122/L112</f>
        <v>0.83333333333333326</v>
      </c>
    </row>
    <row r="126" spans="4:12">
      <c r="D126" t="s">
        <v>49</v>
      </c>
      <c r="F126">
        <f>F124+F125</f>
        <v>5</v>
      </c>
    </row>
    <row r="127" spans="4:12">
      <c r="D127" t="s">
        <v>27</v>
      </c>
      <c r="F127">
        <f>F114+F117*F121+L115*F124*F123/2+L118*F125*F122/2</f>
        <v>830.20833333333337</v>
      </c>
    </row>
    <row r="128" spans="4:12">
      <c r="D128" t="s">
        <v>50</v>
      </c>
      <c r="F128">
        <f>F127/F126</f>
        <v>166.04166666666669</v>
      </c>
    </row>
    <row r="130" spans="2:9">
      <c r="B130" s="1" t="s">
        <v>84</v>
      </c>
      <c r="D130" t="s">
        <v>85</v>
      </c>
      <c r="F130">
        <f>600/25</f>
        <v>24</v>
      </c>
    </row>
    <row r="131" spans="2:9">
      <c r="D131" t="s">
        <v>42</v>
      </c>
      <c r="F131">
        <f>(L115/(L118+L115))*F130</f>
        <v>4</v>
      </c>
    </row>
    <row r="132" spans="2:9">
      <c r="D132" t="s">
        <v>22</v>
      </c>
      <c r="F132">
        <f>F130-F131</f>
        <v>20</v>
      </c>
    </row>
    <row r="133" spans="2:9">
      <c r="D133" t="s">
        <v>81</v>
      </c>
      <c r="F133">
        <f>F132/L112</f>
        <v>10</v>
      </c>
    </row>
    <row r="134" spans="2:9">
      <c r="D134" t="s">
        <v>83</v>
      </c>
      <c r="F134">
        <f>F131/L112</f>
        <v>2</v>
      </c>
    </row>
    <row r="135" spans="2:9">
      <c r="D135" t="s">
        <v>49</v>
      </c>
      <c r="F135">
        <f>F133+F134</f>
        <v>12</v>
      </c>
    </row>
    <row r="136" spans="2:9">
      <c r="D136" t="s">
        <v>86</v>
      </c>
      <c r="F136">
        <f>F114+L115*F133*F132/2+L118*F134*F131/2</f>
        <v>950</v>
      </c>
    </row>
    <row r="137" spans="2:9">
      <c r="D137" t="s">
        <v>50</v>
      </c>
      <c r="F137">
        <f>F136/F135</f>
        <v>79.166666666666671</v>
      </c>
    </row>
    <row r="138" spans="2:9">
      <c r="D138" t="s">
        <v>87</v>
      </c>
      <c r="F138">
        <f>F135*(F128-F137)/F130</f>
        <v>43.437500000000007</v>
      </c>
    </row>
    <row r="140" spans="2:9">
      <c r="B140" s="1" t="s">
        <v>88</v>
      </c>
      <c r="D140" t="s">
        <v>51</v>
      </c>
      <c r="F140">
        <v>200</v>
      </c>
      <c r="H140" t="s">
        <v>89</v>
      </c>
      <c r="I140">
        <f>F140/20</f>
        <v>10</v>
      </c>
    </row>
    <row r="141" spans="2:9">
      <c r="D141" t="s">
        <v>67</v>
      </c>
    </row>
    <row r="142" spans="2:9">
      <c r="D142" t="s">
        <v>3</v>
      </c>
      <c r="F142">
        <v>4.5</v>
      </c>
    </row>
    <row r="144" spans="2:9">
      <c r="D144" s="1" t="s">
        <v>90</v>
      </c>
    </row>
    <row r="145" spans="4:9">
      <c r="D145" t="s">
        <v>91</v>
      </c>
      <c r="H145" t="s">
        <v>75</v>
      </c>
      <c r="I145">
        <f>I140/10</f>
        <v>1</v>
      </c>
    </row>
    <row r="146" spans="4:9">
      <c r="D146" t="s">
        <v>78</v>
      </c>
      <c r="F146">
        <v>200</v>
      </c>
      <c r="H146" t="s">
        <v>76</v>
      </c>
      <c r="I146">
        <f>F142*10</f>
        <v>45</v>
      </c>
    </row>
    <row r="147" spans="4:9">
      <c r="D147" t="s">
        <v>5</v>
      </c>
      <c r="F147">
        <v>75</v>
      </c>
    </row>
    <row r="149" spans="4:9">
      <c r="D149" t="s">
        <v>74</v>
      </c>
      <c r="F149">
        <f>SQRT(2*F147*I145/I146)</f>
        <v>1.8257418583505538</v>
      </c>
    </row>
    <row r="150" spans="4:9">
      <c r="D150" t="s">
        <v>92</v>
      </c>
      <c r="F150">
        <v>2</v>
      </c>
    </row>
    <row r="151" spans="4:9">
      <c r="D151" t="s">
        <v>102</v>
      </c>
      <c r="F151">
        <f>F150/I145</f>
        <v>2</v>
      </c>
    </row>
    <row r="152" spans="4:9">
      <c r="D152" t="s">
        <v>27</v>
      </c>
      <c r="F152">
        <f>F147+F146*F150+I146*F151*F150/2</f>
        <v>565</v>
      </c>
    </row>
    <row r="153" spans="4:9">
      <c r="D153" t="s">
        <v>50</v>
      </c>
      <c r="F153">
        <f>F152/F151</f>
        <v>282.5</v>
      </c>
    </row>
    <row r="155" spans="4:9">
      <c r="D155" s="1" t="s">
        <v>93</v>
      </c>
    </row>
    <row r="156" spans="4:9">
      <c r="D156" t="s">
        <v>4</v>
      </c>
      <c r="F156">
        <v>23</v>
      </c>
    </row>
    <row r="157" spans="4:9">
      <c r="D157" t="s">
        <v>5</v>
      </c>
      <c r="F157">
        <v>50</v>
      </c>
    </row>
    <row r="158" spans="4:9">
      <c r="D158" t="s">
        <v>59</v>
      </c>
      <c r="F158">
        <v>20</v>
      </c>
    </row>
    <row r="160" spans="4:9">
      <c r="D160" t="s">
        <v>9</v>
      </c>
      <c r="F160">
        <f>SQRT(2*F157*I140/F142)*SQRT(F158/(F158-I140))</f>
        <v>21.081851067789195</v>
      </c>
    </row>
    <row r="161" spans="2:6">
      <c r="D161" t="s">
        <v>92</v>
      </c>
      <c r="F161">
        <v>21</v>
      </c>
    </row>
    <row r="162" spans="2:6">
      <c r="D162" t="s">
        <v>102</v>
      </c>
      <c r="F162">
        <f>F161/I140</f>
        <v>2.1</v>
      </c>
    </row>
    <row r="163" spans="2:6">
      <c r="D163" t="s">
        <v>27</v>
      </c>
      <c r="F163">
        <f>F157+F156*F161+F142*F162*F161/2</f>
        <v>632.22500000000002</v>
      </c>
    </row>
    <row r="164" spans="2:6">
      <c r="D164" t="s">
        <v>50</v>
      </c>
      <c r="F164">
        <f>F163/F162</f>
        <v>301.0595238095238</v>
      </c>
    </row>
    <row r="166" spans="2:6">
      <c r="D166" t="s">
        <v>94</v>
      </c>
    </row>
    <row r="168" spans="2:6">
      <c r="B168" s="1" t="s">
        <v>95</v>
      </c>
      <c r="D168" t="s">
        <v>96</v>
      </c>
      <c r="F168">
        <v>28.95</v>
      </c>
    </row>
    <row r="170" spans="2:6">
      <c r="D170" s="1" t="s">
        <v>90</v>
      </c>
    </row>
    <row r="171" spans="2:6">
      <c r="D171" t="s">
        <v>97</v>
      </c>
      <c r="F171">
        <f>F152/F150/10</f>
        <v>28.25</v>
      </c>
    </row>
    <row r="172" spans="2:6">
      <c r="D172" t="s">
        <v>98</v>
      </c>
      <c r="F172">
        <f>F168-F171</f>
        <v>0.69999999999999929</v>
      </c>
    </row>
    <row r="173" spans="2:6">
      <c r="D173" s="1" t="s">
        <v>93</v>
      </c>
    </row>
    <row r="174" spans="2:6">
      <c r="D174" t="s">
        <v>97</v>
      </c>
      <c r="F174">
        <f>F163/F161</f>
        <v>30.105952380952381</v>
      </c>
    </row>
    <row r="175" spans="2:6">
      <c r="D175" t="s">
        <v>98</v>
      </c>
      <c r="F175">
        <f>F171-F174</f>
        <v>-1.855952380952381</v>
      </c>
    </row>
    <row r="177" spans="2:9">
      <c r="B177" s="2" t="s">
        <v>99</v>
      </c>
      <c r="D177" t="s">
        <v>20</v>
      </c>
      <c r="F177">
        <v>500</v>
      </c>
      <c r="H177" t="s">
        <v>89</v>
      </c>
      <c r="I177">
        <f>F177/5</f>
        <v>100</v>
      </c>
    </row>
    <row r="178" spans="2:9">
      <c r="D178" t="s">
        <v>101</v>
      </c>
    </row>
    <row r="179" spans="2:9">
      <c r="D179" t="s">
        <v>3</v>
      </c>
      <c r="F179">
        <v>0.1</v>
      </c>
    </row>
    <row r="181" spans="2:9">
      <c r="D181" s="1" t="s">
        <v>100</v>
      </c>
    </row>
    <row r="182" spans="2:9">
      <c r="D182" t="s">
        <v>5</v>
      </c>
      <c r="F182">
        <v>500</v>
      </c>
    </row>
    <row r="183" spans="2:9">
      <c r="D183" t="s">
        <v>4</v>
      </c>
      <c r="F183">
        <v>2</v>
      </c>
    </row>
    <row r="185" spans="2:9">
      <c r="D185" t="s">
        <v>57</v>
      </c>
      <c r="F185">
        <f>SQRT(2*F182*I177/F179)</f>
        <v>1000</v>
      </c>
    </row>
    <row r="186" spans="2:9">
      <c r="D186" t="s">
        <v>102</v>
      </c>
      <c r="F186">
        <f>F185/I177</f>
        <v>10</v>
      </c>
    </row>
    <row r="187" spans="2:9">
      <c r="D187" t="s">
        <v>27</v>
      </c>
      <c r="F187">
        <f>F182+F183*F185+F179*F186*F185/2</f>
        <v>3000</v>
      </c>
    </row>
    <row r="188" spans="2:9">
      <c r="D188" t="s">
        <v>50</v>
      </c>
      <c r="F188">
        <f>F187/F186</f>
        <v>300</v>
      </c>
    </row>
    <row r="190" spans="2:9">
      <c r="B190" s="2" t="s">
        <v>103</v>
      </c>
      <c r="D190" t="s">
        <v>97</v>
      </c>
      <c r="F190">
        <f>F187/F185</f>
        <v>3</v>
      </c>
    </row>
    <row r="191" spans="2:9">
      <c r="D191" t="s">
        <v>104</v>
      </c>
      <c r="F191">
        <f>F190</f>
        <v>3</v>
      </c>
    </row>
    <row r="193" spans="2:6">
      <c r="B193" s="1" t="s">
        <v>105</v>
      </c>
      <c r="D193" t="s">
        <v>59</v>
      </c>
      <c r="F193" t="s">
        <v>106</v>
      </c>
    </row>
    <row r="194" spans="2:6">
      <c r="D194" t="s">
        <v>4</v>
      </c>
      <c r="F194" t="s">
        <v>107</v>
      </c>
    </row>
    <row r="195" spans="2:6">
      <c r="D195" t="s">
        <v>5</v>
      </c>
      <c r="F195">
        <v>200</v>
      </c>
    </row>
    <row r="197" spans="2:6">
      <c r="D197" t="s">
        <v>9</v>
      </c>
      <c r="F197" t="s">
        <v>108</v>
      </c>
    </row>
    <row r="198" spans="2:6">
      <c r="D198" t="s">
        <v>27</v>
      </c>
      <c r="F198" t="s">
        <v>109</v>
      </c>
    </row>
    <row r="199" spans="2:6">
      <c r="D199" t="s">
        <v>50</v>
      </c>
      <c r="F199" t="s">
        <v>111</v>
      </c>
    </row>
    <row r="201" spans="2:6">
      <c r="D201" t="s">
        <v>110</v>
      </c>
      <c r="F201" t="s">
        <v>112</v>
      </c>
    </row>
    <row r="202" spans="2:6">
      <c r="D202" t="s">
        <v>113</v>
      </c>
      <c r="F202" t="s">
        <v>114</v>
      </c>
    </row>
    <row r="204" spans="2:6">
      <c r="D204" t="s">
        <v>59</v>
      </c>
      <c r="F204">
        <v>800</v>
      </c>
    </row>
    <row r="205" spans="2:6">
      <c r="D205" t="s">
        <v>4</v>
      </c>
      <c r="F205">
        <v>2.36</v>
      </c>
    </row>
    <row r="206" spans="2:6">
      <c r="D206" t="s">
        <v>5</v>
      </c>
      <c r="F206">
        <v>200</v>
      </c>
    </row>
    <row r="208" spans="2:6">
      <c r="D208" t="s">
        <v>9</v>
      </c>
      <c r="F208">
        <f>SQRT(2*200*100/0.1)*SQRT(F204/(F204-100))</f>
        <v>676.1234037828134</v>
      </c>
    </row>
    <row r="209" spans="4:10">
      <c r="D209" t="s">
        <v>16</v>
      </c>
      <c r="F209">
        <f>F208/I177</f>
        <v>6.7612340378281344</v>
      </c>
    </row>
    <row r="210" spans="4:10">
      <c r="D210" t="s">
        <v>27</v>
      </c>
      <c r="F210">
        <f>F206+F205*F208+0.1*F209*F208/2</f>
        <v>2024.2226614988681</v>
      </c>
    </row>
    <row r="211" spans="4:10">
      <c r="D211" t="s">
        <v>50</v>
      </c>
      <c r="F211">
        <f>F210/F209</f>
        <v>299.38656910463868</v>
      </c>
    </row>
    <row r="213" spans="4:10">
      <c r="D213" t="s">
        <v>110</v>
      </c>
      <c r="F213" t="s">
        <v>112</v>
      </c>
    </row>
    <row r="214" spans="4:10">
      <c r="D214" t="s">
        <v>113</v>
      </c>
      <c r="F214" t="s">
        <v>115</v>
      </c>
      <c r="J214">
        <f>3-200*1500/(700*F208)</f>
        <v>2.3661343089536127</v>
      </c>
    </row>
  </sheetData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jtelhada</dc:creator>
  <cp:lastModifiedBy>João Telhada</cp:lastModifiedBy>
  <dcterms:created xsi:type="dcterms:W3CDTF">2017-01-10T11:30:34Z</dcterms:created>
  <dcterms:modified xsi:type="dcterms:W3CDTF">2017-01-14T18:57:28Z</dcterms:modified>
</cp:coreProperties>
</file>